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drawings/drawing2.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tables/table30.xml" ContentType="application/vnd.openxmlformats-officedocument.spreadsheetml.table+xml"/>
  <Override PartName="/xl/tables/table31.xml" ContentType="application/vnd.openxmlformats-officedocument.spreadsheetml.table+xml"/>
  <Override PartName="/xl/tables/table32.xml" ContentType="application/vnd.openxmlformats-officedocument.spreadsheetml.table+xml"/>
  <Override PartName="/xl/tables/table33.xml" ContentType="application/vnd.openxmlformats-officedocument.spreadsheetml.table+xml"/>
  <Override PartName="/xl/tables/table34.xml" ContentType="application/vnd.openxmlformats-officedocument.spreadsheetml.table+xml"/>
  <Override PartName="/xl/tables/table35.xml" ContentType="application/vnd.openxmlformats-officedocument.spreadsheetml.table+xml"/>
  <Override PartName="/xl/tables/table36.xml" ContentType="application/vnd.openxmlformats-officedocument.spreadsheetml.table+xml"/>
  <Override PartName="/xl/tables/table37.xml" ContentType="application/vnd.openxmlformats-officedocument.spreadsheetml.table+xml"/>
  <Override PartName="/xl/tables/table38.xml" ContentType="application/vnd.openxmlformats-officedocument.spreadsheetml.table+xml"/>
  <Override PartName="/xl/tables/table39.xml" ContentType="application/vnd.openxmlformats-officedocument.spreadsheetml.table+xml"/>
  <Override PartName="/xl/tables/table40.xml" ContentType="application/vnd.openxmlformats-officedocument.spreadsheetml.table+xml"/>
  <Override PartName="/xl/tables/table41.xml" ContentType="application/vnd.openxmlformats-officedocument.spreadsheetml.table+xml"/>
  <Override PartName="/xl/tables/table42.xml" ContentType="application/vnd.openxmlformats-officedocument.spreadsheetml.table+xml"/>
  <Override PartName="/xl/tables/table43.xml" ContentType="application/vnd.openxmlformats-officedocument.spreadsheetml.table+xml"/>
  <Override PartName="/xl/tables/table44.xml" ContentType="application/vnd.openxmlformats-officedocument.spreadsheetml.table+xml"/>
  <Override PartName="/xl/tables/table45.xml" ContentType="application/vnd.openxmlformats-officedocument.spreadsheetml.table+xml"/>
  <Override PartName="/xl/tables/table46.xml" ContentType="application/vnd.openxmlformats-officedocument.spreadsheetml.table+xml"/>
  <Override PartName="/xl/tables/table47.xml" ContentType="application/vnd.openxmlformats-officedocument.spreadsheetml.table+xml"/>
  <Override PartName="/xl/tables/table48.xml" ContentType="application/vnd.openxmlformats-officedocument.spreadsheetml.table+xml"/>
  <Override PartName="/xl/tables/table49.xml" ContentType="application/vnd.openxmlformats-officedocument.spreadsheetml.table+xml"/>
  <Override PartName="/xl/tables/table50.xml" ContentType="application/vnd.openxmlformats-officedocument.spreadsheetml.table+xml"/>
  <Override PartName="/xl/tables/table51.xml" ContentType="application/vnd.openxmlformats-officedocument.spreadsheetml.table+xml"/>
  <Override PartName="/xl/tables/table52.xml" ContentType="application/vnd.openxmlformats-officedocument.spreadsheetml.table+xml"/>
  <Override PartName="/xl/tables/table53.xml" ContentType="application/vnd.openxmlformats-officedocument.spreadsheetml.table+xml"/>
  <Override PartName="/xl/tables/table54.xml" ContentType="application/vnd.openxmlformats-officedocument.spreadsheetml.table+xml"/>
  <Override PartName="/xl/tables/table55.xml" ContentType="application/vnd.openxmlformats-officedocument.spreadsheetml.table+xml"/>
  <Override PartName="/xl/tables/table56.xml" ContentType="application/vnd.openxmlformats-officedocument.spreadsheetml.table+xml"/>
  <Override PartName="/xl/tables/table57.xml" ContentType="application/vnd.openxmlformats-officedocument.spreadsheetml.table+xml"/>
  <Override PartName="/xl/tables/table58.xml" ContentType="application/vnd.openxmlformats-officedocument.spreadsheetml.table+xml"/>
  <Override PartName="/xl/tables/table59.xml" ContentType="application/vnd.openxmlformats-officedocument.spreadsheetml.table+xml"/>
  <Override PartName="/xl/tables/table60.xml" ContentType="application/vnd.openxmlformats-officedocument.spreadsheetml.table+xml"/>
  <Override PartName="/xl/tables/table61.xml" ContentType="application/vnd.openxmlformats-officedocument.spreadsheetml.table+xml"/>
  <Override PartName="/xl/tables/table62.xml" ContentType="application/vnd.openxmlformats-officedocument.spreadsheetml.table+xml"/>
  <Override PartName="/xl/tables/table63.xml" ContentType="application/vnd.openxmlformats-officedocument.spreadsheetml.table+xml"/>
  <Override PartName="/xl/tables/table64.xml" ContentType="application/vnd.openxmlformats-officedocument.spreadsheetml.table+xml"/>
  <Override PartName="/xl/tables/table65.xml" ContentType="application/vnd.openxmlformats-officedocument.spreadsheetml.table+xml"/>
  <Override PartName="/xl/tables/table66.xml" ContentType="application/vnd.openxmlformats-officedocument.spreadsheetml.table+xml"/>
  <Override PartName="/xl/tables/table67.xml" ContentType="application/vnd.openxmlformats-officedocument.spreadsheetml.table+xml"/>
  <Override PartName="/xl/tables/table68.xml" ContentType="application/vnd.openxmlformats-officedocument.spreadsheetml.table+xml"/>
  <Override PartName="/xl/tables/table69.xml" ContentType="application/vnd.openxmlformats-officedocument.spreadsheetml.table+xml"/>
  <Override PartName="/xl/tables/table70.xml" ContentType="application/vnd.openxmlformats-officedocument.spreadsheetml.table+xml"/>
  <Override PartName="/xl/tables/table71.xml" ContentType="application/vnd.openxmlformats-officedocument.spreadsheetml.table+xml"/>
  <Override PartName="/xl/tables/table72.xml" ContentType="application/vnd.openxmlformats-officedocument.spreadsheetml.table+xml"/>
  <Override PartName="/xl/tables/table73.xml" ContentType="application/vnd.openxmlformats-officedocument.spreadsheetml.table+xml"/>
  <Override PartName="/xl/tables/table74.xml" ContentType="application/vnd.openxmlformats-officedocument.spreadsheetml.table+xml"/>
  <Override PartName="/xl/tables/table75.xml" ContentType="application/vnd.openxmlformats-officedocument.spreadsheetml.table+xml"/>
  <Override PartName="/xl/tables/table76.xml" ContentType="application/vnd.openxmlformats-officedocument.spreadsheetml.table+xml"/>
  <Override PartName="/xl/tables/table77.xml" ContentType="application/vnd.openxmlformats-officedocument.spreadsheetml.table+xml"/>
  <Override PartName="/xl/tables/table78.xml" ContentType="application/vnd.openxmlformats-officedocument.spreadsheetml.table+xml"/>
  <Override PartName="/xl/tables/table79.xml" ContentType="application/vnd.openxmlformats-officedocument.spreadsheetml.table+xml"/>
  <Override PartName="/xl/tables/table80.xml" ContentType="application/vnd.openxmlformats-officedocument.spreadsheetml.table+xml"/>
  <Override PartName="/xl/tables/table81.xml" ContentType="application/vnd.openxmlformats-officedocument.spreadsheetml.table+xml"/>
  <Override PartName="/xl/tables/table82.xml" ContentType="application/vnd.openxmlformats-officedocument.spreadsheetml.table+xml"/>
  <Override PartName="/xl/tables/table83.xml" ContentType="application/vnd.openxmlformats-officedocument.spreadsheetml.table+xml"/>
  <Override PartName="/xl/tables/table84.xml" ContentType="application/vnd.openxmlformats-officedocument.spreadsheetml.table+xml"/>
  <Override PartName="/xl/tables/table85.xml" ContentType="application/vnd.openxmlformats-officedocument.spreadsheetml.table+xml"/>
  <Override PartName="/xl/tables/table86.xml" ContentType="application/vnd.openxmlformats-officedocument.spreadsheetml.table+xml"/>
  <Override PartName="/xl/tables/table87.xml" ContentType="application/vnd.openxmlformats-officedocument.spreadsheetml.table+xml"/>
  <Override PartName="/xl/tables/table88.xml" ContentType="application/vnd.openxmlformats-officedocument.spreadsheetml.table+xml"/>
  <Override PartName="/xl/tables/table89.xml" ContentType="application/vnd.openxmlformats-officedocument.spreadsheetml.table+xml"/>
  <Override PartName="/xl/tables/table90.xml" ContentType="application/vnd.openxmlformats-officedocument.spreadsheetml.table+xml"/>
  <Override PartName="/xl/tables/table91.xml" ContentType="application/vnd.openxmlformats-officedocument.spreadsheetml.table+xml"/>
  <Override PartName="/xl/tables/table92.xml" ContentType="application/vnd.openxmlformats-officedocument.spreadsheetml.table+xml"/>
  <Override PartName="/xl/tables/table93.xml" ContentType="application/vnd.openxmlformats-officedocument.spreadsheetml.table+xml"/>
  <Override PartName="/xl/tables/table94.xml" ContentType="application/vnd.openxmlformats-officedocument.spreadsheetml.table+xml"/>
  <Override PartName="/xl/tables/table95.xml" ContentType="application/vnd.openxmlformats-officedocument.spreadsheetml.table+xml"/>
  <Override PartName="/xl/tables/table96.xml" ContentType="application/vnd.openxmlformats-officedocument.spreadsheetml.table+xml"/>
  <Override PartName="/xl/tables/table97.xml" ContentType="application/vnd.openxmlformats-officedocument.spreadsheetml.table+xml"/>
  <Override PartName="/xl/tables/table98.xml" ContentType="application/vnd.openxmlformats-officedocument.spreadsheetml.table+xml"/>
  <Override PartName="/xl/tables/table99.xml" ContentType="application/vnd.openxmlformats-officedocument.spreadsheetml.table+xml"/>
  <Override PartName="/xl/tables/table100.xml" ContentType="application/vnd.openxmlformats-officedocument.spreadsheetml.table+xml"/>
  <Override PartName="/xl/tables/table101.xml" ContentType="application/vnd.openxmlformats-officedocument.spreadsheetml.table+xml"/>
  <Override PartName="/xl/tables/table102.xml" ContentType="application/vnd.openxmlformats-officedocument.spreadsheetml.table+xml"/>
  <Override PartName="/xl/tables/table103.xml" ContentType="application/vnd.openxmlformats-officedocument.spreadsheetml.table+xml"/>
  <Override PartName="/xl/tables/table104.xml" ContentType="application/vnd.openxmlformats-officedocument.spreadsheetml.table+xml"/>
  <Override PartName="/xl/tables/table105.xml" ContentType="application/vnd.openxmlformats-officedocument.spreadsheetml.table+xml"/>
  <Override PartName="/xl/tables/table106.xml" ContentType="application/vnd.openxmlformats-officedocument.spreadsheetml.table+xml"/>
  <Override PartName="/xl/tables/table107.xml" ContentType="application/vnd.openxmlformats-officedocument.spreadsheetml.table+xml"/>
  <Override PartName="/xl/tables/table108.xml" ContentType="application/vnd.openxmlformats-officedocument.spreadsheetml.table+xml"/>
  <Override PartName="/xl/tables/table109.xml" ContentType="application/vnd.openxmlformats-officedocument.spreadsheetml.table+xml"/>
  <Override PartName="/xl/tables/table110.xml" ContentType="application/vnd.openxmlformats-officedocument.spreadsheetml.table+xml"/>
  <Override PartName="/xl/tables/table111.xml" ContentType="application/vnd.openxmlformats-officedocument.spreadsheetml.table+xml"/>
  <Override PartName="/xl/tables/table112.xml" ContentType="application/vnd.openxmlformats-officedocument.spreadsheetml.table+xml"/>
  <Override PartName="/xl/tables/table113.xml" ContentType="application/vnd.openxmlformats-officedocument.spreadsheetml.table+xml"/>
  <Override PartName="/xl/tables/table114.xml" ContentType="application/vnd.openxmlformats-officedocument.spreadsheetml.table+xml"/>
  <Override PartName="/xl/tables/table115.xml" ContentType="application/vnd.openxmlformats-officedocument.spreadsheetml.table+xml"/>
  <Override PartName="/xl/tables/table116.xml" ContentType="application/vnd.openxmlformats-officedocument.spreadsheetml.table+xml"/>
  <Override PartName="/xl/tables/table117.xml" ContentType="application/vnd.openxmlformats-officedocument.spreadsheetml.table+xml"/>
  <Override PartName="/xl/tables/table118.xml" ContentType="application/vnd.openxmlformats-officedocument.spreadsheetml.table+xml"/>
  <Override PartName="/xl/tables/table119.xml" ContentType="application/vnd.openxmlformats-officedocument.spreadsheetml.table+xml"/>
  <Override PartName="/xl/tables/table120.xml" ContentType="application/vnd.openxmlformats-officedocument.spreadsheetml.table+xml"/>
  <Override PartName="/xl/tables/table121.xml" ContentType="application/vnd.openxmlformats-officedocument.spreadsheetml.table+xml"/>
  <Override PartName="/xl/tables/table122.xml" ContentType="application/vnd.openxmlformats-officedocument.spreadsheetml.table+xml"/>
  <Override PartName="/xl/tables/table123.xml" ContentType="application/vnd.openxmlformats-officedocument.spreadsheetml.table+xml"/>
  <Override PartName="/xl/tables/table124.xml" ContentType="application/vnd.openxmlformats-officedocument.spreadsheetml.table+xml"/>
  <Override PartName="/xl/tables/table125.xml" ContentType="application/vnd.openxmlformats-officedocument.spreadsheetml.table+xml"/>
  <Override PartName="/xl/tables/table126.xml" ContentType="application/vnd.openxmlformats-officedocument.spreadsheetml.table+xml"/>
  <Override PartName="/xl/tables/table127.xml" ContentType="application/vnd.openxmlformats-officedocument.spreadsheetml.table+xml"/>
  <Override PartName="/xl/tables/table128.xml" ContentType="application/vnd.openxmlformats-officedocument.spreadsheetml.table+xml"/>
  <Override PartName="/xl/tables/table129.xml" ContentType="application/vnd.openxmlformats-officedocument.spreadsheetml.table+xml"/>
  <Override PartName="/xl/tables/table130.xml" ContentType="application/vnd.openxmlformats-officedocument.spreadsheetml.table+xml"/>
  <Override PartName="/xl/tables/table131.xml" ContentType="application/vnd.openxmlformats-officedocument.spreadsheetml.table+xml"/>
  <Override PartName="/xl/tables/table132.xml" ContentType="application/vnd.openxmlformats-officedocument.spreadsheetml.table+xml"/>
  <Override PartName="/xl/tables/table133.xml" ContentType="application/vnd.openxmlformats-officedocument.spreadsheetml.table+xml"/>
  <Override PartName="/xl/tables/table134.xml" ContentType="application/vnd.openxmlformats-officedocument.spreadsheetml.table+xml"/>
  <Override PartName="/xl/tables/table135.xml" ContentType="application/vnd.openxmlformats-officedocument.spreadsheetml.table+xml"/>
  <Override PartName="/xl/tables/table136.xml" ContentType="application/vnd.openxmlformats-officedocument.spreadsheetml.table+xml"/>
  <Override PartName="/xl/tables/table137.xml" ContentType="application/vnd.openxmlformats-officedocument.spreadsheetml.table+xml"/>
  <Override PartName="/xl/tables/table138.xml" ContentType="application/vnd.openxmlformats-officedocument.spreadsheetml.table+xml"/>
  <Override PartName="/xl/tables/table139.xml" ContentType="application/vnd.openxmlformats-officedocument.spreadsheetml.table+xml"/>
  <Override PartName="/xl/tables/table140.xml" ContentType="application/vnd.openxmlformats-officedocument.spreadsheetml.table+xml"/>
  <Override PartName="/xl/tables/table141.xml" ContentType="application/vnd.openxmlformats-officedocument.spreadsheetml.table+xml"/>
  <Override PartName="/xl/tables/table142.xml" ContentType="application/vnd.openxmlformats-officedocument.spreadsheetml.table+xml"/>
  <Override PartName="/xl/tables/table143.xml" ContentType="application/vnd.openxmlformats-officedocument.spreadsheetml.table+xml"/>
  <Override PartName="/xl/tables/table144.xml" ContentType="application/vnd.openxmlformats-officedocument.spreadsheetml.table+xml"/>
  <Override PartName="/xl/tables/table145.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codeName="ThisWorkbook"/>
  <mc:AlternateContent xmlns:mc="http://schemas.openxmlformats.org/markup-compatibility/2006">
    <mc:Choice Requires="x15">
      <x15ac:absPath xmlns:x15ac="http://schemas.microsoft.com/office/spreadsheetml/2010/11/ac" url="C:\htdocs\zneagcrc\GAF-VEERG-Functions\Excel\Enterprises\"/>
    </mc:Choice>
  </mc:AlternateContent>
  <xr:revisionPtr revIDLastSave="0" documentId="13_ncr:1_{42D1B030-6C82-4F88-B3C9-95A8EE04781C}" xr6:coauthVersionLast="47" xr6:coauthVersionMax="47" xr10:uidLastSave="{00000000-0000-0000-0000-000000000000}"/>
  <bookViews>
    <workbookView xWindow="390" yWindow="390" windowWidth="36330" windowHeight="19530" firstSheet="15" activeTab="19" xr2:uid="{992023F3-CAB7-4E5B-A348-08D563A0EF40}"/>
  </bookViews>
  <sheets>
    <sheet name="Home" sheetId="71" r:id="rId1"/>
    <sheet name="Results - Activity period" sheetId="13" r:id="rId2"/>
    <sheet name="Results - Product EI" sheetId="81" r:id="rId3"/>
    <sheet name="Input - Enterprise" sheetId="72" r:id="rId4"/>
    <sheet name="Input - Site" sheetId="75" r:id="rId5"/>
    <sheet name="Input - Pasture Beef" sheetId="82" r:id="rId6"/>
    <sheet name="Input - Livestock sales" sheetId="77" r:id="rId7"/>
    <sheet name="Input - Beef cattle purchases" sheetId="111" r:id="rId8"/>
    <sheet name="Input - Pasture" sheetId="107" r:id="rId9"/>
    <sheet name="Input - Fert Prod System" sheetId="76" r:id="rId10"/>
    <sheet name="Input - Fertiliser" sheetId="89" r:id="rId11"/>
    <sheet name="Input - Fuel" sheetId="100" r:id="rId12"/>
    <sheet name="Input - Electricity" sheetId="97" r:id="rId13"/>
    <sheet name="Input - Common farm inputs" sheetId="112" r:id="rId14"/>
    <sheet name="Input - Crop pasture farm input" sheetId="113" r:id="rId15"/>
    <sheet name="Input - Livestock farm Inputs" sheetId="114" r:id="rId16"/>
    <sheet name="Input - Freight" sheetId="115" r:id="rId17"/>
    <sheet name="Input - Solid waste" sheetId="104" r:id="rId18"/>
    <sheet name="Input - Manure sent off-site" sheetId="116" r:id="rId19"/>
    <sheet name="Input - Data quality" sheetId="78" r:id="rId20"/>
    <sheet name="3.2.1.1-2 Enteric Methane" sheetId="88" r:id="rId21"/>
    <sheet name="4.2.1.1-2 Methane" sheetId="83" r:id="rId22"/>
    <sheet name="4.2.1.3-4 Soil direct N20" sheetId="84" r:id="rId23"/>
    <sheet name="4.2.1.5-6 Soil Atmos Dep" sheetId="85" r:id="rId24"/>
    <sheet name="4.2.1.7-8 Soil leach runoff" sheetId="86" r:id="rId25"/>
    <sheet name="5.1.1.1-2 Inorganic fert N2O" sheetId="90" r:id="rId26"/>
    <sheet name="5.1.1.3-4 Inorganic fert CO2" sheetId="91" r:id="rId27"/>
    <sheet name="5.2.1.1-2 Organic Fert N2O" sheetId="92" r:id="rId28"/>
    <sheet name="5.3.1.1-2 Lime CO2" sheetId="93" r:id="rId29"/>
    <sheet name="5.4.1.1-4 Atmos deposition" sheetId="94" r:id="rId30"/>
    <sheet name="5.5.1.1-2 Leaching and runoff" sheetId="95" r:id="rId31"/>
    <sheet name="6.2.1.1-2 Pasture residue N2O" sheetId="108" r:id="rId32"/>
    <sheet name="6.3.1.1-2 Leach runoff pasture" sheetId="109" r:id="rId33"/>
    <sheet name="8.1.1.1-2 Transport fuel" sheetId="101" r:id="rId34"/>
    <sheet name="8.2.1.1-2 Stationary fuel" sheetId="102" r:id="rId35"/>
    <sheet name="10.1.1-2 Solid waste treatment" sheetId="105" r:id="rId36"/>
    <sheet name="14.1.1-2 Purchased electricity" sheetId="98" r:id="rId37"/>
    <sheet name="15 Scope 3" sheetId="117" r:id="rId38"/>
    <sheet name="Calcs - Manure sent off-site" sheetId="118" r:id="rId39"/>
    <sheet name="Constants - Pasture Beef" sheetId="87" r:id="rId40"/>
    <sheet name="Constants - Ag Residue" sheetId="110" r:id="rId41"/>
    <sheet name="Constants - Common Livestock" sheetId="120" r:id="rId42"/>
    <sheet name="Constants - Electricity" sheetId="99" r:id="rId43"/>
    <sheet name="Constants - Fertiliser" sheetId="96" r:id="rId44"/>
    <sheet name="Constants - Fuel" sheetId="103" r:id="rId45"/>
    <sheet name="Constants - Scope 3" sheetId="119" r:id="rId46"/>
    <sheet name="Constants - Solid Waste" sheetId="106" r:id="rId47"/>
    <sheet name="Constants - Common" sheetId="79" r:id="rId48"/>
    <sheet name="Acknowledgements" sheetId="121" r:id="rId49"/>
  </sheets>
  <definedNames>
    <definedName name="_Toc225350871" localSheetId="29">'5.4.1.1-4 Atmos deposition'!$C$1</definedName>
    <definedName name="_Toc225350871" localSheetId="30">'5.5.1.1-2 Leaching and runoff'!$C$1</definedName>
    <definedName name="AgResidue_Equations_CropResidue.VEERG_6_1_1_1__1__NitrousOxideEmissionsFromCropResidues">_xlfn.LAMBDA(_xlpm.M_c,_xlpm.EF_Ni,_xlpm.C_N2O, _xlpm.M_c * _xlpm.EF_Ni * _xlpm.C_N2O * 10 ^ (-3))</definedName>
    <definedName name="AgResidue_Equations_CropResidue.VEERG_6_1_1_1__1__NitrousOxideEmissionsFromCropResidues_Arguments">_xlfn.LAMBDA(_xlfn.MAKEARRAY(5, 4, _xlfn.LAMBDA(_xlpm.r,_xlpm.c, INDEX({"M_c","mass of nitrogen in crop c residues returned to the soil","kg N","Calculated from 6.1.1.1 (2)";"EF_Ni","emission factor for crop residues returned to the soil","kg N2O-N/kg N","Constant";"C_N2O","factor to convert elemental mass of nitrous oxide to molecular mass","dimensionless","Constant";"c","Crop type","","Input";"i","Wet or dry climate zone","","Input"}, _xlpm.r, _xlpm.c))))</definedName>
    <definedName name="AgResidue_Equations_CropResidue.VEERG_6_1_1_1__1__NitrousOxideEmissionsFromCropResidues_FunctionName">_xlfn.LAMBDA("VEERG_6_1_1_1__1__NitrousOxideEmissionsFromCropResidues")</definedName>
    <definedName name="AgResidue_Equations_CropResidue.VEERG_6_1_1_1__1__NitrousOxideEmissionsFromCropResidues_LatexEquation">_xlfn.LAMBDA("E=\sum\nolimits_c\left(M_{c}\times EF_{N}\right)\times C_{g,N2O}\times 10^{-3}")</definedName>
    <definedName name="AgResidue_Equations_CropResidue.VEERG_6_1_1_1__1__NitrousOxideEmissionsFromCropResidues_NIRReference">_xlfn.LAMBDA("")</definedName>
    <definedName name="AgResidue_Equations_CropResidue.VEERG_6_1_1_1__1__NitrousOxideEmissionsFromCropResidues_Source">_xlfn.LAMBDA("VEERG 2026: 6.1.1.1, Equation (1)")</definedName>
    <definedName name="AgResidue_Equations_CropResidue.VEERG_6_1_1_1__1__NitrousOxideEmissionsFromCropResidues_Title">_xlfn.LAMBDA("Nitrous oxide emissions from the return of crop residues across all crops c to the soil")</definedName>
    <definedName name="AgResidue_Equations_CropResidue.VEERG_6_1_1_1__1__NitrousOxideEmissionsFromCropResidues_Unit">_xlfn.LAMBDA("t N2O")</definedName>
    <definedName name="AgResidue_Equations_CropResidue.VEERG_6_1_1_1__1__NitrousOxideEmissionsFromCropResidues_Variable">_xlfn.LAMBDA("E")</definedName>
    <definedName name="AgResidue_Equations_CropResidue.VEERG_6_1_1_1__2__MassOfNitrogenInCropResidues">_xlfn.LAMBDA(_xlpm.P_c,_xlpm.R_AGc,_xlpm.F_c,_xlpm.FFOD_c,_xlpm.DM_c,_xlpm.NC_AGc,_xlpm.R_BGc,_xlpm.NC_BGc, (_xlpm.P_c * _xlpm.R_AGc * (1 - _xlpm.F_c - _xlpm.FFOD_c) * _xlpm.DM_c * _xlpm.NC_AGc) + (_xlpm.P_c * _xlpm.R_AGc * _xlpm.R_BGc * _xlpm.DM_c * _xlpm.NC_BGc))</definedName>
    <definedName name="AgResidue_Equations_CropResidue.VEERG_6_1_1_1__2__MassOfNitrogenInCropResidues_Arguments">_xlfn.LAMBDA(_xlfn.MAKEARRAY(10, 4, _xlfn.LAMBDA(_xlpm.r,_xlpm.c, INDEX({"P_c","annual production of crop c","kg","Input";"R_AGc","residue to crop ratio for crop c","","Constant";"R_BGc","below ground-residue to above ground residue ratio for crop c","","Constant";"F_c","fraction of crop residue that is burnt for crop c","fraction","Input";"FFOD_c","fraction of the crop residue that is removed for crop c","fraction","Constant";"DM_c","dry matter content of crop c","kg dry weight/kg crop residue","Constant";"NC_AGc","nitrogen content of above-ground crop residue of crop c","kg N/kg DM","Constant";"NC_BGc","nitrogen content of below-ground crop residue of crop c","kg N/kg DM","Constant";"c","Crop type","","Input";"State","State or territory","","Input"}, _xlpm.r, _xlpm.c))))</definedName>
    <definedName name="AgResidue_Equations_CropResidue.VEERG_6_1_1_1__2__MassOfNitrogenInCropResidues_Arguments_Method2">_xlfn.LAMBDA(_xlfn.MAKEARRAY(10, 4, _xlfn.LAMBDA(_xlpm.r,_xlpm.c, INDEX({"P_c","annual production of crop c","kg","Input";"R_AGc","residue to crop ratio for crop c","","Constant";"R_BGc","below ground-residue to above ground residue ratio for crop c","","Constant";"F_c","fraction of crop residue that is burnt for crop c","fraction","Input";"FFOD_c","fraction of the crop residue that is removed for crop c","fraction","Calculated from 6.1.1.2 (1)";"DM_c","dry matter content of crop c","kg dry weight/kg crop residue","Constant";"NC_AGc","nitrogen content of above-ground crop residue of crop c","kg N/kg DM","Constant";"NC_BGc","nitrogen content of below-ground crop residue of crop c","kg N/kg DM","Constant";"c","Crop type","","Input";"State","State or territory","","Input"}, _xlpm.r, _xlpm.c))))</definedName>
    <definedName name="AgResidue_Equations_CropResidue.VEERG_6_1_1_1__2__MassOfNitrogenInCropResidues_LatexEquation">_xlfn.LAMBDA("M_{c}=(P_{c}\times R_{AGc}\times(1-F_{c}-FFOD_{c})\times DM_{c}\times NC_{AGc})+(P_{c}\times R_{AGc}\times R_{BGc}\times DM_{c}\times NC_{BGc})")</definedName>
    <definedName name="AgResidue_Equations_CropResidue.VEERG_6_1_1_1__2__MassOfNitrogenInCropResidues_NIRReference">_xlfn.LAMBDA("")</definedName>
    <definedName name="AgResidue_Equations_CropResidue.VEERG_6_1_1_1__2__MassOfNitrogenInCropResidues_Source">_xlfn.LAMBDA("VEERG 2026: 6.1.1.1, Equation (2)")</definedName>
    <definedName name="AgResidue_Equations_CropResidue.VEERG_6_1_1_1__2__MassOfNitrogenInCropResidues_Title">_xlfn.LAMBDA("Mass of nitrogen in crop residues returned to the soil")</definedName>
    <definedName name="AgResidue_Equations_CropResidue.VEERG_6_1_1_1__2__MassOfNitrogenInCropResidues_Unit">_xlfn.LAMBDA("kg N")</definedName>
    <definedName name="AgResidue_Equations_CropResidue.VEERG_6_1_1_1__2__MassOfNitrogenInCropResidues_Variable">_xlfn.LAMBDA("M_c")</definedName>
    <definedName name="AgResidue_Equations_CropResidue.VEERG_6_1_1_2__1__FractionOfCropResidueRemovedBaled">_xlfn.LAMBDA(_xlpm.B,_xlpm.M_B,_xlpm.P_c,_xlpm.R_AGc, IFERROR((_xlpm.B * _xlpm.M_B) / (_xlpm.P_c * _xlpm.R_AGc), 0))</definedName>
    <definedName name="AgResidue_Equations_CropResidue.VEERG_6_1_1_2__1__FractionOfCropResidueRemovedBaled_Arguments">_xlfn.LAMBDA(_xlfn.MAKEARRAY(5, 4, _xlfn.LAMBDA(_xlpm.r,_xlpm.c, INDEX({"B","number of bales generated","","Input";"M_B","mass of each bale","kg","Input";"P_c","annual production of crop c","kg","Input";"R_AGc","residue to crop ratio for crop c","","Constant";"c","Crop type","","Input"}, _xlpm.r, _xlpm.c))))</definedName>
    <definedName name="AgResidue_Equations_CropResidue.VEERG_6_1_1_2__1__FractionOfCropResidueRemovedBaled_LatexEquation">_xlfn.LAMBDA("FFOD_{c}=\frac{B\times M_{B}}{P_{c}\times R_{AG,c}}")</definedName>
    <definedName name="AgResidue_Equations_CropResidue.VEERG_6_1_1_2__1__FractionOfCropResidueRemovedBaled_NIRReference">_xlfn.LAMBDA("")</definedName>
    <definedName name="AgResidue_Equations_CropResidue.VEERG_6_1_1_2__1__FractionOfCropResidueRemovedBaled_Source">_xlfn.LAMBDA("VEERG 2026: 6.1.1.2, Equation (1)")</definedName>
    <definedName name="AgResidue_Equations_CropResidue.VEERG_6_1_1_2__1__FractionOfCropResidueRemovedBaled_Title">_xlfn.LAMBDA("Fraction of crop residue that is removed for crop c, calculated where residues are baled")</definedName>
    <definedName name="AgResidue_Equations_CropResidue.VEERG_6_1_1_2__1__FractionOfCropResidueRemovedBaled_Unit">_xlfn.LAMBDA("fraction")</definedName>
    <definedName name="AgResidue_Equations_CropResidue.VEERG_6_1_1_2__1__FractionOfCropResidueRemovedBaled_Variable">_xlfn.LAMBDA("FFOD_c")</definedName>
    <definedName name="AgResidue_Equations_CropResidue.VEERG_6_1_1_2__1__FractionOfCropResidueRemovedBaled_Variation">_xlfn.LAMBDA("")</definedName>
    <definedName name="AgResidue_Equations_FieldBurning.VEERG_6_4_1_1__1__MethaneEmissionsFromBurningOfCropResidues" localSheetId="31">_xlfn.LAMBDA(_xlpm.M_burnc,_xlpm.CC_c,_xlpm.EF_CH4,_xlpm.C_CH4, (_xlpm.M_burnc * _xlpm.CC_c) * _xlpm.EF_CH4 * _xlpm.C_CH4 * 10 ^ (-3))</definedName>
    <definedName name="AgResidue_Equations_FieldBurning.VEERG_6_4_1_1__1__MethaneEmissionsFromBurningOfCropResidues" localSheetId="32">_xlfn.LAMBDA(_xlpm.M_burnc,_xlpm.CC_c,_xlpm.EF_CH4,_xlpm.C_CH4, (_xlpm.M_burnc * _xlpm.CC_c) * _xlpm.EF_CH4 * _xlpm.C_CH4 * 10 ^ (-3))</definedName>
    <definedName name="AgResidue_Equations_FieldBurning.VEERG_6_4_1_1__1__MethaneEmissionsFromBurningOfCropResidues" localSheetId="40">_xlfn.LAMBDA(_xlpm.M_burnc,_xlpm.CC_c,_xlpm.EF_CH4,_xlpm.C_CH4, (_xlpm.M_burnc * _xlpm.CC_c) * _xlpm.EF_CH4 * _xlpm.C_CH4 * 10 ^ (-3))</definedName>
    <definedName name="AgResidue_Equations_FieldBurning.VEERG_6_4_1_1__1__MethaneEmissionsFromBurningOfCropResidues" localSheetId="8">_xlfn.LAMBDA(_xlpm.M_burnc,_xlpm.CC_c,_xlpm.EF_CH4,_xlpm.C_CH4, (_xlpm.M_burnc * _xlpm.CC_c) * _xlpm.EF_CH4 * _xlpm.C_CH4 * 10 ^ (-3))</definedName>
    <definedName name="AgResidue_Equations_FieldBurning.VEERG_6_4_1_1__1__MethaneEmissionsFromBurningOfCropResidues">_xlfn.LAMBDA(_xlpm.M_burnc,_xlpm.CC_c,_xlpm.EF_CH4,_xlpm.C_CH4,
    (_xlpm.M_burnc * _xlpm.CC_c) * _xlpm.EF_CH4 * _xlpm.C_CH4 * 10^(-3)
  )</definedName>
    <definedName name="AgResidue_Equations_FieldBurning.VEERG_6_4_1_1__1__MethaneEmissionsFromBurningOfCropResidues_Arguments" localSheetId="31">_xlfn.LAMBDA(_xlfn.MAKEARRAY(5, 4, _xlfn.LAMBDA(_xlpm.r,_xlpm.c, INDEX({"M_burnc","mass of residue burnt for crop type c","kg","Calculated from 6.4.1.1 (3)";"CC_c","carbon mass fraction in the residues of crop type c","fraction","Constant";"EF_CH4","emission factor for methane from burning of crop residues","kg CH4 / kg CH4 burnt","Constant";"C_CH4","factor to convert elemental mass of methane to molecular mass","dimensionless","Constant";"c","Crop type","","Input"}, _xlpm.r, _xlpm.c))))</definedName>
    <definedName name="AgResidue_Equations_FieldBurning.VEERG_6_4_1_1__1__MethaneEmissionsFromBurningOfCropResidues_Arguments" localSheetId="32">_xlfn.LAMBDA(_xlfn.MAKEARRAY(5, 4, _xlfn.LAMBDA(_xlpm.r,_xlpm.c, INDEX({"M_burnc","mass of residue burnt for crop type c","kg","Calculated from 6.4.1.1 (3)";"CC_c","carbon mass fraction in the residues of crop type c","fraction","Constant";"EF_CH4","emission factor for methane from burning of crop residues","kg CH4 / kg CH4 burnt","Constant";"C_CH4","factor to convert elemental mass of methane to molecular mass","dimensionless","Constant";"c","Crop type","","Input"}, _xlpm.r, _xlpm.c))))</definedName>
    <definedName name="AgResidue_Equations_FieldBurning.VEERG_6_4_1_1__1__MethaneEmissionsFromBurningOfCropResidues_Arguments" localSheetId="40">_xlfn.LAMBDA(_xlfn.MAKEARRAY(5, 4, _xlfn.LAMBDA(_xlpm.r,_xlpm.c, INDEX({"M_burnc","mass of residue burnt for crop type c","kg","Calculated from 6.4.1.1 (3)";"CC_c","carbon mass fraction in the residues of crop type c","fraction","Constant";"EF_CH4","emission factor for methane from burning of crop residues","kg CH4 / kg CH4 burnt","Constant";"C_CH4","factor to convert elemental mass of methane to molecular mass","dimensionless","Constant";"c","Crop type","","Input"}, _xlpm.r, _xlpm.c))))</definedName>
    <definedName name="AgResidue_Equations_FieldBurning.VEERG_6_4_1_1__1__MethaneEmissionsFromBurningOfCropResidues_Arguments" localSheetId="8">_xlfn.LAMBDA(_xlfn.MAKEARRAY(5, 4, _xlfn.LAMBDA(_xlpm.r,_xlpm.c, INDEX({"M_burnc","mass of residue burnt for crop type c","kg","Calculated from 6.4.1.1 (3)";"CC_c","carbon mass fraction in the residues of crop type c","fraction","Constant";"EF_CH4","emission factor for methane from burning of crop residues","kg CH4 / kg CH4 burnt","Constant";"C_CH4","factor to convert elemental mass of methane to molecular mass","dimensionless","Constant";"c","Crop type","","Input"}, _xlpm.r, _xlpm.c))))</definedName>
    <definedName name="AgResidue_Equations_FieldBurning.VEERG_6_4_1_1__1__MethaneEmissionsFromBurningOfCropResidues_Arguments">_xlfn.LAMBDA(
    _xlfn.MAKEARRAY(5, 4,
      _xlfn.LAMBDA(_xlpm.r,_xlpm.c,
        INDEX({"M_burnc","mass of residue burnt for crop type c","kg","Calculated from 6.4.1.1 (3)";"CC_c","carbon mass fraction in the residues of crop type c","fraction","Constant";"EF_CH4","emission factor for methane from burning of crop residues","kg CH4 / kg CH4 burnt","Constant";"C_CH4","factor to convert elemental mass of methane to molecular mass","dimensionless","Constant";"c","Crop type","","Input"}, _xlpm.r, _xlpm.c)
      )
    )
  )</definedName>
    <definedName name="AgResidue_Equations_FieldBurning.VEERG_6_4_1_1__1__MethaneEmissionsFromBurningOfCropResidues_FunctionName">_xlfn.LAMBDA("VEERG_6_4_1_1__1__MethaneEmissionsFromBurningOfCropResidues")</definedName>
    <definedName name="AgResidue_Equations_FieldBurning.VEERG_6_4_1_1__1__MethaneEmissionsFromBurningOfCropResidues_LatexEquation" localSheetId="31">_xlfn.LAMBDA("E_{CH4}=\sum\nolimits_c(M_{burn,c}\times CC_{c})\times EF_{CH4}\times C_{CH4}\times 10^{-3}")</definedName>
    <definedName name="AgResidue_Equations_FieldBurning.VEERG_6_4_1_1__1__MethaneEmissionsFromBurningOfCropResidues_LatexEquation" localSheetId="32">_xlfn.LAMBDA("E_{CH4}=\sum\nolimits_c(M_{burn,c}\times CC_{c})\times EF_{CH4}\times C_{CH4}\times 10^{-3}")</definedName>
    <definedName name="AgResidue_Equations_FieldBurning.VEERG_6_4_1_1__1__MethaneEmissionsFromBurningOfCropResidues_LatexEquation" localSheetId="40">_xlfn.LAMBDA("E_{CH4}=\sum\nolimits_c(M_{burn,c}\times CC_{c})\times EF_{CH4}\times C_{CH4}\times 10^{-3}")</definedName>
    <definedName name="AgResidue_Equations_FieldBurning.VEERG_6_4_1_1__1__MethaneEmissionsFromBurningOfCropResidues_LatexEquation" localSheetId="8">_xlfn.LAMBDA("E_{CH4}=\sum\nolimits_c(M_{burn,c}\times CC_{c})\times EF_{CH4}\times C_{CH4}\times 10^{-3}")</definedName>
    <definedName name="AgResidue_Equations_FieldBurning.VEERG_6_4_1_1__1__MethaneEmissionsFromBurningOfCropResidues_LatexEquation">_xlfn.LAMBDA("E_{CH4}=\sum\nolimits_c(M_{burn,c}\times CC_{c})\times EF_{CH4}\times C_{CH4}\times 10^{-3}")</definedName>
    <definedName name="AgResidue_Equations_FieldBurning.VEERG_6_4_1_1__1__MethaneEmissionsFromBurningOfCropResidues_NIRReference">_xlfn.LAMBDA("")</definedName>
    <definedName name="AgResidue_Equations_FieldBurning.VEERG_6_4_1_1__1__MethaneEmissionsFromBurningOfCropResidues_Source">_xlfn.LAMBDA("VEERG 2026: 6.4.1.1, Equation (1)")</definedName>
    <definedName name="AgResidue_Equations_FieldBurning.VEERG_6_4_1_1__1__MethaneEmissionsFromBurningOfCropResidues_Title">_xlfn.LAMBDA("Methane emissions from the burning of crop residues")</definedName>
    <definedName name="AgResidue_Equations_FieldBurning.VEERG_6_4_1_1__1__MethaneEmissionsFromBurningOfCropResidues_Unit">_xlfn.LAMBDA("t CH4")</definedName>
    <definedName name="AgResidue_Equations_FieldBurning.VEERG_6_4_1_1__1__MethaneEmissionsFromBurningOfCropResidues_Variable">_xlfn.LAMBDA("ECH4")</definedName>
    <definedName name="AgResidue_Equations_FieldBurning.VEERG_6_4_1_1__2__NitrousOxideEmissionsFromBurningOfCropResidues" localSheetId="31">_xlfn.LAMBDA(_xlpm.M_burnc,_xlpm.NC_AGc,_xlpm.EF_N2O,_xlpm.C_N2O, (_xlpm.M_burnc * _xlpm.NC_AGc) * _xlpm.EF_N2O * _xlpm.C_N2O * 10 ^ (-3))</definedName>
    <definedName name="AgResidue_Equations_FieldBurning.VEERG_6_4_1_1__2__NitrousOxideEmissionsFromBurningOfCropResidues" localSheetId="32">_xlfn.LAMBDA(_xlpm.M_burnc,_xlpm.NC_AGc,_xlpm.EF_N2O,_xlpm.C_N2O, (_xlpm.M_burnc * _xlpm.NC_AGc) * _xlpm.EF_N2O * _xlpm.C_N2O * 10 ^ (-3))</definedName>
    <definedName name="AgResidue_Equations_FieldBurning.VEERG_6_4_1_1__2__NitrousOxideEmissionsFromBurningOfCropResidues" localSheetId="40">_xlfn.LAMBDA(_xlpm.M_burnc,_xlpm.NC_AGc,_xlpm.EF_N2O,_xlpm.C_N2O, (_xlpm.M_burnc * _xlpm.NC_AGc) * _xlpm.EF_N2O * _xlpm.C_N2O * 10 ^ (-3))</definedName>
    <definedName name="AgResidue_Equations_FieldBurning.VEERG_6_4_1_1__2__NitrousOxideEmissionsFromBurningOfCropResidues" localSheetId="8">_xlfn.LAMBDA(_xlpm.M_burnc,_xlpm.NC_AGc,_xlpm.EF_N2O,_xlpm.C_N2O, (_xlpm.M_burnc * _xlpm.NC_AGc) * _xlpm.EF_N2O * _xlpm.C_N2O * 10 ^ (-3))</definedName>
    <definedName name="AgResidue_Equations_FieldBurning.VEERG_6_4_1_1__2__NitrousOxideEmissionsFromBurningOfCropResidues">_xlfn.LAMBDA(_xlpm.M_burnc,_xlpm.NC_AGc,_xlpm.EF_N2O,_xlpm.C_N2O,
    (_xlpm.M_burnc * _xlpm.NC_AGc) * _xlpm.EF_N2O * _xlpm.C_N2O * 10^(-3)
  )</definedName>
    <definedName name="AgResidue_Equations_FieldBurning.VEERG_6_4_1_1__2__NitrousOxideEmissionsFromBurningOfCropResidues_Arguments" localSheetId="31">_xlfn.LAMBDA(_xlfn.MAKEARRAY(5, 4, _xlfn.LAMBDA(_xlpm.r,_xlpm.c, INDEX({"M_burnc","mass of residue burnt for crop type c","kg","Calculated from 6.4.1.1 (3)";"NC_AGc","nitrogen content in the above-ground residue of crop type c","kg N/kg DM","Constant";"EF_N2O","emission factor for nitrous oxide from burning of crop residues","kg N2O/kg N2O burnt","Constant";"C_N2O","factor to convert elemental mass of nitrous oxide to molecular mass","dimensionless","Constant";"c","Crop type","","Input"}, _xlpm.r, _xlpm.c))))</definedName>
    <definedName name="AgResidue_Equations_FieldBurning.VEERG_6_4_1_1__2__NitrousOxideEmissionsFromBurningOfCropResidues_Arguments" localSheetId="32">_xlfn.LAMBDA(_xlfn.MAKEARRAY(5, 4, _xlfn.LAMBDA(_xlpm.r,_xlpm.c, INDEX({"M_burnc","mass of residue burnt for crop type c","kg","Calculated from 6.4.1.1 (3)";"NC_AGc","nitrogen content in the above-ground residue of crop type c","kg N/kg DM","Constant";"EF_N2O","emission factor for nitrous oxide from burning of crop residues","kg N2O/kg N2O burnt","Constant";"C_N2O","factor to convert elemental mass of nitrous oxide to molecular mass","dimensionless","Constant";"c","Crop type","","Input"}, _xlpm.r, _xlpm.c))))</definedName>
    <definedName name="AgResidue_Equations_FieldBurning.VEERG_6_4_1_1__2__NitrousOxideEmissionsFromBurningOfCropResidues_Arguments" localSheetId="40">_xlfn.LAMBDA(_xlfn.MAKEARRAY(5, 4, _xlfn.LAMBDA(_xlpm.r,_xlpm.c, INDEX({"M_burnc","mass of residue burnt for crop type c","kg","Calculated from 6.4.1.1 (3)";"NC_AGc","nitrogen content in the above-ground residue of crop type c","kg N/kg DM","Constant";"EF_N2O","emission factor for nitrous oxide from burning of crop residues","kg N2O/kg N2O burnt","Constant";"C_N2O","factor to convert elemental mass of nitrous oxide to molecular mass","dimensionless","Constant";"c","Crop type","","Input"}, _xlpm.r, _xlpm.c))))</definedName>
    <definedName name="AgResidue_Equations_FieldBurning.VEERG_6_4_1_1__2__NitrousOxideEmissionsFromBurningOfCropResidues_Arguments" localSheetId="8">_xlfn.LAMBDA(_xlfn.MAKEARRAY(5, 4, _xlfn.LAMBDA(_xlpm.r,_xlpm.c, INDEX({"M_burnc","mass of residue burnt for crop type c","kg","Calculated from 6.4.1.1 (3)";"NC_AGc","nitrogen content in the above-ground residue of crop type c","kg N/kg DM","Constant";"EF_N2O","emission factor for nitrous oxide from burning of crop residues","kg N2O/kg N2O burnt","Constant";"C_N2O","factor to convert elemental mass of nitrous oxide to molecular mass","dimensionless","Constant";"c","Crop type","","Input"}, _xlpm.r, _xlpm.c))))</definedName>
    <definedName name="AgResidue_Equations_FieldBurning.VEERG_6_4_1_1__2__NitrousOxideEmissionsFromBurningOfCropResidues_Arguments">_xlfn.LAMBDA(
    _xlfn.MAKEARRAY(5, 4,
      _xlfn.LAMBDA(_xlpm.r,_xlpm.c,
        INDEX({"M_burnc","mass of residue burnt for crop type c","kg","Calculated from 6.4.1.1 (3)";"NC_AGc","nitrogen content in the above-ground residue of crop type c","kg N/kg DM","Constant";"EF_N2O","emission factor for nitrous oxide from burning of crop residues","kg N2O/kg N2O burnt","Constant";"C_N2O","factor to convert elemental mass of nitrous oxide to molecular mass","dimensionless","Constant";"c","Crop type","","Input"}, _xlpm.r, _xlpm.c)
      )
    )
  )</definedName>
    <definedName name="AgResidue_Equations_FieldBurning.VEERG_6_4_1_1__2__NitrousOxideEmissionsFromBurningOfCropResidues_FunctionName">_xlfn.LAMBDA("VEERG_6_4_1_1__2__NitrousOxideEmissionsFromBurningOfCropResidues")</definedName>
    <definedName name="AgResidue_Equations_FieldBurning.VEERG_6_4_1_1__2__NitrousOxideEmissionsFromBurningOfCropResidues_LatexEquation" localSheetId="31">_xlfn.LAMBDA("E_{N2O}=\sum\nolimits_c(M_{burn,c}\times NC_{AGc})\times EF_{N2O}\times C_{N2O}\times 10^{-3}")</definedName>
    <definedName name="AgResidue_Equations_FieldBurning.VEERG_6_4_1_1__2__NitrousOxideEmissionsFromBurningOfCropResidues_LatexEquation" localSheetId="32">_xlfn.LAMBDA("E_{N2O}=\sum\nolimits_c(M_{burn,c}\times NC_{AGc})\times EF_{N2O}\times C_{N2O}\times 10^{-3}")</definedName>
    <definedName name="AgResidue_Equations_FieldBurning.VEERG_6_4_1_1__2__NitrousOxideEmissionsFromBurningOfCropResidues_LatexEquation" localSheetId="40">_xlfn.LAMBDA("E_{N2O}=\sum\nolimits_c(M_{burn,c}\times NC_{AGc})\times EF_{N2O}\times C_{N2O}\times 10^{-3}")</definedName>
    <definedName name="AgResidue_Equations_FieldBurning.VEERG_6_4_1_1__2__NitrousOxideEmissionsFromBurningOfCropResidues_LatexEquation" localSheetId="8">_xlfn.LAMBDA("E_{N2O}=\sum\nolimits_c(M_{burn,c}\times NC_{AGc})\times EF_{N2O}\times C_{N2O}\times 10^{-3}")</definedName>
    <definedName name="AgResidue_Equations_FieldBurning.VEERG_6_4_1_1__2__NitrousOxideEmissionsFromBurningOfCropResidues_LatexEquation">_xlfn.LAMBDA("E_{N2O}=\sum\nolimits_c(M_{burn,c}\times NC_{AGc})\times EF_{N2O}\times C_{N2O}\times 10^{-3}")</definedName>
    <definedName name="AgResidue_Equations_FieldBurning.VEERG_6_4_1_1__2__NitrousOxideEmissionsFromBurningOfCropResidues_NIRReference">_xlfn.LAMBDA("")</definedName>
    <definedName name="AgResidue_Equations_FieldBurning.VEERG_6_4_1_1__2__NitrousOxideEmissionsFromBurningOfCropResidues_Source">_xlfn.LAMBDA("VEERG 2026: 6.4.1.1, Equation (2)")</definedName>
    <definedName name="AgResidue_Equations_FieldBurning.VEERG_6_4_1_1__2__NitrousOxideEmissionsFromBurningOfCropResidues_Title">_xlfn.LAMBDA("Nitrous oxide emissions from the burning of crop residues")</definedName>
    <definedName name="AgResidue_Equations_FieldBurning.VEERG_6_4_1_1__2__NitrousOxideEmissionsFromBurningOfCropResidues_Unit">_xlfn.LAMBDA("t N2O")</definedName>
    <definedName name="AgResidue_Equations_FieldBurning.VEERG_6_4_1_1__2__NitrousOxideEmissionsFromBurningOfCropResidues_Variable">_xlfn.LAMBDA("EN2O")</definedName>
    <definedName name="AgResidue_Equations_FieldBurning.VEERG_6_4_1_1__3__MassOfCropResidueBurnt" localSheetId="31">_xlfn.LAMBDA(_xlpm.P_c,_xlpm.R_AGc,_xlpm.S_c,_xlpm.DM_c,_xlpm.Z_c,_xlpm.F_c, _xlpm.P_c * _xlpm.R_AGc * _xlpm.S_c * _xlpm.DM_c * _xlpm.Z_c * _xlpm.F_c)</definedName>
    <definedName name="AgResidue_Equations_FieldBurning.VEERG_6_4_1_1__3__MassOfCropResidueBurnt" localSheetId="32">_xlfn.LAMBDA(_xlpm.P_c,_xlpm.R_AGc,_xlpm.S_c,_xlpm.DM_c,_xlpm.Z_c,_xlpm.F_c, _xlpm.P_c * _xlpm.R_AGc * _xlpm.S_c * _xlpm.DM_c * _xlpm.Z_c * _xlpm.F_c)</definedName>
    <definedName name="AgResidue_Equations_FieldBurning.VEERG_6_4_1_1__3__MassOfCropResidueBurnt" localSheetId="40">_xlfn.LAMBDA(_xlpm.P_c,_xlpm.R_AGc,_xlpm.S_c,_xlpm.DM_c,_xlpm.Z_c,_xlpm.F_c, _xlpm.P_c * _xlpm.R_AGc * _xlpm.S_c * _xlpm.DM_c * _xlpm.Z_c * _xlpm.F_c)</definedName>
    <definedName name="AgResidue_Equations_FieldBurning.VEERG_6_4_1_1__3__MassOfCropResidueBurnt" localSheetId="8">_xlfn.LAMBDA(_xlpm.P_c,_xlpm.R_AGc,_xlpm.S_c,_xlpm.DM_c,_xlpm.Z_c,_xlpm.F_c, _xlpm.P_c * _xlpm.R_AGc * _xlpm.S_c * _xlpm.DM_c * _xlpm.Z_c * _xlpm.F_c)</definedName>
    <definedName name="AgResidue_Equations_FieldBurning.VEERG_6_4_1_1__3__MassOfCropResidueBurnt">_xlfn.LAMBDA(_xlpm.P_c,_xlpm.R_AGc,_xlpm.S_c,_xlpm.DM_c,_xlpm.Z_c,_xlpm.F_c,
    _xlpm.P_c * _xlpm.R_AGc * _xlpm.S_c * _xlpm.DM_c * _xlpm.Z_c * _xlpm.F_c
  )</definedName>
    <definedName name="AgResidue_Equations_FieldBurning.VEERG_6_4_1_1__3__MassOfCropResidueBurnt_Arguments" localSheetId="31">_xlfn.LAMBDA(_xlfn.MAKEARRAY(7, 4, _xlfn.LAMBDA(_xlpm.r,_xlpm.c, INDEX({"P_c","annual production of crop type c","kg","Input";"R_AGc","residue to crop ratio of crop type c","kg crop residue/kg crop","Constant";"S_c","fraction of residues of crop type c remaining at burning","fraction","Constant";"DM_c","dry matter content of crop type c","kg dry weight/kg crop residue","Constant";"Z_c","burning efficiency (ratio of fuel burnt to fuel load) of crop type c","","Constant";"F_c","fraction of the annual production of crop type c that is burnt","fraction","Constant";"c","Crop type","","Input"}, _xlpm.r, _xlpm.c))))</definedName>
    <definedName name="AgResidue_Equations_FieldBurning.VEERG_6_4_1_1__3__MassOfCropResidueBurnt_Arguments" localSheetId="32">_xlfn.LAMBDA(_xlfn.MAKEARRAY(7, 4, _xlfn.LAMBDA(_xlpm.r,_xlpm.c, INDEX({"P_c","annual production of crop type c","kg","Input";"R_AGc","residue to crop ratio of crop type c","kg crop residue/kg crop","Constant";"S_c","fraction of residues of crop type c remaining at burning","fraction","Constant";"DM_c","dry matter content of crop type c","kg dry weight/kg crop residue","Constant";"Z_c","burning efficiency (ratio of fuel burnt to fuel load) of crop type c","","Constant";"F_c","fraction of the annual production of crop type c that is burnt","fraction","Constant";"c","Crop type","","Input"}, _xlpm.r, _xlpm.c))))</definedName>
    <definedName name="AgResidue_Equations_FieldBurning.VEERG_6_4_1_1__3__MassOfCropResidueBurnt_Arguments" localSheetId="40">_xlfn.LAMBDA(_xlfn.MAKEARRAY(7, 4, _xlfn.LAMBDA(_xlpm.r,_xlpm.c, INDEX({"P_c","annual production of crop type c","kg","Input";"R_AGc","residue to crop ratio of crop type c","kg crop residue/kg crop","Constant";"S_c","fraction of residues of crop type c remaining at burning","fraction","Constant";"DM_c","dry matter content of crop type c","kg dry weight/kg crop residue","Constant";"Z_c","burning efficiency (ratio of fuel burnt to fuel load) of crop type c","","Constant";"F_c","fraction of the annual production of crop type c that is burnt","fraction","Constant";"c","Crop type","","Input"}, _xlpm.r, _xlpm.c))))</definedName>
    <definedName name="AgResidue_Equations_FieldBurning.VEERG_6_4_1_1__3__MassOfCropResidueBurnt_Arguments" localSheetId="8">_xlfn.LAMBDA(_xlfn.MAKEARRAY(7, 4, _xlfn.LAMBDA(_xlpm.r,_xlpm.c, INDEX({"P_c","annual production of crop type c","kg","Input";"R_AGc","residue to crop ratio of crop type c","kg crop residue/kg crop","Constant";"S_c","fraction of residues of crop type c remaining at burning","fraction","Constant";"DM_c","dry matter content of crop type c","kg dry weight/kg crop residue","Constant";"Z_c","burning efficiency (ratio of fuel burnt to fuel load) of crop type c","","Constant";"F_c","fraction of the annual production of crop type c that is burnt","fraction","Constant";"c","Crop type","","Input"}, _xlpm.r, _xlpm.c))))</definedName>
    <definedName name="AgResidue_Equations_FieldBurning.VEERG_6_4_1_1__3__MassOfCropResidueBurnt_Arguments">_xlfn.LAMBDA(
    _xlfn.MAKEARRAY(7, 4,
      _xlfn.LAMBDA(_xlpm.r,_xlpm.c,
        INDEX({"P_c","annual production of crop type c","kg","Input";"R_AGc","residue to crop ratio of crop type c","kg crop residue/kg crop","Constant";"S_c","fraction of residues of crop type c remaining at burning","fraction","Constant";"DM_c","dry matter content of crop type c","kg dry weight/kg crop residue","Constant";"Z_c","burning efficiency (ratio of fuel burnt to fuel load) of crop type c","","Constant";"F_c","fraction of the annual production of crop type c that is burnt","fraction","Constant";"c","Crop type","","Input"}, _xlpm.r, _xlpm.c)
      )
    )
  )</definedName>
    <definedName name="AgResidue_Equations_FieldBurning.VEERG_6_4_1_1__3__MassOfCropResidueBurnt_FunctionName">_xlfn.LAMBDA("VEERG_6_4_1_1__3__MassOfCropResidueBurnt")</definedName>
    <definedName name="AgResidue_Equations_FieldBurning.VEERG_6_4_1_1__3__MassOfCropResidueBurnt_LatexEquation">_xlfn.LAMBDA("M_{burn,c}=P_{c}\times R_{AGc}\times S_{c}\times DM_{c}\times Z_{c}\times F_{c}")</definedName>
    <definedName name="AgResidue_Equations_FieldBurning.VEERG_6_4_1_1__3__MassOfCropResidueBurnt_NIRReference">_xlfn.LAMBDA("")</definedName>
    <definedName name="AgResidue_Equations_FieldBurning.VEERG_6_4_1_1__3__MassOfCropResidueBurnt_Source">_xlfn.LAMBDA("VEERG 2026: 6.4.1.1, Equation (3)")</definedName>
    <definedName name="AgResidue_Equations_FieldBurning.VEERG_6_4_1_1__3__MassOfCropResidueBurnt_Title">_xlfn.LAMBDA("Mass of residue of crop c burnt")</definedName>
    <definedName name="AgResidue_Equations_FieldBurning.VEERG_6_4_1_1__3__MassOfCropResidueBurnt_Unit">_xlfn.LAMBDA("kg")</definedName>
    <definedName name="AgResidue_Equations_FieldBurning.VEERG_6_4_1_1__3__MassOfCropResidueBurnt_Variable" localSheetId="31">_xlfn.LAMBDA("M_burnc")</definedName>
    <definedName name="AgResidue_Equations_FieldBurning.VEERG_6_4_1_1__3__MassOfCropResidueBurnt_Variable" localSheetId="32">_xlfn.LAMBDA("M_burnc")</definedName>
    <definedName name="AgResidue_Equations_FieldBurning.VEERG_6_4_1_1__3__MassOfCropResidueBurnt_Variable" localSheetId="40">_xlfn.LAMBDA("M_burnc")</definedName>
    <definedName name="AgResidue_Equations_FieldBurning.VEERG_6_4_1_1__3__MassOfCropResidueBurnt_Variable" localSheetId="8">_xlfn.LAMBDA("M_burnc")</definedName>
    <definedName name="AgResidue_Equations_FieldBurning.VEERG_6_4_1_1__3__MassOfCropResidueBurnt_Variable">_xlfn.LAMBDA("M_burnc")</definedName>
    <definedName name="AgResidue_Equations_Leaching.VEERG_6_3_1_1__1__LeachingAndRunoffEmissionsCropAndPastureResidue">_xlfn.LAMBDA(_xlpm.M_leachcp,_xlpm.EF_leach,_xlpm.C_N2O, (_xlpm.M_leachcp * _xlpm.EF_leach) * _xlpm.C_N2O * 10 ^ (-3))</definedName>
    <definedName name="AgResidue_Equations_Leaching.VEERG_6_3_1_1__1__LeachingAndRunoffEmissionsCropAndPastureResidue_Arguments">_xlfn.LAMBDA(_xlfn.MAKEARRAY(5, 4, _xlfn.LAMBDA(_xlpm.r,_xlpm.c, INDEX({"M_leachcp","mass of nitrogen lost through leaching and runoff from the crop residue c or pasture residue p","kg N","Calculated from 6.3.1.1 (2)";"EF_leach","emission factor for leaching and runoff","kg N2O-N/kg N","Constant";"C_N2O","factor to convert elemental mass of nitrous oxide to molecular mass","dimensionless","Constant";"c","Crop residue type","","Input";"p","Pasture residue type","","Input"}, _xlpm.r, _xlpm.c))))</definedName>
    <definedName name="AgResidue_Equations_Leaching.VEERG_6_3_1_1__1__LeachingAndRunoffEmissionsCropAndPastureResidue_LatexEquation">_xlfn.LAMBDA("E_{N2O}=\sum\nolimits_c\sum\nolimits_p(M_{leach,cp}\times EF_{leach}\times C_{N2O}\times 10^{-3})")</definedName>
    <definedName name="AgResidue_Equations_Leaching.VEERG_6_3_1_1__1__LeachingAndRunoffEmissionsCropAndPastureResidue_NIRReference">_xlfn.LAMBDA("")</definedName>
    <definedName name="AgResidue_Equations_Leaching.VEERG_6_3_1_1__1__LeachingAndRunoffEmissionsCropAndPastureResidue_Source">_xlfn.LAMBDA("VEERG 2026: 6.3.1.1, Equation (1)")</definedName>
    <definedName name="AgResidue_Equations_Leaching.VEERG_6_3_1_1__1__LeachingAndRunoffEmissionsCropAndPastureResidue_Title">_xlfn.LAMBDA("Nitrous oxide leaching and runoff emissions from crop and pasture residues returned to the soil")</definedName>
    <definedName name="AgResidue_Equations_Leaching.VEERG_6_3_1_1__1__LeachingAndRunoffEmissionsCropAndPastureResidue_Unit">_xlfn.LAMBDA("t N2O")</definedName>
    <definedName name="AgResidue_Equations_Leaching.VEERG_6_3_1_1__1__LeachingAndRunoffEmissionsCropAndPastureResidue_Variable">_xlfn.LAMBDA("EN2O")</definedName>
    <definedName name="AgResidue_Equations_Leaching.VEERG_6_3_1_1__2__MassOfNitrogenLostThroughLeachingAndRunoff">_xlfn.LAMBDA(_xlpm.M_cp,_xlpm.FracWET_j,_xlpm.FracLEACH, _xlpm.M_cp * _xlpm.FracWET_j * _xlpm.FracLEACH)</definedName>
    <definedName name="AgResidue_Equations_Leaching.VEERG_6_3_1_1__2__MassOfNitrogenLostThroughLeachingAndRunoff_Arguments">_xlfn.LAMBDA(_xlfn.MAKEARRAY(7, 4, _xlfn.LAMBDA(_xlpm.r,_xlpm.c, INDEX({"M_cp","mass of nitrogen in crop residues c or pasture residues p applied to soils","kg N","Calc from 6.1.1.1 (2) and 6.2.1.1 (2)";"FracWET_j","fraction of N that is available for leaching and runoff from the leaching zone z and irrigation type ir","fraction","Constant";"FracLEACH","fraction of N that is lost through leaching and runoff","fraction","Constant";"z","Location in leaching zone","","Input";"c","Crop residue type","","Input";"p","Pasture residue type","","Input";"ir","Irrigation type","","Input"}, _xlpm.r, _xlpm.c))))</definedName>
    <definedName name="AgResidue_Equations_Leaching.VEERG_6_3_1_1__2__MassOfNitrogenLostThroughLeachingAndRunoff_LatexEquation">_xlfn.LAMBDA("M_{leach,cp}=M_{cp}\times FracWET_{j}\times FracLEACH")</definedName>
    <definedName name="AgResidue_Equations_Leaching.VEERG_6_3_1_1__2__MassOfNitrogenLostThroughLeachingAndRunoff_NIRReference">_xlfn.LAMBDA("")</definedName>
    <definedName name="AgResidue_Equations_Leaching.VEERG_6_3_1_1__2__MassOfNitrogenLostThroughLeachingAndRunoff_Source">_xlfn.LAMBDA("VEERG 2026: 6.3.1.1, Equation (2)")</definedName>
    <definedName name="AgResidue_Equations_Leaching.VEERG_6_3_1_1__2__MassOfNitrogenLostThroughLeachingAndRunoff_Title">_xlfn.LAMBDA("Mass of nitrogen lost through leaching and runoff")</definedName>
    <definedName name="AgResidue_Equations_Leaching.VEERG_6_3_1_1__2__MassOfNitrogenLostThroughLeachingAndRunoff_Unit">_xlfn.LAMBDA("kg N")</definedName>
    <definedName name="AgResidue_Equations_Leaching.VEERG_6_3_1_1__2__MassOfNitrogenLostThroughLeachingAndRunoff_Variable">_xlfn.LAMBDA("M_leachcp")</definedName>
    <definedName name="AgResidue_Equations_Leaching.VEERG_6_3_1_1__2__MassOfNitrogenLostThroughLeachingAndRunoff_Variation">_xlfn.LAMBDA("")</definedName>
    <definedName name="AgResidue_Equations_PastureResidue.VEERG_6_2_1_1__1__NitrousOxideEmissionsFromPastureResidues">_xlfn.LAMBDA(_xlpm.M_p,_xlpm.EF_Ni,_xlpm.C_N2O, (_xlpm.M_p * _xlpm.EF_Ni) * _xlpm.C_N2O * 10 ^ (-3))</definedName>
    <definedName name="AgResidue_Equations_PastureResidue.VEERG_6_2_1_1__1__NitrousOxideEmissionsFromPastureResidues_Arguments">_xlfn.LAMBDA(_xlfn.MAKEARRAY(5, 4, _xlfn.LAMBDA(_xlpm.r,_xlpm.c, INDEX({"M_p","mass of nitrogen in pasture p residues returned to the soil","kg N","Calculated from 6.2.1.1 (2)";"EF_Ni","emission factor for crop residues returned to the soil in climate zone i","kg N2O-N/kg N","Constant";"C_N2O","factor to convert elemental mass of nitrous oxide to molecular mass","dimensionless","Constant";"p","Pasture type","","Input";"i","Wet or dry climate zone","","Input"}, _xlpm.r, _xlpm.c))))</definedName>
    <definedName name="AgResidue_Equations_PastureResidue.VEERG_6_2_1_1__1__NitrousOxideEmissionsFromPastureResidues_LatexEquation">_xlfn.LAMBDA("E_{N2O}=\sum\nolimits_p\left(M_p\times EF_{Ni}\right)\times C_{N2O}\times{10}^{-3}")</definedName>
    <definedName name="AgResidue_Equations_PastureResidue.VEERG_6_2_1_1__1__NitrousOxideEmissionsFromPastureResidues_NIRReference">_xlfn.LAMBDA("")</definedName>
    <definedName name="AgResidue_Equations_PastureResidue.VEERG_6_2_1_1__1__NitrousOxideEmissionsFromPastureResidues_Source">_xlfn.LAMBDA("VEERG 2026: 6.2.1.1, Equation (1)")</definedName>
    <definedName name="AgResidue_Equations_PastureResidue.VEERG_6_2_1_1__1__NitrousOxideEmissionsFromPastureResidues_Title">_xlfn.LAMBDA("Nitrous oxide emissions from the return of pasture residues from all pasture types to the soil")</definedName>
    <definedName name="AgResidue_Equations_PastureResidue.VEERG_6_2_1_1__1__NitrousOxideEmissionsFromPastureResidues_Unit">_xlfn.LAMBDA("t N2O")</definedName>
    <definedName name="AgResidue_Equations_PastureResidue.VEERG_6_2_1_1__1__NitrousOxideEmissionsFromPastureResidues_Variable">_xlfn.LAMBDA("EN2O")</definedName>
    <definedName name="AgResidue_Equations_PastureResidue.VEERG_6_2_1_1__2__MassOfNitrogenInPastureResidues">_xlfn.LAMBDA(_xlpm.A_p,_xlpm.Y_p,_xlpm.FFOD_p,_xlpm.NC_AGp,_xlpm.R_BGp,_xlpm.NC_BGp, (_xlpm.A_p * (_xlpm.Y_p * 10 ^ (-3)) * (1 - _xlpm.FFOD_p) * _xlpm.NC_AGp) + (_xlpm.A_p * (_xlpm.Y_p * 10 ^ (-3)) * _xlpm.R_BGp * _xlpm.NC_BGp))</definedName>
    <definedName name="AgResidue_Equations_PastureResidue.VEERG_6_2_1_1__2__MassOfNitrogenInPastureResidues_Arguments">_xlfn.LAMBDA(_xlfn.MAKEARRAY(7, 4, _xlfn.LAMBDA(_xlpm.r,_xlpm.c, INDEX({"A_p","area of pasture renewed or removed","ha","Input";"Y_p","average yield of pasture crop","t DM/ha","Constant";"NC_AGp","N content of above-ground pasture residue","kg N/kg DM","Constant";"R_BGp","below-ground residue to above-ground residue ratio for pasture crop","","Constant";"NC_BGp","N content of below-ground pasture crop residue","kg N/kg DM","Constant";"FFOD_p","fraction of pasture yield that is removed","fraction","Constant";"p","Pasture type","","Input"}, _xlpm.r, _xlpm.c))))</definedName>
    <definedName name="AgResidue_Equations_PastureResidue.VEERG_6_2_1_1__2__MassOfNitrogenInPastureResidues_Arguments_Method2">_xlfn.LAMBDA(_xlfn.MAKEARRAY(7, 4, _xlfn.LAMBDA(_xlpm.r,_xlpm.c, INDEX({"A_p","area of pasture renewed or removed","ha","Input";"Y_p","average yield of pasture crop","t DM/ha","Input";"NC_AGp","N content of above-ground pasture residue","kg N/kg DM","Constant";"R_BGp","below-ground residue to above-ground residue ratio for pasture crop","","Constant";"NC_BGp","N content of below-ground pasture crop residue","kg N/kg DM","Constant";"FFOD_p","fraction of pasture yield that is removed","fraction","Constant";"p","Pasture type","","Input"}, _xlpm.r, _xlpm.c))))</definedName>
    <definedName name="AgResidue_Equations_PastureResidue.VEERG_6_2_1_1__2__MassOfNitrogenInPastureResidues_LatexEquation">_xlfn.LAMBDA("M_p = (A_p \times (Y_p \times 10^{-3}) \times (1- FFOD_p) \times NC_{AGp}) + (A_p \times (Y_p \times 10^{-3})\times R_{BGp} \times NC_{BGp})")</definedName>
    <definedName name="AgResidue_Equations_PastureResidue.VEERG_6_2_1_1__2__MassOfNitrogenInPastureResidues_NIRReference">_xlfn.LAMBDA("")</definedName>
    <definedName name="AgResidue_Equations_PastureResidue.VEERG_6_2_1_1__2__MassOfNitrogenInPastureResidues_Source">_xlfn.LAMBDA("VEERG 2026: 6.2.1.1, Equation (2)")</definedName>
    <definedName name="AgResidue_Equations_PastureResidue.VEERG_6_2_1_1__2__MassOfNitrogenInPastureResidues_Title">_xlfn.LAMBDA("Mass of nitrogen in pasture residues returned to the soil")</definedName>
    <definedName name="AgResidue_Equations_PastureResidue.VEERG_6_2_1_1__2__MassOfNitrogenInPastureResidues_Unit">_xlfn.LAMBDA("kg N")</definedName>
    <definedName name="AgResidue_Equations_PastureResidue.VEERG_6_2_1_1__2__MassOfNitrogenInPastureResidues_Variable">_xlfn.LAMBDA("Mp")</definedName>
    <definedName name="Agresidue_SourceData.BurningOfAgriculturalResiduesEFs_Data">_xlfn.LAMBDA(
  _xlfn.MAKEARRAY(6, 3,
    _xlfn.LAMBDA(_xlpm.r,_xlpm.c,
      INDEX({"Gas species","Emission factor EFg (Gg element in species/ Gg element in fuel burnt)","Elemental to molecular mass conversion factor (Cg)";"CH4",0.0035,"16/12";"N2O",0.0076,"44/28";"NOx",0.21,"46/14";"CO",0.078,"28/12";"NMVOC",0.0091,"14/12"}, _xlpm.r, _xlpm.c)
)))</definedName>
    <definedName name="Agresidue_SourceData.BurningOfAgriculturalResiduesEFs_Description">_xlfn.LAMBDA(("Burning of agricultural residues - EFs"))</definedName>
    <definedName name="Agresidue_SourceData.BurningOfAgriculturalResiduesEFs_Source">_xlfn.LAMBDA(("National Inventory Report 2023 volume 2: Table 5.31: Burning of agricultural residues - EFs"))</definedName>
    <definedName name="Agresidue_SourceData.BurningOfAgriculturalResiduesEFs_Title">_xlfn.LAMBDA(("Table 5.31 Burning of agricultural residues - EFs"))</definedName>
    <definedName name="Agresidue_SourceData.CropAttributes_Data">_xlfn.LAMBDA(
  _xlfn.MAKEARRAY(20, 9,
    _xlfn.LAMBDA(_xlpm.r,_xlpm.c,
      INDEX({"Crop type","Residue: Crop ratio","Below-ground: above-ground residue ratio","Dry matter content","Carbon fraction in dry matter","N content above-ground","N content below-ground","Fraction of residue remaining at time of burning","Burning efficiencyt";"c","RAGc","RBGc","DMc","CCc","NCAGc","NCBGc","Sc","Zc";"Wheat",1.5,0.29,0.88,0.4,0.006,0.01,0.5,0.9;"Barley",1.24,0.32,0.88,0.4,0.007,0.01,0.5,0.85;"Maize",0.81,0.39,0.85,0.42,0.005,0.007,1,0.8;"Oats",1.42,0.43,0.88,0.4,0.006,0.01,0.5,0.85;"Rice",1.31,0.16,0.8,0.42,0.007,0.01,1,0.8;"Sorghum",1.5,0.22,0.8,0.4,0.008,0.007,0.5,0.85;"Triticale",1.5,0.42,0.88,0.4,0.006,0.01,0.5,0.85;"Other cereals",1.46,0.36,0.88,0.4,0.006,0.01,0.5,0.85;"Pulses",1.37,0.51,0.87,0.4,0.009,0.01,0.5,0.85;"Tubers and roots",0.34,0.43,0.25,0.4,0.02,0.01,"n/a",0.85;"Peanuts",1.07,0.2,0.8,0.42,0.016,0.014,0.5,0.85;"Sugar cane",0.25,0.45,0.2,0.4,0.005,0.007,1,0.8;"Cotton",1.9,0.3,0.9,0.4,0.01,0.01,"n/a",0.85;"Hops",1.5,0.29,0.88,0.4,0.006,"n/a","n/a",0.85;"Oilseeds",2.08,0.33,0.96,0.4,0.009,0.01,0.5,0.85;"Forage crops",1.34,0.37,0.88,0.4,0.006,0.01,"n/a",0.85;"Other annual crops",1,0.22,0.85,0.4,0.008,0.009,"n/a","n/a";"Other perennial crops",1.5,0.29,0.88,0.4,0.006,"n/a","n/a","n/a"}, _xlpm.r, _xlpm.c)
)))</definedName>
    <definedName name="Agresidue_SourceData.CropAttributes_Description">_xlfn.LAMBDA(("Crop attributes"))</definedName>
    <definedName name="Agresidue_SourceData.CropAttributes_Source">_xlfn.LAMBDA(("VEERG 2026: Table A.2.1.1: Crop attributes"))</definedName>
    <definedName name="Agresidue_SourceData.CropAttributes_Title">_xlfn.LAMBDA(("Table A.2.1.1: Crop attributes"))</definedName>
    <definedName name="Agresidue_SourceData.CropAttributes_Variation">_xlfn.LAMBDA(("VARIATION FROM SOURCE: 'N/A' values passed as zero for calculations."))</definedName>
    <definedName name="Agresidue_SourceData.CropFractionRemoved_CustomisedData">_xlfn.LAMBDA(
  _xlfn.MAKEARRAY(144, 3,
    _xlfn.LAMBDA(_xlpm.r,_xlpm.c,
      INDEX({"Crop type c","State","Fraction removed FFODc";"Rice","NSW",0.06;"Rice","VIC",0.06;"Rice","QLD",0.06;"Rice","SA",0.06;"Rice","WA",0.06;"Rice","TAS",0.06;"Rice","NT",0.06;"Rice","ACT",0.06;"Tubers and roots","NSW",1;"Tubers and roots","VIC",1;"Tubers and roots","QLD",1;"Tubers and roots","SA",1;"Tubers and roots","WA",1;"Tubers and roots","TAS",1;"Tubers and roots","NT",1;"Tubers and roots","ACT",1;"Cotton","NSW",0;"Cotton","VIC",0;"Cotton","QLD",0;"Cotton","SA",0;"Cotton","WA",0;"Cotton","TAS",0;"Cotton","NT",0;"Cotton","ACT",0;"Hops","NSW",0;"Hops","VIC",0;"Hops","QLD",0;"Hops","SA",0;"Hops","WA",0;"Hops","TAS",0;"Hops","NT",0;"Hops","ACT",0;"Forage crops","NSW",0.8;"Forage crops","VIC",0.8;"Forage crops","QLD",0.8;"Forage crops","SA",0.8;"Forage crops","WA",0.8;"Forage crops","TAS",0.8;"Forage crops","NT",0.8;"Forage crops","ACT",0.8;"Sugar Cane","NSW",0;"Sugar Cane","VIC","N/A";"Sugar Cane","QLD",0.03;"Sugar Cane","SA","N/A";"Sugar Cane","WA",0;"Sugar Cane","TAS","N/A";"Sugar Cane","NT","N/A";"Sugar Cane","ACT","N/A";"Wheat","NSW",0.05;"Wheat","VIC",0.07;"Wheat","QLD",0.04;"Wheat","SA",0.09;"Wheat","WA",0.11;"Wheat","TAS",0.16;"Wheat","NT",0.01;"Wheat","ACT",0;"Barley","NSW",0.05;"Barley","VIC",0.07;"Barley","QLD",0.04;"Barley","SA",0.09;"Barley","WA",0.11;"Barley","TAS",0.16;"Barley","NT",0.01;"Barley","ACT",0;"Maize","NSW",0.05;"Maize","VIC",0.07;"Maize","QLD",0.04;"Maize","SA",0.09;"Maize","WA",0.11;"Maize","TAS",0.16;"Maize","NT",0.01;"Maize","ACT",0;"Oats","NSW",0.05;"Oats","VIC",0.07;"Oats","QLD",0.04;"Oats","SA",0.09;"Oats","WA",0.11;"Oats","TAS",0.16;"Oats","NT",0.01;"Oats","ACT",0;"Sorghum","NSW",0.05;"Sorghum","VIC",0.07;"Sorghum","QLD",0.04;"Sorghum","SA",0.09;"Sorghum","WA",0.11;"Sorghum","TAS",0.16;"Sorghum","NT",0.01;"Sorghum","ACT",0;"Triticale","NSW",0.05;"Triticale","VIC",0.07;"Triticale","QLD",0.04;"Triticale","SA",0.09;"Triticale","WA",0.11;"Triticale","TAS",0.16;"Triticale","NT",0.01;"Triticale","ACT",0;"Other cereals","NSW",0.05;"Other cereals","VIC",0.07;"Other cereals","QLD",0.04;"Other cereals","SA",0.09;"Other cereals","WA",0.11;"Other cereals","TAS",0.16;"Other cereals","NT",0.01;"Other cereals","ACT",0;"Pulses","NSW",0.05;"Pulses","VIC",0.07;"Pulses","QLD",0.04;"Pulses","SA",0.09;"Pulses","WA",0.11;"Pulses","TAS",0.16;"Pulses","NT",0.01;"Pulses","ACT",0;"Peanuts","NSW",0.05;"Peanuts","VIC",0.07;"Peanuts","QLD",0.04;"Peanuts","SA",0.09;"Peanuts","WA",0.11;"Peanuts","TAS",0.16;"Peanuts","NT",0.01;"Peanuts","ACT",0;"Oilseeds","NSW",0.05;"Oilseeds","VIC",0.07;"Oilseeds","QLD",0.04;"Oilseeds","SA",0.09;"Oilseeds","WA",0.11;"Oilseeds","TAS",0.16;"Oilseeds","NT",0.01;"Oilseeds","ACT",0;"Other annual crops","NSW",0.05;"Other annual crops","VIC",0.07;"Other annual crops","QLD",0.04;"Other annual crops","SA",0.09;"Other annual crops","WA",0.11;"Other annual crops","TAS",0.16;"Other annual crops","NT",0.01;"Other annual crops","ACT",0;"Other perennial crops","NSW",0.05;"Other perennial crops","VIC",0.07;"Other perennial crops","QLD",0.04;"Other perennial crops","SA",0.09;"Other perennial crops","WA",0.11;"Other perennial crops","TAS",0.16;"Other perennial crops","NT",0.01;"Other perennial crops","ACT",0}, _xlpm.r, _xlpm.c)
)))</definedName>
    <definedName name="Agresidue_SourceData.CropFractionRemoved_Data">_xlfn.LAMBDA(
  _xlfn.MAKEARRAY(17, 3,
    _xlfn.LAMBDA(_xlpm.r,_xlpm.c,
      INDEX({"Crop type c","State","Fraction removed FFODc";"Rice","All states",0.06;"Tubers and roots","All states",1;"Cotton","All states",0;"Hops","All states",0;"Forage crops","All states",0.8;"Sugar Cane","NSW",0;"Sugar Cane","QLD",0.03;"Sugar Cane","WA",0;"All other crop types","NSW",0.05;"All other crop types","VIC",0.07;"All other crop types","QLD",0.04;"All other crop types","SA",0.09;"All other crop types","WA",0.11;"All other crop types","TAS",0.16;"All other crop types","NT",0.01;"All other crop types","ACT",0}, _xlpm.r, _xlpm.c)
)))</definedName>
    <definedName name="Agresidue_SourceData.CropFractionRemoved_Description">_xlfn.LAMBDA(("Crop attributes - Fraction removed (FFODc)"))</definedName>
    <definedName name="Agresidue_SourceData.CropFractionRemoved_Source">_xlfn.LAMBDA(("VEERG 2026: Table A.2.1.2: Crop attributes - Fraction removed (FFODc)"))</definedName>
    <definedName name="Agresidue_SourceData.CropFractionRemoved_Title">_xlfn.LAMBDA(("Table A.2.1.2: Crop attributes - Fraction removed (FFODc)"))</definedName>
    <definedName name="Agresidue_SourceData.CropFractionRemoved_Variation">_xlfn.LAMBDA(("VARIATION OF SOURCE DATA: Split 'All other crop types' into individual crop types for each state. Listed all states for Sugar Cane, with 'N/A' for states where it is not grown."))</definedName>
    <definedName name="Agresidue_SourceData.CropPurposeAndYield_Data">_xlfn.LAMBDA(_xlfn.MAKEARRAY(4, 8, _xlfn.LAMBDA(_xlpm.r,_xlpm.c, INDEX({"Purpose","Per hectare unit","harvest term","harvest endpoint","Harvest uit","Yield note","Residue crop ratio note","Total production note";"Cash grain crop","grain","yield","harvest","grain","Yield is the grain harvested from the plant","Residue to crop ratio is provided from default values","Total production is the total grain harvested";"Cash crop for hay/silage","above ground biomass","yield","harvest","plant biomass","Yield is the whole plant harvested for hay/silage","Residue to crop ratio is 0 assuming the whole plant is harvested for hay/silage","Total production is the total whole plant biomass harvested as hay/silage";"Cover crop","above ground biomass","mass","end of crop cycle","above ground biomass","Yield is the whole plant kept as cover crop","Residue to crop ratio is 1 assuming the whole plant is kept as cover crop","Total production is the total whole plant biomass kept as cover crop"}, _xlpm.r, _xlpm.c))))</definedName>
    <definedName name="Agresidue_SourceData.CropPurposeAndYield_Title">_xlfn.LAMBDA(("Crop purpose and yield"))</definedName>
    <definedName name="Agresidue_SourceData.N2OEFOrganicFertiliser_Data">_xlfn.LAMBDA(_xlfn.MAKEARRAY(3, 2, _xlfn.LAMBDA(_xlpm.r,_xlpm.c, INDEX({"Climate zone i","EF i N2O";"Wet climate zone",0.006;"Dry climate zone",0.005}, _xlpm.r, _xlpm.c))))</definedName>
    <definedName name="Agresidue_SourceData.N2OEFOrganicFertiliser_NIRReference">_xlfn.LAMBDA("IPCC 2019 Refinement Volume 4 Table 11.1 [1, p. 11]")</definedName>
    <definedName name="Agresidue_SourceData.N2OEFOrganicFertiliser_Source">_xlfn.LAMBDA("VEERG 2026: Table A.2.1.4")</definedName>
    <definedName name="Agresidue_SourceData.N2OEFOrganicFertiliser_Title">_xlfn.LAMBDA("Emission factor for organic fertiliser and crop residues returned to the soil")</definedName>
    <definedName name="Agresidue_SourceData.N2OEFOrganicFertiliser_Unit">_xlfn.LAMBDA("kg N2O - N / kg N")</definedName>
    <definedName name="Agresidue_SourceData.PastureAttributes_Data">_xlfn.LAMBDA(_xlfn.MAKEARRAY(6, 6, _xlfn.LAMBDA(_xlpm.r,_xlpm.c, INDEX({"Pasture type","Average Yield (t DM ha) Yp","Below-ground: above-ground residue ratio RBGp","N content Above-ground NCAGp","N content Below-ground NCBGp","Fraction of pasture yield that is removed FFODp";"Annual grass",4.41,0.4,0.015,0.012,0.8;"Grass clover mixture",8.34,0.8,0.025,0.016,0.8;"Lucerne",8.62,0.4,0.027,0.019,0.8;"Other legume",5.62,0.4,0.027,0.022,0.8;"Perennial pasture",8.35,0.8,0.015,0.012,0.8}, _xlpm.r, _xlpm.c))))</definedName>
    <definedName name="Agresidue_SourceData.PastureAttributes_Description">_xlfn.LAMBDA(("Pasture attributes"))</definedName>
    <definedName name="Agresidue_SourceData.PastureAttributes_Source">_xlfn.LAMBDA(("VEERG 2026: Table A.2.1.3: Pasture attributes"))</definedName>
    <definedName name="Agresidue_SourceData.PastureAttributes_Title">_xlfn.LAMBDA(("Table A.2.1.3 Pasture attributes"))</definedName>
    <definedName name="AgResidues_Equations_CropResidues.VEERG_6_1_1_1__1__NitrousOxideEmissionsFromCropResidues">_xlfn.LAMBDA(_xlpm.Mc,_xlpm.EFNi,_xlpm.CgN2O, _xlpm.Mc * _xlpm.EFNi * _xlpm.CgN2O * 10 ^ (-3))</definedName>
    <definedName name="AgResidues_Equations_CropResidues.VEERG_6_1_1_1__1__NitrousOxideEmissionsFromCropResidues_Arguments">_xlfn.LAMBDA(_xlfn.MAKEARRAY(5, 2, _xlfn.LAMBDA(_xlpm.r,_xlpm.c, INDEX({"Mc","mass of nitrogen in crop c residues returned to the soil (kg N)";"EFNi","emission factor for crop residues returned to the soil (kg N2O-N/kg N)";"CgN2O","factor to convert elemental mass of nitrous oxide to molecular mass (dimensionless)";"c","Crop type";"i","Climate zone"}, _xlpm.r, _xlpm.c))))</definedName>
    <definedName name="AgResidues_Equations_CropResidues.VEERG_6_1_1_1__1__NitrousOxideEmissionsFromCropResidues_FunctionName">_xlfn.LAMBDA("VEERG_6_1_1_1__1__NitrousOxideEmissionsFromCropResidues")</definedName>
    <definedName name="AgResidues_Equations_CropResidues.VEERG_6_1_1_1__1__NitrousOxideEmissionsFromCropResidues_LatexEquation">_xlfn.LAMBDA("E=\sum_{c}{M_{c}\times EF_{N}\times C_{g,N2O}\times 10^{-3}}")</definedName>
    <definedName name="AgResidues_Equations_CropResidues.VEERG_6_1_1_1__1__NitrousOxideEmissionsFromCropResidues_NIRReference">_xlfn.LAMBDA("")</definedName>
    <definedName name="AgResidues_Equations_CropResidues.VEERG_6_1_1_1__1__NitrousOxideEmissionsFromCropResidues_Source">_xlfn.LAMBDA("VEERG 2026: 6.1.1.1, Equation (1)")</definedName>
    <definedName name="AgResidues_Equations_CropResidues.VEERG_6_1_1_1__1__NitrousOxideEmissionsFromCropResidues_Title">_xlfn.LAMBDA("Nitrous oxide emissions from the return of crop residues across all crops c to the soil")</definedName>
    <definedName name="AgResidues_Equations_CropResidues.VEERG_6_1_1_1__1__NitrousOxideEmissionsFromCropResidues_Unit">_xlfn.LAMBDA("t N2O")</definedName>
    <definedName name="AgResidues_Equations_CropResidues.VEERG_6_1_1_1__1__NitrousOxideEmissionsFromCropResidues_Variable">_xlfn.LAMBDA("E")</definedName>
    <definedName name="AgResidues_Equations_CropResidues.VEERG_6_1_1_1__2__MassOfNitrogenInCropResidues">_xlfn.LAMBDA(_xlpm.Pc,_xlpm.RAGc,_xlpm.Fc,_xlpm.FFODc,_xlpm.DMc,_xlpm.NCAGc,_xlpm.RBGc,_xlpm.NCBGc, (_xlpm.Pc * _xlpm.RAGc * (1 - _xlpm.Fc - _xlpm.FFODc) * _xlpm.DMc * _xlpm.NCAGc) + (_xlpm.Pc * _xlpm.RAGc * _xlpm.RBGc * _xlpm.DMc * _xlpm.NCBGc))</definedName>
    <definedName name="AgResidues_Equations_CropResidues.VEERG_6_1_1_1__2__MassOfNitrogenInCropResidues_Arguments">_xlfn.LAMBDA(_xlfn.MAKEARRAY(10, 2, _xlfn.LAMBDA(_xlpm.r,_xlpm.c, INDEX({"Pc","annual production of crop c (kg)";"RAGc","residue to crop ratio for crop c (dimensionless)";"RBGc","below ground-residue to above ground residue ratio for crop c (dimensionless)";"Fc","fraction of crop residue that is burnt for crop c (dimensionless)";"FFODc","fraction of the crop residue that is removed for crop c (dimensionless)";"DMc","dry matter content of crop c (kg dry weight/kg crop residue)";"NCAGc","nitrogen content of above-ground crop residue of crop c (kg N/kg DM)";"NCBGc","nitrogen content of below-ground crop residue of crop c (kg N/kg DM)";"c","Crop type";"State","State or territory"}, _xlpm.r, _xlpm.c))))</definedName>
    <definedName name="AgResidues_Equations_CropResidues.VEERG_6_1_1_1__2__MassOfNitrogenInCropResidues_LatexEquation">_xlfn.LAMBDA("M_{c}=(P_{c}\times R_{AGc}\times(1-F_{c}-FFOD_{c})\times DM_{c}\times NC_{AGc})+(P_{c}\times R_{AGc}\times R_{BGc}\times DM_{c}\times NC_{BGc})")</definedName>
    <definedName name="AgResidues_Equations_CropResidues.VEERG_6_1_1_1__2__MassOfNitrogenInCropResidues_NIRReference">_xlfn.LAMBDA("")</definedName>
    <definedName name="AgResidues_Equations_CropResidues.VEERG_6_1_1_1__2__MassOfNitrogenInCropResidues_Source">_xlfn.LAMBDA("VEERG 2026: 6.1.1.1, Equation (2)")</definedName>
    <definedName name="AgResidues_Equations_CropResidues.VEERG_6_1_1_1__2__MassOfNitrogenInCropResidues_Title">_xlfn.LAMBDA("Mass of nitrogen in crop residues returned to the soil")</definedName>
    <definedName name="AgResidues_Equations_CropResidues.VEERG_6_1_1_1__2__MassOfNitrogenInCropResidues_Unit">_xlfn.LAMBDA("kg N")</definedName>
    <definedName name="AgResidues_Equations_CropResidues.VEERG_6_1_1_1__2__MassOfNitrogenInCropResidues_Variable">_xlfn.LAMBDA("Mc")</definedName>
    <definedName name="AgResidues_Equations_CropResidues.VEERG_6_1_1_2__1__FractionOfCropResidueRemovedBaled">_xlfn.LAMBDA(_xlpm.B,_xlpm.MB,_xlpm.Pc,_xlpm.RAGc, IFERROR((_xlpm.B * _xlpm.MB) / (_xlpm.Pc * _xlpm.RAGc), 0))</definedName>
    <definedName name="AgResidues_Equations_CropResidues.VEERG_6_1_1_2__1__FractionOfCropResidueRemovedBaled_Arguments">_xlfn.LAMBDA(_xlfn.MAKEARRAY(5, 2, _xlfn.LAMBDA(_xlpm.r,_xlpm.c, INDEX({"B","number of bales generated (dimensionless)";"MB","mass of each bale (kg)";"Pc","annual production of crop c (kg)";"RAGc","residue to crop ratio for crop c (dimensionless)";"c","Crop type"}, _xlpm.r, _xlpm.c))))</definedName>
    <definedName name="AgResidues_Equations_CropResidues.VEERG_6_1_1_2__1__FractionOfCropResidueRemovedBaled_LatexEquation">_xlfn.LAMBDA("FFOD_{c,baled}=\frac{B\times M_{B}}{P_{c}\times R_{AG,c}}")</definedName>
    <definedName name="AgResidues_Equations_CropResidues.VEERG_6_1_1_2__1__FractionOfCropResidueRemovedBaled_NIRReference">_xlfn.LAMBDA("")</definedName>
    <definedName name="AgResidues_Equations_CropResidues.VEERG_6_1_1_2__1__FractionOfCropResidueRemovedBaled_Source">_xlfn.LAMBDA("VEERG 2026: 6.1.1.2, Equation (1)")</definedName>
    <definedName name="AgResidues_Equations_CropResidues.VEERG_6_1_1_2__1__FractionOfCropResidueRemovedBaled_Title">_xlfn.LAMBDA("Fraction of crop residue that is removed for crop c, calculated where residues are baled")</definedName>
    <definedName name="AgResidues_Equations_CropResidues.VEERG_6_1_1_2__1__FractionOfCropResidueRemovedBaled_Unit">_xlfn.LAMBDA("dimensionless")</definedName>
    <definedName name="AgResidues_Equations_CropResidues.VEERG_6_1_1_2__1__FractionOfCropResidueRemovedBaled_Variable">_xlfn.LAMBDA("FFODcbaled")</definedName>
    <definedName name="AgResidues_Equations_CropResidues.VEERG_6_1_1_2__1__FractionOfCropResidueRemovedBaled_Variation">_xlfn.LAMBDA("VARIATION FROM SOURCE: Added 'baled' to variable subscript")</definedName>
    <definedName name="AgResidues_Equations_CropResidues.VEERG_6_1_1_2__1a__FractionOfCropResidueRemoved">_xlfn.LAMBDA(_xlpm.FFODcbaled,_xlpm.FFODcother, _xlpm.FFODcbaled + _xlpm.FFODcother)</definedName>
    <definedName name="AgResidues_Equations_CropResidues.VEERG_6_1_1_2__1a__FractionOfCropResidueRemoved_Arguments">_xlfn.LAMBDA(_xlfn.MAKEARRAY(2, 2, _xlfn.LAMBDA(_xlpm.r,_xlpm.c, INDEX({"FFODcbaled","Fraction of crop residue that is removed for crop c, calculated where residues are baled";"FFODcother","Fraction of crop residue that is removed for crop c, calculated where residues are removed by other means"}, _xlpm.r, _xlpm.c))))</definedName>
    <definedName name="AgResidues_Equations_CropResidues.VEERG_6_1_1_2__1a__FractionOfCropResidueRemoved_LatexEquation">_xlfn.LAMBDA("FFOD_{c} = FFOD_{c,baled} + FFOD_{c,other}")</definedName>
    <definedName name="AgResidues_Equations_CropResidues.VEERG_6_1_1_2__1a__FractionOfCropResidueRemoved_NIRReference">_xlfn.LAMBDA("")</definedName>
    <definedName name="AgResidues_Equations_CropResidues.VEERG_6_1_1_2__1a__FractionOfCropResidueRemoved_Source">_xlfn.LAMBDA("")</definedName>
    <definedName name="AgResidues_Equations_CropResidues.VEERG_6_1_1_2__1a__FractionOfCropResidueRemoved_Title">_xlfn.LAMBDA("Fraction of crop residue that is removed for crop c")</definedName>
    <definedName name="AgResidues_Equations_CropResidues.VEERG_6_1_1_2__1a__FractionOfCropResidueRemoved_Unit">_xlfn.LAMBDA("dimensionless")</definedName>
    <definedName name="AgResidues_Equations_CropResidues.VEERG_6_1_1_2__1a__FractionOfCropResidueRemoved_Variable">_xlfn.LAMBDA("FFODc")</definedName>
    <definedName name="AgResidues_Equations_CropResidues.VEERG_6_1_1_2__1a__FractionOfCropResidueRemoved_Variation">_xlfn.LAMBDA("VARIATION FROM SOURCE: Added this equation to accommodate user-defined residue removal other than baling.")</definedName>
    <definedName name="AgResidues_Equations_Leaching.VEERG_6_3_1_1__1__LeachingAndRunoffEmissionsCropAndPastureResidue">_xlfn.LAMBDA(_xlpm.Mleachcp,_xlpm.EFleach,_xlpm.CgN2O, _xlpm.Mleachcp * _xlpm.EFleach * _xlpm.CgN2O * 10 ^ (-3))</definedName>
    <definedName name="AgResidues_Equations_Leaching.VEERG_6_3_1_1__1__LeachingAndRunoffEmissionsCropAndPastureResidue_Arguments">_xlfn.LAMBDA(_xlfn.MAKEARRAY(5, 2, _xlfn.LAMBDA(_xlpm.r,_xlpm.c, INDEX({"Mleachcp","mass of nitrogen lost through leaching and runoff from the crop residue c or pasture residue p (kg N)";"EFleach","emission factor for leaching and runoff (kg N2O-N/kg N)";"CgN2O","factor to convert elemental mass of nitrous oxide to molecular mass (dimensionless)";"c","Crop residue type";"p","Pasture residue type"}, _xlpm.r, _xlpm.c))))</definedName>
    <definedName name="AgResidues_Equations_Leaching.VEERG_6_3_1_1__1__LeachingAndRunoffEmissionsCropAndPastureResidue_LatexEquation">_xlfn.LAMBDA("E_{N2O}=\sum_{c}\sum_{p}(M_{leach,cp}\times EF_{leach}\times Cg_{N2O}\times 10^{-3})")</definedName>
    <definedName name="AgResidues_Equations_Leaching.VEERG_6_3_1_1__1__LeachingAndRunoffEmissionsCropAndPastureResidue_NIRReference">_xlfn.LAMBDA("")</definedName>
    <definedName name="AgResidues_Equations_Leaching.VEERG_6_3_1_1__1__LeachingAndRunoffEmissionsCropAndPastureResidue_Source">_xlfn.LAMBDA("VEERG 2026: 6.3.1.1, Equation (1)")</definedName>
    <definedName name="AgResidues_Equations_Leaching.VEERG_6_3_1_1__1__LeachingAndRunoffEmissionsCropAndPastureResidue_Title">_xlfn.LAMBDA("Nitrous oxide leaching and runoff emissions from crop and pasture residues returned to the soil")</definedName>
    <definedName name="AgResidues_Equations_Leaching.VEERG_6_3_1_1__1__LeachingAndRunoffEmissionsCropAndPastureResidue_Unit">_xlfn.LAMBDA("t N2O")</definedName>
    <definedName name="AgResidues_Equations_Leaching.VEERG_6_3_1_1__1__LeachingAndRunoffEmissionsCropAndPastureResidue_Variable">_xlfn.LAMBDA("EN2O")</definedName>
    <definedName name="AgResidues_Equations_Leaching.VEERG_6_3_1_1__2__MassOfNitrogenLostThroughLeachingAndRunoff">_xlfn.LAMBDA(_xlpm.Mcp,_xlpm.FracWETzir,_xlpm.FracLEACH, _xlpm.Mcp * _xlpm.FracWETzir * _xlpm.FracLEACH)</definedName>
    <definedName name="AgResidues_Equations_Leaching.VEERG_6_3_1_1__2__MassOfNitrogenLostThroughLeachingAndRunoff_Arguments">_xlfn.LAMBDA(_xlfn.MAKEARRAY(7, 2, _xlfn.LAMBDA(_xlpm.r,_xlpm.c, INDEX({"Mcp","mass of nitrogen in crop residues c or pasture residues p applied to soils (kg N)";"FracWETzir","fraction of N that is available for leaching and runoff from the leaching zone z and irrigation type ir (dimensionless)";"FracLEACH","fraction of N that is lost through leaching and runoff (dimensionless)";"z","Location in leaching zone (dimensionless)";"c","Crop residue type";"p","Pasture residue type";"ir","Irrigation type"}, _xlpm.r, _xlpm.c))))</definedName>
    <definedName name="AgResidues_Equations_Leaching.VEERG_6_3_1_1__2__MassOfNitrogenLostThroughLeachingAndRunoff_LatexEquation">_xlfn.LAMBDA("M_{leach,cp}=M_{cp}\times FracWET_{z,ir}\times FracLEACH")</definedName>
    <definedName name="AgResidues_Equations_Leaching.VEERG_6_3_1_1__2__MassOfNitrogenLostThroughLeachingAndRunoff_NIRReference">_xlfn.LAMBDA("")</definedName>
    <definedName name="AgResidues_Equations_Leaching.VEERG_6_3_1_1__2__MassOfNitrogenLostThroughLeachingAndRunoff_Source">_xlfn.LAMBDA("VEERG 2026: 6.3.1.1, Equation (2)")</definedName>
    <definedName name="AgResidues_Equations_Leaching.VEERG_6_3_1_1__2__MassOfNitrogenLostThroughLeachingAndRunoff_Title">_xlfn.LAMBDA("Mass of nitrogen lost through leaching and runoff")</definedName>
    <definedName name="AgResidues_Equations_Leaching.VEERG_6_3_1_1__2__MassOfNitrogenLostThroughLeachingAndRunoff_Unit">_xlfn.LAMBDA("kg N")</definedName>
    <definedName name="AgResidues_Equations_Leaching.VEERG_6_3_1_1__2__MassOfNitrogenLostThroughLeachingAndRunoff_Variable">_xlfn.LAMBDA("Mleachcp")</definedName>
    <definedName name="AgResidues_Equations_Leaching.VEERG_6_3_1_1__2__MassOfNitrogenLostThroughLeachingAndRunoff_Variation">_xlfn.LAMBDA("VARIATION FROM SOURCE: Added criteria for leaching zone z and irrigation type ir. Removed production system criteria j.")</definedName>
    <definedName name="AgResidues_Equations_PastureResidues.VEERG_6_2_1_1__1__NitrousOxideEmissionsFromPastureResidues">_xlfn.LAMBDA(_xlpm.Mp,_xlpm.EFNi,_xlpm.CN2O, _xlpm.Mp * _xlpm.EFNi * _xlpm.CN2O * 10 ^ (-3))</definedName>
    <definedName name="AgResidues_Equations_PastureResidues.VEERG_6_2_1_1__1__NitrousOxideEmissionsFromPastureResidues_Arguments">_xlfn.LAMBDA(_xlfn.MAKEARRAY(5, 2, _xlfn.LAMBDA(_xlpm.r,_xlpm.c, INDEX({"Mp","mass of nitrogen in pasture p residues returned to the soil (kg N)";"EFNi","emission factor for crop residues returned to the soil in climate zone i (kg N2O-N/kg N)";"CgN2O","factor to convert elemental mass of nitrous oxide to molecular mass (dimensionless)";"p","Pasture type";"i","Climate zone"}, _xlpm.r, _xlpm.c))))</definedName>
    <definedName name="AgResidues_Equations_PastureResidues.VEERG_6_2_1_1__1__NitrousOxideEmissionsFromPastureResidues_FunctionName">_xlfn.LAMBDA("VEERG_6_2_1_1__1__NitrousOxideEmissionsFromPastureResidues")</definedName>
    <definedName name="AgResidues_Equations_PastureResidues.VEERG_6_2_1_1__1__NitrousOxideEmissionsFromPastureResidues_LatexEquation">_xlfn.LAMBDA("E_{N2O}=\sum_{p}\left(M_p\times EF_{Ni}\times C_{N2O}\times{10}^{-3}\right)")</definedName>
    <definedName name="AgResidues_Equations_PastureResidues.VEERG_6_2_1_1__1__NitrousOxideEmissionsFromPastureResidues_NIRReference">_xlfn.LAMBDA("")</definedName>
    <definedName name="AgResidues_Equations_PastureResidues.VEERG_6_2_1_1__1__NitrousOxideEmissionsFromPastureResidues_Source">_xlfn.LAMBDA("VEERG 2026: 6.2.1.1, Equation (1)")</definedName>
    <definedName name="AgResidues_Equations_PastureResidues.VEERG_6_2_1_1__1__NitrousOxideEmissionsFromPastureResidues_Title">_xlfn.LAMBDA("Nitrous oxide emissions from the return of pasture residues from all pasture types to the soil")</definedName>
    <definedName name="AgResidues_Equations_PastureResidues.VEERG_6_2_1_1__1__NitrousOxideEmissionsFromPastureResidues_Unit">_xlfn.LAMBDA("t N2O")</definedName>
    <definedName name="AgResidues_Equations_PastureResidues.VEERG_6_2_1_1__1__NitrousOxideEmissionsFromPastureResidues_Variable">_xlfn.LAMBDA("EN2O")</definedName>
    <definedName name="AgResidues_Equations_PastureResidues.VEERG_6_2_1_1__2__MassOfNitrogenInPastureResidues">_xlfn.LAMBDA(_xlpm.Ap,_xlpm.Yp,_xlpm.FFODp,_xlpm.NCAGp,_xlpm.RBGp,_xlpm.NCBGp, (_xlpm.Ap * (_xlpm.Yp * 10 ^ (-3)) * (1 - _xlpm.FFODp) * _xlpm.NCAGp) + (_xlpm.Ap * (_xlpm.Yp * 10 ^ (-3)) * _xlpm.RBGp * _xlpm.NCBGp))</definedName>
    <definedName name="AgResidues_Equations_PastureResidues.VEERG_6_2_1_1__2__MassOfNitrogenInPastureResidues_Arguments">_xlfn.LAMBDA(_xlfn.MAKEARRAY(7, 2, _xlfn.LAMBDA(_xlpm.r,_xlpm.c, INDEX({"Ap","area of pasture renewed or removed (ha)";"Yp","average yield of pasture crop (t DM/ha)";"NCAGp","N content of above-ground pasture residue (kg N/kg DM)";"RBGp","below-ground residue to above-ground residue ratio for pasture crop (dimensionless)";"NCBGp","N content of below-ground pasture crop residue (kg N/kg DM)";"FFODp","fraction of pasture yield that is removed (dimensionless)";"p","Pasture type"}, _xlpm.r, _xlpm.c))))</definedName>
    <definedName name="AgResidues_Equations_PastureResidues.VEERG_6_2_1_1__2__MassOfNitrogenInPastureResidues_FunctionName">_xlfn.LAMBDA("VEERG_6_2_1_1__2__MassOfNitrogenInPastureResidues")</definedName>
    <definedName name="AgResidues_Equations_PastureResidues.VEERG_6_2_1_1__2__MassOfNitrogenInPastureResidues_LatexEquation">_xlfn.LAMBDA("M_p = (A_p \times (Y_p \times 10^{-3}) \times (1- FFOD_p) \times NC_{AGp}) + (A_p \times (Y_p \times 10^{-3})\times R_{BGp} \times NC_{BGp})")</definedName>
    <definedName name="AgResidues_Equations_PastureResidues.VEERG_6_2_1_1__2__MassOfNitrogenInPastureResidues_NIRReference">_xlfn.LAMBDA("")</definedName>
    <definedName name="AgResidues_Equations_PastureResidues.VEERG_6_2_1_1__2__MassOfNitrogenInPastureResidues_Source">_xlfn.LAMBDA("VEERG 2026: 6.2.1.1, Equation (2)")</definedName>
    <definedName name="AgResidues_Equations_PastureResidues.VEERG_6_2_1_1__2__MassOfNitrogenInPastureResidues_Title">_xlfn.LAMBDA("Mass of nitrogen in pasture residues returned to the soil")</definedName>
    <definedName name="AgResidues_Equations_PastureResidues.VEERG_6_2_1_1__2__MassOfNitrogenInPastureResidues_Unit">_xlfn.LAMBDA("kg N")</definedName>
    <definedName name="AgResidues_Equations_PastureResidues.VEERG_6_2_1_1__2__MassOfNitrogenInPastureResidues_Variable">_xlfn.LAMBDA("Mp")</definedName>
    <definedName name="AgResidues_SourceData.BurningOfAgriculturalResiduesEFs_Data">_xlfn.LAMBDA(_xlfn.MAKEARRAY(6, 3, _xlfn.LAMBDA(_xlpm.r,_xlpm.c, INDEX({"Gas species","Emission factor EFg (Gg element in species/ Gg element in fuel burnt)","Elemental to molecular mass conversion factor (Cg)";"CH4",0.0035,"16/12";"N2O",0.0076,"44/28";"NOx",0.21,"46/14";"CO",0.078,"28/12";"NMVOC",0.0091,"14/12"}, _xlpm.r, _xlpm.c))))</definedName>
    <definedName name="AgResidues_SourceData.BurningOfAgriculturalResiduesEFs_Description">_xlfn.LAMBDA(("Burning of agricultural residues - EFs"))</definedName>
    <definedName name="AgResidues_SourceData.BurningOfAgriculturalResiduesEFs_Source">_xlfn.LAMBDA(("National Inventory Report 2023 volume 2: Table 5.31: Burning of agricultural residues - EFs"))</definedName>
    <definedName name="AgResidues_SourceData.BurningOfAgriculturalResiduesEFs_Title">_xlfn.LAMBDA(("Table 5.31 Burning of agricultural residues - EFs"))</definedName>
    <definedName name="AgResidues_SourceData.CropAttributes_Data">_xlfn.LAMBDA(_xlfn.MAKEARRAY(20, 9, _xlfn.LAMBDA(_xlpm.r,_xlpm.c, INDEX({"Crop type","Residue: Crop ratio","Below-ground: above-ground residue ratio","Dry matter content","Carbon fraction in dry matter","N content above-ground","N content below-ground","Fraction of residue remaining at time of burning","Burning efficiencyt";"c","RAGc","RBGc","DMc","CCc","NCAGc","NCBGc","Sc","Zc";"Wheat",1.5,0.29,0.88,0.4,0.006,0.01,0.5,0.9;"Barley",1.24,0.32,0.88,0.4,0.007,0.01,0.5,0.85;"Maize",0.81,0.39,0.85,0.42,0.005,0.007,1,0.8;"Oats",1.42,0.43,0.88,0.4,0.006,0.01,0.5,0.85;"Rice",1.31,0.16,0.8,0.42,0.007,0.01,1,0.8;"Sorghum",1.5,0.22,0.8,0.4,0.008,0.007,0.5,0.85;"Triticale",1.5,0.42,0.88,0.4,0.006,0.01,0.5,0.85;"Other cereals",1.46,0.36,0.88,0.4,0.006,0.01,0.5,0.85;"Pulses",1.37,0.51,0.87,0.4,0.009,0.01,0.5,0.85;"Tubers and roots",0.34,0.43,0.25,0.4,0.02,0.01,"n/a",0.85;"Peanuts",1.07,0.2,0.8,0.42,0.016,0.014,0.5,0.85;"Sugar cane",0.25,0.45,0.2,0.4,0.005,0.007,1,0.8;"Cotton",1.9,0.3,0.9,0.4,0.01,0.01,"n/a",0.85;"Hops",1.5,0.29,0.88,0.4,0.006,"n/a","n/a",0.85;"Oilseeds",2.08,0.33,0.96,0.4,0.009,0.01,0.5,0.85;"Forage crops",1.34,0.37,0.88,0.4,0.006,0.01,"n/a",0.85;"Other annual crops",1,0.22,0.85,0.4,0.008,0.009,"n/a","n/a";"Other perennial crops",1.5,0.29,0.88,0.4,0.006,"n/a","n/a","n/a"}, _xlpm.r, _xlpm.c))))</definedName>
    <definedName name="AgResidues_SourceData.CropAttributes_Description">_xlfn.LAMBDA(("Crop attributes"))</definedName>
    <definedName name="AgResidues_SourceData.CropAttributes_Source">_xlfn.LAMBDA(("VEERG 2026: Table A.2.1.1: Crop attributes"))</definedName>
    <definedName name="AgResidues_SourceData.CropAttributes_Title">_xlfn.LAMBDA(("Table A.2.1.1: Crop attributes"))</definedName>
    <definedName name="AgResidues_SourceData.CropAttributes_Variation">_xlfn.LAMBDA(("VARIATION FROM SOURCE: 'N/A' values passed as zero for calculations."))</definedName>
    <definedName name="AgResidues_SourceData.CropFractionRemoved_CustomisedData">_xlfn.LAMBDA(_xlfn.MAKEARRAY(144, 3, _xlfn.LAMBDA(_xlpm.r,_xlpm.c, INDEX({"Crop type c","State","Fraction removed FFODc";"Rice","NSW",0.06;"Rice","VIC",0.06;"Rice","QLD",0.06;"Rice","SA",0.06;"Rice","WA",0.06;"Rice","TAS",0.06;"Rice","NT",0.06;"Rice","ACT",0.06;"Tubers and roots","NSW",1;"Tubers and roots","VIC",1;"Tubers and roots","QLD",1;"Tubers and roots","SA",1;"Tubers and roots","WA",1;"Tubers and roots","TAS",1;"Tubers and roots","NT",1;"Tubers and roots","ACT",1;"Cotton","NSW",0;"Cotton","VIC",0;"Cotton","QLD",0;"Cotton","SA",0;"Cotton","WA",0;"Cotton","TAS",0;"Cotton","NT",0;"Cotton","ACT",0;"Hops","NSW",0;"Hops","VIC",0;"Hops","QLD",0;"Hops","SA",0;"Hops","WA",0;"Hops","TAS",0;"Hops","NT",0;"Hops","ACT",0;"Forage crops","NSW",0.8;"Forage crops","VIC",0.8;"Forage crops","QLD",0.8;"Forage crops","SA",0.8;"Forage crops","WA",0.8;"Forage crops","TAS",0.8;"Forage crops","NT",0.8;"Forage crops","ACT",0.8;"Sugar Cane","NSW",0;"Sugar Cane","VIC","N/A";"Sugar Cane","QLD",0.03;"Sugar Cane","SA","N/A";"Sugar Cane","WA",0;"Sugar Cane","TAS","N/A";"Sugar Cane","NT","N/A";"Sugar Cane","ACT","N/A";"Wheat","NSW",0.05;"Wheat","VIC",0.07;"Wheat","QLD",0.04;"Wheat","SA",0.09;"Wheat","WA",0.11;"Wheat","TAS",0.16;"Wheat","NT",0.01;"Wheat","ACT",0;"Barley","NSW",0.05;"Barley","VIC",0.07;"Barley","QLD",0.04;"Barley","SA",0.09;"Barley","WA",0.11;"Barley","TAS",0.16;"Barley","NT",0.01;"Barley","ACT",0;"Maize","NSW",0.05;"Maize","VIC",0.07;"Maize","QLD",0.04;"Maize","SA",0.09;"Maize","WA",0.11;"Maize","TAS",0.16;"Maize","NT",0.01;"Maize","ACT",0;"Oats","NSW",0.05;"Oats","VIC",0.07;"Oats","QLD",0.04;"Oats","SA",0.09;"Oats","WA",0.11;"Oats","TAS",0.16;"Oats","NT",0.01;"Oats","ACT",0;"Sorghum","NSW",0.05;"Sorghum","VIC",0.07;"Sorghum","QLD",0.04;"Sorghum","SA",0.09;"Sorghum","WA",0.11;"Sorghum","TAS",0.16;"Sorghum","NT",0.01;"Sorghum","ACT",0;"Triticale","NSW",0.05;"Triticale","VIC",0.07;"Triticale","QLD",0.04;"Triticale","SA",0.09;"Triticale","WA",0.11;"Triticale","TAS",0.16;"Triticale","NT",0.01;"Triticale","ACT",0;"Other cereals","NSW",0.05;"Other cereals","VIC",0.07;"Other cereals","QLD",0.04;"Other cereals","SA",0.09;"Other cereals","WA",0.11;"Other cereals","TAS",0.16;"Other cereals","NT",0.01;"Other cereals","ACT",0;"Pulses","NSW",0.05;"Pulses","VIC",0.07;"Pulses","QLD",0.04;"Pulses","SA",0.09;"Pulses","WA",0.11;"Pulses","TAS",0.16;"Pulses","NT",0.01;"Pulses","ACT",0;"Peanuts","NSW",0.05;"Peanuts","VIC",0.07;"Peanuts","QLD",0.04;"Peanuts","SA",0.09;"Peanuts","WA",0.11;"Peanuts","TAS",0.16;"Peanuts","NT",0.01;"Peanuts","ACT",0;"Oilseeds","NSW",0.05;"Oilseeds","VIC",0.07;"Oilseeds","QLD",0.04;"Oilseeds","SA",0.09;"Oilseeds","WA",0.11;"Oilseeds","TAS",0.16;"Oilseeds","NT",0.01;"Oilseeds","ACT",0;"Other annual crops","NSW",0.05;"Other annual crops","VIC",0.07;"Other annual crops","QLD",0.04;"Other annual crops","SA",0.09;"Other annual crops","WA",0.11;"Other annual crops","TAS",0.16;"Other annual crops","NT",0.01;"Other annual crops","ACT",0;"Other perennial crops","NSW",0.05;"Other perennial crops","VIC",0.07;"Other perennial crops","QLD",0.04;"Other perennial crops","SA",0.09;"Other perennial crops","WA",0.11;"Other perennial crops","TAS",0.16;"Other perennial crops","NT",0.01;"Other perennial crops","ACT",0}, _xlpm.r, _xlpm.c))))</definedName>
    <definedName name="AgResidues_SourceData.CropFractionRemoved_Data">_xlfn.LAMBDA(_xlfn.MAKEARRAY(20, 3, _xlfn.LAMBDA(_xlpm.r,_xlpm.c, INDEX({"Crop type c","State","Fraction removed FFODc";"Rice","All states",0.06;"Tubers and roots","All states",1;"Cotton","All states",0;"Hops","All states",0;"Forage crops","All states",0.8;"Sugar Cane","NSW",0;"Sugar Cane","QLD",0.03;"Sugar Cane","WA",0;"All other crop types","NSW",0.05;"All other crop types","VIC",0.07;"All other crop types","QLD",0.04;"All other crop types","SA",0.09;"All other crop types","WA",0.11;"All other crop types","TAS",0.16;"All other crop types","NT",0.01;"All other crop types","ACT",0}, _xlpm.r, _xlpm.c))))</definedName>
    <definedName name="AgResidues_SourceData.CropFractionRemoved_Description">_xlfn.LAMBDA(("Crop attributes - Fraction removed (FFODc)"))</definedName>
    <definedName name="AgResidues_SourceData.CropFractionRemoved_Source">_xlfn.LAMBDA(("VEERG 2026: Table A.2.1.2: Crop attributes - Fraction removed (FFODc)"))</definedName>
    <definedName name="AgResidues_SourceData.CropFractionRemoved_Title">_xlfn.LAMBDA(("Table A.2.1.2: Crop attributes - Fraction removed (FFODc)"))</definedName>
    <definedName name="AgResidues_SourceData.CropFractionRemoved_Variation">_xlfn.LAMBDA(("VARIATION OF SOURCE DATA: Split 'All other crop types' into individual crop types for each state. Listed all states for Sugar Cane, with 'N/A' for states where it is not grown."))</definedName>
    <definedName name="AgResidues_SourceData.PastureAttributes_Data">_xlfn.LAMBDA(_xlfn.MAKEARRAY(6, 6, _xlfn.LAMBDA(_xlpm.r,_xlpm.c, INDEX({"Pasture type","Average Yield (t DM ha) Yp","Below-ground: above-ground residue ratio RBGp","N content Above-ground NCAGp","N content Below-ground NCBGp","Fraction of pasture yield that is removed FFODp";"Annual grass",4.41,0.4,0.015,0.012,0.8;"Grass clover mixture",8.34,0.8,0.025,0.016,0.8;"Lucerne",8.62,0.4,0.027,0.019,0.8;"Other legume",5.62,0.4,0.027,0.022,0.8;"Perennial pasture",8.35,0.8,0.015,0.012,0.8}, _xlpm.r, _xlpm.c))))</definedName>
    <definedName name="AgResidues_SourceData.PastureAttributes_Description">_xlfn.LAMBDA(("Pasture attributes"))</definedName>
    <definedName name="AgResidues_SourceData.PastureAttributes_Source">_xlfn.LAMBDA(("VEERG 2026: Table A.2.1.3: Pasture attributes"))</definedName>
    <definedName name="AgResidues_SourceData.PastureAttributes_Title">_xlfn.LAMBDA(("Table A.2.1.3 Pasture attributes"))</definedName>
    <definedName name="Common_Equations.Common_ConvertCH4ToCO2e">_xlfn.LAMBDA(_xlpm.E_CH4,_xlpm.GWP_CH4, _xlpm.E_CH4 * _xlpm.GWP_CH4)</definedName>
    <definedName name="Common_Equations.Common_ConvertCH4ToCO2e_Arguments">_xlfn.LAMBDA(_xlfn.MAKEARRAY(2, 2, _xlfn.LAMBDA(_xlpm.r,_xlpm.c, INDEX({"ECH4","Methane emissions (t CH4)";"GWPCH4","Global warming potential for methane (t CO2-e / t CH4)"}, _xlpm.r, _xlpm.c))))</definedName>
    <definedName name="Common_Equations.Common_ConvertCH4ToCO2e_LatexEquation">_xlfn.LAMBDA("CO2_e = E_{CH4} \times GWP_{CH4}")</definedName>
    <definedName name="Common_Equations.Common_ConvertCH4ToCO2e_NIRReference">_xlfn.LAMBDA("")</definedName>
    <definedName name="Common_Equations.Common_ConvertCH4ToCO2e_Title">_xlfn.LAMBDA("Convert methane emissions to carbon dioxide equivalent emissions")</definedName>
    <definedName name="Common_Equations.Common_ConvertCH4ToCO2e_Unit">_xlfn.LAMBDA("t CO2e")</definedName>
    <definedName name="Common_Equations.Common_ConvertCH4ToCO2e_Variable">_xlfn.LAMBDA("ECH4 CO2e")</definedName>
    <definedName name="Common_Equations.Common_ConvertN2OToCO2e">_xlfn.LAMBDA(_xlpm.E_N2O,_xlpm.GWP_N2O, _xlpm.E_N2O * _xlpm.GWP_N2O)</definedName>
    <definedName name="Common_Equations.Common_ConvertN2OToCO2e_Arguments">_xlfn.LAMBDA(_xlfn.MAKEARRAY(2, 2, _xlfn.LAMBDA(_xlpm.r,_xlpm.c, INDEX({"EN2O","Nitrous oxide emissions (t N2O)";"GWPN2O","Global warming potential for nitrous oxide (t CO2-e / t N2O)"}, _xlpm.r, _xlpm.c))))</definedName>
    <definedName name="Common_Equations.Common_ConvertN2OToCO2e_LatexEquation">_xlfn.LAMBDA("CO2_e = E_{N2O} \times GWP_{N2O}")</definedName>
    <definedName name="Common_Equations.Common_ConvertN2OToCO2e_NIRReference">_xlfn.LAMBDA("")</definedName>
    <definedName name="Common_Equations.Common_ConvertN2OToCO2e_Title">_xlfn.LAMBDA("Convert nitrous oxide emissions to carbon dioxide equivalent emissions")</definedName>
    <definedName name="Common_Equations.Common_ConvertN2OToCO2e_Unit">_xlfn.LAMBDA("t CO2e")</definedName>
    <definedName name="Common_Equations.Common_ConvertN2OToCO2e_Variable">_xlfn.LAMBDA("EN2O CO2e")</definedName>
    <definedName name="Common_InputFunctions.Common_GetMCFTemperatureZone">_xlfn.LAMBDA(_xlpm.Temperature,_xlpm.MMS,_xlpm.TemperatureArray,_xlpm.MMSArray,_xlpm.ReturnArray,
    _xlfn.XLOOKUP(
        MEDIAN(
            ROUND(_xlpm.Temperature, 0),
            MIN(_xlpm.TemperatureArray),
            MAX(_xlpm.TemperatureArray)
        ),
        _xlpm.TemperatureArray,
        _xlfn.XLOOKUP(_xlpm.MMS, _xlpm.MMSArray, _xlpm.ReturnArray)
    )
)</definedName>
    <definedName name="Common_InputFunctions.CommonCropping_GetFracWET">_xlfn.LAMBDA(_xlpm.LeachingZone,_xlpm.ProductionSystem,_xlpm.LeachingZoneLookup,_xlpm.LeachingZoneFracWETLookup,_xlpm.ProductionSystemLookup,_xlpm.ProductionSystemFracWETLookup, _xlfn.LET(_xlpm.LeachingZoneFracWET, [0]!Common_InputFunctions.Utility_LookupValueInTableNumber(_xlpm.LeachingZone, _xlpm.LeachingZoneLookup, _xlpm.LeachingZoneFracWETLookup), _xlpm.ProductionSystemFracWET, [0]!Common_InputFunctions.Utility_LookupValueInTableNumber(_xlpm.ProductionSystem, _xlpm.ProductionSystemLookup, _xlpm.ProductionSystemFracWETLookup), IF(_xlpm.LeachingZoneFracWET + _xlpm.ProductionSystemFracWET &gt; 0, 1, 0)))</definedName>
    <definedName name="Common_InputFunctions.getOverlappingReportingCycles">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MAX(0, _xlpm.lastYear - _xlpm.firstYear + 1)))</definedName>
    <definedName name="Common_InputFunctions.getOverlappingReportingPeriods">_xlfn.LAMBDA(_xlpm.ProductionCycleStart,_xlpm.ProductionCycleEnd,_xlpm.ReportingCycleStart,
    _xlfn.LET(
        _xlpm.S,_xlpm.ProductionCycleStart,
        _xlpm.E,_xlpm.ProductionCycleEnd,
        _xlpm.m,MONTH(_xlpm.ReportingCycleStart),
        _xlpm.d,DAY(_xlpm.ReportingCycleStart),
        _xlpm.PeriodEnd,_xlfn.LAMBDA(_xlpm.st,EDATE(_xlpm.st,12)-1),
        _xlpm.A,_xlpm.S-365,
        _xlpm.ya,YEAR(_xlpm.A),
        _xlpm.yb,YEAR(_xlpm.E),
        _xlpm.firstYear,_xlpm.ya+(_xlpm.PeriodEnd(DATE(_xlpm.ya,_xlpm.m,_xlpm.d))&lt;_xlpm.S),
        _xlpm.lastYear,_xlpm.yb-(DATE(_xlpm.yb,_xlpm.m,_xlpm.d)&gt;_xlpm.E),
        _xlpm.n,MAX(0,_xlpm.lastYear-_xlpm.firstYear+1),
        _xlpm.yrs,_xlfn.SEQUENCE(_xlpm.n,1,_xlpm.firstYear,1),
        _xlpm.starts,DATE(_xlpm.yrs,_xlpm.m,_xlpm.d),
        _xlpm.ends,_xlfn.MAP(_xlpm.starts,_xlpm.PeriodEnd),
        _xlpm.tag,IF(_xlpm.starts=_xlpm.ReportingCycleStart," (This reporting cycle)",""),
        _xlpm.startsText,TEXT(_xlpm.starts,"dd mmm yyyy"),
        _xlpm.endsText,TEXT(_xlpm.ends,"dd mmm yyyy"),
        IF(_xlpm.n=0,"",_xlfn.HSTACK(_xlpm.startsText &amp; " to " &amp; _xlpm.endsText &amp; _xlpm.tag))
    )
)</definedName>
    <definedName name="Common_InputFunctions.Utility_ConvertStateCommonNameToAbbreviation">_xlfn.LAMBDA(_xlpm.StateCommonName,_xlpm.StateCommonNameArray,_xlpm.StateAbbreviationArray, _xlfn.XLOOKUP(_xlpm.StateCommonName, _xlpm.StateCommonNameArray, _xlpm.StateAbbreviationArray, ""))</definedName>
    <definedName name="Common_InputFunctions.Utility_DisplayArguments_1_2">_xlfn.LAMBDA(_xlpm.ArgumentsArray, _xlfn.CHOOSECOLS(_xlpm.ArgumentsArray, 1, 2))</definedName>
    <definedName name="Common_InputFunctions.Utility_DisplayArguments_3_4">_xlfn.LAMBDA(_xlpm.ArgumentsArray, _xlfn.CHOOSECOLS(_xlpm.ArgumentsArray, 3, 4))</definedName>
    <definedName name="Common_InputFunctions.Utility_DisplayArrayInTable">_xlfn.LAMBDA(_xlpm.ArrayData,_xlpm.TableheaderCell,_xlpm.RowsBetweenHeaderandArray,_xlop.ColumnsBetweenHeaderAndArray, IFERROR(INDEX(_xlfn.UNIQUE(_xlpm.ArrayData), ROW() - [0]!Common_InputFunctions.Utility_GetArrayTableRowStartNumber(_xlpm.TableheaderCell, _xlpm.RowsBetweenHeaderandArray), COLUMN() - [0]!Common_InputFunctions.Utility_GetArrayTableColumnStartNumber(_xlpm.TableheaderCell) + IF(_xlfn.ISOMITTED(_xlpm.ColumnsBetweenHeaderAndArray), 1, _xlpm.ColumnsBetweenHeaderAndArray)), ""))</definedName>
    <definedName name="Common_InputFunctions.Utility_DisplayFunctionName">_xlfn.LAMBDA(_xlpm.Function, _xlfn.TEXTBEFORE(_xlfn.FORMULATEXT(_xlpm.Function), "("))</definedName>
    <definedName name="Common_InputFunctions.Utility_GetArrayTableColumnStartNumber">_xlfn.LAMBDA(_xlpm.TableHeaderCell, COLUMN(_xlpm.TableHeaderCell))</definedName>
    <definedName name="Common_InputFunctions.Utility_GetArrayTableRowStartNumber">_xlfn.LAMBDA(_xlpm.TableheaderCell,_xlpm.RowsBetweenHeaderandArray, ROW(_xlpm.TableheaderCell) + _xlpm.RowsBetweenHeaderandArray - 1)</definedName>
    <definedName name="Common_InputFunctions.Utility_GetClimateZone">_xlfn.LAMBDA(_xlpm.avgTemp,_xlpm.avgRain,_xlpm.frostDays,_xlpm.elev,_xlpm.map_pet,_xlpm.minTempArray,_xlpm.maxTempArray,_xlpm.minRainfallArray,_xlpm.maxRainfallArray,_xlpm.minFrostArray,_xlpm.maxFrostArray,_xlpm.minElevationArray,_xlpm.maxElevationArray,_xlpm.minPETArray,_xlpm.maxPETArray,_xlpm.climateZoneArray, _xlfn.LET(_xlpm.mask, (VALUE(_xlpm.minTempArray) &lt;= _xlpm.avgTemp) * (VALUE(_xlpm.maxTempArray) &gt;= _xlpm.avgTemp) * (VALUE(_xlpm.minRainfallArray) &lt;= _xlpm.avgRain) * (VALUE(_xlpm.maxRainfallArray) &gt;= _xlpm.avgRain) * (VALUE(_xlpm.minFrostArray) &lt;= _xlpm.frostDays) * (VALUE(_xlpm.maxFrostArray) &gt;= _xlpm.frostDays) * (VALUE(_xlpm.minElevationArray) &lt;= _xlpm.elev) * (VALUE(_xlpm.maxElevationArray) &gt;= _xlpm.elev) * (VALUE(_xlpm.minPETArray) &lt;= _xlpm.map_pet) * (VALUE(_xlpm.maxPETArray) &gt;= _xlpm.map_pet), _xlfn.TAKE(_xlfn._xlws.FILTER(_xlpm.climateZoneArray, _xlpm.mask, "No match"), 1)))</definedName>
    <definedName name="Common_InputFunctions.Utility_LookupItemFromMinMax">_xlfn.LAMBDA(_xlpm.LookupValue,_xlpm.MinArray,_xlpm.MaxArray,_xlpm.ItemArray, _xlfn.LET(_xlpm.mask, (VALUE(_xlpm.MinArray) &lt;= _xlpm.LookupValue) * (VALUE(_xlpm.MaxArray) &gt;= _xlpm.LookupValue), _xlfn._xlws.FILTER(_xlpm.ItemArray, _xlpm.mask, "No match")))</definedName>
    <definedName name="Common_InputFunctions.Utility_LookupN2OEFFromProdIrrigationRainfall">_xlfn.LAMBDA(_xlpm.ProductionSystem,_xlpm.IrrigationMethod,_xlpm.RainfallZone,_xlpm.ProductionSystemArray,_xlpm.IrrigationMethodArray,_xlpm.RainfallZoneArray,_xlpm.ReturnArray, _xlfn.LET(_xlpm.IrrigationMethod, IF(_xlpm.IrrigationMethod = "Not irrigated", "Not irrigated", "Any"), _xlpm.RainfallZone, IF(_xlpm.IrrigationMethod = "Not irrigated", _xlpm.RainfallZone, "Any"), _xlfn.XLOOKUP(1, (_xlpm.ProductionSystemArray = _xlpm.ProductionSystem) * (_xlpm.IrrigationMethodArray = _xlpm.IrrigationMethod) * (_xlpm.RainfallZoneArray = _xlpm.RainfallZone), _xlpm.ReturnArray)))</definedName>
    <definedName name="Common_InputFunctions.Utility_LookupValueInTable">_xlfn.LAMBDA(_xlpm.LookupValue,_xlpm.LookupArray,_xlpm.ReturnArray, _xlfn.XLOOKUP(_xlpm.LookupValue, _xlpm.LookupArray, _xlpm.ReturnArray, ""))</definedName>
    <definedName name="Common_InputFunctions.Utility_LookupValueInTableNumber">_xlfn.LAMBDA(_xlpm.LookupValue,_xlpm.LookupArray,_xlpm.ReturnArray, IF(ISNUMBER(_xlfn.XLOOKUP(_xlpm.LookupValue, _xlpm.LookupArray, _xlpm.ReturnArray, "")), _xlfn.XLOOKUP(_xlpm.LookupValue, _xlpm.LookupArray, _xlpm.ReturnArray, ""), 0))</definedName>
    <definedName name="Common_InputFunctions.Utility_LookupValueInTableOneColumnAndHeader">_xlfn.LAMBDA(_xlpm.LookupValue1,_xlpm.LookupValue2,_xlpm.LookupArray1,_xlpm.LookupArray2,_xlpm.ReturnArray,_xlop.ValueIfFalse, IFERROR(_xlfn.XLOOKUP(_xlpm.LookupValue1, _xlpm.LookupArray1, _xlfn.XLOOKUP(_xlpm.LookupValue2, _xlpm.LookupArray2, _xlpm.ReturnArray)), IF(_xlfn.ISOMITTED(_xlpm.ValueIfFalse), "", _xlpm.ValueIfFalse)))</definedName>
    <definedName name="Common_InputFunctions.Utility_LookupValueInTableTwoColumns">_xlfn.LAMBDA(_xlpm.LookupValue1,_xlpm.LookupValue2,_xlpm.LookupArray1,_xlpm.LookupArray2,_xlpm.ReturnArray,_xlop.ValueIFFalse, _xlfn.XLOOKUP(1, (_xlpm.LookupArray1 = _xlpm.LookupValue1) * (_xlpm.LookupArray2 = _xlpm.LookupValue2), _xlpm.ReturnArray, IF(_xlfn.ISOMITTED(_xlpm.ValueIFFalse), "", _xlpm.ValueIFFalse)))</definedName>
    <definedName name="Common_InputFunctions.Utility_ResultsItemFromEquationTitleAndSource">_xlfn.LAMBDA(_xlpm.TitleCell,_xlpm.SourceCell, SUBSTITUTE(LEFT(_xlpm.SourceCell, FIND(",", _xlpm.SourceCell) - 1), "VEERG 2026: ", "") &amp; " " &amp; _xlpm.TitleCell)</definedName>
    <definedName name="Common_InputFunctions.Utility_SourceHyperlink">_xlfn.LAMBDA(_xlpm.TargetCell, _xlfn.LET(_xlpm.sh, _xlfn.TEXTAFTER(CELL("filename", _xlpm.TargetCell), "]"), _xlpm.addr, CELL("address", _xlpm.TargetCell), "#'" &amp; _xlpm.sh &amp; "'!" &amp; _xlpm.addr))</definedName>
    <definedName name="Common_InputFunctions.Utility_SourceHyperlinkDifferentSheet">_xlfn.LAMBDA(_xlpm.TargetCell, _xlfn.LET(_xlpm.sh, _xlfn.TEXTAFTER(CELL("filename", _xlpm.TargetCell), "]"), _xlpm.addr, CELL("address", _xlpm.TargetCell), "#" &amp; _xlpm.addr))</definedName>
    <definedName name="Common_InputFunctions.Utility_SplitStringIntoArray">_xlfn.LAMBDA(_xlpm.Cell,_xlpm.Delimiter,_xlop.CharacterToRemove1,_xlop.CharacterToRemove2, _xlfn.FILTERXML("&lt;t&gt;&lt;s&gt;" &amp; SUBSTITUTE(SUBSTITUTE(SUBSTITUTE(_xlpm.Cell, _xlpm.CharacterToRemove1, ""), _xlpm.CharacterToRemove2, ""), _xlpm.Delimiter, "&lt;/s&gt;&lt;s&gt;") &amp; "&lt;/s&gt;&lt;/t&gt;", "//s"))</definedName>
    <definedName name="Common_InputFunctions.Utility_SumQuantityFromCriteria">_xlfn.LAMBDA(_xlpm.Criteria1,_xlpm.Criteria1TypeArray,_xlpm.Quantity,_xlop.Multiplier,_xlop.Criteria2,_xlop.Criteria2Array, _xlfn.LET(_xlpm.multiplier, IF(_xlfn.ISOMITTED(_xlpm.Multiplier), 1, _xlpm.Multiplier), _xlpm.quantity, _xlpm.Quantity * _xlpm.multiplier, _xlpm.criteria1, --(_xlpm.Criteria1TypeArray = _xlpm.Criteria1), _xlpm.criteria2, IF(_xlfn.ISOMITTED(_xlpm.Criteria2), 1, --(_xlpm.Criteria2Array = _xlpm.Criteria2)), SUMPRODUCT(_xlpm.criteria1 * _xlpm.criteria2 * _xlpm.quantity)))</definedName>
    <definedName name="Common_SourceData.Common_SourceData_AustralianStatesTerritories_Data">_xlfn.LAMBDA(_xlfn.MAKEARRAY(9, 3, _xlfn.LAMBDA(_xlpm.r,_xlpm.c, INDEX({"State/Territory","Common Name","Abbreviation";"New South Wales","New South Wales","NSW";"Australian Capital Territory","ACT","ACT";"Victoria","Victoria","VIC";"Queensland","Queensland","QLD";"South Australia","South Australia","SA";"Western Australia","Western Australia","WA";"Tasmania","Tasmania","TAS";"Northern Territory","Northern Territory","NT"}, _xlpm.r, _xlpm.c))))</definedName>
    <definedName name="Common_SourceData.Common_SourceData_AustralianStatesTerritories_Source">_xlfn.LAMBDA("")</definedName>
    <definedName name="Common_SourceData.Common_SourceData_AustralianStatesTerritories_Title">_xlfn.LAMBDA("Australian states and territories")</definedName>
    <definedName name="Common_SourceData.Common_SourceData_AustralianStatesTerritories_Unit">_xlfn.LAMBDA("")</definedName>
    <definedName name="Common_SourceData.Common_SourceData_AustralianStatesTerritories_Variable">_xlfn.LAMBDA("")</definedName>
    <definedName name="Common_SourceData.Common_SourceData_ClimateZones_Appendices">_xlfn.LAMBDA(_xlfn.MAKEARRAY(4, 1, _xlfn.LAMBDA(_xlpm.r,_xlpm.c, INDEX({"Note:";"MAT = mean annual temperature";"MAP = mean annual precipitation";"PET = potential evapotranspiration"}, _xlpm.r, _xlpm.c))))</definedName>
    <definedName name="Common_SourceData.Common_SourceData_ClimateZones_Data">_xlfn.LAMBDA(_xlfn.MAKEARRAY(9, 16, _xlfn.LAMBDA(_xlpm.r,_xlpm.c, INDEX({"Climate Zone","MAT","MAP","Frost days per year","Elevation","MAP:PET","Min temp","Max temp","Min rainfall","Max rainfall","Min frost days","Max frost days","Min elevation","Max elevation","Min MAP:PET","Min MAP:PET";"Tropical montane","&gt; 18 C","Any","≤ 7","&gt; 1000 m","Any",18.001,999999,-999999,999999,-999999,7,1000,999999,-999999,999999;"Tropical wet","&gt; 18 C","&gt; 2000 mm","≤ 7","≤ 1000 m","Any",18.001,999999,2000.001,999999,-999999,7,-999999,999.999,-999999,999999;"Tropical moist","&gt; 18 C","&gt; 1000 mm - ≤ 2000 mm","≤ 7","≤ 1000 m","Any",18.001,999999,1000.001,2000,-999999,7,-999999,999.999,-999999,999999;"Tropical dry","&gt; 18 C","≤ 1000 mm","≤ 7","≤ 1000 m","Any",18.001,999999,-999999,1000,-999999,7,-999999,999.999,-999999,999999;"Warm temperate moist","&gt; 10 C","Any","Any","Any","&gt; 1",10.001,999999,-999999,999999,-999999,999999,-999999,999999,1.001,999999;"Warm temperate dry","&gt; 10 C","Any","Any","Any","≤ 1",10.001,999999,-999999,999999,-999999,999999,-999999,999999,-999999,1;"Cool temperate moist","&gt; 0 C - ≤ 10 C","Any","Any","Any","&gt; 1",-999999,10,-999999,999999,-999999,999999,-999999,999999,1.001,999999;"Cool temperate dry","&gt; 0 C - ≤ 10 C","Any","Any","Any","≤ 1",-999999,10,-999999,999999,-999999,999999,-999999,999999,-999999,1}, _xlpm.r, _xlpm.c))))</definedName>
    <definedName name="Common_SourceData.Common_SourceData_ClimateZones_Source">_xlfn.LAMBDA("VEERG 2026: Table 1.3: Climate and Rainfall zone classifications and definitions")</definedName>
    <definedName name="Common_SourceData.Common_SourceData_ClimateZones_Title">_xlfn.LAMBDA("VEERG Australian climate zones")</definedName>
    <definedName name="Common_SourceData.Common_SourceData_ClimateZones_Unit">_xlfn.LAMBDA("")</definedName>
    <definedName name="Common_SourceData.Common_SourceData_ClimateZones_Variable">_xlfn.LAMBDA("")</definedName>
    <definedName name="Common_SourceData.Common_SourceData_ClimateZones_Variation">_xlfn.LAMBDA(_xlfn.MAKEARRAY(5, 1, _xlfn.LAMBDA(_xlpm.r,_xlpm.c, INDEX({"VARIATION OF SOURCE DATA:";"Added warm / cool temperate moist / dry - low frost and high temp classes to accommodate climate scenarios excluded by VEERG criteria.";"Fixed typo in MAT value for warm temperate dry - changed 10 to 11.";"Added min and max columns for MAT, MAP, frost days per year, elevation, MAP:PET to calculate zones from real climate data.";"GAF accepts rainfall as a proxy for precipitation."}, _xlpm.r, _xlpm.c))))</definedName>
    <definedName name="Common_SourceData.Common_SourceData_ConvertGasElementalToMolecular_Data">_xlfn.LAMBDA(_xlfn.MAKEARRAY(8, 4, _xlfn.LAMBDA(_xlpm.r,_xlpm.c, INDEX({"Gas","Conversion factor","Conversion factor 1","Conversion factor 2";"CO2","44/12",44,12;"CH4","16/12",16,12;"N2O","44/28",44,28;"Nox","46/14",46,14;"CO","28/12",28,12;"CO2 Lime","44/12",44,12;"NMVOC","14/12",14,12}, _xlpm.r, _xlpm.c))))</definedName>
    <definedName name="Common_SourceData.Common_SourceData_ConvertGasElementalToMolecular_Source">_xlfn.LAMBDA("XXXXXXX")</definedName>
    <definedName name="Common_SourceData.Common_SourceData_ConvertGasElementalToMolecular_Title">_xlfn.LAMBDA("Factor to convert elemental mass of gas to molecular mass")</definedName>
    <definedName name="Common_SourceData.Common_SourceData_ConvertGasElementalToMolecular_Unit">_xlfn.LAMBDA("factor")</definedName>
    <definedName name="Common_SourceData.Common_SourceData_ConvertGasElementalToMolecular_Variable">_xlfn.LAMBDA("Cg")</definedName>
    <definedName name="Common_SourceData.Common_SourceData_ConvertN2oElementalToMolecularCg_Data">_xlfn.LAMBDA(44 / 28)</definedName>
    <definedName name="Common_SourceData.Common_SourceData_ConvertN2oElementalToMolecularCg_Source">_xlfn.LAMBDA("National Inventory Report 2023 Volume 1")</definedName>
    <definedName name="Common_SourceData.Common_SourceData_ConvertN2oElementalToMolecularCg_Title">_xlfn.LAMBDA("Factor to convert elemental mass of N2O to molecular mass")</definedName>
    <definedName name="Common_SourceData.Common_SourceData_ConvertN2oElementalToMolecularCg_Unit">_xlfn.LAMBDA("factor")</definedName>
    <definedName name="Common_SourceData.Common_SourceData_ConvertN2oElementalToMolecularCg_Variable">_xlfn.LAMBDA("CgN2O")</definedName>
    <definedName name="Common_SourceData.Common_SourceData_DataScores_Scope3_Data">_xlfn.LAMBDA(_xlfn.MAKEARRAY(6, 2, _xlfn.LAMBDA(_xlpm.r,_xlpm.c, INDEX({"Data source","Data score";"International scope 3 database",1;"Australian scope 3 database",2;"State or regional scope 3 database",3;"Emissions intensity calculated from approved method",4;"Verified credential matching ISO14067",5}, _xlpm.r, _xlpm.c))))</definedName>
    <definedName name="Common_SourceData.Common_SourceData_DataScores_Scope3_Source">_xlfn.LAMBDA("VEERG 2026: XXXXXXXX")</definedName>
    <definedName name="Common_SourceData.Common_SourceData_DataScores_Scope3_Title">_xlfn.LAMBDA("Australian data scores for scope 3")</definedName>
    <definedName name="Common_SourceData.Common_SourceData_DataScores_Scope3_Unit">_xlfn.LAMBDA("")</definedName>
    <definedName name="Common_SourceData.Common_SourceData_DataScores_Scope3_Variable">_xlfn.LAMBDA("")</definedName>
    <definedName name="Common_SourceData.Common_SourceData_DataScores_Scope3_Variation">_xlfn.LAMBDA("")</definedName>
    <definedName name="Common_SourceData.Common_SourceData_DensityOfMethane_Data">_xlfn.LAMBDA(0.6784)</definedName>
    <definedName name="Common_SourceData.Common_SourceData_DensityOfMethane_Source">_xlfn.LAMBDA("National Inventory Report 2023 Volume 1: Equations 3.B.1a_2, 3.B.1c_2, 3.B.3_1, 3.B.4g_2")</definedName>
    <definedName name="Common_SourceData.Common_SourceData_DensityOfMethane_Title">_xlfn.LAMBDA("p = density of methane")</definedName>
    <definedName name="Common_SourceData.Common_SourceData_DensityOfMethane_Unit">_xlfn.LAMBDA("kg/m3")</definedName>
    <definedName name="Common_SourceData.Common_SourceData_EFleach_Data">_xlfn.LAMBDA(_xlfn.MAKEARRAY(1, 2, _xlfn.LAMBDA(_xlpm.r,_xlpm.c, INDEX({"EFleach",0.011}, _xlpm.r, _xlpm.c))))</definedName>
    <definedName name="Common_SourceData.Common_SourceData_EFleach_NIRReference">_xlfn.LAMBDA("National Inventory Report Volume 1: Equation 3.D.B_10")</definedName>
    <definedName name="Common_SourceData.Common_SourceData_EFleach_Source">_xlfn.LAMBDA("VEERG 2026:5.5.2.3 Constant Parameters")</definedName>
    <definedName name="Common_SourceData.Common_SourceData_EFleach_Title">_xlfn.LAMBDA("Emission factor for nitrogen leaching and runoff")</definedName>
    <definedName name="Common_SourceData.Common_SourceData_EFleach_Unit">_xlfn.LAMBDA("(kg N2O-N / kg N")</definedName>
    <definedName name="Common_SourceData.Common_SourceData_EFleach_Variation">_xlfn.LAMBDA((""))</definedName>
    <definedName name="Common_SourceData.Common_SourceData_EFN2O_Data">_xlfn.LAMBDA(
    _xlfn.MAKEARRAY(14, 5,
      _xlfn.LAMBDA(_xlpm.r,_xlpm.c,
        INDEX({"Production system j","EFN2O","Production system only","Irrigation method","Rainfall zone";"Irrigated pasture",0.0059,"Pasture","Any","Any";"Irrigated crop",0.007,"Crop","Any","Any";"Non-irrigated pasture",0.0018,"Pasture","Not irrigated","Low rainfall";"Non-irrigated pasture",0.0018,"Pasture","Not irrigated","High rainfall";"Non-irrigated crop (low rainfall)",0.0029,"Crop","Not irrigated","Low rainfall";"Non-irrigated crop (high rainfall)",0.008,"Crop","Not irrigated","High rainfall";"Sugar",0.0199,"Sugar","Any","Any";"Cotton",0.0053,"Cotton","Any","Any";"Horticultural crops",0.0064,"Horticultural crops","Any","Any";"Rice (continuous flooding)",0.003,"Rice","Continuous flooding","Any";"Rice (single and multiple drainage, or alternate wetting and drying)",0.005,"Rice","Single and multiple drainage, or alternate wetting and drying","Any";"Aquaculture",0.0026,"Aquaculture","Any","Any";"Forestry",0.0018,"Forestry","Any","Any"}, _xlpm.r, _xlpm.c)
      )
    )
  )</definedName>
    <definedName name="Common_SourceData.Common_SourceData_EFN2O_NIRReference">_xlfn.LAMBDA("")</definedName>
    <definedName name="Common_SourceData.Common_SourceData_EFN2O_Source">_xlfn.LAMBDA("VEERG 2026: Table A.2.2.1")</definedName>
    <definedName name="Common_SourceData.Common_SourceData_EFN2O_Title">_xlfn.LAMBDA("Nitrous oxide emission factors for inorganic fertiliser application")</definedName>
    <definedName name="Common_SourceData.Common_SourceData_EFN2O_Unit">_xlfn.LAMBDA("(kg N2O-N / kg N")</definedName>
    <definedName name="Common_SourceData.Common_SourceData_EFN2O_Variation">_xlfn.LAMBDA(_xlfn.MAKEARRAY(5, 1, _xlfn.LAMBDA(_xlpm.r,_xlpm.c, INDEX({"VARIATION OF SOURCE DATA:";"Removed duplicate 'Aquaculture' row.";"Removed asterisks to aid lookup.";"Added 'production system only', 'rainfall zone' and 'irrigation method' columns to aid lookup.";"Duplicated 'non-irrigated pasture' row with same EF for low and high rainfall zones to aid lookup."}, _xlpm.r, _xlpm.c))))</definedName>
    <definedName name="Common_SourceData.Common_SourceData_EFOrganicFertiliserAndCropResidues_Data">_xlfn.LAMBDA(_xlfn.MAKEARRAY(3, 2, _xlfn.LAMBDA(_xlpm.r,_xlpm.c, INDEX({"Climate zone","EFNi &amp; EFN2O";"Wet climate zone",0.006;"Dry climate zone",0.005}, _xlpm.r, _xlpm.c))))</definedName>
    <definedName name="Common_SourceData.Common_SourceData_EFOrganicFertiliserAndCropResidues_NIRReference">_xlfn.LAMBDA("")</definedName>
    <definedName name="Common_SourceData.Common_SourceData_EFOrganicFertiliserAndCropResidues_Source">_xlfn.LAMBDA("VEERG 2026: Table A.2.1.4")</definedName>
    <definedName name="Common_SourceData.Common_SourceData_EFOrganicFertiliserAndCropResidues_Title">_xlfn.LAMBDA("Emission factor for organic fertiliser and crop residues returned to the soil")</definedName>
    <definedName name="Common_SourceData.Common_SourceData_EFOrganicFertiliserAndCropResidues_Unit">_xlfn.LAMBDA("kg N2O - N / kg N")</definedName>
    <definedName name="Common_SourceData.Common_SourceData_EFOrganicFertiliserAndCropResidues_Variable">_xlfn.LAMBDA("EFNi &amp; EFN2Oi")</definedName>
    <definedName name="Common_SourceData.Common_SourceData_EFOrganicFertiliserAndCropResidues_Variation">_xlfn.LAMBDA("")</definedName>
    <definedName name="Common_SourceData.Common_SourceData_EFPastureRangeAndPaddock_Data">_xlfn.LAMBDA(_xlfn.MAKEARRAY(3, 2, _xlfn.LAMBDA(_xlpm.r,_xlpm.c, INDEX({"Climate zone","EFPRP";"Wet climate zone",0.006;"Dry climate zone",0.002}, _xlpm.r, _xlpm.c))))</definedName>
    <definedName name="Common_SourceData.Common_SourceData_EFPastureRangeAndPaddock_NIRReference">_xlfn.LAMBDA("")</definedName>
    <definedName name="Common_SourceData.Common_SourceData_EFPastureRangeAndPaddock_Source">_xlfn.LAMBDA("VEERG 2026: Table A.2.2.2")</definedName>
    <definedName name="Common_SourceData.Common_SourceData_EFPastureRangeAndPaddock_Title">_xlfn.LAMBDA("Emission factor for urine and dung deposited on pasture, range or paddock")</definedName>
    <definedName name="Common_SourceData.Common_SourceData_EFPastureRangeAndPaddock_Unit">_xlfn.LAMBDA("kg N2O - N / kg N")</definedName>
    <definedName name="Common_SourceData.Common_SourceData_EFPastureRangeAndPaddock_Variation">_xlfn.LAMBDA("VARIATION FROM SOURCE DATA: Changed 'Dry climate zones' to singular 'Dry climate zone' to aid lookup.")</definedName>
    <definedName name="Common_SourceData.Common_SourceData_FracLEACH_Data">_xlfn.LAMBDA(_xlfn.MAKEARRAY(1, 2, _xlfn.LAMBDA(_xlpm.r,_xlpm.c, INDEX({"FracLEACH",0.24}, _xlpm.r, _xlpm.c))))</definedName>
    <definedName name="Common_SourceData.Common_SourceData_FracLEACH_NIRReference">_xlfn.LAMBDA("National Inventory Report Volume 1: Leaching and runoff (3.D.b.2)")</definedName>
    <definedName name="Common_SourceData.Common_SourceData_FracLEACH_Source">_xlfn.LAMBDA("VEERG 2026:5.5.2.3 Constant Parameters")</definedName>
    <definedName name="Common_SourceData.Common_SourceData_FracLEACH_Title">_xlfn.LAMBDA("Fraction of N that is available for leaching and runoff")</definedName>
    <definedName name="Common_SourceData.Common_SourceData_FracLEACH_Unit">_xlfn.LAMBDA("(Dimensionless")</definedName>
    <definedName name="Common_SourceData.Common_SourceData_FracLEACH_Variation">_xlfn.LAMBDA((""))</definedName>
    <definedName name="Common_SourceData.Common_SourceData_FracWET_Data">_xlfn.LAMBDA(_xlfn.MAKEARRAY(3, 2, _xlfn.LAMBDA(_xlpm.r,_xlpm.c, INDEX({"Is in leaching zone","FracWET";"Yes - in leaching zone",1;"No - not in leaching zone",0}, _xlpm.r, _xlpm.c))))</definedName>
    <definedName name="Common_SourceData.Common_SourceData_FracWET_NIRReference">_xlfn.LAMBDA("")</definedName>
    <definedName name="Common_SourceData.Common_SourceData_FracWET_Source">_xlfn.LAMBDA("VEERG 2026:5.5.2.3 Constant Parameters")</definedName>
    <definedName name="Common_SourceData.Common_SourceData_FracWET_Title">_xlfn.LAMBDA("Fraction of N that is available for leaching and runoff")</definedName>
    <definedName name="Common_SourceData.Common_SourceData_FracWET_Unit">_xlfn.LAMBDA("(Dimensionless")</definedName>
    <definedName name="Common_SourceData.Common_SourceData_FracWET_Variation">_xlfn.LAMBDA((""))</definedName>
    <definedName name="Common_SourceData.Common_SourceData_FracWETIrrigation_Data">_xlfn.LAMBDA(_xlfn.MAKEARRAY(6, 2, _xlfn.LAMBDA(_xlpm.r,_xlpm.c, INDEX({"Irrigation type ir","FracWET";"Not irrigated",0;"Drip irrigation",0;"Sprinkler irrigation",1;"Surface irrigation",1;"Other irrigation",1}, _xlpm.r, _xlpm.c))))</definedName>
    <definedName name="Common_SourceData.Common_SourceData_FracWETIrrigation_NIRReference">_xlfn.LAMBDA("IPCC 2019 Refinement Volume 4: Chapter 11: N2O Emissions from Managed Soils, and CO2 Emissions from Lime and Urea Application")</definedName>
    <definedName name="Common_SourceData.Common_SourceData_FracWETIrrigation_Source">_xlfn.LAMBDA("VEERG 2026: Chapter 1, section 1.8.2 Leaching, climate and rainfall zones")</definedName>
    <definedName name="Common_SourceData.Common_SourceData_FracWETIrrigation_Title">_xlfn.LAMBDA("FracWET for irrigation types")</definedName>
    <definedName name="Common_SourceData.Common_SourceData_FracWETIrrigation_Unit">_xlfn.LAMBDA("dimensionless")</definedName>
    <definedName name="Common_SourceData.Common_SourceData_FracWETIrrigation_Variation">_xlfn.LAMBDA("VARIATION FROM SOURCE DATA: Table created based on VEERG text 'Areas are subject to leaching (i.e., in the leaching zone) when... the land is irrigated (except drip irrigation).'")</definedName>
    <definedName name="Common_SourceData.Common_SourceData_GWP_Data">_xlfn.LAMBDA(_xlfn.MAKEARRAY(8, 2, _xlfn.LAMBDA(_xlpm.r,_xlpm.c, INDEX({"Gas","CO2-e factor";"CO2",1;"CH4",28;"N2O",265;"CF4",6630;"C2F6",12200;"SF6",22800;"NF3",17200}, _xlpm.r, _xlpm.c))))</definedName>
    <definedName name="Common_SourceData.Common_SourceData_GWP_Source">_xlfn.LAMBDA("XXXXXXX")</definedName>
    <definedName name="Common_SourceData.Common_SourceData_GWP_Title">_xlfn.LAMBDA("Global warming potential for greenhouse gases")</definedName>
    <definedName name="Common_SourceData.Common_SourceData_GWP_Unit">_xlfn.LAMBDA("factor")</definedName>
    <definedName name="Common_SourceData.Common_SourceData_GWP_Variable">_xlfn.LAMBDA("GWPN2O")</definedName>
    <definedName name="Common_SourceData.Common_SourceData_LeachingZones_Data">_xlfn.LAMBDA(
    _xlfn.MAKEARRAY(3, 2,
      _xlfn.LAMBDA(_xlpm.r,_xlpm.c,
        INDEX({"Leaching Zone","Leaching criteria";"Leaching occurs","Σ(𝑟𝑎𝑖𝑛)&gt;Σ(𝐸𝑇0)+𝑠𝑜𝑖𝑙 𝑤𝑎𝑡𝑒𝑟 ℎ𝑜𝑙𝑑𝑖𝑛𝑔 𝑐𝑎𝑝𝑎𝑐𝑖𝑡𝑦";"Leaching does not occur","Σ(𝑟𝑎𝑖𝑛)≤Σ(𝐸𝑇0)+𝑠𝑜𝑖𝑙 𝑤𝑎𝑡𝑒𝑟 ℎ𝑜𝑙𝑑𝑖𝑛𝑔 𝑐𝑎𝑝𝑎𝑐𝑖𝑡𝑦"}, _xlpm.r, _xlpm.c)
      )
    )
  )</definedName>
    <definedName name="Common_SourceData.Common_SourceData_LeachingZones_Source">_xlfn.LAMBDA("VEERG 2026: Table 1.3: Climate and Rainfall zone classifications and definitions")</definedName>
    <definedName name="Common_SourceData.Common_SourceData_LeachingZones_Title">_xlfn.LAMBDA("VEERG Australian leaching zones")</definedName>
    <definedName name="Common_SourceData.Common_SourceData_LeachingZones_Unit">_xlfn.LAMBDA("")</definedName>
    <definedName name="Common_SourceData.Common_SourceData_LeachingZones_Variable">_xlfn.LAMBDA("")</definedName>
    <definedName name="Common_SourceData.Common_SourceData_LeachingZones_Variation">_xlfn.LAMBDA("")</definedName>
    <definedName name="Common_SourceData.Common_SourceData_MCFTemperatureZone_Data">_xlfn.LAMBDA(
    _xlfn.MAKEARRAY(21, 16,
      _xlfn.LAMBDA(_xlpm.r,_xlpm.c,
        INDEX({"Temperature zone","MAT (ºC)","Uncovered anerobic lagoon","Covered lagoon","Liquid Slurry (without natural crust)","Daily spread (b)","Composting (passive windrow)","Solid Storage","Pit Storage &lt;1 month","Deep Litter","Poultry Manure (with/without litter)","","Direct processing into pelletized fertiliser","Direct application to soil","Pasture, Range and Paddock (c)(d)","MAT raw";"Cool","≤10",0.66,0.1,0.1,0.001,0.005,0.02,0.03,0.04,0.015,0.015,0,0,0.0047,10;"Cool",11,0.68,0.1,0.11,0.001,0.005,0.02,0.03,0.04,0.015,0.015,0,0,0.0047,11;"Cool",12,0.7,0.1,0.13,0.001,0.005,0.02,0.03,0.04,0.015,0.015,0,0,0.0047,12;"Cool",13,0.71,0.1,0.14,0.001,0.005,0.02,0.03,0.04,0.015,0.015,0,0,0.0047,13;"Cool",14,0.73,0.1,0.15,0.001,0.005,0.02,0.03,0.04,0.015,0.015,0,0,0.0047,14;"Temperate",15,0.74,0.1,0.17,0.005,0.01,0.02,0.03,0.04,0.015,0.015,0,0,0.0047,15;"Temperate",16,0.75,0.1,0.18,0.005,0.01,0.02,0.03,0.04,0.015,0.015,0,0,0.0047,16;"Temperate",17,0.76,0.1,0.2,0.005,0.01,0.02,0.03,0.04,0.015,0.015,0,0,0.0047,17;"Temperate",18,0.77,0.1,0.22,0.005,0.01,0.02,0.03,0.04,0.015,0.015,0,0,0.0047,18;"Temperate",19,0.77,0.1,0.24,0.005,0.01,0.02,0.03,0.04,0.015,0.015,0,0,0.0047,19;"Temperate",20,0.78,0.1,0.26,0.005,0.01,0.02,0.03,0.04,0.015,0.015,0,0,0.0047,20;"Temperate",21,0.78,0.1,0.29,0.005,0.01,0.02,0.03,0.04,0.015,0.015,0,0,0.0047,21;"Temperate",22,0.78,0.1,0.31,0.005,0.01,0.02,0.03,0.04,0.015,0.015,0,0,0.0047,22;"Temperate",23,0.79,0.1,0.34,0.005,0.01,0.02,0.03,0.04,0.015,0.015,0,0,0.0047,23;"Temperate",24,0.79,0.1,0.37,0.005,0.01,0.02,0.03,0.04,0.015,0.015,0,0,0.0047,24;"Temperate",25,0.79,0.1,0.41,0.005,0.01,0.02,0.03,0.04,0.015,0.015,0,0,0.0047,25;"Warm",26,0.79,0.1,0.44,0.01,0.015,0.02,0.03,0.04,0.015,0.015,0,0,0.0047,26;"Warm",27,0.8,0.1,0.48,0.01,0.015,0.02,0.03,0.04,0.015,0.015,0,0,0.0047,27;"Warm","≥28",0.8,0.1,0.5,0.01,0.015,0.02,0.03,0.04,0.015,0.015,0,0,0.0047,28;"","","Anaerobic lagoon","Digester / covered lagoons","Liquid systems","Daily spread","Composting (passive windrow)","Solid storage","Pit storage","Deep litter","Poultry manure with bedding","Poultry manure without bedding","Direct processing","Direct application","Pasture range and paddock","MAT raw"}, _xlpm.r, _xlpm.c)
      )
    )
  )</definedName>
    <definedName name="Common_SourceData.Common_SourceData_MCFTemperatureZone_Source">_xlfn.LAMBDA("VEERG 2026: Table A.1.8.1")</definedName>
    <definedName name="Common_SourceData.Common_SourceData_MCFTemperatureZone_Title">_xlfn.LAMBDA("Manure Management – Methane conversion factor per temperature zone (fraction) (MCFim)")</definedName>
    <definedName name="Common_SourceData.Common_SourceData_MCFTemperatureZone_Unit">_xlfn.LAMBDA("fraction")</definedName>
    <definedName name="Common_SourceData.Common_SourceData_MCFTemperatureZone_Variation">_xlfn.LAMBDA("VARIATION FROM SOURCE: Added row of NIR MMA definitions to aid lookup. Duplicated 'Poultry with and without litter' column with separate NIR definitions to aid lookup. Added 'MAT raw' column to allow lookup of numbers.")</definedName>
    <definedName name="Common_SourceData.Common_SourceData_MonthsToSeasons_Data">_xlfn.LAMBDA(_xlfn.MAKEARRAY(13, 2, _xlfn.LAMBDA(_xlpm.r,_xlpm.c, INDEX({"Month","Season";"January","Summer";"February","Summer";"March","Autumn";"April","Autumn";"May","Autumn";"June","Winter";"July","Winter";"August","Winter";"September","Spring";"October","Spring";"November","Spring";"December","Summer"}, _xlpm.r, _xlpm.c))))</definedName>
    <definedName name="Common_SourceData.Common_SourceData_MonthsToSeasons_NIRReference">_xlfn.LAMBDA("")</definedName>
    <definedName name="Common_SourceData.Common_SourceData_MonthsToSeasons_Source">_xlfn.LAMBDA("")</definedName>
    <definedName name="Common_SourceData.Common_SourceData_MonthsToSeasons_Title">_xlfn.LAMBDA("Months to Seasons Mapping")</definedName>
    <definedName name="Common_SourceData.Common_SourceData_MonthsToSeasons_Unit">_xlfn.LAMBDA("")</definedName>
    <definedName name="Common_SourceData.Common_SourceData_MonthsToSeasons_Variation">_xlfn.LAMBDA("")</definedName>
    <definedName name="Common_SourceData.Common_SourceData_RainfallZones_Data">_xlfn.LAMBDA(_xlfn.MAKEARRAY(3, 4, _xlfn.LAMBDA(_xlpm.r,_xlpm.c, INDEX({"Rainfall Zone","Annual rainfall","Rainfall min","Rainfall max";"High rainfall","Annual rainfall &gt; 600mm",600.001,999999;"Low rainfall","Annual rainfall ≤ 600mm",-999999,600}, _xlpm.r, _xlpm.c))))</definedName>
    <definedName name="Common_SourceData.Common_SourceData_RainfallZones_Source">_xlfn.LAMBDA("VEERG 2026: Table 1.3: Climate and Rainfall zone classifications and definitions")</definedName>
    <definedName name="Common_SourceData.Common_SourceData_RainfallZones_Title">_xlfn.LAMBDA("VEERG Australian rainfall zones")</definedName>
    <definedName name="Common_SourceData.Common_SourceData_RainfallZones_Unit">_xlfn.LAMBDA("")</definedName>
    <definedName name="Common_SourceData.Common_SourceData_RainfallZones_Variable">_xlfn.LAMBDA("")</definedName>
    <definedName name="Common_SourceData.Common_SourceData_RainfallZones_Variation">_xlfn.LAMBDA("VARIATION OF SOURCE DATA: Added extra Rainfall min and Rainfall max columns to calculate zone from real rainfall data.")</definedName>
    <definedName name="Common_SourceData.Common_SourceData_TemperatureZones_Data">_xlfn.LAMBDA(_xlfn.MAKEARRAY(4, 4, _xlfn.LAMBDA(_xlpm.r,_xlpm.c, INDEX({"Temperature Zone","Median Annual Temperature (MAT)","Min MAT","Max MAT";"Warm","≥ 26 C",26,999999;"Temperate","15 - 25 C",15,25.999;"Cool","≤ 14 C",-999999,14.999}, _xlpm.r, _xlpm.c))))</definedName>
    <definedName name="Common_SourceData.Common_SourceData_TemperatureZones_Source">_xlfn.LAMBDA("VEERG 2026: Table 1.3: Climate and Rainfall zone classifications and definitions")</definedName>
    <definedName name="Common_SourceData.Common_SourceData_TemperatureZones_Title">_xlfn.LAMBDA("VEERG Australian temperature zones")</definedName>
    <definedName name="Common_SourceData.Common_SourceData_TemperatureZones_Unit">_xlfn.LAMBDA("")</definedName>
    <definedName name="Common_SourceData.Common_SourceData_TemperatureZones_Variable">_xlfn.LAMBDA("")</definedName>
    <definedName name="Common_SourceData.Common_SourceData_TemperatureZones_Variation">_xlfn.LAMBDA("VARIATION OF SOURCE DATA: Added extra MAT min and MAT max columns to calculate zone from real temperature data.")</definedName>
    <definedName name="Common_SourceData.Common_SourceData_WASA4Areas_Data">_xlfn.LAMBDA(_xlfn.MAKEARRAY(11, 1, _xlfn.LAMBDA(_xlpm.r,_xlpm.c, INDEX({"SA 4 Name";"Bunbury";"Mandurah";"Perth - Inner";"Perth - North East";"Perth - North West";"Perth - South East";"Perth - South West";"Western Australia - Wheat Belt";"Western Australia - Outback (North)";"Western Australia - Outback (South)"}, _xlpm.r, _xlpm.c))))</definedName>
    <definedName name="Common_SourceData.Common_SourceData_WASA4Areas_Source">_xlfn.LAMBDA("Australian Bureau of Statistics (ABS) - Statistical Areas Level 2 - 2021 - Shapefile")</definedName>
    <definedName name="Common_SourceData.Common_SourceData_WASA4Areas_Title">_xlfn.LAMBDA("ABS Statistcal Areas Level 4 - Western Australia")</definedName>
    <definedName name="Common_SourceData.Common_SourceData_WASA4Areas_Unit">_xlfn.LAMBDA("")</definedName>
    <definedName name="Common_SourceData.Common_SourceData_WASA4Areas_Variable">_xlfn.LAMBDA("")</definedName>
    <definedName name="Common_SourceData.Common_SourceData_WetAndDryZones_Data">_xlfn.LAMBDA(_xlfn.MAKEARRAY(15, 2, _xlfn.LAMBDA(_xlpm.r,_xlpm.c, INDEX({"Climate Zone","Wet or Dry Zone";"Tropical montane","Wet climate zone";"Tropical wet","Wet climate zone";"Tropical moist","Wet climate zone";"Tropical dry","Dry climate zone";"Warm temperate moist","Wet climate zone";"Warm temperate dry","Dry climate zone";"Cool temperate moist","Wet climate zone";"Cool temperate dry","Dry climate zone";"Warm temperate moist - low frost","Wet climate zone";"Warm temperate dry - low frost","Dry climate zone";"Warm temperate moist - high temp","Wet climate zone";"Warm temperate dry - high temp","Dry climate zone";"Cool temperate moist - low frost","Wet climate zone";"Cool temperate dry - low frost","Dry climate zone"}, _xlpm.r, _xlpm.c))))</definedName>
    <definedName name="Common_SourceData.Common_SourceData_WetAndDryZones_Source">_xlfn.LAMBDA("VEERG 2026: Table 1.2: Translating climate zones to wet and dry zones")</definedName>
    <definedName name="Common_SourceData.Common_SourceData_WetAndDryZones_Title">_xlfn.LAMBDA("VEERG Australian wet and dry zones")</definedName>
    <definedName name="Common_SourceData.Common_SourceData_WetAndDryZones_Unit">_xlfn.LAMBDA("")</definedName>
    <definedName name="Common_SourceData.Common_SourceData_WetAndDryZones_Variable">_xlfn.LAMBDA("")</definedName>
    <definedName name="Common_SourceData.Common_SourceData_WetAndDryZones_Variation">_xlfn.LAMBDA(_xlfn.MAKEARRAY(3, 1, _xlfn.LAMBDA(_xlpm.r,_xlpm.c, INDEX({"VARIATION OF SOURCE DATA:";"Added warm / cool temperate moist / dry - low frost and high temp classes to accommodate climate scenarios excluded by VEERG criteria.";"Fixed typo - Changed 'Fry' to 'Dry'."}, _xlpm.r, _xlpm.c))))</definedName>
    <definedName name="Common_SourceData_DensityOfMethane_Data">'Constants - Common'!$D$175</definedName>
    <definedName name="CommonAgSoils_Equations.AgSoils_AtmosphericDeposition">_xlfn.LAMBDA(_xlpm.Mvolm,_xlpm.Efad,_xlpm.CgN2O, (_xlpm.Mvolm * _xlpm.Efad * _xlpm.CgN2O * 10 ^ -3))</definedName>
    <definedName name="CommonAgSoils_Equations.AgSoils_AtmosphericDeposition_Arguments">_xlfn.LAMBDA(_xlfn.MAKEARRAY(3, 3, _xlfn.LAMBDA(_xlpm.r,_xlpm.c, INDEX({"Mvolm","Mass of nitrogen volatilised from urine and faeces deposited on pasture","kg N";"EFad","Emission factor for atmospheric deposition","kg N2O-N/kg N";"CgN2O","Factor to convert elemental mass of N2O to molecular mass",""}, _xlpm.r, _xlpm.c))))</definedName>
    <definedName name="CommonAgSoils_Equations.AgSoils_AtmosphericDeposition_GWP">_xlfn.LAMBDA(_xlpm.EN2Oad,_xlpm.GWPN2O, (_xlpm.EN2Oad * _xlpm.GWPN2O))</definedName>
    <definedName name="CommonAgSoils_Equations.AgSoils_AtmosphericDeposition_NIRReference">_xlfn.LAMBDA("National Inventory Report Volume 1, 2023: 3.D.B_4")</definedName>
    <definedName name="CommonAgSoils_Equations.AgSoils_AtmosphericDeposition_ReadableEquation">_xlfn.LAMBDA("EN2Oad = Mvolm * EFad * CgN2O * 10 ^ - 3")</definedName>
    <definedName name="CommonAgSoils_Equations.AgSoils_AtmosphericDeposition_Title">_xlfn.LAMBDA("Atmospheric deposition emissions from urine and dung deposited by grazing animals on pasture, range and paddock")</definedName>
    <definedName name="CommonAgSoils_Equations.AgSoils_AtmosphericDeposition_Unit">_xlfn.LAMBDA("t N2O")</definedName>
    <definedName name="CommonAgSoils_Equations.AgSoils_AtmosphericDeposition_Variable">_xlfn.LAMBDA("EN2Oad")</definedName>
    <definedName name="CommonAgSoils_Equations.AgSoils_LeachingAndRunoff">_xlfn.LAMBDA(_xlpm.Mleach,_xlpm.EFleach,_xlpm.CgN2O, (_xlpm.Mleach * _xlpm.EFleach * _xlpm.CgN2O * 10 ^ -3))</definedName>
    <definedName name="CommonAgSoils_Equations.AgSoils_LeachingAndRunoff_Arguments">_xlfn.LAMBDA(_xlfn.MAKEARRAY(3, 3, _xlfn.LAMBDA(_xlpm.r,_xlpm.c, INDEX({"Mleach","Mass of nitrogen lost to leached and run off","kg N";"EFleach","Emission factor for leaching and runoff","kg N2O-N/kg N";"CgN2O","Factor to convert elemental mass of N2O to molecular mass",""}, _xlpm.r, _xlpm.c))))</definedName>
    <definedName name="CommonAgSoils_Equations.AgSoils_LeachingAndRunoff_GWP">_xlfn.LAMBDA(_xlpm.EN2Oleach,_xlpm.GWPN2O, (_xlpm.EN2Oleach * _xlpm.GWPN2O))</definedName>
    <definedName name="CommonAgSoils_Equations.AgSoils_LeachingAndRunoff_NIRReference">_xlfn.LAMBDA("National Inventory Report Volume 1, 2023: 3.D.B_10")</definedName>
    <definedName name="CommonAgSoils_Equations.AgSoils_LeachingAndRunoff_ReadableEquation">_xlfn.LAMBDA("EN2Oleach = Mleach * EFleach * CgN2O * 10 ^ - 3")</definedName>
    <definedName name="CommonAgSoils_Equations.AgSoils_LeachingAndRunoff_Title">_xlfn.LAMBDA("Leaching and runoff emissions from crop residue,inorganic and organic fertiliser applied to soil, urine and dung deposited on pasture")</definedName>
    <definedName name="CommonAgSoils_Equations.AgSoils_LeachingAndRunoff_Unit">_xlfn.LAMBDA("t N2O")</definedName>
    <definedName name="CommonAgSoils_Equations.AgSoils_LeachingAndRunoff_Variable">_xlfn.LAMBDA("EN2Oleach")</definedName>
    <definedName name="CommonAgSoils_Equations.AgSoils_MassAnimalWasteNLost">_xlfn.LAMBDA(_xlpm.MNjm,_xlpm.UNjm,_xlpm.FNjm,_xlpm.FracWET,_xlpm.FracLEACH, (_xlpm.MNjm + _xlpm.UNjm + _xlpm.FNjm) * _xlpm.FracWET * _xlpm.FracLEACH)</definedName>
    <definedName name="CommonAgSoils_Equations.AgSoils_MassAnimalWasteNLost_Arguments">_xlfn.LAMBDA(_xlfn.MAKEARRAY(3, 3, _xlfn.LAMBDA(_xlpm.r,_xlpm.c, INDEX({"MNjm","Mass of nitrogen in manure applied to soils","kg N";"UNjm","Mass of nitrogen in urine deposited on pasture, range and paddock","kg N";"FNjm","Mass of nitrogen in dung deposited on pasture,range and paddock","kg N";"FracWET","Fraction of nitrogen available for leaching and runoff in the climate zone of the entity","fraction";"FracLEACH","Fraction of nitrogen that is lost through leaching and runoff","fraction"}, _xlpm.r, _xlpm.c))))</definedName>
    <definedName name="CommonAgSoils_Equations.AgSoils_MassAnimalWasteNLost_NIRReference">_xlfn.LAMBDA("National Inventory Report Volume 1, 2023: 3.D.B_6")</definedName>
    <definedName name="CommonAgSoils_Equations.AgSoils_MassAnimalWasteNLost_ReadableEquation">_xlfn.LAMBDA("Mleachanimalwaste=(MNjm+UNjm+FNjm)*FracWET*FracLEACH")</definedName>
    <definedName name="CommonAgSoils_Equations.AgSoils_MassAnimalWasteNLost_Title">_xlfn.LAMBDA("Mass of nitrogen lost from manure, urine and dung to leaching and runoff")</definedName>
    <definedName name="CommonAgSoils_Equations.AgSoils_MassAnimalWasteNLost_Unit">_xlfn.LAMBDA("kg N")</definedName>
    <definedName name="CommonAgSoils_Equations.AgSoils_MassAnimalWasteNLost_Variable">_xlfn.LAMBDA("Mleachanimalwaste")</definedName>
    <definedName name="CommonAgSoils_Equations.AgSoils_MassCropResidueNLost">_xlfn.LAMBDA(_xlpm.M,_xlpm.FracWET,_xlpm.FracLEACH, _xlpm.M * _xlpm.FracWET * _xlpm.FracLEACH)</definedName>
    <definedName name="CommonAgSoils_Equations.AgSoils_MassCropResidueNLost_Arguments">_xlfn.LAMBDA(_xlfn.MAKEARRAY(3, 3, _xlfn.LAMBDA(_xlpm.r,_xlpm.c, INDEX({"M","Mass of nitrogen in crop residue applied to soils","kg N";"FracWET","Fraction of nitrogen available for leaching and runoff in the climate zone of the entity","fraction";"FracLEACH","Fraction of nitrogen that is lost through leaching and runoff","fraction"}, _xlpm.r, _xlpm.c))))</definedName>
    <definedName name="CommonAgSoils_Equations.AgSoils_MassCropResidueNLost_NIRReference">_xlfn.LAMBDA("National Inventory Report Volume 1, 2023: 3.D.B_8")</definedName>
    <definedName name="CommonAgSoils_Equations.AgSoils_MassCropResidueNLost_ReadableEquation">_xlfn.LAMBDA("Mleachresidue = M * FracWET * FracLEACH")</definedName>
    <definedName name="CommonAgSoils_Equations.AgSoils_MassCropResidueNLost_Title">_xlfn.LAMBDA("Mass of nitrogen lost from crop residue to leaching and runoff")</definedName>
    <definedName name="CommonAgSoils_Equations.AgSoils_MassCropResidueNLost_Unit">_xlfn.LAMBDA("kg N")</definedName>
    <definedName name="CommonAgSoils_Equations.AgSoils_MassCropResidueNLost_Variable">_xlfn.LAMBDA("Mleachresidue")</definedName>
    <definedName name="CommonAgSoils_Equations.AgSoils_MassInorganicFertiliserNLost">_xlfn.LAMBDA(_xlpm.M,_xlpm.FracWET,_xlpm.FracLEACH, _xlpm.M * _xlpm.FracWET * _xlpm.FracLEACH)</definedName>
    <definedName name="CommonAgSoils_Equations.AgSoils_MassInorganicFertiliserNLost_Arguments">_xlfn.LAMBDA(_xlfn.MAKEARRAY(3, 3, _xlfn.LAMBDA(_xlpm.r,_xlpm.c, INDEX({"M","Mass of nitrogen in inorganic fertiliser applied to soils","kg N";"FracWET","Fraction of nitrogen available for leaching and runoff in the climate zone of the entity","fraction";"FracLEACH","Fraction of nitrogen that is lost through leaching and runoff","fraction"}, _xlpm.r, _xlpm.c))))</definedName>
    <definedName name="CommonAgSoils_Equations.AgSoils_MassInorganicFertiliserNLost_NIRReference">_xlfn.LAMBDA("National Inventory Report Volume 1, 2023: 3.D.B_5")</definedName>
    <definedName name="CommonAgSoils_Equations.AgSoils_MassInorganicFertiliserNLost_ReadableEquation">_xlfn.LAMBDA("Mleachinorganic = M * FracWET * FracLEACH")</definedName>
    <definedName name="CommonAgSoils_Equations.AgSoils_MassInorganicFertiliserNLost_Title">_xlfn.LAMBDA("Mass of nitrogen lost from inorganic fertiliser to leaching and runoff")</definedName>
    <definedName name="CommonAgSoils_Equations.AgSoils_MassInorganicFertiliserNLost_Unit">_xlfn.LAMBDA("kg N")</definedName>
    <definedName name="CommonAgSoils_Equations.AgSoils_MassInorganicFertiliserNLost_Variable">_xlfn.LAMBDA("Mleachinorganic")</definedName>
    <definedName name="CommonAgSoils_Equations.AgSoils_MassVolatilisedAnimalWaste">_xlfn.LAMBDA(_xlpm.MNjm,_xlpm.UNjm,_xlpm.FNjm,_xlpm.FracGASMsoil, (_xlpm.MNjm + _xlpm.UNjm + _xlpm.FNjm) * _xlpm.FracGASMsoil)</definedName>
    <definedName name="CommonAgSoils_Equations.AgSoils_MassVolatilisedAnimalWaste_Arguments">_xlfn.LAMBDA(_xlfn.MAKEARRAY(4, 3, _xlfn.LAMBDA(_xlpm.r,_xlpm.c, INDEX({"MNjm","Mass of manure nitrogen applied to soils","kg N";"UNjm","Mass of urine nitrogen excreted on pasture, range and paddock for each dairy cattle class","kg N";"FNjm","Mass of faecal nitrogen excreted on pasture, range and paddock for each dairy cattle class","kg N";"FracGASMsoil","Fraction of nitrogen volatilised from urine and faeces deposited on pasture","(kg NH3-N + NOx-N)/kg N"}, _xlpm.r, _xlpm.c))))</definedName>
    <definedName name="CommonAgSoils_Equations.AgSoils_MassVolatilisedAnimalWaste_NIRReference">_xlfn.LAMBDA("National Inventory Report Volume 1, 2023: 3.D.B_2")</definedName>
    <definedName name="CommonAgSoils_Equations.AgSoils_MassVolatilisedAnimalWaste_ReadableEquation">_xlfn.LAMBDA("Mvolm = (MNjm + UNjm + FNjm) * FracGASMsoil")</definedName>
    <definedName name="CommonAgSoils_Equations.AgSoils_MassVolatilisedAnimalWaste_Title">_xlfn.LAMBDA("Mass of nitrogen volatilised from manure, urine and faeces deposited on soils")</definedName>
    <definedName name="CommonAgSoils_Equations.AgSoils_MassVolatilisedAnimalWaste_Unit">_xlfn.LAMBDA("kg N")</definedName>
    <definedName name="CommonAgSoils_Equations.AgSoils_MassVolatilisedAnimalWaste_Variable">_xlfn.LAMBDA("Mvolm")</definedName>
    <definedName name="CommonAgSoils_Equations.Agsoils_MassVolatilisedInorganicFertiliser">_xlfn.LAMBDA(_xlpm.MNf,_xlpm.FracGASFf, _xlpm.MNf * _xlpm.FracGASFf)</definedName>
    <definedName name="CommonAgSoils_Equations.Agsoils_MassVolatilisedInorganicFertiliser_Arguments">_xlfn.LAMBDA(_xlfn.MAKEARRAY(2, 3, _xlfn.LAMBDA(_xlpm.r,_xlpm.c, INDEX({"MNf","Mass of nitrogen in inorganic fertiliser applied","kg N";"FracGASFf","Fraction of inorganic fertiliser that volatilises","(kg NH3–N + NOx–N)/kg N"}, _xlpm.r, _xlpm.c))))</definedName>
    <definedName name="CommonAgSoils_Equations.Agsoils_MassVolatilisedInorganicFertiliser_NIRReference">_xlfn.LAMBDA("National Inventory Report Volume 1, 2023: 3.D.B_1")</definedName>
    <definedName name="CommonAgSoils_Equations.Agsoils_MassVolatilisedInorganicFertiliser_ReadableEquation">_xlfn.LAMBDA("Mvolinorganic = MNf * FracGASFf")</definedName>
    <definedName name="CommonAgSoils_Equations.Agsoils_MassVolatilisedInorganicFertiliser_Title">_xlfn.LAMBDA("Mass of nitrogen volatilised from inorganic fertiliser deposited on soils")</definedName>
    <definedName name="CommonAgSoils_Equations.Agsoils_MassVolatilisedInorganicFertiliser_Unit">_xlfn.LAMBDA("kg N")</definedName>
    <definedName name="CommonAgSoils_Equations.Agsoils_MassVolatilisedInorganicFertiliser_Variable">_xlfn.LAMBDA("Mvolinorganic")</definedName>
    <definedName name="CommonAgSoils_Equations.AgSoils_UrineAndDungDeposited">_xlfn.LAMBDA(_xlpm.AFjm,_xlpm.AUjm,_xlpm.EFPRP,_xlpm.CgN2O, ((_xlpm.AFjm * _xlpm.EFPRP * _xlpm.CgN2O) + (_xlpm.AUjm * _xlpm.EFPRP * _xlpm.CgN2O)) * 10 ^ -3)</definedName>
    <definedName name="CommonAgSoils_Equations.AgSoils_UrineAndDungDeposited_Arguments">_xlfn.LAMBDA(_xlfn.MAKEARRAY(4, 3, _xlfn.LAMBDA(_xlpm.r,_xlpm.c, INDEX({"AFjm","mass of N in dung deposited on pasture, range and paddock","kg N";"AUjm","mass of N in urine deposited on pasture, range and paddock","kg N";"EFPRP","direct N2O emission factor for pasture, range and paddock","kg N2O-N/kg N";"CgN2O","factor to convert elemental mass of N2O to molecular mass",""}, _xlpm.r, _xlpm.c))))</definedName>
    <definedName name="CommonAgSoils_Equations.AgSoils_UrineAndDungDeposited_GWP">_xlfn.LAMBDA(_xlpm.EN2Odir,_xlpm.GWPN2O, (_xlpm.EN2Odir * _xlpm.GWPN2O))</definedName>
    <definedName name="CommonAgSoils_Equations.AgSoils_UrineAndDungDeposited_NIRReference">_xlfn.LAMBDA("National Inventory Report Volume 1, 2023: 3.D.a.3")</definedName>
    <definedName name="CommonAgSoils_Equations.AgSoils_UrineAndDungDeposited_ReadableEquation">_xlfn.LAMBDA("EN2Odir = ((AFjm=14 * EFPRP * CgN2O) + (AUjm=14 * EFPRP * CgN2O)) * 10^-3")</definedName>
    <definedName name="CommonAgSoils_Equations.AgSoils_UrineAndDungDeposited_Title">_xlfn.LAMBDA("Nitrous oxide production from urine and dung deposited by grazing animals on pasture, range and paddock")</definedName>
    <definedName name="CommonAgSoils_Equations.AgSoils_UrineAndDungDeposited_Unit">_xlfn.LAMBDA("t N2O")</definedName>
    <definedName name="CommonAgSoils_Equations.AgSoils_UrineAndDungDeposited_Variable">_xlfn.LAMBDA("EN2Odir")</definedName>
    <definedName name="CommonCropping_InputFunctions.CommonCropping_CalculateFractionResidueRemoved">_xlfn.LAMBDA(_xlpm.TotalResidue,_xlpm.AmountRemoved, (_xlpm.AmountRemoved * 10 ^ 3) / (_xlpm.TotalResidue * 10 ^ 3))</definedName>
    <definedName name="CommonCropping_InputFunctions.CommonCropping_CalculateHarvestIndex" localSheetId="20">_xlfn.LAMBDA(_xlpm.CropType,_xlpm.CropTypeArray,_xlpm.ResidueCropRatioArray, 1 / (1 + [0]!Common_InputFunctions.Utility_LookupValueInTableNumber(_xlpm.CropType, _xlpm.CropTypeArray, _xlpm.ResidueCropRatioArray)))</definedName>
    <definedName name="CommonCropping_InputFunctions.CommonCropping_CalculateHarvestIndex" localSheetId="21">_xlfn.LAMBDA(_xlpm.CropType,_xlpm.CropTypeArray,_xlpm.ResidueCropRatioArray, 1 / (1 + [0]!Common_InputFunctions.Utility_LookupValueInTableNumber(_xlpm.CropType, _xlpm.CropTypeArray, _xlpm.ResidueCropRatioArray)))</definedName>
    <definedName name="CommonCropping_InputFunctions.CommonCropping_CalculateHarvestIndex" localSheetId="22">_xlfn.LAMBDA(_xlpm.CropType,_xlpm.CropTypeArray,_xlpm.ResidueCropRatioArray, 1 / (1 + [0]!Common_InputFunctions.Utility_LookupValueInTableNumber(_xlpm.CropType, _xlpm.CropTypeArray, _xlpm.ResidueCropRatioArray)))</definedName>
    <definedName name="CommonCropping_InputFunctions.CommonCropping_CalculateHarvestIndex" localSheetId="23">_xlfn.LAMBDA(_xlpm.CropType,_xlpm.CropTypeArray,_xlpm.ResidueCropRatioArray, 1 / (1 + [0]!Common_InputFunctions.Utility_LookupValueInTableNumber(_xlpm.CropType, _xlpm.CropTypeArray, _xlpm.ResidueCropRatioArray)))</definedName>
    <definedName name="CommonCropping_InputFunctions.CommonCropping_CalculateHarvestIndex" localSheetId="24">_xlfn.LAMBDA(_xlpm.CropType,_xlpm.CropTypeArray,_xlpm.ResidueCropRatioArray, 1 / (1 + [0]!Common_InputFunctions.Utility_LookupValueInTableNumber(_xlpm.CropType, _xlpm.CropTypeArray, _xlpm.ResidueCropRatioArray)))</definedName>
    <definedName name="CommonCropping_InputFunctions.CommonCropping_CalculateHarvestIndex" localSheetId="25">_xlfn.LAMBDA(_xlpm.CropType,_xlpm.CropTypeArray,_xlpm.ResidueCropRatioArray, 1 / (1 + [0]!Common_InputFunctions.Utility_LookupValueInTableNumber(_xlpm.CropType, _xlpm.CropTypeArray, _xlpm.ResidueCropRatioArray)))</definedName>
    <definedName name="CommonCropping_InputFunctions.CommonCropping_CalculateHarvestIndex" localSheetId="26">_xlfn.LAMBDA(_xlpm.CropType,_xlpm.CropTypeArray,_xlpm.ResidueCropRatioArray, 1 / (1 + [0]!Common_InputFunctions.Utility_LookupValueInTableNumber(_xlpm.CropType, _xlpm.CropTypeArray, _xlpm.ResidueCropRatioArray)))</definedName>
    <definedName name="CommonCropping_InputFunctions.CommonCropping_CalculateHarvestIndex" localSheetId="27">_xlfn.LAMBDA(_xlpm.CropType,_xlpm.CropTypeArray,_xlpm.ResidueCropRatioArray, 1 / (1 + [0]!Common_InputFunctions.Utility_LookupValueInTableNumber(_xlpm.CropType, _xlpm.CropTypeArray, _xlpm.ResidueCropRatioArray)))</definedName>
    <definedName name="CommonCropping_InputFunctions.CommonCropping_CalculateHarvestIndex" localSheetId="28">_xlfn.LAMBDA(_xlpm.CropType,_xlpm.CropTypeArray,_xlpm.ResidueCropRatioArray, 1 / (1 + [0]!Common_InputFunctions.Utility_LookupValueInTableNumber(_xlpm.CropType, _xlpm.CropTypeArray, _xlpm.ResidueCropRatioArray)))</definedName>
    <definedName name="CommonCropping_InputFunctions.CommonCropping_CalculateHarvestIndex" localSheetId="29">_xlfn.LAMBDA(_xlpm.CropType,_xlpm.CropTypeArray,_xlpm.ResidueCropRatioArray, 1 / (1 + [0]!Common_InputFunctions.Utility_LookupValueInTableNumber(_xlpm.CropType, _xlpm.CropTypeArray, _xlpm.ResidueCropRatioArray)))</definedName>
    <definedName name="CommonCropping_InputFunctions.CommonCropping_CalculateHarvestIndex" localSheetId="30">_xlfn.LAMBDA(_xlpm.CropType,_xlpm.CropTypeArray,_xlpm.ResidueCropRatioArray, 1 / (1 + [0]!Common_InputFunctions.Utility_LookupValueInTableNumber(_xlpm.CropType, _xlpm.CropTypeArray, _xlpm.ResidueCropRatioArray)))</definedName>
    <definedName name="CommonCropping_InputFunctions.CommonCropping_CalculateHarvestIndex" localSheetId="31">_xlfn.LAMBDA(_xlpm.CropType,_xlpm.CropTypeArray,_xlpm.ResidueCropRatioArray, 1 / (1 + [0]!Common_InputFunctions.Utility_LookupValueInTableNumber(_xlpm.CropType, _xlpm.CropTypeArray, _xlpm.ResidueCropRatioArray)))</definedName>
    <definedName name="CommonCropping_InputFunctions.CommonCropping_CalculateHarvestIndex" localSheetId="32">_xlfn.LAMBDA(_xlpm.CropType,_xlpm.CropTypeArray,_xlpm.ResidueCropRatioArray, 1 / (1 + [0]!Common_InputFunctions.Utility_LookupValueInTableNumber(_xlpm.CropType, _xlpm.CropTypeArray, _xlpm.ResidueCropRatioArray)))</definedName>
    <definedName name="CommonCropping_InputFunctions.CommonCropping_CalculateHarvestIndex" localSheetId="48">_xlfn.LAMBDA(_xlpm.CropType,_xlpm.CropTypeArray,_xlpm.ResidueCropRatioArray,
    1/(1+Common_InputFunctions.Utility_LookupValueInTableNumber(_xlpm.CropType, _xlpm.CropTypeArray, _xlpm.ResidueCropRatioArray))
)</definedName>
    <definedName name="CommonCropping_InputFunctions.CommonCropping_CalculateHarvestIndex" localSheetId="40">_xlfn.LAMBDA(_xlpm.CropType,_xlpm.CropTypeArray,_xlpm.ResidueCropRatioArray, 1 / (1 + [0]!Common_InputFunctions.Utility_LookupValueInTableNumber(_xlpm.CropType, _xlpm.CropTypeArray, _xlpm.ResidueCropRatioArray)))</definedName>
    <definedName name="CommonCropping_InputFunctions.CommonCropping_CalculateHarvestIndex" localSheetId="41">_xlfn.LAMBDA(_xlpm.CropType,_xlpm.CropTypeArray,_xlpm.ResidueCropRatioArray, 1 / (1 + [0]!Common_InputFunctions.Utility_LookupValueInTableNumber(_xlpm.CropType, _xlpm.CropTypeArray, _xlpm.ResidueCropRatioArray)))</definedName>
    <definedName name="CommonCropping_InputFunctions.CommonCropping_CalculateHarvestIndex" localSheetId="43">_xlfn.LAMBDA(_xlpm.CropType,_xlpm.CropTypeArray,_xlpm.ResidueCropRatioArray, 1 / (1 + [0]!Common_InputFunctions.Utility_LookupValueInTableNumber(_xlpm.CropType, _xlpm.CropTypeArray, _xlpm.ResidueCropRatioArray)))</definedName>
    <definedName name="CommonCropping_InputFunctions.CommonCropping_CalculateHarvestIndex" localSheetId="39">_xlfn.LAMBDA(_xlpm.CropType,_xlpm.CropTypeArray,_xlpm.ResidueCropRatioArray, 1 / (1 + [0]!Common_InputFunctions.Utility_LookupValueInTableNumber(_xlpm.CropType, _xlpm.CropTypeArray, _xlpm.ResidueCropRatioArray)))</definedName>
    <definedName name="CommonCropping_InputFunctions.CommonCropping_CalculateHarvestIndex" localSheetId="10">_xlfn.LAMBDA(_xlpm.CropType,_xlpm.CropTypeArray,_xlpm.ResidueCropRatioArray, 1 / (1 + [0]!Common_InputFunctions.Utility_LookupValueInTableNumber(_xlpm.CropType, _xlpm.CropTypeArray, _xlpm.ResidueCropRatioArray)))</definedName>
    <definedName name="CommonCropping_InputFunctions.CommonCropping_CalculateHarvestIndex" localSheetId="8">_xlfn.LAMBDA(_xlpm.CropType,_xlpm.CropTypeArray,_xlpm.ResidueCropRatioArray, 1 / (1 + [0]!Common_InputFunctions.Utility_LookupValueInTableNumber(_xlpm.CropType, _xlpm.CropTypeArray, _xlpm.ResidueCropRatioArray)))</definedName>
    <definedName name="CommonCropping_InputFunctions.CommonCropping_CalculateHarvestIndex">_xlfn.LAMBDA(_xlpm.CropType,_xlpm.CropTypeArray,_xlpm.ResidueCropRatioArray, 1 / (1 + [0]!Common_InputFunctions.Utility_LookupValueInTableNumber(_xlpm.CropType, _xlpm.CropTypeArray, _xlpm.ResidueCropRatioArray)))</definedName>
    <definedName name="CommonCropping_InputFunctions.CommonCropping_CalculateResidueCropRatio">_xlfn.LAMBDA(_xlpm.HarvestIndex, (1 - _xlpm.HarvestIndex) / _xlpm.HarvestIndex)</definedName>
    <definedName name="CommonCropping_InputFunctions.CommonCropping_GetFracWET" localSheetId="20">_xlfn.LAMBDA(_xlpm.LeachingZone,_xlpm.ProductionSystem,_xlpm.LeachingZoneLookup,_xlpm.LeachingZoneFracWETLookup,_xlpm.ProductionSystemLookup,_xlpm.ProductionSystemFracWETLookup, _xlfn.LET(_xlpm.LeachingZoneFracWET, [0]!Common_InputFunctions.Utility_LookupValueInTableNumber(_xlpm.LeachingZone, _xlpm.LeachingZoneLookup, _xlpm.LeachingZoneFracWETLookup), _xlpm.ProductionSystemFracWET, [0]!Common_InputFunctions.Utility_LookupValueInTableNumber(_xlpm.ProductionSystem, _xlpm.ProductionSystemLookup, _xlpm.ProductionSystemFracWETLookup), IF(_xlpm.LeachingZoneFracWET + _xlpm.ProductionSystemFracWET &gt; 0, 1, 0)))</definedName>
    <definedName name="CommonCropping_InputFunctions.CommonCropping_GetFracWET" localSheetId="21">_xlfn.LAMBDA(_xlpm.LeachingZone,_xlpm.ProductionSystem,_xlpm.LeachingZoneLookup,_xlpm.LeachingZoneFracWETLookup,_xlpm.ProductionSystemLookup,_xlpm.ProductionSystemFracWETLookup, _xlfn.LET(_xlpm.LeachingZoneFracWET, [0]!Common_InputFunctions.Utility_LookupValueInTableNumber(_xlpm.LeachingZone, _xlpm.LeachingZoneLookup, _xlpm.LeachingZoneFracWETLookup), _xlpm.ProductionSystemFracWET, [0]!Common_InputFunctions.Utility_LookupValueInTableNumber(_xlpm.ProductionSystem, _xlpm.ProductionSystemLookup, _xlpm.ProductionSystemFracWETLookup), IF(_xlpm.LeachingZoneFracWET + _xlpm.ProductionSystemFracWET &gt; 0, 1, 0)))</definedName>
    <definedName name="CommonCropping_InputFunctions.CommonCropping_GetFracWET" localSheetId="22">_xlfn.LAMBDA(_xlpm.LeachingZone,_xlpm.ProductionSystem,_xlpm.LeachingZoneLookup,_xlpm.LeachingZoneFracWETLookup,_xlpm.ProductionSystemLookup,_xlpm.ProductionSystemFracWETLookup, _xlfn.LET(_xlpm.LeachingZoneFracWET, [0]!Common_InputFunctions.Utility_LookupValueInTableNumber(_xlpm.LeachingZone, _xlpm.LeachingZoneLookup, _xlpm.LeachingZoneFracWETLookup), _xlpm.ProductionSystemFracWET, [0]!Common_InputFunctions.Utility_LookupValueInTableNumber(_xlpm.ProductionSystem, _xlpm.ProductionSystemLookup, _xlpm.ProductionSystemFracWETLookup), IF(_xlpm.LeachingZoneFracWET + _xlpm.ProductionSystemFracWET &gt; 0, 1, 0)))</definedName>
    <definedName name="CommonCropping_InputFunctions.CommonCropping_GetFracWET" localSheetId="23">_xlfn.LAMBDA(_xlpm.LeachingZone,_xlpm.ProductionSystem,_xlpm.LeachingZoneLookup,_xlpm.LeachingZoneFracWETLookup,_xlpm.ProductionSystemLookup,_xlpm.ProductionSystemFracWETLookup, _xlfn.LET(_xlpm.LeachingZoneFracWET, [0]!Common_InputFunctions.Utility_LookupValueInTableNumber(_xlpm.LeachingZone, _xlpm.LeachingZoneLookup, _xlpm.LeachingZoneFracWETLookup), _xlpm.ProductionSystemFracWET, [0]!Common_InputFunctions.Utility_LookupValueInTableNumber(_xlpm.ProductionSystem, _xlpm.ProductionSystemLookup, _xlpm.ProductionSystemFracWETLookup), IF(_xlpm.LeachingZoneFracWET + _xlpm.ProductionSystemFracWET &gt; 0, 1, 0)))</definedName>
    <definedName name="CommonCropping_InputFunctions.CommonCropping_GetFracWET" localSheetId="24">_xlfn.LAMBDA(_xlpm.LeachingZone,_xlpm.ProductionSystem,_xlpm.LeachingZoneLookup,_xlpm.LeachingZoneFracWETLookup,_xlpm.ProductionSystemLookup,_xlpm.ProductionSystemFracWETLookup, _xlfn.LET(_xlpm.LeachingZoneFracWET, [0]!Common_InputFunctions.Utility_LookupValueInTableNumber(_xlpm.LeachingZone, _xlpm.LeachingZoneLookup, _xlpm.LeachingZoneFracWETLookup), _xlpm.ProductionSystemFracWET, [0]!Common_InputFunctions.Utility_LookupValueInTableNumber(_xlpm.ProductionSystem, _xlpm.ProductionSystemLookup, _xlpm.ProductionSystemFracWETLookup), IF(_xlpm.LeachingZoneFracWET + _xlpm.ProductionSystemFracWET &gt; 0, 1, 0)))</definedName>
    <definedName name="CommonCropping_InputFunctions.CommonCropping_GetFracWET" localSheetId="25">_xlfn.LAMBDA(_xlpm.LeachingZone,_xlpm.ProductionSystem,_xlpm.LeachingZoneLookup,_xlpm.LeachingZoneFracWETLookup,_xlpm.ProductionSystemLookup,_xlpm.ProductionSystemFracWETLookup, _xlfn.LET(_xlpm.LeachingZoneFracWET, [0]!Common_InputFunctions.Utility_LookupValueInTableNumber(_xlpm.LeachingZone, _xlpm.LeachingZoneLookup, _xlpm.LeachingZoneFracWETLookup), _xlpm.ProductionSystemFracWET, [0]!Common_InputFunctions.Utility_LookupValueInTableNumber(_xlpm.ProductionSystem, _xlpm.ProductionSystemLookup, _xlpm.ProductionSystemFracWETLookup), IF(_xlpm.LeachingZoneFracWET + _xlpm.ProductionSystemFracWET &gt; 0, 1, 0)))</definedName>
    <definedName name="CommonCropping_InputFunctions.CommonCropping_GetFracWET" localSheetId="26">_xlfn.LAMBDA(_xlpm.LeachingZone,_xlpm.ProductionSystem,_xlpm.LeachingZoneLookup,_xlpm.LeachingZoneFracWETLookup,_xlpm.ProductionSystemLookup,_xlpm.ProductionSystemFracWETLookup, _xlfn.LET(_xlpm.LeachingZoneFracWET, [0]!Common_InputFunctions.Utility_LookupValueInTableNumber(_xlpm.LeachingZone, _xlpm.LeachingZoneLookup, _xlpm.LeachingZoneFracWETLookup), _xlpm.ProductionSystemFracWET, [0]!Common_InputFunctions.Utility_LookupValueInTableNumber(_xlpm.ProductionSystem, _xlpm.ProductionSystemLookup, _xlpm.ProductionSystemFracWETLookup), IF(_xlpm.LeachingZoneFracWET + _xlpm.ProductionSystemFracWET &gt; 0, 1, 0)))</definedName>
    <definedName name="CommonCropping_InputFunctions.CommonCropping_GetFracWET" localSheetId="27">_xlfn.LAMBDA(_xlpm.LeachingZone,_xlpm.ProductionSystem,_xlpm.LeachingZoneLookup,_xlpm.LeachingZoneFracWETLookup,_xlpm.ProductionSystemLookup,_xlpm.ProductionSystemFracWETLookup, _xlfn.LET(_xlpm.LeachingZoneFracWET, [0]!Common_InputFunctions.Utility_LookupValueInTableNumber(_xlpm.LeachingZone, _xlpm.LeachingZoneLookup, _xlpm.LeachingZoneFracWETLookup), _xlpm.ProductionSystemFracWET, [0]!Common_InputFunctions.Utility_LookupValueInTableNumber(_xlpm.ProductionSystem, _xlpm.ProductionSystemLookup, _xlpm.ProductionSystemFracWETLookup), IF(_xlpm.LeachingZoneFracWET + _xlpm.ProductionSystemFracWET &gt; 0, 1, 0)))</definedName>
    <definedName name="CommonCropping_InputFunctions.CommonCropping_GetFracWET" localSheetId="28">_xlfn.LAMBDA(_xlpm.LeachingZone,_xlpm.ProductionSystem,_xlpm.LeachingZoneLookup,_xlpm.LeachingZoneFracWETLookup,_xlpm.ProductionSystemLookup,_xlpm.ProductionSystemFracWETLookup, _xlfn.LET(_xlpm.LeachingZoneFracWET, [0]!Common_InputFunctions.Utility_LookupValueInTableNumber(_xlpm.LeachingZone, _xlpm.LeachingZoneLookup, _xlpm.LeachingZoneFracWETLookup), _xlpm.ProductionSystemFracWET, [0]!Common_InputFunctions.Utility_LookupValueInTableNumber(_xlpm.ProductionSystem, _xlpm.ProductionSystemLookup, _xlpm.ProductionSystemFracWETLookup), IF(_xlpm.LeachingZoneFracWET + _xlpm.ProductionSystemFracWET &gt; 0, 1, 0)))</definedName>
    <definedName name="CommonCropping_InputFunctions.CommonCropping_GetFracWET" localSheetId="29">_xlfn.LAMBDA(_xlpm.LeachingZone,_xlpm.ProductionSystem,_xlpm.LeachingZoneLookup,_xlpm.LeachingZoneFracWETLookup,_xlpm.ProductionSystemLookup,_xlpm.ProductionSystemFracWETLookup, _xlfn.LET(_xlpm.LeachingZoneFracWET, [0]!Common_InputFunctions.Utility_LookupValueInTableNumber(_xlpm.LeachingZone, _xlpm.LeachingZoneLookup, _xlpm.LeachingZoneFracWETLookup), _xlpm.ProductionSystemFracWET, [0]!Common_InputFunctions.Utility_LookupValueInTableNumber(_xlpm.ProductionSystem, _xlpm.ProductionSystemLookup, _xlpm.ProductionSystemFracWETLookup), IF(_xlpm.LeachingZoneFracWET + _xlpm.ProductionSystemFracWET &gt; 0, 1, 0)))</definedName>
    <definedName name="CommonCropping_InputFunctions.CommonCropping_GetFracWET" localSheetId="30">_xlfn.LAMBDA(_xlpm.LeachingZone,_xlpm.ProductionSystem,_xlpm.LeachingZoneLookup,_xlpm.LeachingZoneFracWETLookup,_xlpm.ProductionSystemLookup,_xlpm.ProductionSystemFracWETLookup, _xlfn.LET(_xlpm.LeachingZoneFracWET, [0]!Common_InputFunctions.Utility_LookupValueInTableNumber(_xlpm.LeachingZone, _xlpm.LeachingZoneLookup, _xlpm.LeachingZoneFracWETLookup), _xlpm.ProductionSystemFracWET, [0]!Common_InputFunctions.Utility_LookupValueInTableNumber(_xlpm.ProductionSystem, _xlpm.ProductionSystemLookup, _xlpm.ProductionSystemFracWETLookup), IF(_xlpm.LeachingZoneFracWET + _xlpm.ProductionSystemFracWET &gt; 0, 1, 0)))</definedName>
    <definedName name="CommonCropping_InputFunctions.CommonCropping_GetFracWET" localSheetId="31">_xlfn.LAMBDA(_xlpm.LeachingZone,_xlpm.ProductionSystem,_xlpm.LeachingZoneLookup,_xlpm.LeachingZoneFracWETLookup,_xlpm.ProductionSystemLookup,_xlpm.ProductionSystemFracWETLookup, _xlfn.LET(_xlpm.LeachingZoneFracWET, [0]!Common_InputFunctions.Utility_LookupValueInTableNumber(_xlpm.LeachingZone, _xlpm.LeachingZoneLookup, _xlpm.LeachingZoneFracWETLookup), _xlpm.ProductionSystemFracWET, [0]!Common_InputFunctions.Utility_LookupValueInTableNumber(_xlpm.ProductionSystem, _xlpm.ProductionSystemLookup, _xlpm.ProductionSystemFracWETLookup), IF(_xlpm.LeachingZoneFracWET + _xlpm.ProductionSystemFracWET &gt; 0, 1, 0)))</definedName>
    <definedName name="CommonCropping_InputFunctions.CommonCropping_GetFracWET" localSheetId="32">_xlfn.LAMBDA(_xlpm.LeachingZone,_xlpm.ProductionSystem,_xlpm.LeachingZoneLookup,_xlpm.LeachingZoneFracWETLookup,_xlpm.ProductionSystemLookup,_xlpm.ProductionSystemFracWETLookup, _xlfn.LET(_xlpm.LeachingZoneFracWET, [0]!Common_InputFunctions.Utility_LookupValueInTableNumber(_xlpm.LeachingZone, _xlpm.LeachingZoneLookup, _xlpm.LeachingZoneFracWETLookup), _xlpm.ProductionSystemFracWET, [0]!Common_InputFunctions.Utility_LookupValueInTableNumber(_xlpm.ProductionSystem, _xlpm.ProductionSystemLookup, _xlpm.ProductionSystemFracWETLookup), IF(_xlpm.LeachingZoneFracWET + _xlpm.ProductionSystemFracWET &gt; 0, 1, 0)))</definedName>
    <definedName name="CommonCropping_InputFunctions.CommonCropping_GetFracWET" localSheetId="48">_xlfn.LAMBDA(_xlpm.LeachingZone,_xlpm.ProductionSystem,_xlpm.LeachingZoneLookup,_xlpm.LeachingZoneFracWETLookup,_xlpm.ProductionSystemLookup,_xlpm.ProductionSystemFracWETLookup,
    _xlfn.LET(
        _xlpm.LeachingZoneFracWET,
        Common_InputFunctions.Utility_LookupValueInTableNumber(
            _xlpm.LeachingZone,_xlpm.LeachingZoneLookup,_xlpm.LeachingZoneFracWETLookup
        ),
        _xlpm.ProductionSystemFracWET,
        Common_InputFunctions.Utility_LookupValueInTableNumber(
            _xlpm.ProductionSystem,_xlpm.ProductionSystemLookup,_xlpm.ProductionSystemFracWETLookup
        ),
        IF(_xlpm.LeachingZoneFracWET + _xlpm.ProductionSystemFracWET&gt;0, 1, 0)
    ))</definedName>
    <definedName name="CommonCropping_InputFunctions.CommonCropping_GetFracWET" localSheetId="40">_xlfn.LAMBDA(_xlpm.LeachingZone,_xlpm.ProductionSystem,_xlpm.LeachingZoneLookup,_xlpm.LeachingZoneFracWETLookup,_xlpm.ProductionSystemLookup,_xlpm.ProductionSystemFracWETLookup, _xlfn.LET(_xlpm.LeachingZoneFracWET, [0]!Common_InputFunctions.Utility_LookupValueInTableNumber(_xlpm.LeachingZone, _xlpm.LeachingZoneLookup, _xlpm.LeachingZoneFracWETLookup), _xlpm.ProductionSystemFracWET, [0]!Common_InputFunctions.Utility_LookupValueInTableNumber(_xlpm.ProductionSystem, _xlpm.ProductionSystemLookup, _xlpm.ProductionSystemFracWETLookup), IF(_xlpm.LeachingZoneFracWET + _xlpm.ProductionSystemFracWET &gt; 0, 1, 0)))</definedName>
    <definedName name="CommonCropping_InputFunctions.CommonCropping_GetFracWET" localSheetId="41">_xlfn.LAMBDA(_xlpm.LeachingZone,_xlpm.ProductionSystem,_xlpm.LeachingZoneLookup,_xlpm.LeachingZoneFracWETLookup,_xlpm.ProductionSystemLookup,_xlpm.ProductionSystemFracWETLookup, _xlfn.LET(_xlpm.LeachingZoneFracWET, [0]!Common_InputFunctions.Utility_LookupValueInTableNumber(_xlpm.LeachingZone, _xlpm.LeachingZoneLookup, _xlpm.LeachingZoneFracWETLookup), _xlpm.ProductionSystemFracWET, [0]!Common_InputFunctions.Utility_LookupValueInTableNumber(_xlpm.ProductionSystem, _xlpm.ProductionSystemLookup, _xlpm.ProductionSystemFracWETLookup), IF(_xlpm.LeachingZoneFracWET + _xlpm.ProductionSystemFracWET &gt; 0, 1, 0)))</definedName>
    <definedName name="CommonCropping_InputFunctions.CommonCropping_GetFracWET" localSheetId="43">_xlfn.LAMBDA(_xlpm.LeachingZone,_xlpm.ProductionSystem,_xlpm.LeachingZoneLookup,_xlpm.LeachingZoneFracWETLookup,_xlpm.ProductionSystemLookup,_xlpm.ProductionSystemFracWETLookup, _xlfn.LET(_xlpm.LeachingZoneFracWET, [0]!Common_InputFunctions.Utility_LookupValueInTableNumber(_xlpm.LeachingZone, _xlpm.LeachingZoneLookup, _xlpm.LeachingZoneFracWETLookup), _xlpm.ProductionSystemFracWET, [0]!Common_InputFunctions.Utility_LookupValueInTableNumber(_xlpm.ProductionSystem, _xlpm.ProductionSystemLookup, _xlpm.ProductionSystemFracWETLookup), IF(_xlpm.LeachingZoneFracWET + _xlpm.ProductionSystemFracWET &gt; 0, 1, 0)))</definedName>
    <definedName name="CommonCropping_InputFunctions.CommonCropping_GetFracWET" localSheetId="39">_xlfn.LAMBDA(_xlpm.LeachingZone,_xlpm.ProductionSystem,_xlpm.LeachingZoneLookup,_xlpm.LeachingZoneFracWETLookup,_xlpm.ProductionSystemLookup,_xlpm.ProductionSystemFracWETLookup, _xlfn.LET(_xlpm.LeachingZoneFracWET, [0]!Common_InputFunctions.Utility_LookupValueInTableNumber(_xlpm.LeachingZone, _xlpm.LeachingZoneLookup, _xlpm.LeachingZoneFracWETLookup), _xlpm.ProductionSystemFracWET, [0]!Common_InputFunctions.Utility_LookupValueInTableNumber(_xlpm.ProductionSystem, _xlpm.ProductionSystemLookup, _xlpm.ProductionSystemFracWETLookup), IF(_xlpm.LeachingZoneFracWET + _xlpm.ProductionSystemFracWET &gt; 0, 1, 0)))</definedName>
    <definedName name="CommonCropping_InputFunctions.CommonCropping_GetFracWET" localSheetId="10">_xlfn.LAMBDA(_xlpm.LeachingZone,_xlpm.ProductionSystem,_xlpm.LeachingZoneLookup,_xlpm.LeachingZoneFracWETLookup,_xlpm.ProductionSystemLookup,_xlpm.ProductionSystemFracWETLookup, _xlfn.LET(_xlpm.LeachingZoneFracWET, [0]!Common_InputFunctions.Utility_LookupValueInTableNumber(_xlpm.LeachingZone, _xlpm.LeachingZoneLookup, _xlpm.LeachingZoneFracWETLookup), _xlpm.ProductionSystemFracWET, [0]!Common_InputFunctions.Utility_LookupValueInTableNumber(_xlpm.ProductionSystem, _xlpm.ProductionSystemLookup, _xlpm.ProductionSystemFracWETLookup), IF(_xlpm.LeachingZoneFracWET + _xlpm.ProductionSystemFracWET &gt; 0, 1, 0)))</definedName>
    <definedName name="CommonCropping_InputFunctions.CommonCropping_GetFracWET" localSheetId="8">_xlfn.LAMBDA(_xlpm.LeachingZone,_xlpm.ProductionSystem,_xlpm.LeachingZoneLookup,_xlpm.LeachingZoneFracWETLookup,_xlpm.ProductionSystemLookup,_xlpm.ProductionSystemFracWETLookup, _xlfn.LET(_xlpm.LeachingZoneFracWET, [0]!Common_InputFunctions.Utility_LookupValueInTableNumber(_xlpm.LeachingZone, _xlpm.LeachingZoneLookup, _xlpm.LeachingZoneFracWETLookup), _xlpm.ProductionSystemFracWET, [0]!Common_InputFunctions.Utility_LookupValueInTableNumber(_xlpm.ProductionSystem, _xlpm.ProductionSystemLookup, _xlpm.ProductionSystemFracWETLookup), IF(_xlpm.LeachingZoneFracWET + _xlpm.ProductionSystemFracWET &gt; 0, 1, 0)))</definedName>
    <definedName name="CommonCropping_InputFunctions.CommonCropping_GetFracWET">_xlfn.LAMBDA(_xlpm.LeachingZone,_xlpm.ProductionSystem,_xlpm.LeachingZoneLookup,_xlpm.LeachingZoneFracWETLookup,_xlpm.ProductionSystemLookup,_xlpm.ProductionSystemFracWETLookup, _xlfn.LET(_xlpm.LeachingZoneFracWET, [0]!Common_InputFunctions.Utility_LookupValueInTableNumber(_xlpm.LeachingZone, _xlpm.LeachingZoneLookup, _xlpm.LeachingZoneFracWETLookup), _xlpm.ProductionSystemFracWET, [0]!Common_InputFunctions.Utility_LookupValueInTableNumber(_xlpm.ProductionSystem, _xlpm.ProductionSystemLookup, _xlpm.ProductionSystemFracWETLookup), IF(_xlpm.LeachingZoneFracWET + _xlpm.ProductionSystemFracWET &gt; 0, 1, 0)))</definedName>
    <definedName name="CommonCropping_SourceData.CommonCropping_SourceData_FracGASFfInorganicFertiliser_Data">_xlfn.LAMBDA(_xlfn.MAKEARRAY(6, 3, _xlfn.LAMBDA(_xlpm.r,_xlpm.c, INDEX({"Fertiliser type f","FracGASFf","Basis";"Urea-based fertilisers",0.15,"Urea";"Ammonium-based fertilisers",0.08,"Ammonium";"Nitrate-based fertilisers",0.01,"Nitrate";"Ammonium-nitrate based fertilisers",0.05,"Ammonium-nitrate";"Other fertilisers",0.11,"Other"}, _xlpm.r, _xlpm.c))))</definedName>
    <definedName name="CommonCropping_SourceData.CommonCropping_SourceData_FracGASFfInorganicFertiliser_NIRReference">_xlfn.LAMBDA("IPCC 2019 Refinement Volume 4 Table 11.3 [1, p. 11]")</definedName>
    <definedName name="CommonCropping_SourceData.CommonCropping_SourceData_FracGASFfInorganicFertiliser_Source">_xlfn.LAMBDA("VEERG 2026:Table 12.2.2.9")</definedName>
    <definedName name="CommonCropping_SourceData.CommonCropping_SourceData_FracGASFfInorganicFertiliser_Title">_xlfn.LAMBDA("The direct nitrous oxide EF from the organic fertiliser when applied to soils")</definedName>
    <definedName name="CommonCropping_SourceData.CommonCropping_SourceData_FracGASFfInorganicFertiliser_Unit">_xlfn.LAMBDA("(kg NH3-N + NOx-N)/kg N")</definedName>
    <definedName name="CommonCropping_SourceData.CommonCropping_SourceData_FracGASFfInorganicFertiliser_Variation">_xlfn.LAMBDA(("VARIATION FROM SOURCE DATA: Added extra 'Basis' column with simplified naming to assis with lookups in equations"))</definedName>
    <definedName name="CommonCropping_SourceData.CommonCropping_SourceData_FracWETIrrigation_Data">_xlfn.LAMBDA(_xlfn.MAKEARRAY(6, 2, _xlfn.LAMBDA(_xlpm.r,_xlpm.c, INDEX({"Irrigation type ir","FracWET";"Not irrigated",0;"Drip irrigation",0;"Sprinkler irrigation",1;"Surface irrigation",1;"Other irrigation",1}, _xlpm.r, _xlpm.c))))</definedName>
    <definedName name="CommonCropping_SourceData.CommonCropping_SourceData_FracWETIrrigation_NIRReference">_xlfn.LAMBDA("IPCC 2019 Refinement Volume 4: Chapter 11: N2O Emissions from Managed Soils, and CO2 Emissions from Lime and Urea Application")</definedName>
    <definedName name="CommonCropping_SourceData.CommonCropping_SourceData_FracWETIrrigation_Source">_xlfn.LAMBDA("VEERG 2026: Chapter 1, section 1.8.2 Leaching, climate and rainfall zones")</definedName>
    <definedName name="CommonCropping_SourceData.CommonCropping_SourceData_FracWETIrrigation_Title">_xlfn.LAMBDA("FracWET for irrigation types")</definedName>
    <definedName name="CommonCropping_SourceData.CommonCropping_SourceData_FracWETIrrigation_Unit">_xlfn.LAMBDA("dimensionless")</definedName>
    <definedName name="CommonCropping_SourceData.CommonCropping_SourceData_FracWETIrrigation_Variation">_xlfn.LAMBDA("VARIATION FROM SOURCE DATA: Table created based on VEERG text 'Areas are subject to leaching (i.e., in the leaching zone) when... the land is irrigated (except drip irrigation).'")</definedName>
    <definedName name="CommonCropping_SourceData.CommonCropping_SourceData_N2OEFOrganicFertiliser_Data">_xlfn.LAMBDA(_xlfn.MAKEARRAY(3, 2, _xlfn.LAMBDA(_xlpm.r,_xlpm.c, INDEX({"Climate zone i","EF i N2O";"Wet climate zone",0.006;"Dry climate zone",0.005}, _xlpm.r, _xlpm.c))))</definedName>
    <definedName name="CommonCropping_SourceData.CommonCropping_SourceData_N2OEFOrganicFertiliser_NIRReference">_xlfn.LAMBDA("IPCC 2019 Refinement Volume 4 Table 11.1 [1, p. 11]")</definedName>
    <definedName name="CommonCropping_SourceData.CommonCropping_SourceData_N2OEFOrganicFertiliser_Source">_xlfn.LAMBDA("VEERG 2026: Table A.2.1.4")</definedName>
    <definedName name="CommonCropping_SourceData.CommonCropping_SourceData_N2OEFOrganicFertiliser_Title">_xlfn.LAMBDA("Emission factor for organic fertiliser and crop residues returned to the soil")</definedName>
    <definedName name="CommonCropping_SourceData.CommonCropping_SourceData_N2OEFOrganicFertiliser_Unit">_xlfn.LAMBDA("kg N2O - N / kg N")</definedName>
    <definedName name="CommonCropping_SourceData.CommonCropping_SourceData_N2OEFsInorganicFertiliser_Data">_xlfn.LAMBDA(_xlfn.MAKEARRAY(8, 2, _xlfn.LAMBDA(_xlpm.r,_xlpm.c, INDEX({"Production system","Emission factor";"Irrigated pasture",0.0059;"Irrigated crop",0.007;"Non-irrigated pasture",0.0018;"Non-irrigated crop",0.0041;"Sugar cane",0.0199;"Cotton",0.0053;"Horticulture",0.0064}, _xlpm.r, _xlpm.c))))</definedName>
    <definedName name="CommonCropping_SourceData.CommonCropping_SourceData_N2OEFsInorganicFertiliser_Source">_xlfn.LAMBDA("National Inventory Report 2023 Volume 1: Table 5.21")</definedName>
    <definedName name="CommonCropping_SourceData.CommonCropping_SourceData_N2OEFsInorganicFertiliser_Title">_xlfn.LAMBDA("Nitrous oxide EFs for inorganic fertiliser")</definedName>
    <definedName name="CommonCropping_SourceData.CommonCropping_SourceData_N2OEFsInorganicFertiliser_Unit">_xlfn.LAMBDA("Gg N2O-N/ Gg N")</definedName>
    <definedName name="CommonCropping_SourceData.CommonCropping_SourceData_UreaCO2EF_Data">_xlfn.LAMBDA(0.2)</definedName>
    <definedName name="CommonCropping_SourceData.CommonCropping_SourceData_UreaCO2EF_Source">_xlfn.LAMBDA("National Inventory Report 2023 Volume 1: Equation 3.H_1")</definedName>
    <definedName name="CommonCropping_SourceData.CommonCropping_SourceData_UreaCO2EF_Title">_xlfn.LAMBDA("Emission factor for carbon emissions from urea application")</definedName>
    <definedName name="CommonCropping_SourceData.CommonCropping_SourceData_UreaCO2EF_Unit">_xlfn.LAMBDA("tonne C/tonne urea")</definedName>
    <definedName name="CommonLivestock_InputFunctions.AverageLiveweightEndOfMonth">_xlfn.LAMBDA(_xlpm.Month,_xlpm.LivestockClass,_xlpm.HeadAtStart,_xlpm.LiveweightAtStart,_xlpm.LiveweightGain, [0]!CommonLivestock_InputFunctions.LivestockMovement_ProportionalAverageLiveweightAddedDuringMonth(_xlpm.Month, _xlpm.LivestockClass, _xlpm.HeadAtStart) + [0]!CommonLivestock_InputFunctions.LivestockMovement_ProportionalAverageLiveweightRemainingAtEndOfMonth(_xlpm.Month, _xlpm.LivestockClass, _xlpm.HeadAtStart, _xlpm.LiveweightAtStart, _xlpm.LiveweightGain))</definedName>
    <definedName name="CommonLivestock_InputFunctions.Livestock_LookupMCFState">_xlfn.LAMBDA(_xlpm.MMS,_xlpm.MMSArray,_xlpm.State,_xlpm.StateArray,_xlpm.ReturnArray, _xlfn.XLOOKUP(_xlpm.MMS, _xlpm.MMSArray, _xlfn.XLOOKUP(_xlpm.State, _xlpm.StateArray, _xlpm.ReturnArray)))</definedName>
    <definedName name="CommonLivestock_InputFunctions.LivestockMovement_AverageLiveweightAddedDuringMonth">_xlfn.LAMBDA(_xlpm.Month,_xlpm.LivestockClass, IFERROR([0]!CommonLivestock_InputFunctions.LivestockMovement_TotalLiveweightAddedDuringMonth(_xlpm.Month, _xlpm.LivestockClass) / [0]!CommonLivestock_InputFunctions.LivestockMovement_HeadAddedDuringMonth(_xlpm.Month, _xlpm.LivestockClass), 0))</definedName>
    <definedName name="CommonLivestock_InputFunctions.LivestockMovement_GetMovementLiveweightGain">_xlfn.LAMBDA(_xlpm.LivestockClass,_xlpm.MovementDate, _xlfn.LET(_xlpm.ym, TEXT(_xlpm.MovementDate, "yyyymm"), IFERROR(INDEX(_xlfn._xlws.FILTER(#REF!, (TEXT(#REF!, "yyyymm") = _xlpm.ym) * (#REF! = _xlpm.LivestockClass)), 1), "")))</definedName>
    <definedName name="CommonLivestock_InputFunctions.LivestockMovement_HeadAddedDuringMonth">_xlfn.LAMBDA(_xlpm.Month,_xlpm.LivestockClass, IFERROR(SUM(_xlfn._xlws.FILTER(#REF!, (#REF! &gt;= EOMONTH(_xlpm.Month, -1) + 1) * (#REF! &lt;= EOMONTH(_xlpm.Month, 0)) * (#REF! = _xlpm.LivestockClass))), 0))</definedName>
    <definedName name="CommonLivestock_InputFunctions.LivestockMovement_HeadAtEndOfMonth">_xlfn.LAMBDA(_xlpm.HeadAtStart,_xlpm.Month,_xlpm.LivestockClass, _xlpm.HeadAtStart + [0]!CommonLivestock_InputFunctions.LivestockMovement_HeadAddedDuringMonth(_xlpm.Month, _xlpm.LivestockClass) - [0]!CommonLivestock_InputFunctions.LivestockMovement_HeadLostDuringMonth(_xlpm.Month, _xlpm.LivestockClass))</definedName>
    <definedName name="CommonLivestock_InputFunctions.LivestockMovement_HeadLostDuringMonth">_xlfn.LAMBDA(_xlpm.Month,_xlpm.LivestockClass, IFERROR(SUM(_xlfn._xlws.FILTER(#REF!, (#REF! &gt;= EOMONTH(_xlpm.Month, -1) + 1) * (#REF! &lt;= EOMONTH(_xlpm.Month, 0)) * (#REF! = _xlpm.LivestockClass))), 0))</definedName>
    <definedName name="CommonLivestock_InputFunctions.LivestockMovement_HeadRemainingAtMonthEnd">_xlfn.LAMBDA(_xlpm.Month,_xlpm.LivestockClass,_xlpm.HeadAtStartOfMonth, MAX(_xlpm.HeadAtStartOfMonth - [0]!CommonLivestock_InputFunctions.LivestockMovement_HeadLostDuringMonth(_xlpm.Month, _xlpm.LivestockClass), 0))</definedName>
    <definedName name="CommonLivestock_InputFunctions.LivestockMovement_LiveweightAddedDuringMonth">_xlfn.LAMBDA(_xlpm.LivestockClass,_xlpm.MovementDate,_xlpm.WeightAtMovementDate,_xlpm.Head, IFERROR(_xlpm.Head * (_xlpm.WeightAtMovementDate + [0]!CommonLivestock_InputFunctions.LivestockMovement_LiveweightGrownDuringMonthPerHead(_xlpm.LivestockClass, _xlpm.MovementDate)), 0))</definedName>
    <definedName name="CommonLivestock_InputFunctions.LivestockMovement_LiveweightGrownDuringMonthPerHead">_xlfn.LAMBDA(_xlpm.LivestockClass,_xlpm.MovementDate, IFERROR([0]!CommonLivestock_InputFunctions.LivestockMovement_GetMovementLiveweightGain(_xlpm.LivestockClass, _xlpm.MovementDate) * CommonLivestock_InputFunctions.LivestockMovement_DaysMovementToMonthEnd(_xlpm.MovementDate), 0))</definedName>
    <definedName name="CommonLivestock_InputFunctions.LivestockMovement_LiveweightGrownFromMonthStartPerHead">_xlfn.LAMBDA(_xlpm.LivestockClass,_xlpm.Month, [0]!CommonLivestock_InputFunctions.LivestockMovement_LiveweightGrownDuringMonthPerHead(_xlpm.LivestockClass, EOMONTH(_xlpm.Month, -1) + 1))</definedName>
    <definedName name="CommonLivestock_InputFunctions.LivestockMovement_LiveweightGrownFromMonthStartTotal">_xlfn.LAMBDA(_xlpm.LivestockClass,_xlpm.Month,_xlpm.HeadAtStartOfMonth, [0]!CommonLivestock_InputFunctions.LivestockMovement_HeadRemainingAtMonthEnd(_xlpm.Month, _xlpm.LivestockClass, _xlpm.HeadAtStartOfMonth) * [0]!CommonLivestock_InputFunctions.LivestockMovement_LiveweightGrownFromMonthStartPerHead(_xlpm.LivestockClass, _xlpm.Month))</definedName>
    <definedName name="CommonLivestock_InputFunctions.LivestockMovement_LiveweightGrownFromMovementDateTotal">_xlfn.LAMBDA(_xlpm.LivestockClass,_xlpm.MovementDate,_xlpm.Head, [0]!CommonLivestock_InputFunctions.LivestockMovement_LiveweightGrownDuringMonthPerHead(_xlpm.LivestockClass, _xlpm.MovementDate) * _xlpm.Head)</definedName>
    <definedName name="CommonLivestock_InputFunctions.LivestockMovement_ProportionalAverageLiveweightAddedDuringMonth">_xlfn.LAMBDA(_xlpm.Month,_xlpm.LivestockClass,_xlpm.HeadAtStart, [0]!CommonLivestock_InputFunctions.LivestockMovement_ProportionHeadAddedDuringMonth(_xlpm.Month, _xlpm.LivestockClass, _xlpm.HeadAtStart) * [0]!CommonLivestock_InputFunctions.LivestockMovement_AverageLiveweightAddedDuringMonth(_xlpm.Month, _xlpm.LivestockClass))</definedName>
    <definedName name="CommonLivestock_InputFunctions.LivestockMovement_ProportionalAverageLiveweightRemainingAtEndOfMonth">_xlfn.LAMBDA(_xlpm.Month,_xlpm.LivestockClass,_xlpm.HeadAtStart,_xlpm.LiveweightAtStart,_xlpm.LiveweightGain, [0]!CommonLivestock_InputFunctions.LivestockMovement_ProportionHeadRemainingAtEndOfMonth(_xlpm.Month, _xlpm.LivestockClass, _xlpm.HeadAtStart) * CommonLivestock_InputFunctions.LivestockMovement_AverageLiveweightRemainingHead(_xlpm.Month, _xlpm.LiveweightAtStart, _xlpm.LiveweightGain))</definedName>
    <definedName name="CommonLivestock_InputFunctions.LivestockMovement_ProportionHeadAddedDuringMonth">_xlfn.LAMBDA(_xlpm.Month,_xlpm.LivestockClass,_xlpm.HeadAtStart, IFERROR(MIN(1, [0]!CommonLivestock_InputFunctions.LivestockMovement_HeadAddedDuringMonth(_xlpm.Month, _xlpm.LivestockClass) / [0]!CommonLivestock_InputFunctions.LivestockMovement_HeadAtEndOfMonth(_xlpm.HeadAtStart, _xlpm.Month, _xlpm.LivestockClass)), 0))</definedName>
    <definedName name="CommonLivestock_InputFunctions.LivestockMovement_ProportionHeadRemainingAtEndOfMonth">_xlfn.LAMBDA(_xlpm.Month,_xlpm.LivestockClass,_xlpm.HeadAtStart, IFERROR(MIN(1, [0]!CommonLivestock_InputFunctions.LivestockMovement_HeadRemainingAtMonthEnd(_xlpm.Month, _xlpm.LivestockClass, _xlpm.HeadAtStart) / [0]!CommonLivestock_InputFunctions.LivestockMovement_HeadAtEndOfMonth(_xlpm.HeadAtStart, _xlpm.Month, _xlpm.LivestockClass)), 0))</definedName>
    <definedName name="CommonLivestock_InputFunctions.LivestockMovement_TotalLiveweightAddedDuringMonth">_xlfn.LAMBDA(_xlpm.Month,_xlpm.LivestockClass, IFERROR(SUM(_xlfn._xlws.FILTER(#REF!, (#REF! &gt;= EOMONTH(_xlpm.Month, -1) + 1) * (#REF! &lt;= EOMONTH(_xlpm.Month, 0)) * (#REF! = _xlpm.LivestockClass))), 0))</definedName>
    <definedName name="CommonLivestock_InputFunctions.LivestockMovement_TotalLiveweightGrownDuringMonth">_xlfn.LAMBDA(_xlpm.Month,_xlpm.LivestockClass, IFERROR(SUM(_xlfn._xlws.FILTER(#REF!, (#REF! &gt;= EOMONTH(_xlpm.Month, -1) + 1) * (#REF! &lt;= EOMONTH(_xlpm.Month, 0)) * (#REF! = _xlpm.LivestockClass))), 0))</definedName>
    <definedName name="CommonLivestock_InputFunctions.LivestockMovement_TotalLiveweightGrownDuringMonthAddedAndRemaining">_xlfn.LAMBDA(_xlpm.Month,_xlpm.LivestockClass,_xlpm.HeadAtStart, [0]!CommonLivestock_InputFunctions.LivestockMovement_LiveweightGrownFromMonthStartTotal(_xlpm.LivestockClass, _xlpm.Month, _xlpm.HeadAtStart) + [0]!CommonLivestock_InputFunctions.LivestockMovement_TotalLiveweightGrownDuringMonth(_xlpm.Month, _xlpm.LivestockClass))</definedName>
    <definedName name="CommonLivestock_SourceData.SourceData_Livestock_Common_FracLEACH_MS_Data">_xlfn.LAMBDA(_xlfn.MAKEARRAY(8, 2, _xlfn.LAMBDA(_xlpm.r,_xlpm.c, INDEX({"Production system","Emission factor";"Irrigated pasture",0.0059;"Irrigated crop",0.007;"Non-irrigated pasture",0.0018;"Non-irrigated crop",0.0041;"Sugar cane",0.0199;"Cotton",0.0053;"Horticulture",0.0064}, _xlpm.r, _xlpm.c))))</definedName>
    <definedName name="CommonLivestock_SourceData.SourceData_Livestock_Common_FracLEACH_MS_Source">_xlfn.LAMBDA("National Inventory Report 2023 Volume 1: Equations 3.B.5a_3, 3.B.5c_3, 3.B.5d_3")</definedName>
    <definedName name="CommonLivestock_SourceData.SourceData_Livestock_Common_FracLEACH_MS_Title">_xlfn.LAMBDA("Fraction of N lost through leaching and runoff")</definedName>
    <definedName name="CommonLivestock_SourceData.SourceData_Livestock_Common_FracLEACH_MS_Unit">_xlfn.LAMBDA("Fraction")</definedName>
    <definedName name="CommonLivestock_SourceData.SourceData_Livestock_Common_FracWETMMS_Data">_xlfn.LAMBDA(1)</definedName>
    <definedName name="CommonLivestock_SourceData.SourceData_Livestock_Common_FracWETMMS_Source">_xlfn.LAMBDA("National Inventory Report 2023 Volume 1: Equations 3.B.5a_3, 3.B.5c_3, 3.B.5d_3")</definedName>
    <definedName name="CommonLivestock_SourceData.SourceData_Livestock_Common_FracWETMMS_Title">_xlfn.LAMBDA("Fraction of N available for leaching and runoff")</definedName>
    <definedName name="CommonLivestock_SourceData.SourceData_Livestock_Common_FracWETMMS_Unit">_xlfn.LAMBDA("Fraction")</definedName>
    <definedName name="CommonLivestock_SourceData.SourceData_Livestock_Common_SymbolsMMS_Data">_xlfn.LAMBDA(_xlfn.MAKEARRAY(19, 3, _xlfn.LAMBDA(_xlpm.r,_xlpm.c, INDEX({"Symbol","Manure management system","";"1","Anaerobic lagoon","Anaerobic lagoon (m=1)";"2","Liquid systems","Liquid systems (m=2)";"3","Daily spread","Daily spread (m=3)";"3a","Sump and dispersal system","Sump and dispersal system (m=3a)";"3b","Drains to paddock","Drains to paddock (m=3b)";"4","Solid storage","Solid storage (m=4)";"5","Drylot (feed pad)","Drylot (feed pad) (m=5)";"6","Composting (passive windrow)","Composting (passive windrow) (m=6)";"7","Digester / covered lagoons","Digester / covered lagoons (m=7)";"8","Deep litter","Deep litter (m=8)";"9","Pit storage","Pit storage (m=9)";"10","Poultry manure with bedding","Poultry manure with bedding (m=10)";"11","Poultry manure without bedding","Poultry manure without bedding (m=11)";"11a","Belt manure removal","Belt manure removal (m=11a)";"11b","Manure stored in house","Manure stored in house (m=11b)";"12","Direct processing","Direct processing (m=12)";"13","Direct application","Direct application (m=13)";"14","Pasture range and paddock","Pasture range and paddock (m=14)"}, _xlpm.r, _xlpm.c))))</definedName>
    <definedName name="CommonLivestock_SourceData.SourceData_Livestock_Common_SymbolsMMS_Source">_xlfn.LAMBDA("National Inventory Report 2023 Volume 1: Table 5.12")</definedName>
    <definedName name="CommonLivestock_SourceData.SourceData_Livestock_Common_SymbolsMMS_Title">_xlfn.LAMBDA("Table 5.12 Additional symbols used in algorithms for manure related emissions")</definedName>
    <definedName name="CommonLivestock_SourceData.SourceData_Livestock_Common_SymbolsMMS_Unit">_xlfn.LAMBDA("")</definedName>
    <definedName name="CommonLivestock_SourceData.SourceData_Livestock_Common_SymbolsMMS_Vairable">_xlfn.LAMBDA("MMS")</definedName>
    <definedName name="CommonLivestock_SourceData.SourceData_Livestock_Product_BeefCattle_Data">_xlfn.LAMBDA(_xlfn.MAKEARRAY(9, 2, _xlfn.LAMBDA(_xlpm.r,_xlpm.c, INDEX({"Product","Source region";"Cattle, for manufacturing beef","Australia";"Cattle, for prime beef","NSW";"Cattle, weaners","NT";"","QLD";"","SA";"","TAS";"","VIC";"","WA"}, _xlpm.r, _xlpm.c))))</definedName>
    <definedName name="CommonLivestock_SourceData.SourceData_Livestock_Product_BeefCattle_Source">_xlfn.LAMBDA("Lifecycles. (2026). Greenhouse Gas Emission Intensities for Material Inputs to Australian Agriculture, Fisheries and Forestry. Version 48. doi 10.5281/zenodo.19656580")</definedName>
    <definedName name="CommonLivestock_SourceData.SourceData_Livestock_Product_BeefCattle_Title">_xlfn.LAMBDA("Beef cattle products for scope 3")</definedName>
    <definedName name="CommonLivestock_SourceData.SourceData_Livestock_Product_BeefCattle_Unit">_xlfn.LAMBDA("")</definedName>
    <definedName name="CommonLivestock_SourceData.SourceData_Livestock_Product_BeefCattle_Vairable">_xlfn.LAMBDA("")</definedName>
    <definedName name="CommonLivestock_SourceData.SourceData_Livestock_Product_Chickens_Data">_xlfn.LAMBDA(_xlfn.MAKEARRAY(2, 2, _xlfn.LAMBDA(_xlpm.r,_xlpm.c, INDEX({"Product","Source region";"Chickens","Australia"}, _xlpm.r, _xlpm.c))))</definedName>
    <definedName name="CommonLivestock_SourceData.SourceData_Livestock_Product_Chickens_Source">_xlfn.LAMBDA("Lifecycles. (2026). Greenhouse Gas Emission Intensities for Material Inputs to Australian Agriculture, Fisheries and Forestry. Version 48. doi 10.5281/zenodo.19656580")</definedName>
    <definedName name="CommonLivestock_SourceData.SourceData_Livestock_Product_Chickens_Title">_xlfn.LAMBDA("Chickens products for scope 3")</definedName>
    <definedName name="CommonLivestock_SourceData.SourceData_Livestock_Product_Chickens_Unit">_xlfn.LAMBDA("")</definedName>
    <definedName name="CommonLivestock_SourceData.SourceData_Livestock_Product_Chickens_Vairable">_xlfn.LAMBDA("")</definedName>
    <definedName name="CommonLivestock_SourceData.SourceData_Livestock_Product_Dairycattle_Data">_xlfn.LAMBDA(_xlfn.MAKEARRAY(2, 2, _xlfn.LAMBDA(_xlpm.r,_xlpm.c, INDEX({"Product","Source region";"Dairy cows","VIC"}, _xlpm.r, _xlpm.c))))</definedName>
    <definedName name="CommonLivestock_SourceData.SourceData_Livestock_Product_Dairycattle_Source">_xlfn.LAMBDA("Lifecycles. (2026). Greenhouse Gas Emission Intensities for Material Inputs to Australian Agriculture, Fisheries and Forestry. Version 48. doi 10.5281/zenodo.19656580")</definedName>
    <definedName name="CommonLivestock_SourceData.SourceData_Livestock_Product_Dairycattle_Title">_xlfn.LAMBDA("Dairy cattle products for scope 3")</definedName>
    <definedName name="CommonLivestock_SourceData.SourceData_Livestock_Product_Dairycattle_Unit">_xlfn.LAMBDA("")</definedName>
    <definedName name="CommonLivestock_SourceData.SourceData_Livestock_Product_Dairycattle_Vairable">_xlfn.LAMBDA("")</definedName>
    <definedName name="CommonLivestock_SourceData.SourceData_Livestock_Product_Pigs_Data">_xlfn.LAMBDA(_xlfn.MAKEARRAY(2, 2, _xlfn.LAMBDA(_xlpm.r,_xlpm.c, INDEX({"Product","Source region";"Pigs","Australia"}, _xlpm.r, _xlpm.c))))</definedName>
    <definedName name="CommonLivestock_SourceData.SourceData_Livestock_Product_Pigs_Source">_xlfn.LAMBDA("Lifecycles. (2026). Greenhouse Gas Emission Intensities for Material Inputs to Australian Agriculture, Fisheries and Forestry. Version 48. doi 10.5281/zenodo.19656580")</definedName>
    <definedName name="CommonLivestock_SourceData.SourceData_Livestock_Product_Pigs_Title">_xlfn.LAMBDA("Pigs products for scope 3")</definedName>
    <definedName name="CommonLivestock_SourceData.SourceData_Livestock_Product_Pigs_Unit">_xlfn.LAMBDA("")</definedName>
    <definedName name="CommonLivestock_SourceData.SourceData_Livestock_Product_Pigs_Vairable">_xlfn.LAMBDA("")</definedName>
    <definedName name="CommonLivestock_SourceData.SourceData_Livestock_Product_Sheep_Data">_xlfn.LAMBDA(_xlfn.MAKEARRAY(8, 2, _xlfn.LAMBDA(_xlpm.r,_xlpm.c, INDEX({"Product","Source region";"Sheep, for mutton","Australia";"Sheep, for prime lamb","NSW";"","QLD";"","SA";"","TAS";"","VIC";"","WA"}, _xlpm.r, _xlpm.c))))</definedName>
    <definedName name="CommonLivestock_SourceData.SourceData_Livestock_Product_Sheep_Source">_xlfn.LAMBDA("Lifecycles. (2026). Greenhouse Gas Emission Intensities for Material Inputs to Australian Agriculture, Fisheries and Forestry. Version 48. doi 10.5281/zenodo.19656580")</definedName>
    <definedName name="CommonLivestock_SourceData.SourceData_Livestock_Product_Sheep_Title">_xlfn.LAMBDA("Sheep products for scope 3")</definedName>
    <definedName name="CommonLivestock_SourceData.SourceData_Livestock_Product_Sheep_Unit">_xlfn.LAMBDA("")</definedName>
    <definedName name="CommonLivestock_SourceData.SourceData_Livestock_Product_Sheep_Vairable">_xlfn.LAMBDA("")</definedName>
    <definedName name="Electricity_Equations.VEERG_10_1_1__1_Scope2Electricity_LocationBased">_xlfn.LAMBDA(_xlpm.Qelec,_xlpm.EF2elec, _xlpm.Qelec * _xlpm.EF2elec * 10 ^ -3)</definedName>
    <definedName name="Electricity_Equations.VEERG_10_1_1__1_Scope2Electricity_LocationBased_Arguments">_xlfn.LAMBDA(_xlfn.MAKEARRAY(3, 3, _xlfn.LAMBDA(_xlpm.r,_xlpm.c, INDEX({"Qelec","Amount of electricity purchased from the grid","kWh";"EF2,elec","Location - based Scope 2 emission factor for electricity","kg CO2e / kWh";"2","Scope 2",""}, _xlpm.r, _xlpm.c))))</definedName>
    <definedName name="Electricity_Equations.VEERG_10_1_1__1_Scope2Electricity_LocationBased_NIRReference">_xlfn.LAMBDA("Australian National Greenhouse Accounts Factors 2025 - 2.2 Estimating emissions from stationary energy sources")</definedName>
    <definedName name="Electricity_Equations.VEERG_10_1_1__1_Scope2Electricity_LocationBased_ReadableEquation">_xlfn.LAMBDA("E2,elec = Qelec * EF2,elec * 10 ^ - 3")</definedName>
    <definedName name="Electricity_Equations.VEERG_10_1_1__1_Scope2Electricity_LocationBased_Source">_xlfn.LAMBDA("VEERG 2026: 10.1.1, Equation (1)")</definedName>
    <definedName name="Electricity_Equations.VEERG_10_1_1__1_Scope2Electricity_LocationBased_Title">_xlfn.LAMBDA("Location-based Scope 2 emissions from purchased electricity")</definedName>
    <definedName name="Electricity_Equations.VEERG_10_1_1__1_Scope2Electricity_LocationBased_Unit">_xlfn.LAMBDA("t CO2-e")</definedName>
    <definedName name="Electricity_Equations.VEERG_10_1_1__1_Scope2Electricity_LocationBased_Variable">_xlfn.LAMBDA("E2elec")</definedName>
    <definedName name="Electricity_Equations.VEERG_11_9_1_1__1_Scope3Electricity_LocationBased">_xlfn.LAMBDA(_xlpm.Qelec,_xlpm.EF3elec, _xlpm.Qelec * _xlpm.EF3elec * 10 ^ -3)</definedName>
    <definedName name="Electricity_Equations.VEERG_11_9_1_1__1_Scope3Electricity_LocationBased_Arguments">_xlfn.LAMBDA(_xlfn.MAKEARRAY(3, 3, _xlfn.LAMBDA(_xlpm.r,_xlpm.c, INDEX({"Qelec","Amount of electricity purchased from the grid","kWh";"EF3,elec","Location - based Scope 3 emission factor for electricity","kg CO2e / kWh";"3","Scope 3",""}, _xlpm.r, _xlpm.c))))</definedName>
    <definedName name="Electricity_Equations.VEERG_11_9_1_1__1_Scope3Electricity_LocationBased_NIRReference">_xlfn.LAMBDA("Australian National Greenhouse Accounts Factors 2025 - 2.2 Estimating emissions from stationary energy sources")</definedName>
    <definedName name="Electricity_Equations.VEERG_11_9_1_1__1_Scope3Electricity_LocationBased_ReadableEquation">_xlfn.LAMBDA("E3,elec = Qelec * EF3,elec * 10 ^ - 3")</definedName>
    <definedName name="Electricity_Equations.VEERG_11_9_1_1__1_Scope3Electricity_LocationBased_Source">_xlfn.LAMBDA("VEERG 2026: 11.9.1.1, Equation (1)")</definedName>
    <definedName name="Electricity_Equations.VEERG_11_9_1_1__1_Scope3Electricity_LocationBased_Title">_xlfn.LAMBDA("Location-based Scope 3 emissions from purchased electricity")</definedName>
    <definedName name="Electricity_Equations.VEERG_11_9_1_1__1_Scope3Electricity_LocationBased_Unit">_xlfn.LAMBDA("t CO2-e")</definedName>
    <definedName name="Electricity_Equations.VEERG_11_9_1_1__1_Scope3Electricity_LocationBased_Variable">_xlfn.LAMBDA("E3elec")</definedName>
    <definedName name="Electricity_Equations.VEERG_14_1_1__1_LocationBasedScopeElectricityEmissions">_xlfn.LAMBDA(_xlpm.Q_elec,_xlpm.EF_2elec, _xlpm.Q_elec * _xlpm.EF_2elec * 10 ^ -3)</definedName>
    <definedName name="Electricity_Equations.VEERG_14_1_1__1_LocationBasedScopeElectricityEmissions_Arguments">_xlfn.LAMBDA(_xlfn.MAKEARRAY(3, 4, _xlfn.LAMBDA(_xlpm.r,_xlpm.c, INDEX({"Q_elec","amount of electricity purchased from the grid","kWh","Input";"EF_2elec","location-based Scope 2 emission factor for electricity","kg CO2e/kWh","Constant";"g","Grid electricity was purchased from","","Input"}, _xlpm.r, _xlpm.c))))</definedName>
    <definedName name="Electricity_Equations.VEERG_14_1_1__1_LocationBasedScopeElectricityEmissions_LatexEquation">_xlfn.LAMBDA("E_{2,elec}=Q_{elec}\times EF_{2,elec}\times 10^{-3}")</definedName>
    <definedName name="Electricity_Equations.VEERG_14_1_1__1_LocationBasedScopeElectricityEmissions_NIRReference">_xlfn.LAMBDA("")</definedName>
    <definedName name="Electricity_Equations.VEERG_14_1_1__1_LocationBasedScopeElectricityEmissions_Source">_xlfn.LAMBDA("VEERG 2026: 14.1.1, Equation (1)")</definedName>
    <definedName name="Electricity_Equations.VEERG_14_1_1__1_LocationBasedScopeElectricityEmissions_Title">_xlfn.LAMBDA("Location-based Scope 2 emissions from purchased electricity")</definedName>
    <definedName name="Electricity_Equations.VEERG_14_1_1__1_LocationBasedScopeElectricityEmissions_Unit">_xlfn.LAMBDA("t CO2e")</definedName>
    <definedName name="Electricity_Equations.VEERG_14_1_1__1_LocationBasedScopeElectricityEmissions_Variable">_xlfn.LAMBDA("E_2elec")</definedName>
    <definedName name="Electricity_Equations.VEERG_14_1_1__1_LocationBasedScopeElectricityEmissions_Variation">_xlfn.LAMBDA("Added g variable to capture which grid electricity was purchased from")</definedName>
    <definedName name="Electricity_Equations.VEERG_14_1_2__1_MarketBasedScopeElectricityEmissions">_xlfn.LAMBDA(_xlpm.Q_elec,_xlpm.RPP,_xlpm.JRPP,_xlpm.REC_surrendered,_xlpm.REC_onsite,_xlpm.EF_RMF2elec, ((_xlpm.Q_elec * (1 - (_xlpm.RPP + _xlpm.JRPP))) - ((_xlpm.REC_surrendered - _xlpm.REC_onsite) * 10 ^ -3)) * _xlpm.EF_RMF2elec * 10 ^ -3)</definedName>
    <definedName name="Electricity_Equations.VEERG_14_1_2__1_MarketBasedScopeElectricityEmissions_Arguments">_xlfn.LAMBDA(_xlfn.MAKEARRAY(7, 4, _xlfn.LAMBDA(_xlpm.r,_xlpm.c, INDEX({"Q_elec","amount of electricity purchased from the grid","kWh","Input";"RPP","Renewable Power Percentage under the Large-scale Renewable Energy Target (LRET)","per cent","Input";"JRPP","jurisdictional renewable power percentage for the applicable period (ACT only)","per cent","Input";"REC_surrendered","Renewable Energy Certificates voluntarily surrendered in the reporting year","MWh","Input";"REC_onsite","Renewable Energy Certificates issued for electricity produced on-site during the year and consumed by the entity","MWh","Input";"EF_RMF2elec","Scope 2 residual mix emission factor for electricity","kg CO2e/kWh","Constant";"i","state","","Input"}, _xlpm.r, _xlpm.c))))</definedName>
    <definedName name="Electricity_Equations.VEERG_14_1_2__1_MarketBasedScopeElectricityEmissions_LatexEquation">_xlfn.LAMBDA("E_{2,elec}=(Q_{elec} \times (1-(RPP+JRPP)) - ((REC_{surrendered}-REC_{onsite})\times 10^{-3})) \times EF_{RMF2,elec} \times 10^{-3}")</definedName>
    <definedName name="Electricity_Equations.VEERG_14_1_2__1_MarketBasedScopeElectricityEmissions_NIRReference">_xlfn.LAMBDA("")</definedName>
    <definedName name="Electricity_Equations.VEERG_14_1_2__1_MarketBasedScopeElectricityEmissions_Source">_xlfn.LAMBDA("VEERG 2026: 14.1.2, Equation (1)")</definedName>
    <definedName name="Electricity_Equations.VEERG_14_1_2__1_MarketBasedScopeElectricityEmissions_Title">_xlfn.LAMBDA("Market-based Scope 2 emissions from purchased electricity")</definedName>
    <definedName name="Electricity_Equations.VEERG_14_1_2__1_MarketBasedScopeElectricityEmissions_Unit">_xlfn.LAMBDA("t CO2e")</definedName>
    <definedName name="Electricity_Equations.VEERG_14_1_2__1_MarketBasedScopeElectricityEmissions_Variable">_xlfn.LAMBDA("E_2elec")</definedName>
    <definedName name="Electricity_Equations.VEERG_14_1_2__1_MarketBasedScopeElectricityEmissions_Variation">_xlfn.LAMBDA("VARIATION ON SOURCE: In order to convert megawatt hours to kilowatt hours, the REC_surrendered and REC_onsite variables are multiplied by 10^3 instead of 10^-3.")</definedName>
    <definedName name="Electricity_Equations.VEERG_14_1_2__1_MarketBasedScopeElectricityEmissionsVariation">_xlfn.LAMBDA(_xlpm.Q_elec,_xlpm.RPP,_xlpm.JRPP,_xlpm.REC_surrendered,_xlpm.REC_onsite,_xlpm.EF_RMF2elec, ((_xlpm.Q_elec * (1 - (_xlpm.RPP + _xlpm.JRPP))) - ((_xlpm.REC_surrendered - _xlpm.REC_onsite) * 10 ^ 3)) * _xlpm.EF_RMF2elec * 10 ^ -3)</definedName>
    <definedName name="Electricity_Equations.VEERG_14_1_2__1_MarketBasedScopeElectricityEmissionsVariation_LatexEquation">_xlfn.LAMBDA("E_{2,elec}=(Q_{elec} \times (1-(RPP+JRPP)) - ((REC_{surrendered}-REC_{onsite})\times 10^{3})) \times EF_{RMF2,elec} \times 10^{-3}")</definedName>
    <definedName name="Electricity_SourceData.Electricity_Scope2LocationBased_Description">_xlfn.LAMBDA(("Indirect (scope 2 and scope 3) location-based emission factors associated with the consumption and losses of purchased or acquired electricity"))</definedName>
    <definedName name="Electricity_SourceData.Electricity_Scope2MarketBased_Description">_xlfn.LAMBDA(("Table 2a Indirect (scope 2 and scope 3) emission factors from consumption of purchased or acquired electricity: market-based factors "))</definedName>
    <definedName name="Electricity_SourceData.Electricity_Scope2Scope3LocationBased_Data" localSheetId="36">_xlfn.LAMBDA(
  _xlfn.MAKEARRAY(11, 3,
    _xlfn.LAMBDA(_xlpm.r,_xlpm.c,
      INDEX({"State, Territory or grid description","Scope 2 Emission Factors (kg CO2-e/kWh)","Scope 3 Emission Factors (kg CO2-e/kWh)";"New South Wales",0.64,0.03;"ACT",0.64,0.03;"Victoria",0.78,0.09;"Queensland",0.67,0.09;"South Australia",0.22,0.04;"Western Australia - South West Interconnected System (SWIS)",0.5,0.06;"Western Australia - North Western Interconnected System (NWIS)",0.56,0.09;"Tasmania",0.2,0.03;"Northern Territory - Darwin Katherine Interconnected System (DKIS)",0.56,0.09;"National",0.62,0.07}, _xlpm.r, _xlpm.c)
)))</definedName>
    <definedName name="Electricity_SourceData.Electricity_Scope2Scope3LocationBased_Data" localSheetId="37">_xlfn.LAMBDA(
  _xlfn.MAKEARRAY(11, 3,
    _xlfn.LAMBDA(_xlpm.r,_xlpm.c,
      INDEX({"State, Territory or grid description","Scope 2 Emission Factors (kg CO2-e/kWh)","Scope 3 Emission Factors (kg CO2-e/kWh)";"New South Wales",0.64,0.03;"ACT",0.64,0.03;"Victoria",0.78,0.09;"Queensland",0.67,0.09;"South Australia",0.22,0.04;"Western Australia - South West Interconnected System (SWIS)",0.5,0.06;"Western Australia - North Western Interconnected System (NWIS)",0.56,0.09;"Tasmania",0.2,0.03;"Northern Territory - Darwin Katherine Interconnected System (DKIS)",0.56,0.09;"National",0.62,0.07}, _xlpm.r, _xlpm.c)
)))</definedName>
    <definedName name="Electricity_SourceData.Electricity_Scope2Scope3LocationBased_Data" localSheetId="38">_xlfn.LAMBDA(
  _xlfn.MAKEARRAY(11, 3,
    _xlfn.LAMBDA(_xlpm.r,_xlpm.c,
      INDEX({"State, Territory or grid description","Scope 2 Emission Factors (kg CO2-e/kWh)","Scope 3 Emission Factors (kg CO2-e/kWh)";"New South Wales",0.64,0.03;"ACT",0.64,0.03;"Victoria",0.78,0.09;"Queensland",0.67,0.09;"South Australia",0.22,0.04;"Western Australia - South West Interconnected System (SWIS)",0.5,0.06;"Western Australia - North Western Interconnected System (NWIS)",0.56,0.09;"Tasmania",0.2,0.03;"Northern Territory - Darwin Katherine Interconnected System (DKIS)",0.56,0.09;"National",0.62,0.07}, _xlpm.r, _xlpm.c)
)))</definedName>
    <definedName name="Electricity_SourceData.Electricity_Scope2Scope3LocationBased_Data" localSheetId="42">_xlfn.LAMBDA(
  _xlfn.MAKEARRAY(11, 3,
    _xlfn.LAMBDA(_xlpm.r,_xlpm.c,
      INDEX({"State, Territory or grid description","Scope 2 Emission Factors (kg CO2-e/kWh)","Scope 3 Emission Factors (kg CO2-e/kWh)";"New South Wales",0.64,0.03;"ACT",0.64,0.03;"Victoria",0.78,0.09;"Queensland",0.67,0.09;"South Australia",0.22,0.04;"Western Australia - South West Interconnected System (SWIS)",0.5,0.06;"Western Australia - North Western Interconnected System (NWIS)",0.56,0.09;"Tasmania",0.2,0.03;"Northern Territory - Darwin Katherine Interconnected System (DKIS)",0.56,0.09;"National",0.62,0.07}, _xlpm.r, _xlpm.c)
)))</definedName>
    <definedName name="Electricity_SourceData.Electricity_Scope2Scope3LocationBased_Data" localSheetId="45">_xlfn.LAMBDA(
  _xlfn.MAKEARRAY(11, 3,
    _xlfn.LAMBDA(_xlpm.r,_xlpm.c,
      INDEX({"State, Territory or grid description","Scope 2 Emission Factors (kg CO2-e/kWh)","Scope 3 Emission Factors (kg CO2-e/kWh)";"New South Wales",0.64,0.03;"ACT",0.64,0.03;"Victoria",0.78,0.09;"Queensland",0.67,0.09;"South Australia",0.22,0.04;"Western Australia - South West Interconnected System (SWIS)",0.5,0.06;"Western Australia - North Western Interconnected System (NWIS)",0.56,0.09;"Tasmania",0.2,0.03;"Northern Territory - Darwin Katherine Interconnected System (DKIS)",0.56,0.09;"National",0.62,0.07}, _xlpm.r, _xlpm.c)
)))</definedName>
    <definedName name="Electricity_SourceData.Electricity_Scope2Scope3LocationBased_Data" localSheetId="7">_xlfn.LAMBDA(
  _xlfn.MAKEARRAY(11, 3,
    _xlfn.LAMBDA(_xlpm.r,_xlpm.c,
      INDEX({"State, Territory or grid description","Scope 2 Emission Factors (kg CO2-e/kWh)","Scope 3 Emission Factors (kg CO2-e/kWh)";"New South Wales",0.64,0.03;"ACT",0.64,0.03;"Victoria",0.78,0.09;"Queensland",0.67,0.09;"South Australia",0.22,0.04;"Western Australia - South West Interconnected System (SWIS)",0.5,0.06;"Western Australia - North Western Interconnected System (NWIS)",0.56,0.09;"Tasmania",0.2,0.03;"Northern Territory - Darwin Katherine Interconnected System (DKIS)",0.56,0.09;"National",0.62,0.07}, _xlpm.r, _xlpm.c)
)))</definedName>
    <definedName name="Electricity_SourceData.Electricity_Scope2Scope3LocationBased_Data" localSheetId="13">_xlfn.LAMBDA(
  _xlfn.MAKEARRAY(11, 3,
    _xlfn.LAMBDA(_xlpm.r,_xlpm.c,
      INDEX({"State, Territory or grid description","Scope 2 Emission Factors (kg CO2-e/kWh)","Scope 3 Emission Factors (kg CO2-e/kWh)";"New South Wales",0.64,0.03;"ACT",0.64,0.03;"Victoria",0.78,0.09;"Queensland",0.67,0.09;"South Australia",0.22,0.04;"Western Australia - South West Interconnected System (SWIS)",0.5,0.06;"Western Australia - North Western Interconnected System (NWIS)",0.56,0.09;"Tasmania",0.2,0.03;"Northern Territory - Darwin Katherine Interconnected System (DKIS)",0.56,0.09;"National",0.62,0.07}, _xlpm.r, _xlpm.c)
)))</definedName>
    <definedName name="Electricity_SourceData.Electricity_Scope2Scope3LocationBased_Data" localSheetId="14">_xlfn.LAMBDA(
  _xlfn.MAKEARRAY(11, 3,
    _xlfn.LAMBDA(_xlpm.r,_xlpm.c,
      INDEX({"State, Territory or grid description","Scope 2 Emission Factors (kg CO2-e/kWh)","Scope 3 Emission Factors (kg CO2-e/kWh)";"New South Wales",0.64,0.03;"ACT",0.64,0.03;"Victoria",0.78,0.09;"Queensland",0.67,0.09;"South Australia",0.22,0.04;"Western Australia - South West Interconnected System (SWIS)",0.5,0.06;"Western Australia - North Western Interconnected System (NWIS)",0.56,0.09;"Tasmania",0.2,0.03;"Northern Territory - Darwin Katherine Interconnected System (DKIS)",0.56,0.09;"National",0.62,0.07}, _xlpm.r, _xlpm.c)
)))</definedName>
    <definedName name="Electricity_SourceData.Electricity_Scope2Scope3LocationBased_Data" localSheetId="12">_xlfn.LAMBDA(
  _xlfn.MAKEARRAY(11, 3,
    _xlfn.LAMBDA(_xlpm.r,_xlpm.c,
      INDEX({"State, Territory or grid description","Scope 2 Emission Factors (kg CO2-e/kWh)","Scope 3 Emission Factors (kg CO2-e/kWh)";"New South Wales",0.64,0.03;"ACT",0.64,0.03;"Victoria",0.78,0.09;"Queensland",0.67,0.09;"South Australia",0.22,0.04;"Western Australia - South West Interconnected System (SWIS)",0.5,0.06;"Western Australia - North Western Interconnected System (NWIS)",0.56,0.09;"Tasmania",0.2,0.03;"Northern Territory - Darwin Katherine Interconnected System (DKIS)",0.56,0.09;"National",0.62,0.07}, _xlpm.r, _xlpm.c)
)))</definedName>
    <definedName name="Electricity_SourceData.Electricity_Scope2Scope3LocationBased_Data" localSheetId="16">_xlfn.LAMBDA(
  _xlfn.MAKEARRAY(11, 3,
    _xlfn.LAMBDA(_xlpm.r,_xlpm.c,
      INDEX({"State, Territory or grid description","Scope 2 Emission Factors (kg CO2-e/kWh)","Scope 3 Emission Factors (kg CO2-e/kWh)";"New South Wales",0.64,0.03;"ACT",0.64,0.03;"Victoria",0.78,0.09;"Queensland",0.67,0.09;"South Australia",0.22,0.04;"Western Australia - South West Interconnected System (SWIS)",0.5,0.06;"Western Australia - North Western Interconnected System (NWIS)",0.56,0.09;"Tasmania",0.2,0.03;"Northern Territory - Darwin Katherine Interconnected System (DKIS)",0.56,0.09;"National",0.62,0.07}, _xlpm.r, _xlpm.c)
)))</definedName>
    <definedName name="Electricity_SourceData.Electricity_Scope2Scope3LocationBased_Data" localSheetId="15">_xlfn.LAMBDA(
  _xlfn.MAKEARRAY(11, 3,
    _xlfn.LAMBDA(_xlpm.r,_xlpm.c,
      INDEX({"State, Territory or grid description","Scope 2 Emission Factors (kg CO2-e/kWh)","Scope 3 Emission Factors (kg CO2-e/kWh)";"New South Wales",0.64,0.03;"ACT",0.64,0.03;"Victoria",0.78,0.09;"Queensland",0.67,0.09;"South Australia",0.22,0.04;"Western Australia - South West Interconnected System (SWIS)",0.5,0.06;"Western Australia - North Western Interconnected System (NWIS)",0.56,0.09;"Tasmania",0.2,0.03;"Northern Territory - Darwin Katherine Interconnected System (DKIS)",0.56,0.09;"National",0.62,0.07}, _xlpm.r, _xlpm.c)
)))</definedName>
    <definedName name="Electricity_SourceData.Electricity_Scope2Scope3LocationBased_Data" localSheetId="18">_xlfn.LAMBDA(
  _xlfn.MAKEARRAY(11, 3,
    _xlfn.LAMBDA(_xlpm.r,_xlpm.c,
      INDEX({"State, Territory or grid description","Scope 2 Emission Factors (kg CO2-e/kWh)","Scope 3 Emission Factors (kg CO2-e/kWh)";"New South Wales",0.64,0.03;"ACT",0.64,0.03;"Victoria",0.78,0.09;"Queensland",0.67,0.09;"South Australia",0.22,0.04;"Western Australia - South West Interconnected System (SWIS)",0.5,0.06;"Western Australia - North Western Interconnected System (NWIS)",0.56,0.09;"Tasmania",0.2,0.03;"Northern Territory - Darwin Katherine Interconnected System (DKIS)",0.56,0.09;"National",0.62,0.07}, _xlpm.r, _xlpm.c)
)))</definedName>
    <definedName name="Electricity_SourceData.Electricity_Scope2Scope3LocationBased_Data">_xlfn.LAMBDA(_xlfn.MAKEARRAY(11, 3, _xlfn.LAMBDA(_xlpm.r,_xlpm.c, INDEX({"State, Territory or grid description","Scope 2 Emission Factors (kg CO2-e/kWh)","Scope 3 Emission Factors (kg CO2-e/kWh)";"New South Wales",0.64,0.03;"ACT",0.64,0.03;"Victoria",0.78,0.09;"Queensland",0.67,0.09;"South Australia",0.22,0.04;"Western Australia - South West Interconnected System (SWIS)",0.5,0.06;"Western Australia - North Western Interconnected System (NWIS)",0.56,0.09;"Tasmania",0.2,0.03;"Northern Territory - Darwin Katherine Interconnected System (DKIS)",0.56,0.09;"National",0.62,0.07}, _xlpm.r, _xlpm.c))))</definedName>
    <definedName name="Electricity_SourceData.Electricity_Scope2Scope3LocationBased_Source">_xlfn.LAMBDA(("Australian National Greenhouse Accounts Factors 2025 - Table 1"))</definedName>
    <definedName name="Electricity_SourceData.Electricity_Scope2Scope3LocationBased_Title">_xlfn.LAMBDA(("Electricity scope 2 and scope 3 location-based emission factors"))</definedName>
    <definedName name="Electricity_SourceData.Electricity_Scope2Scope3LocationBased_Variation">_xlfn.LAMBDA(("VARIATION OF SOURCE DATA: NSW and ACT split into separate rows."))</definedName>
    <definedName name="Electricity_SourceData.Electricity_Scope2Scope3MarketBased_Data" localSheetId="36">_xlfn.LAMBDA(
  _xlfn.MAKEARRAY(2, 5,
    _xlfn.LAMBDA(_xlpm.r,_xlpm.c,
      INDEX({"State, Territory or grid description","Scope 2 Emission Factors (kg CO2-e/kWh)","Scope 2 Emission Factors (kg CO2-e/GJ)","Scope 3 Emission Factors (kg CO2 - e / kWh)","Scope 3 Emission Factors (kg CO2 - e / GJ)";"National",0.81,226,0.1,29}, _xlpm.r, _xlpm.c)
)))</definedName>
    <definedName name="Electricity_SourceData.Electricity_Scope2Scope3MarketBased_Data" localSheetId="37">_xlfn.LAMBDA(
  _xlfn.MAKEARRAY(2, 5,
    _xlfn.LAMBDA(_xlpm.r,_xlpm.c,
      INDEX({"State, Territory or grid description","Scope 2 Emission Factors (kg CO2-e/kWh)","Scope 2 Emission Factors (kg CO2-e/GJ)","Scope 3 Emission Factors (kg CO2 - e / kWh)","Scope 3 Emission Factors (kg CO2 - e / GJ)";"National",0.81,226,0.1,29}, _xlpm.r, _xlpm.c)
)))</definedName>
    <definedName name="Electricity_SourceData.Electricity_Scope2Scope3MarketBased_Data" localSheetId="38">_xlfn.LAMBDA(
  _xlfn.MAKEARRAY(2, 5,
    _xlfn.LAMBDA(_xlpm.r,_xlpm.c,
      INDEX({"State, Territory or grid description","Scope 2 Emission Factors (kg CO2-e/kWh)","Scope 2 Emission Factors (kg CO2-e/GJ)","Scope 3 Emission Factors (kg CO2 - e / kWh)","Scope 3 Emission Factors (kg CO2 - e / GJ)";"National",0.81,226,0.1,29}, _xlpm.r, _xlpm.c)
)))</definedName>
    <definedName name="Electricity_SourceData.Electricity_Scope2Scope3MarketBased_Data" localSheetId="42">_xlfn.LAMBDA(
  _xlfn.MAKEARRAY(2, 5,
    _xlfn.LAMBDA(_xlpm.r,_xlpm.c,
      INDEX({"State, Territory or grid description","Scope 2 Emission Factors (kg CO2-e/kWh)","Scope 2 Emission Factors (kg CO2-e/GJ)","Scope 3 Emission Factors (kg CO2 - e / kWh)","Scope 3 Emission Factors (kg CO2 - e / GJ)";"National",0.81,226,0.1,29}, _xlpm.r, _xlpm.c)
)))</definedName>
    <definedName name="Electricity_SourceData.Electricity_Scope2Scope3MarketBased_Data" localSheetId="45">_xlfn.LAMBDA(
  _xlfn.MAKEARRAY(2, 5,
    _xlfn.LAMBDA(_xlpm.r,_xlpm.c,
      INDEX({"State, Territory or grid description","Scope 2 Emission Factors (kg CO2-e/kWh)","Scope 2 Emission Factors (kg CO2-e/GJ)","Scope 3 Emission Factors (kg CO2 - e / kWh)","Scope 3 Emission Factors (kg CO2 - e / GJ)";"National",0.81,226,0.1,29}, _xlpm.r, _xlpm.c)
)))</definedName>
    <definedName name="Electricity_SourceData.Electricity_Scope2Scope3MarketBased_Data" localSheetId="7">_xlfn.LAMBDA(
  _xlfn.MAKEARRAY(2, 5,
    _xlfn.LAMBDA(_xlpm.r,_xlpm.c,
      INDEX({"State, Territory or grid description","Scope 2 Emission Factors (kg CO2-e/kWh)","Scope 2 Emission Factors (kg CO2-e/GJ)","Scope 3 Emission Factors (kg CO2 - e / kWh)","Scope 3 Emission Factors (kg CO2 - e / GJ)";"National",0.81,226,0.1,29}, _xlpm.r, _xlpm.c)
)))</definedName>
    <definedName name="Electricity_SourceData.Electricity_Scope2Scope3MarketBased_Data" localSheetId="13">_xlfn.LAMBDA(
  _xlfn.MAKEARRAY(2, 5,
    _xlfn.LAMBDA(_xlpm.r,_xlpm.c,
      INDEX({"State, Territory or grid description","Scope 2 Emission Factors (kg CO2-e/kWh)","Scope 2 Emission Factors (kg CO2-e/GJ)","Scope 3 Emission Factors (kg CO2 - e / kWh)","Scope 3 Emission Factors (kg CO2 - e / GJ)";"National",0.81,226,0.1,29}, _xlpm.r, _xlpm.c)
)))</definedName>
    <definedName name="Electricity_SourceData.Electricity_Scope2Scope3MarketBased_Data" localSheetId="14">_xlfn.LAMBDA(
  _xlfn.MAKEARRAY(2, 5,
    _xlfn.LAMBDA(_xlpm.r,_xlpm.c,
      INDEX({"State, Territory or grid description","Scope 2 Emission Factors (kg CO2-e/kWh)","Scope 2 Emission Factors (kg CO2-e/GJ)","Scope 3 Emission Factors (kg CO2 - e / kWh)","Scope 3 Emission Factors (kg CO2 - e / GJ)";"National",0.81,226,0.1,29}, _xlpm.r, _xlpm.c)
)))</definedName>
    <definedName name="Electricity_SourceData.Electricity_Scope2Scope3MarketBased_Data" localSheetId="12">_xlfn.LAMBDA(
  _xlfn.MAKEARRAY(2, 5,
    _xlfn.LAMBDA(_xlpm.r,_xlpm.c,
      INDEX({"State, Territory or grid description","Scope 2 Emission Factors (kg CO2-e/kWh)","Scope 2 Emission Factors (kg CO2-e/GJ)","Scope 3 Emission Factors (kg CO2 - e / kWh)","Scope 3 Emission Factors (kg CO2 - e / GJ)";"National",0.81,226,0.1,29}, _xlpm.r, _xlpm.c)
)))</definedName>
    <definedName name="Electricity_SourceData.Electricity_Scope2Scope3MarketBased_Data" localSheetId="16">_xlfn.LAMBDA(
  _xlfn.MAKEARRAY(2, 5,
    _xlfn.LAMBDA(_xlpm.r,_xlpm.c,
      INDEX({"State, Territory or grid description","Scope 2 Emission Factors (kg CO2-e/kWh)","Scope 2 Emission Factors (kg CO2-e/GJ)","Scope 3 Emission Factors (kg CO2 - e / kWh)","Scope 3 Emission Factors (kg CO2 - e / GJ)";"National",0.81,226,0.1,29}, _xlpm.r, _xlpm.c)
)))</definedName>
    <definedName name="Electricity_SourceData.Electricity_Scope2Scope3MarketBased_Data" localSheetId="15">_xlfn.LAMBDA(
  _xlfn.MAKEARRAY(2, 5,
    _xlfn.LAMBDA(_xlpm.r,_xlpm.c,
      INDEX({"State, Territory or grid description","Scope 2 Emission Factors (kg CO2-e/kWh)","Scope 2 Emission Factors (kg CO2-e/GJ)","Scope 3 Emission Factors (kg CO2 - e / kWh)","Scope 3 Emission Factors (kg CO2 - e / GJ)";"National",0.81,226,0.1,29}, _xlpm.r, _xlpm.c)
)))</definedName>
    <definedName name="Electricity_SourceData.Electricity_Scope2Scope3MarketBased_Data" localSheetId="18">_xlfn.LAMBDA(
  _xlfn.MAKEARRAY(2, 5,
    _xlfn.LAMBDA(_xlpm.r,_xlpm.c,
      INDEX({"State, Territory or grid description","Scope 2 Emission Factors (kg CO2-e/kWh)","Scope 2 Emission Factors (kg CO2-e/GJ)","Scope 3 Emission Factors (kg CO2 - e / kWh)","Scope 3 Emission Factors (kg CO2 - e / GJ)";"National",0.81,226,0.1,29}, _xlpm.r, _xlpm.c)
)))</definedName>
    <definedName name="Electricity_SourceData.Electricity_Scope2Scope3MarketBased_Data">_xlfn.LAMBDA(_xlfn.MAKEARRAY(2, 5, _xlfn.LAMBDA(_xlpm.r,_xlpm.c, INDEX({"State, Territory or grid description","Scope 2 Emission Factors (kg CO2-e/kWh)","Scope 2 Emission Factors (kg CO2-e/GJ)","Scope 3 Emission Factors (kg CO2 - e / kWh)","Scope 3 Emission Factors (kg CO2 - e / GJ)";"National",0.81,226,0.1,29}, _xlpm.r, _xlpm.c))))</definedName>
    <definedName name="Electricity_SourceData.Electricity_Scope2Scope3MarketBased_Source">_xlfn.LAMBDA(("Australian National Greenhouse Accounts Factors 2025 - Table 2a"))</definedName>
    <definedName name="Electricity_SourceData.Electricity_Scope2Scope3MarketBased_Title">_xlfn.LAMBDA(("Electricity scope 2 and scope 3 market-based emission factors"))</definedName>
    <definedName name="Electricity_SourceData.Electricity_Scope2Scope3MarketBased_Variation">_xlfn.LAMBDA((""))</definedName>
    <definedName name="EntericMethane_Dairy_Equations.VEERG_3_3_1_1__1_TotalAnnualMethaneFromEntericFermentation">_xlfn.LAMBDA(_xlpm.N_j124,_xlpm.M_j124,_xlpm.D_j124,_xlpm.N_j35,_xlpm.M_j35,_xlpm.D_j35,_xlpm.MPW_ENTERIC_j35, ((_xlpm.N_j124 * _xlpm.M_j124 * _xlpm.D_j124) + (_xlpm.N_j35 * _xlpm.M_j35 * _xlpm.D_j35) + (_xlpm.N_j35 * _xlpm.MPW_ENTERIC_j35 * _xlpm.D_j35)) * 10 ^ -3)</definedName>
    <definedName name="EntericMethane_Dairy_Equations.VEERG_3_3_1_1__1_TotalAnnualMethaneFromEntericFermentation_Arguments">_xlfn.LAMBDA(_xlfn.MAKEARRAY(8, 4, _xlfn.LAMBDA(_xlpm.r,_xlpm.c, INDEX({"N_j124","number of dairy cattle in classes j=1,2,4","head","Input";"M_j124","daily enteric methane production for classes j=1,2,4","kg CH4/head/day","Calculated from 3.3.1.1 (2)";"D_j124","duration of stay on the farm for classes j=1,2,4","days","Input";"N_j35","number of dairy cattle in classes j=3,5","head","Input";"M_j35","daily enteric methane production for weaned classes j=3,5","kg CH4/head/day","Calculated from 3.3.1.1 (2)";"D_j35","duration of stay on the farm for weaned classes j=3,5","days","Input";"DPW_j35","duration of stay on the farm for pre-weaned heifer and bull calves","days","Input";"MPW_ENTERIC_j35","daily methane production for pre-weaned heifer and bull calves","kg CH4/head/day","Constant"}, _xlpm.r, _xlpm.c))))</definedName>
    <definedName name="EntericMethane_Dairy_Equations.VEERG_3_3_1_1__1_TotalAnnualMethaneFromEntericFermentation_LatexEquation">_xlfn.LAMBDA("E_{enteric}=\sum\nolimits_j((N_{j=1,2,4}\times M_{j=1,2,4}\times D_{j=1,2,4})+(N_{j=3,5}\times M_{j=3,5}\times D_{j=3,5})+(N_{j=3,5}\times MPW_{ENTERIC,j=3,5}\times D_{j=3,5}))\times 10^{-3}")</definedName>
    <definedName name="EntericMethane_Dairy_Equations.VEERG_3_3_1_1__1_TotalAnnualMethaneFromEntericFermentation_LatexEquationVariation">_xlfn.LAMBDA("E_{enteric}=\sum\nolimits_j((N_{j=1,2,4}\times M_{j=1,2,4}\times D_{j=1,2,4})+(N_{j=3,5}\times M_{j=3,5}\times D_{j=3,5})+(N_{j=3,5}\times MPW_{ENTERIC,j=3,5}\times DPW_{j=3,5}))\times 10^{-3}")</definedName>
    <definedName name="EntericMethane_Dairy_Equations.VEERG_3_3_1_1__1_TotalAnnualMethaneFromEntericFermentation_NIRReference">_xlfn.LAMBDA("")</definedName>
    <definedName name="EntericMethane_Dairy_Equations.VEERG_3_3_1_1__1_TotalAnnualMethaneFromEntericFermentation_Source">_xlfn.LAMBDA("VEERG 2026: 3.3.1.1, Equation (1)")</definedName>
    <definedName name="EntericMethane_Dairy_Equations.VEERG_3_3_1_1__1_TotalAnnualMethaneFromEntericFermentation_Title">_xlfn.LAMBDA("Total annual methane production from enteric fermentation in dairy cattle")</definedName>
    <definedName name="EntericMethane_Dairy_Equations.VEERG_3_3_1_1__1_TotalAnnualMethaneFromEntericFermentation_Unit">_xlfn.LAMBDA("t CH4")</definedName>
    <definedName name="EntericMethane_Dairy_Equations.VEERG_3_3_1_1__1_TotalAnnualMethaneFromEntericFermentation_Variable">_xlfn.LAMBDA("E_enteric")</definedName>
    <definedName name="EntericMethane_Dairy_Equations.VEERG_3_3_1_1__1_TotalAnnualMethaneFromEntericFermentation_Variation">_xlfn.LAMBDA("VARIATION ON SOURCE: Added 'DPW' variable to allow for a separate handling of pre-weaned duration.")</definedName>
    <definedName name="EntericMethane_Dairy_Equations.VEERG_3_3_1_1__1_TotalAnnualMethaneFromEntericFermentationVariation">_xlfn.LAMBDA(_xlpm.N_j124,_xlpm.M_j124,_xlpm.D_j124,_xlpm.N_j35,_xlpm.M_j35,_xlpm.D_j35,_xlpm.DPW_j35,_xlpm.MPW_ENTERIC_j35, ((_xlpm.N_j124 * _xlpm.M_j124 * _xlpm.D_j124) + (_xlpm.N_j35 * _xlpm.M_j35 * _xlpm.D_j35) + (_xlpm.N_j35 * _xlpm.MPW_ENTERIC_j35 * _xlpm.DPW_j35)) * 10 ^ -3)</definedName>
    <definedName name="EntericMethane_Dairy_Equations.VEERG_3_3_1_1__2_DailyEntericMethaneProduction">_xlfn.LAMBDA(_xlpm.I_j, 20.7 * _xlpm.I_j * 10 ^ -3)</definedName>
    <definedName name="EntericMethane_Dairy_Equations.VEERG_3_3_1_1__2_DailyEntericMethaneProduction_Arguments">_xlfn.LAMBDA(_xlfn.MAKEARRAY(1, 4, _xlfn.LAMBDA(_xlpm.r,_xlpm.c, INDEX({"I_j","dry matter feed intake","kg DM/head/day","Calculated from 3.3.1.1 (3)"}, _xlpm.r, _xlpm.c))))</definedName>
    <definedName name="EntericMethane_Dairy_Equations.VEERG_3_3_1_1__2_DailyEntericMethaneProduction_LatexEquation">_xlfn.LAMBDA("M_j=20.7\times I_j\times 10^{-3}")</definedName>
    <definedName name="EntericMethane_Dairy_Equations.VEERG_3_3_1_1__2_DailyEntericMethaneProduction_NIRReference">_xlfn.LAMBDA("Charmley et al. (2015)")</definedName>
    <definedName name="EntericMethane_Dairy_Equations.VEERG_3_3_1_1__2_DailyEntericMethaneProduction_Source">_xlfn.LAMBDA("VEERG 2026: 3.3.1.1, Equation (2)")</definedName>
    <definedName name="EntericMethane_Dairy_Equations.VEERG_3_3_1_1__2_DailyEntericMethaneProduction_Title">_xlfn.LAMBDA("Daily production of enteric methane")</definedName>
    <definedName name="EntericMethane_Dairy_Equations.VEERG_3_3_1_1__2_DailyEntericMethaneProduction_Unit">_xlfn.LAMBDA("kg CH4/head/day")</definedName>
    <definedName name="EntericMethane_Dairy_Equations.VEERG_3_3_1_1__2_DailyEntericMethaneProduction_Variable">_xlfn.LAMBDA("M_j")</definedName>
    <definedName name="EntericMethane_Dairy_Equations.VEERG_3_3_1_1__3_DryMatterFeedIntake">_xlfn.LAMBDA(_xlpm.W_j,_xlpm.LWG_j,_xlpm.MR_j,_xlpm.MI_j, (1.185 + 0.00454 * _xlpm.W_j - 0.0000026 * _xlpm.W_j ^ 2 + 0.315 * _xlpm.LWG_j) ^ 2 * _xlpm.MR_j + _xlpm.MI_j)</definedName>
    <definedName name="EntericMethane_Dairy_Equations.VEERG_3_3_1_1__3_DryMatterFeedIntake_Arguments">_xlfn.LAMBDA(_xlfn.MAKEARRAY(4, 4, _xlfn.LAMBDA(_xlpm.r,_xlpm.c, INDEX({"W_j","liveweight","kg","Input";"LWG_j","liveweight gain","kg/head/day","Input";"MR_j","increase in metabolic rate when producing milk","fraction","Constant";"MI_j","additional intake required for milk production","kg DM/head/day","Calculated from 3.3.1.1 (4)"}, _xlpm.r, _xlpm.c))))</definedName>
    <definedName name="EntericMethane_Dairy_Equations.VEERG_3_3_1_1__3_DryMatterFeedIntake_LatexEquation">_xlfn.LAMBDA("I_j=(1.185+0.00454\times W_j-0.0000026\times W_j^2+0.315\times LWG_j)^2\times MR_j+MI_j")</definedName>
    <definedName name="EntericMethane_Dairy_Equations.VEERG_3_3_1_1__3_DryMatterFeedIntake_NIRReference">_xlfn.LAMBDA("")</definedName>
    <definedName name="EntericMethane_Dairy_Equations.VEERG_3_3_1_1__3_DryMatterFeedIntake_Source">_xlfn.LAMBDA("VEERG 2026: 3.3.1.1, Equation (3)")</definedName>
    <definedName name="EntericMethane_Dairy_Equations.VEERG_3_3_1_1__3_DryMatterFeedIntake_Title">_xlfn.LAMBDA("Feed intake")</definedName>
    <definedName name="EntericMethane_Dairy_Equations.VEERG_3_3_1_1__3_DryMatterFeedIntake_Unit">_xlfn.LAMBDA("kg DM/head/day")</definedName>
    <definedName name="EntericMethane_Dairy_Equations.VEERG_3_3_1_1__3_DryMatterFeedIntake_Variable">_xlfn.LAMBDA("I_j")</definedName>
    <definedName name="EntericMethane_Dairy_Equations.VEERG_3_3_1_1__4_AdditionalIntakeForMilkProduction">_xlfn.LAMBDA(_xlpm.MP_j,_xlpm.NE,_xlpm.GEC,_xlpm.k,_xlpm.qm_j, (_xlpm.MP_j * 1.03 * _xlpm.NE) / (_xlpm.GEC * _xlpm.k * _xlpm.qm_j))</definedName>
    <definedName name="EntericMethane_Dairy_Equations.VEERG_3_3_1_1__4_AdditionalIntakeForMilkProduction_Arguments">_xlfn.LAMBDA(_xlfn.MAKEARRAY(7, 4, _xlfn.LAMBDA(_xlpm.r,_xlpm.c, INDEX({"MPU","input milk production unit","","Input";"MP_j","milk production (if input as litres of milk)","L/head/day","Input";"MP_j","milk production (if input as milk solids)","L/head/day","Calculated from 3.3.1.1 (5)";"NE","net energy","MJ net energy/kg milk","Constant";"GEC","gross energy content","MJ/kgDM","Constant";"k","efficiency of metabolizable energy use for milk production","fraction","Constant";"qm_j","metabolisability of the diet","fraction","Calculated from 3.3.1.1 (6)"}, _xlpm.r, _xlpm.c))))</definedName>
    <definedName name="EntericMethane_Dairy_Equations.VEERG_3_3_1_1__4_AdditionalIntakeForMilkProduction_LatexEquation">_xlfn.LAMBDA("MI_j=\frac{MP_j\times 1.03\times NE}{GEC\times k\times qm_j}")</definedName>
    <definedName name="EntericMethane_Dairy_Equations.VEERG_3_3_1_1__4_AdditionalIntakeForMilkProduction_NIRReference">_xlfn.LAMBDA("")</definedName>
    <definedName name="EntericMethane_Dairy_Equations.VEERG_3_3_1_1__4_AdditionalIntakeForMilkProduction_Source">_xlfn.LAMBDA("VEERG 2026: 3.3.1.1, Equation (4)")</definedName>
    <definedName name="EntericMethane_Dairy_Equations.VEERG_3_3_1_1__4_AdditionalIntakeForMilkProduction_Title">_xlfn.LAMBDA("Additional intake required for milk production")</definedName>
    <definedName name="EntericMethane_Dairy_Equations.VEERG_3_3_1_1__4_AdditionalIntakeForMilkProduction_Unit">_xlfn.LAMBDA("kg DM/head/day")</definedName>
    <definedName name="EntericMethane_Dairy_Equations.VEERG_3_3_1_1__4_AdditionalIntakeForMilkProduction_Variable">_xlfn.LAMBDA("MI_j")</definedName>
    <definedName name="EntericMethane_Dairy_Equations.VEERG_3_3_1_1__4_AdditionalIntakeForMilkProduction_Variation">_xlfn.LAMBDA("VARATION ON SOURCE: Added milk production unit variable to allow for use of either milk solids or litres of milk.")</definedName>
    <definedName name="EntericMethane_Dairy_Equations.VEERG_3_3_1_1__5_MilkProductionFromMilkSolids">_xlfn.LAMBDA(_xlpm.MS_j,_xlpm.FC_j,_xlpm.PC_j, _xlpm.MS_j / (0.01 * (_xlpm.FC_j + _xlpm.PC_j)))</definedName>
    <definedName name="EntericMethane_Dairy_Equations.VEERG_3_3_1_1__5_MilkProductionFromMilkSolids_Arguments" localSheetId="37">_xlfn.LAMBDA(
    _xlfn.MAKEARRAY(4, 4,
      _xlfn.LAMBDA(_xlpm.r,_xlpm.c,
        INDEX({"MPU","input milk production unit","","Input";"MS_j","daily production of milk solids","kg MS/head/day","Input";"FC_j","fat content in fat and protein corrected milk","per cent","Input";"PC_j","protein content in fat and protein corrected milk","per cent","Input"}, _xlpm.r, _xlpm.c)
      )
    )
  )</definedName>
    <definedName name="EntericMethane_Dairy_Equations.VEERG_3_3_1_1__5_MilkProductionFromMilkSolids_Arguments" localSheetId="38">_xlfn.LAMBDA(
    _xlfn.MAKEARRAY(4, 4,
      _xlfn.LAMBDA(_xlpm.r,_xlpm.c,
        INDEX({"MPU","input milk production unit","","Input";"MS_j","daily production of milk solids","kg MS/head/day","Input";"FC_j","fat content in fat and protein corrected milk","per cent","Input";"PC_j","protein content in fat and protein corrected milk","per cent","Input"}, _xlpm.r, _xlpm.c)
      )
    )
  )</definedName>
    <definedName name="EntericMethane_Dairy_Equations.VEERG_3_3_1_1__5_MilkProductionFromMilkSolids_Arguments" localSheetId="45">_xlfn.LAMBDA(
    _xlfn.MAKEARRAY(4, 4,
      _xlfn.LAMBDA(_xlpm.r,_xlpm.c,
        INDEX({"MPU","input milk production unit","","Input";"MS_j","daily production of milk solids","kg MS/head/day","Input";"FC_j","fat content in fat and protein corrected milk","per cent","Input";"PC_j","protein content in fat and protein corrected milk","per cent","Input"}, _xlpm.r, _xlpm.c)
      )
    )
  )</definedName>
    <definedName name="EntericMethane_Dairy_Equations.VEERG_3_3_1_1__5_MilkProductionFromMilkSolids_Arguments" localSheetId="7">_xlfn.LAMBDA(
    _xlfn.MAKEARRAY(4, 4,
      _xlfn.LAMBDA(_xlpm.r,_xlpm.c,
        INDEX({"MPU","input milk production unit","","Input";"MS_j","daily production of milk solids","kg MS/head/day","Input";"FC_j","fat content in fat and protein corrected milk","per cent","Input";"PC_j","protein content in fat and protein corrected milk","per cent","Input"}, _xlpm.r, _xlpm.c)
      )
    )
  )</definedName>
    <definedName name="EntericMethane_Dairy_Equations.VEERG_3_3_1_1__5_MilkProductionFromMilkSolids_Arguments" localSheetId="13">_xlfn.LAMBDA(
    _xlfn.MAKEARRAY(4, 4,
      _xlfn.LAMBDA(_xlpm.r,_xlpm.c,
        INDEX({"MPU","input milk production unit","","Input";"MS_j","daily production of milk solids","kg MS/head/day","Input";"FC_j","fat content in fat and protein corrected milk","per cent","Input";"PC_j","protein content in fat and protein corrected milk","per cent","Input"}, _xlpm.r, _xlpm.c)
      )
    )
  )</definedName>
    <definedName name="EntericMethane_Dairy_Equations.VEERG_3_3_1_1__5_MilkProductionFromMilkSolids_Arguments" localSheetId="14">_xlfn.LAMBDA(
    _xlfn.MAKEARRAY(4, 4,
      _xlfn.LAMBDA(_xlpm.r,_xlpm.c,
        INDEX({"MPU","input milk production unit","","Input";"MS_j","daily production of milk solids","kg MS/head/day","Input";"FC_j","fat content in fat and protein corrected milk","per cent","Input";"PC_j","protein content in fat and protein corrected milk","per cent","Input"}, _xlpm.r, _xlpm.c)
      )
    )
  )</definedName>
    <definedName name="EntericMethane_Dairy_Equations.VEERG_3_3_1_1__5_MilkProductionFromMilkSolids_Arguments" localSheetId="16">_xlfn.LAMBDA(
    _xlfn.MAKEARRAY(4, 4,
      _xlfn.LAMBDA(_xlpm.r,_xlpm.c,
        INDEX({"MPU","input milk production unit","","Input";"MS_j","daily production of milk solids","kg MS/head/day","Input";"FC_j","fat content in fat and protein corrected milk","per cent","Input";"PC_j","protein content in fat and protein corrected milk","per cent","Input"}, _xlpm.r, _xlpm.c)
      )
    )
  )</definedName>
    <definedName name="EntericMethane_Dairy_Equations.VEERG_3_3_1_1__5_MilkProductionFromMilkSolids_Arguments" localSheetId="15">_xlfn.LAMBDA(
    _xlfn.MAKEARRAY(4, 4,
      _xlfn.LAMBDA(_xlpm.r,_xlpm.c,
        INDEX({"MPU","input milk production unit","","Input";"MS_j","daily production of milk solids","kg MS/head/day","Input";"FC_j","fat content in fat and protein corrected milk","per cent","Input";"PC_j","protein content in fat and protein corrected milk","per cent","Input"}, _xlpm.r, _xlpm.c)
      )
    )
  )</definedName>
    <definedName name="EntericMethane_Dairy_Equations.VEERG_3_3_1_1__5_MilkProductionFromMilkSolids_Arguments" localSheetId="18">_xlfn.LAMBDA(
    _xlfn.MAKEARRAY(4, 4,
      _xlfn.LAMBDA(_xlpm.r,_xlpm.c,
        INDEX({"MPU","input milk production unit","","Input";"MS_j","daily production of milk solids","kg MS/head/day","Input";"FC_j","fat content in fat and protein corrected milk","per cent","Input";"PC_j","protein content in fat and protein corrected milk","per cent","Input"}, _xlpm.r, _xlpm.c)
      )
    )
  )</definedName>
    <definedName name="EntericMethane_Dairy_Equations.VEERG_3_3_1_1__5_MilkProductionFromMilkSolids_Arguments">_xlfn.LAMBDA(_xlfn.MAKEARRAY(4, 4, _xlfn.LAMBDA(_xlpm.r,_xlpm.c, INDEX({"MPU","input milk production unit","","Input";"MS_j","daily production of milk solids","kg MS/head/day","Input";"FC_j","fat content in fat and protein corrected milk","per cent","Constant";"PC_j","protein content in fat and protein corrected milk","per cent","Constant"}, _xlpm.r, _xlpm.c))))</definedName>
    <definedName name="EntericMethane_Dairy_Equations.VEERG_3_3_1_1__5_MilkProductionFromMilkSolids_Arguments_Method2">_xlfn.LAMBDA(_xlfn.MAKEARRAY(4, 4, _xlfn.LAMBDA(_xlpm.r,_xlpm.c, INDEX({"MPU","milk production unit","","Input";"MS_j","daily production of milk solids","kg MS/head/day","Input";"FC_j","fat content in fat and protein corrected milk","per cent","Input";"PC_j","protein content in fat and protein corrected milk","per cent","Input"}, _xlpm.r, _xlpm.c))))</definedName>
    <definedName name="EntericMethane_Dairy_Equations.VEERG_3_3_1_1__5_MilkProductionFromMilkSolids_LatexEquation">_xlfn.LAMBDA("MP_j=\frac{MS_j}{0.01\times (FC_j+PC_j)}")</definedName>
    <definedName name="EntericMethane_Dairy_Equations.VEERG_3_3_1_1__5_MilkProductionFromMilkSolids_NIRReference">_xlfn.LAMBDA("")</definedName>
    <definedName name="EntericMethane_Dairy_Equations.VEERG_3_3_1_1__5_MilkProductionFromMilkSolids_Source">_xlfn.LAMBDA("VEERG 2026: 3.3.1.1, Equation (5)")</definedName>
    <definedName name="EntericMethane_Dairy_Equations.VEERG_3_3_1_1__5_MilkProductionFromMilkSolids_Title">_xlfn.LAMBDA("Milk production converted from milk solids")</definedName>
    <definedName name="EntericMethane_Dairy_Equations.VEERG_3_3_1_1__5_MilkProductionFromMilkSolids_Unit">_xlfn.LAMBDA("L/head/day")</definedName>
    <definedName name="EntericMethane_Dairy_Equations.VEERG_3_3_1_1__5_MilkProductionFromMilkSolids_Variable">_xlfn.LAMBDA("MP_j")</definedName>
    <definedName name="EntericMethane_Dairy_Equations.VEERG_3_3_1_1__5_MilkProductionFromMilkSolids_Variation">_xlfn.LAMBDA("VARATION ON SOURCE: Added milk production unit variable to allow for use of either milk solids or litres of milk. Converted input FC and PC percent to integer.")</definedName>
    <definedName name="EntericMethane_Dairy_Equations.VEERG_3_3_1_1__6_MetabolisabilityOfDiet">_xlfn.LAMBDA(_xlpm.DMD_j, 0.795 * (_xlpm.DMD_j * 100) - 0.0014)</definedName>
    <definedName name="EntericMethane_Dairy_Equations.VEERG_3_3_1_1__6_MetabolisabilityOfDiet_Arguments">_xlfn.LAMBDA(_xlfn.MAKEARRAY(1, 4, _xlfn.LAMBDA(_xlpm.r,_xlpm.c, INDEX({"DMD_j","dry matter digestibility expressed as a fraction","fraction","Input"}, _xlpm.r, _xlpm.c))))</definedName>
    <definedName name="EntericMethane_Dairy_Equations.VEERG_3_3_1_1__6_MetabolisabilityOfDiet_LatexEquation">_xlfn.LAMBDA("qm_j=0.795\times (DMD_j\times 100)-0.0014")</definedName>
    <definedName name="EntericMethane_Dairy_Equations.VEERG_3_3_1_1__6_MetabolisabilityOfDiet_LatexEquationVariation">_xlfn.LAMBDA("qm_j=0.00795\times (DMD_j\times 100)-0.0014")</definedName>
    <definedName name="EntericMethane_Dairy_Equations.VEERG_3_3_1_1__6_MetabolisabilityOfDiet_NIRReference">_xlfn.LAMBDA("")</definedName>
    <definedName name="EntericMethane_Dairy_Equations.VEERG_3_3_1_1__6_MetabolisabilityOfDiet_Source">_xlfn.LAMBDA("VEERG 2026: 3.3.1.1, Equation (6)")</definedName>
    <definedName name="EntericMethane_Dairy_Equations.VEERG_3_3_1_1__6_MetabolisabilityOfDiet_Title">_xlfn.LAMBDA("Metabolisability of diet")</definedName>
    <definedName name="EntericMethane_Dairy_Equations.VEERG_3_3_1_1__6_MetabolisabilityOfDiet_Unit">_xlfn.LAMBDA("fraction")</definedName>
    <definedName name="EntericMethane_Dairy_Equations.VEERG_3_3_1_1__6_MetabolisabilityOfDiet_Variable">_xlfn.LAMBDA("qm_j")</definedName>
    <definedName name="EntericMethane_Dairy_Equations.VEERG_3_3_1_1__6_MetabolisabilityOfDiet_Variation">_xlfn.LAMBDA("VARIATION ON SOURCE: changed 0.795 to 0.00795 which is the value used in the National Inventory Report")</definedName>
    <definedName name="EntericMethane_Dairy_Equations.VEERG_3_3_1_1__6_MetabolisabilityOfDietVariation">_xlfn.LAMBDA(_xlpm.DMD_j, 0.00795 * (_xlpm.DMD_j * 100) - 0.0014)</definedName>
    <definedName name="EntericMethane_PastureBeef_Equations.VEERG_3_2_1_1__1_TotalAnnualMethaneFromEntericFermentation">_xlfn.LAMBDA(_xlpm.D_j,_xlpm.M_jkl,_xlpm.N_jkl, (_xlpm.D_j * _xlpm.M_jkl * _xlpm.N_jkl) * 10 ^ -3)</definedName>
    <definedName name="EntericMethane_PastureBeef_Equations.VEERG_3_2_1_1__1_TotalAnnualMethaneFromEntericFermentation_Arguments">_xlfn.LAMBDA(_xlfn.MAKEARRAY(3, 4, _xlfn.LAMBDA(_xlpm.r,_xlpm.c, INDEX({"D_j","number of days the animal is on the farm in each time-period","days","Input";"M_jkl","daily production of enteric methane in each time-period, class and subclass","kg CH4/head/day","Calculated from 3.2.1.1, (2)";"N_jkl","number of beef cattle in each time-period, class and subclass","head","Input"}, _xlpm.r, _xlpm.c))))</definedName>
    <definedName name="EntericMethane_PastureBeef_Equations.VEERG_3_2_1_1__1_TotalAnnualMethaneFromEntericFermentation_LatexEquation">_xlfn.LAMBDA("E_{enteric}=\sum_{j}\sum_{k}\sum_{l}(D_j\times M_{jkl}\times N_{jkl})\times 10^{-3}")</definedName>
    <definedName name="EntericMethane_PastureBeef_Equations.VEERG_3_2_1_1__1_TotalAnnualMethaneFromEntericFermentation_NIRReference">_xlfn.LAMBDA("")</definedName>
    <definedName name="EntericMethane_PastureBeef_Equations.VEERG_3_2_1_1__1_TotalAnnualMethaneFromEntericFermentation_Source">_xlfn.LAMBDA("VEERG 2026: 3.2.1.1, Equation (1)")</definedName>
    <definedName name="EntericMethane_PastureBeef_Equations.VEERG_3_2_1_1__1_TotalAnnualMethaneFromEntericFermentation_Title">_xlfn.LAMBDA("Total annual methane production from enteric fermentation in grazing beef cattle")</definedName>
    <definedName name="EntericMethane_PastureBeef_Equations.VEERG_3_2_1_1__1_TotalAnnualMethaneFromEntericFermentation_Unit">_xlfn.LAMBDA("t CH4")</definedName>
    <definedName name="EntericMethane_PastureBeef_Equations.VEERG_3_2_1_1__1_TotalAnnualMethaneFromEntericFermentation_Variable">_xlfn.LAMBDA("E_enteric")</definedName>
    <definedName name="EntericMethane_PastureBeef_Equations.VEERG_3_2_1_1__2_DailyEntericMethaneProduction">_xlfn.LAMBDA(_xlpm.I_jkl, 20.7 * _xlpm.I_jkl * 10 ^ -3)</definedName>
    <definedName name="EntericMethane_PastureBeef_Equations.VEERG_3_2_1_1__2_DailyEntericMethaneProduction_Arguments">_xlfn.LAMBDA(_xlfn.MAKEARRAY(1, 4, _xlfn.LAMBDA(_xlpm.r,_xlpm.c, INDEX({"I_jkl","dry matter intake","kg DM/head/day","Calculated from 3.2.1.1, (3)"}, _xlpm.r, _xlpm.c))))</definedName>
    <definedName name="EntericMethane_PastureBeef_Equations.VEERG_3_2_1_1__2_DailyEntericMethaneProduction_LatexEquation">_xlfn.LAMBDA("M_{jkl}=20.7\times I_{jkl}\times 10^{-3}")</definedName>
    <definedName name="EntericMethane_PastureBeef_Equations.VEERG_3_2_1_1__2_DailyEntericMethaneProduction_NIRReference">_xlfn.LAMBDA("Charmley et al. (2015)")</definedName>
    <definedName name="EntericMethane_PastureBeef_Equations.VEERG_3_2_1_1__2_DailyEntericMethaneProduction_Source">_xlfn.LAMBDA("VEERG 2026: 3.2.1.1, Equation (2)")</definedName>
    <definedName name="EntericMethane_PastureBeef_Equations.VEERG_3_2_1_1__2_DailyEntericMethaneProduction_Title">_xlfn.LAMBDA("Daily production of enteric methane")</definedName>
    <definedName name="EntericMethane_PastureBeef_Equations.VEERG_3_2_1_1__2_DailyEntericMethaneProduction_Unit">_xlfn.LAMBDA("kg CH4/head/day")</definedName>
    <definedName name="EntericMethane_PastureBeef_Equations.VEERG_3_2_1_1__2_DailyEntericMethaneProduction_Variable">_xlfn.LAMBDA("M_jkl")</definedName>
    <definedName name="EntericMethane_PastureBeef_Equations.VEERG_3_2_1_1__3_FeedIntakeForGrazingBeef">_xlfn.LAMBDA(_xlpm.W_jkl,_xlpm.LWG_jkl,_xlpm.MA_jk45, (1.185 + 0.00454 * _xlpm.W_jkl - 0.0000026 * _xlpm.W_jkl ^ 2 + 0.315 * _xlpm.LWG_jkl) ^ 2 * _xlpm.MA_jk45)</definedName>
    <definedName name="EntericMethane_PastureBeef_Equations.VEERG_3_2_1_1__3_FeedIntakeForGrazingBeef_Arguments">_xlfn.LAMBDA(_xlfn.MAKEARRAY(3, 4, _xlfn.LAMBDA(_xlpm.r,_xlpm.c, INDEX({"W_jkl","liveweight (kg)","kg","Input";"LWG_jkl","live weight gain (kg/head/day)","kg/head/day","Input";"MA_jk45","additional intake for milk production in cows greater than 2 years","kg/head/day","Calculated from 3.2.1.1, (4)"}, _xlpm.r, _xlpm.c))))</definedName>
    <definedName name="EntericMethane_PastureBeef_Equations.VEERG_3_2_1_1__3_FeedIntakeForGrazingBeef_LatexEquation">_xlfn.LAMBDA("I_{jkl}=(1.185+0.00454\times W_{jkl}-0.0000026\times W_{jkl}^{2}+0.315\times LWG_{jkl})^2\times MA_{jk=4,5}")</definedName>
    <definedName name="EntericMethane_PastureBeef_Equations.VEERG_3_2_1_1__3_FeedIntakeForGrazingBeef_NIRReference">_xlfn.LAMBDA("Minson and McDonald (1987)")</definedName>
    <definedName name="EntericMethane_PastureBeef_Equations.VEERG_3_2_1_1__3_FeedIntakeForGrazingBeef_Source">_xlfn.LAMBDA("VEERG 2026: 3.2.1.1, Equation (3)")</definedName>
    <definedName name="EntericMethane_PastureBeef_Equations.VEERG_3_2_1_1__3_FeedIntakeForGrazingBeef_Title">_xlfn.LAMBDA("Feed intake for grazing beef cattle")</definedName>
    <definedName name="EntericMethane_PastureBeef_Equations.VEERG_3_2_1_1__3_FeedIntakeForGrazingBeef_Unit">_xlfn.LAMBDA("kg DM/head/day")</definedName>
    <definedName name="EntericMethane_PastureBeef_Equations.VEERG_3_2_1_1__3_FeedIntakeForGrazingBeef_Variable">_xlfn.LAMBDA("I_jkl")</definedName>
    <definedName name="EntericMethane_PastureBeef_Equations.VEERG_3_2_1_1__4_AdditionalIntakeForMilkProduction">_xlfn.LAMBDA(_xlpm.LC_jk45,_xlpm.FA_jk45, (_xlpm.LC_jk45 * _xlpm.FA_jk45) + (1 - _xlpm.LC_jk45))</definedName>
    <definedName name="EntericMethane_PastureBeef_Equations.VEERG_3_2_1_1__4_AdditionalIntakeForMilkProduction_Arguments">_xlfn.LAMBDA(_xlfn.MAKEARRAY(3, 4, _xlfn.LAMBDA(_xlpm.r,_xlpm.c, INDEX({"LC_jk45","proportion of cows greater than 1 year in calf in the season of calving expressed as a fraction","fraction","Input";"FA_jk45","feed adjustment value for lactating cows in the season of calving and the season immediately after calving expressed as a fraction","fraction","Constant";"b","breed of cattle","","Input"}, _xlpm.r, _xlpm.c))))</definedName>
    <definedName name="EntericMethane_PastureBeef_Equations.VEERG_3_2_1_1__4_AdditionalIntakeForMilkProduction_ArgumentsVariation">_xlfn.LAMBDA(_xlfn.MAKEARRAY(4, 4, _xlfn.LAMBDA(_xlpm.r,_xlpm.c, INDEX({"LC_jk45","proportion of cows greater than 1 year in calf in the season of calving expressed as a fraction","fraction","Input";"FA_jk45calv","feed adjustment value for lactating cows in the season of calving expressed as a fraction","fraction","Constant";"FA_jk45after","feed adjustment value for lactating cows in the season immediately after calving expressed as a fraction","fraction","Constant";"b","breed of cattle","","Input"}, _xlpm.r, _xlpm.c))))</definedName>
    <definedName name="EntericMethane_PastureBeef_Equations.VEERG_3_2_1_1__4_AdditionalIntakeForMilkProduction_LatexEquation">_xlfn.LAMBDA("MA_{jk=4,5}=(LC_{jk=4,5}\times FA_{jk=4,5})+(1-LC_{jk=4,5})")</definedName>
    <definedName name="EntericMethane_PastureBeef_Equations.VEERG_3_2_1_1__4_AdditionalIntakeForMilkProduction_LatexEquationVariation">_xlfn.LAMBDA("MA_{jk=4,5}=((LC_{jk=4,5,calv}\times FA_{jk=4,5,calv})+(LC_{jk=4,5,prev}\times FA_{jk=4,5,after}))+(1-(LC_{jk=4,5,calv}+LC_{jk=4,5,prev}))")</definedName>
    <definedName name="EntericMethane_PastureBeef_Equations.VEERG_3_2_1_1__4_AdditionalIntakeForMilkProduction_NIRReference">_xlfn.LAMBDA("")</definedName>
    <definedName name="EntericMethane_PastureBeef_Equations.VEERG_3_2_1_1__4_AdditionalIntakeForMilkProduction_Source">_xlfn.LAMBDA("VEERG 2026: 3.2.1.1, Equation (4)")</definedName>
    <definedName name="EntericMethane_PastureBeef_Equations.VEERG_3_2_1_1__4_AdditionalIntakeForMilkProduction_Title">_xlfn.LAMBDA("Additional intake for milk production in the season of calving and the season after calving")</definedName>
    <definedName name="EntericMethane_PastureBeef_Equations.VEERG_3_2_1_1__4_AdditionalIntakeForMilkProduction_Unit">_xlfn.LAMBDA("fraction")</definedName>
    <definedName name="EntericMethane_PastureBeef_Equations.VEERG_3_2_1_1__4_AdditionalIntakeForMilkProduction_Variable">_xlfn.LAMBDA("MA_jk45")</definedName>
    <definedName name="EntericMethane_PastureBeef_Equations.VEERG_3_2_1_1__4_AdditionalIntakeForMilkProduction_Variation">_xlfn.LAMBDA("VARIATION ON SOURCE: Expanded equation to account for season after calving, rather than doing the same equation twice for both seasons")</definedName>
    <definedName name="EntericMethane_PastureBeef_Equations.VEERG_3_2_1_1__4_AdditionalIntakeForMilkProductionVariation" localSheetId="37">_xlfn.LAMBDA(_xlpm.LC_jk45calv,_xlpm.LC_jk45prev,_xlpm.FA_jk45calv,_xlpm.FA_jk45after,
    ((_xlpm.LC_jk45calv * _xlpm.FA_jk45calv) + (_xlpm.LC_jk45prev * _xlpm.FA_jk45after)) + (1 - (_xlpm.LC_jk45calv + _xlpm.LC_jk45prev))
  )</definedName>
    <definedName name="EntericMethane_PastureBeef_Equations.VEERG_3_2_1_1__4_AdditionalIntakeForMilkProductionVariation" localSheetId="20">_xlfn.LAMBDA(_xlpm.LC_jk45calv,_xlpm.LC_jk45prev,_xlpm.FA_jk45calv,_xlpm.FA_jk45after,
    ((_xlpm.LC_jk45calv * _xlpm.FA_jk45calv) + (_xlpm.LC_jk45prev * _xlpm.FA_jk45after)) + (1 - (_xlpm.LC_jk45calv + _xlpm.LC_jk45prev))
  )</definedName>
    <definedName name="EntericMethane_PastureBeef_Equations.VEERG_3_2_1_1__4_AdditionalIntakeForMilkProductionVariation" localSheetId="38">_xlfn.LAMBDA(_xlpm.LC_jk45calv,_xlpm.LC_jk45prev,_xlpm.FA_jk45calv,_xlpm.FA_jk45after,
    ((_xlpm.LC_jk45calv * _xlpm.FA_jk45calv) + (_xlpm.LC_jk45prev * _xlpm.FA_jk45after)) + (1 - (_xlpm.LC_jk45calv + _xlpm.LC_jk45prev))
  )</definedName>
    <definedName name="EntericMethane_PastureBeef_Equations.VEERG_3_2_1_1__4_AdditionalIntakeForMilkProductionVariation" localSheetId="45">_xlfn.LAMBDA(_xlpm.LC_jk45calv,_xlpm.LC_jk45prev,_xlpm.FA_jk45calv,_xlpm.FA_jk45after,
    ((_xlpm.LC_jk45calv * _xlpm.FA_jk45calv) + (_xlpm.LC_jk45prev * _xlpm.FA_jk45after)) + (1 - (_xlpm.LC_jk45calv + _xlpm.LC_jk45prev))
  )</definedName>
    <definedName name="EntericMethane_PastureBeef_Equations.VEERG_3_2_1_1__4_AdditionalIntakeForMilkProductionVariation" localSheetId="7">_xlfn.LAMBDA(_xlpm.LC_jk45calv,_xlpm.LC_jk45prev,_xlpm.FA_jk45calv,_xlpm.FA_jk45after,
    ((_xlpm.LC_jk45calv * _xlpm.FA_jk45calv) + (_xlpm.LC_jk45prev * _xlpm.FA_jk45after)) + (1 - (_xlpm.LC_jk45calv + _xlpm.LC_jk45prev))
  )</definedName>
    <definedName name="EntericMethane_PastureBeef_Equations.VEERG_3_2_1_1__4_AdditionalIntakeForMilkProductionVariation" localSheetId="13">_xlfn.LAMBDA(_xlpm.LC_jk45calv,_xlpm.LC_jk45prev,_xlpm.FA_jk45calv,_xlpm.FA_jk45after,
    ((_xlpm.LC_jk45calv * _xlpm.FA_jk45calv) + (_xlpm.LC_jk45prev * _xlpm.FA_jk45after)) + (1 - (_xlpm.LC_jk45calv + _xlpm.LC_jk45prev))
  )</definedName>
    <definedName name="EntericMethane_PastureBeef_Equations.VEERG_3_2_1_1__4_AdditionalIntakeForMilkProductionVariation" localSheetId="14">_xlfn.LAMBDA(_xlpm.LC_jk45calv,_xlpm.LC_jk45prev,_xlpm.FA_jk45calv,_xlpm.FA_jk45after,
    ((_xlpm.LC_jk45calv * _xlpm.FA_jk45calv) + (_xlpm.LC_jk45prev * _xlpm.FA_jk45after)) + (1 - (_xlpm.LC_jk45calv + _xlpm.LC_jk45prev))
  )</definedName>
    <definedName name="EntericMethane_PastureBeef_Equations.VEERG_3_2_1_1__4_AdditionalIntakeForMilkProductionVariation" localSheetId="16">_xlfn.LAMBDA(_xlpm.LC_jk45calv,_xlpm.LC_jk45prev,_xlpm.FA_jk45calv,_xlpm.FA_jk45after,
    ((_xlpm.LC_jk45calv * _xlpm.FA_jk45calv) + (_xlpm.LC_jk45prev * _xlpm.FA_jk45after)) + (1 - (_xlpm.LC_jk45calv + _xlpm.LC_jk45prev))
  )</definedName>
    <definedName name="EntericMethane_PastureBeef_Equations.VEERG_3_2_1_1__4_AdditionalIntakeForMilkProductionVariation" localSheetId="15">_xlfn.LAMBDA(_xlpm.LC_jk45calv,_xlpm.LC_jk45prev,_xlpm.FA_jk45calv,_xlpm.FA_jk45after,
    ((_xlpm.LC_jk45calv * _xlpm.FA_jk45calv) + (_xlpm.LC_jk45prev * _xlpm.FA_jk45after)) + (1 - (_xlpm.LC_jk45calv + _xlpm.LC_jk45prev))
  )</definedName>
    <definedName name="EntericMethane_PastureBeef_Equations.VEERG_3_2_1_1__4_AdditionalIntakeForMilkProductionVariation" localSheetId="18">_xlfn.LAMBDA(_xlpm.LC_jk45calv,_xlpm.LC_jk45prev,_xlpm.FA_jk45calv,_xlpm.FA_jk45after,
    ((_xlpm.LC_jk45calv * _xlpm.FA_jk45calv) + (_xlpm.LC_jk45prev * _xlpm.FA_jk45after)) + (1 - (_xlpm.LC_jk45calv + _xlpm.LC_jk45prev))
  )</definedName>
    <definedName name="EntericMethane_PastureBeef_Equations.VEERG_3_2_1_1__4_AdditionalIntakeForMilkProductionVariation">_xlfn.LAMBDA(_xlpm.LC_jk45calv,_xlpm.LC_jk45prev,_xlpm.FA_jk45calv,_xlpm.FA_jk45after, ((_xlpm.LC_jk45calv * _xlpm.FA_jk45calv) + (_xlpm.LC_jk45prev * _xlpm.FA_jk45after)) + (1 - (_xlpm.LC_jk45calv + _xlpm.LC_jk45prev)))</definedName>
    <definedName name="EntericMethane_Swine_Equations.VEERG_3_5_1_1__1_TotalAnnualMethaneFromEntericFermentation">_xlfn.LAMBDA(_xlpm.N_j,_xlpm.M_j,_xlpm.D_j, (_xlpm.N_j * _xlpm.M_j * _xlpm.D_j) * 10 ^ -3)</definedName>
    <definedName name="EntericMethane_Swine_Equations.VEERG_3_5_1_1__1_TotalAnnualMethaneFromEntericFermentation_Arguments">_xlfn.LAMBDA(_xlfn.MAKEARRAY(3, 4, _xlfn.LAMBDA(_xlpm.r,_xlpm.c, INDEX({"N_j","numbers of swine of each class","head","Input";"M_j","methane production","kg CH4/head/day","Calculated from 3.5.1.1, (2)";"D_j","the average number of days on farm for each swine class","days","Input"}, _xlpm.r, _xlpm.c))))</definedName>
    <definedName name="EntericMethane_Swine_Equations.VEERG_3_5_1_1__1_TotalAnnualMethaneFromEntericFermentation_LatexEquation">_xlfn.LAMBDA("E_{enteric}=\sum\nolimits_j(N_j\times M_j\times D_j)\times 10^{-3}")</definedName>
    <definedName name="EntericMethane_Swine_Equations.VEERG_3_5_1_1__1_TotalAnnualMethaneFromEntericFermentation_NIRReference">_xlfn.LAMBDA("")</definedName>
    <definedName name="EntericMethane_Swine_Equations.VEERG_3_5_1_1__1_TotalAnnualMethaneFromEntericFermentation_Source">_xlfn.LAMBDA("VEERG 2026: 3.5.1.1, Equation (1)")</definedName>
    <definedName name="EntericMethane_Swine_Equations.VEERG_3_5_1_1__1_TotalAnnualMethaneFromEntericFermentation_Title">_xlfn.LAMBDA("Total annual methane production from enteric fermentation in swine")</definedName>
    <definedName name="EntericMethane_Swine_Equations.VEERG_3_5_1_1__1_TotalAnnualMethaneFromEntericFermentation_Unit">_xlfn.LAMBDA("t CH4")</definedName>
    <definedName name="EntericMethane_Swine_Equations.VEERG_3_5_1_1__1_TotalAnnualMethaneFromEntericFermentation_Variable">_xlfn.LAMBDA("E_enteric")</definedName>
    <definedName name="EntericMethane_Swine_Equations.VEERG_3_5_1_1__2_DailyEntericMethaneProduction">_xlfn.LAMBDA(_xlpm.I_j,_xlpm.F, (_xlpm.I_j * 18.6 * 0.007) / _xlpm.F)</definedName>
    <definedName name="EntericMethane_Swine_Equations.VEERG_3_5_1_1__2_DailyEntericMethaneProduction_Arguments">_xlfn.LAMBDA(_xlfn.MAKEARRAY(4, 4, _xlfn.LAMBDA(_xlpm.r,_xlpm.c, INDEX({"I_j","daily feed ingested by each swine class","kg/head/day","Input";"18.6","gross energy (GE) content of feed","MJ GE/kg feed","Constant";"0.007","fraction of GE intake converted to methane by swine","fraction","Constant";"F","megajoules per kilogram of methane","MJ/kg CH4","Constant"}, _xlpm.r, _xlpm.c))))</definedName>
    <definedName name="EntericMethane_Swine_Equations.VEERG_3_5_1_1__2_DailyEntericMethaneProduction_LatexEquation">_xlfn.LAMBDA("M_j=\frac{I_j\times 18.6\times 0.007}{F}")</definedName>
    <definedName name="EntericMethane_Swine_Equations.VEERG_3_5_1_1__2_DailyEntericMethaneProduction_NIRReference">_xlfn.LAMBDA("")</definedName>
    <definedName name="EntericMethane_Swine_Equations.VEERG_3_5_1_1__2_DailyEntericMethaneProduction_Source">_xlfn.LAMBDA("VEERG 2026: 3.5.1.1, Equation (2)")</definedName>
    <definedName name="EntericMethane_Swine_Equations.VEERG_3_5_1_1__2_DailyEntericMethaneProduction_Title">_xlfn.LAMBDA("Total daily production of enteric methane of swine")</definedName>
    <definedName name="EntericMethane_Swine_Equations.VEERG_3_5_1_1__2_DailyEntericMethaneProduction_Unit">_xlfn.LAMBDA("kg CH4/head/day")</definedName>
    <definedName name="EntericMethane_Swine_Equations.VEERG_3_5_1_1__2_DailyEntericMethaneProduction_Variable">_xlfn.LAMBDA("M_j")</definedName>
    <definedName name="Enterprise_PastureBeef_InputFunctions.multiplyCorrespondingCells">_xlfn.LAMBDA(_xlpm.range1,_xlpm.range2,_xlpm.range3, _xlfn.LET(_xlpm.numRows, ROWS(_xlpm.range1), _xlpm.numCols, COLUMNS(_xlpm.range1), _xlpm.result, _xlfn.MAKEARRAY(_xlpm.numRows, _xlpm.numCols, _xlfn.LAMBDA(_xlpm.r,_xlpm.c, IF(ISNUMBER(INDEX(_xlpm.range1, _xlpm.r, _xlpm.c)), INDEX(_xlpm.range1, _xlpm.r, _xlpm.c), 0) * IF(ISNUMBER(INDEX(_xlpm.range2, _xlpm.r, _xlpm.c)), INDEX(_xlpm.range2, _xlpm.r, _xlpm.c), 0) * IF(ISNUMBER(INDEX(_xlpm.range3, _xlpm.r, _xlpm.c)), INDEX(_xlpm.range3, _xlpm.r, _xlpm.c), 0))), _xlpm.result))</definedName>
    <definedName name="Fertiliser_EFLeach_Data">'Constants - Fertiliser'!$E$83</definedName>
    <definedName name="Fertiliser_EFUreaCO2_Data">'Constants - Fertiliser'!$E$60</definedName>
    <definedName name="Fertiliser_Equations_AtmosphericDeposition.VEERG_5_4_1_1__1_InorganicFertiliserAtmosphericDepositionN2OEmissions">_xlfn.LAMBDA(_xlpm.M_volinorganicjf,_xlpm.EF_N2Oj,_xlpm.C_N2O, (_xlpm.M_volinorganicjf * _xlpm.EF_N2Oj) * _xlpm.C_N2O * 10 ^ -3)</definedName>
    <definedName name="Fertiliser_Equations_AtmosphericDeposition.VEERG_5_4_1_1__1_InorganicFertiliserAtmosphericDepositionN2OEmissions_Arguments">_xlfn.LAMBDA(_xlfn.MAKEARRAY(6, 4, _xlfn.LAMBDA(_xlpm.r,_xlpm.c, INDEX({"M_volinorganicjf","mass of nitrogen volatilised from inorganic fertiliser applied to production system","kg N","Calculated from 5.4.1.1 (2)";"EF_N2Oj","emission factor for atmospheric deposition","kg N2O-N/kg N","Constant";"C_N2O","factor to convert elemental mass of nitrous oxide to molecular mass","","Constant";"j","Production system","","Input";"ir","irrigation method","","Input";"r","rainfall region","","Input"}, _xlpm.r, _xlpm.c))))</definedName>
    <definedName name="Fertiliser_Equations_AtmosphericDeposition.VEERG_5_4_1_1__1_InorganicFertiliserAtmosphericDepositionN2OEmissions_LatexEquation">_xlfn.LAMBDA("E_{ad,inorganic}=\sum\nolimits_{j}\sum\nolimits_{f}((M_{vol,inorganic,jf}\times EF_{N2O,j})\times C_{N2O}\times 10^{-3})")</definedName>
    <definedName name="Fertiliser_Equations_AtmosphericDeposition.VEERG_5_4_1_1__1_InorganicFertiliserAtmosphericDepositionN2OEmissions_NIRReference">_xlfn.LAMBDA("")</definedName>
    <definedName name="Fertiliser_Equations_AtmosphericDeposition.VEERG_5_4_1_1__1_InorganicFertiliserAtmosphericDepositionN2OEmissions_Source">_xlfn.LAMBDA("VEERG 2026: 5.4.1.1, Equation (1)")</definedName>
    <definedName name="Fertiliser_Equations_AtmosphericDeposition.VEERG_5_4_1_1__1_InorganicFertiliserAtmosphericDepositionN2OEmissions_Title">_xlfn.LAMBDA("Nitrous oxide emissions from atmospheric deposition from all inorganic fertiliser types f and all production systems j")</definedName>
    <definedName name="Fertiliser_Equations_AtmosphericDeposition.VEERG_5_4_1_1__1_InorganicFertiliserAtmosphericDepositionN2OEmissions_Unit">_xlfn.LAMBDA("t N2O")</definedName>
    <definedName name="Fertiliser_Equations_AtmosphericDeposition.VEERG_5_4_1_1__1_InorganicFertiliserAtmosphericDepositionN2OEmissions_Variable">_xlfn.LAMBDA("E_adinorganic")</definedName>
    <definedName name="Fertiliser_Equations_AtmosphericDeposition.VEERG_5_4_1_1__2_MassOfNitrogenVolatilisedFromInorganicFertiliser">_xlfn.LAMBDA(_xlpm.MN_jf,_xlpm.FracGASF_f, _xlpm.MN_jf * _xlpm.FracGASF_f)</definedName>
    <definedName name="Fertiliser_Equations_AtmosphericDeposition.VEERG_5_4_1_1__2_MassOfNitrogenVolatilisedFromInorganicFertiliser_Arguments">_xlfn.LAMBDA(_xlfn.MAKEARRAY(2, 4, _xlfn.LAMBDA(_xlpm.r,_xlpm.c, INDEX({"MN_jf","mass of nitrogen in inorganic fertiliser applied","kg N","Calculated from 5.1.1.1 (2)";"FracGASF_f","fraction of inorganic fertiliser that volatilises","(kg NH3-N + NOx-N)/kg N","Constant"}, _xlpm.r, _xlpm.c))))</definedName>
    <definedName name="Fertiliser_Equations_AtmosphericDeposition.VEERG_5_4_1_1__2_MassOfNitrogenVolatilisedFromInorganicFertiliser_LatexEquation">_xlfn.LAMBDA("M_{vol,inorganic,jf}={MN}_{jf}\times FracGASF_{f}")</definedName>
    <definedName name="Fertiliser_Equations_AtmosphericDeposition.VEERG_5_4_1_1__2_MassOfNitrogenVolatilisedFromInorganicFertiliser_NIRReference">_xlfn.LAMBDA("")</definedName>
    <definedName name="Fertiliser_Equations_AtmosphericDeposition.VEERG_5_4_1_1__2_MassOfNitrogenVolatilisedFromInorganicFertiliser_Source">_xlfn.LAMBDA("VEERG 2026: 5.4.1.1, Equation (2)")</definedName>
    <definedName name="Fertiliser_Equations_AtmosphericDeposition.VEERG_5_4_1_1__2_MassOfNitrogenVolatilisedFromInorganicFertiliser_Title">_xlfn.LAMBDA("Mass of nitrogen volatilised from inorganic fertiliser applied to production system")</definedName>
    <definedName name="Fertiliser_Equations_AtmosphericDeposition.VEERG_5_4_1_1__2_MassOfNitrogenVolatilisedFromInorganicFertiliser_Unit">_xlfn.LAMBDA("kg N")</definedName>
    <definedName name="Fertiliser_Equations_AtmosphericDeposition.VEERG_5_4_1_1__2_MassOfNitrogenVolatilisedFromInorganicFertiliser_Variable">_xlfn.LAMBDA("M_volinorganicjf")</definedName>
    <definedName name="Fertiliser_Equations_AtmosphericDeposition.VEERG_5_4_1_3__1_OrganicFertiliserAtmosphericDepositionN2OEmissions">_xlfn.LAMBDA(_xlpm.M_volorganicjf,_xlpm.EF_N2Oj,_xlpm.C_N2O, (_xlpm.M_volorganicjf * _xlpm.EF_N2Oj) * _xlpm.C_N2O * 10 ^ -3)</definedName>
    <definedName name="Fertiliser_Equations_AtmosphericDeposition.VEERG_5_4_1_3__1_OrganicFertiliserAtmosphericDepositionN2OEmissions_Arguments">_xlfn.LAMBDA(_xlfn.MAKEARRAY(6, 4, _xlfn.LAMBDA(_xlpm.r,_xlpm.c, INDEX({"M_volorganicjf","mass of nitrogen volatilised from organic fertiliser applied to production system","kg N","Calculated from 5.4.1.3 (2)";"EF_N2Oj","emission factor for atmospheric deposition in production system j","kg N2O-N/kg N","Constant";"C_N2O","factor to convert elemental mass of nitrous oxide to molecular mass","","Constant";"j","Production system","","Input";"ir","irrigation method","","Input";"r","rainfall region","","Input"}, _xlpm.r, _xlpm.c))))</definedName>
    <definedName name="Fertiliser_Equations_AtmosphericDeposition.VEERG_5_4_1_3__1_OrganicFertiliserAtmosphericDepositionN2OEmissions_LatexEquation">_xlfn.LAMBDA("E_{ad,organic}=\sum\nolimits_{j}\sum\nolimits_{f}((M_{vol,organic,jf}\times EF_{N2O,j})\times C_{N2O}\times 10^{-3})")</definedName>
    <definedName name="Fertiliser_Equations_AtmosphericDeposition.VEERG_5_4_1_3__1_OrganicFertiliserAtmosphericDepositionN2OEmissions_NIRReference">_xlfn.LAMBDA("")</definedName>
    <definedName name="Fertiliser_Equations_AtmosphericDeposition.VEERG_5_4_1_3__1_OrganicFertiliserAtmosphericDepositionN2OEmissions_Source">_xlfn.LAMBDA("VEERG 2026: 5.4.1.3, Equation (1)")</definedName>
    <definedName name="Fertiliser_Equations_AtmosphericDeposition.VEERG_5_4_1_3__1_OrganicFertiliserAtmosphericDepositionN2OEmissions_Title">_xlfn.LAMBDA("Nitrous oxide emissions from atmospheric deposition of all organic fertiliser types f and all production systems j")</definedName>
    <definedName name="Fertiliser_Equations_AtmosphericDeposition.VEERG_5_4_1_3__1_OrganicFertiliserAtmosphericDepositionN2OEmissions_Unit">_xlfn.LAMBDA("t N2O")</definedName>
    <definedName name="Fertiliser_Equations_AtmosphericDeposition.VEERG_5_4_1_3__1_OrganicFertiliserAtmosphericDepositionN2OEmissions_Variable">_xlfn.LAMBDA("E_adorganic")</definedName>
    <definedName name="Fertiliser_Equations_AtmosphericDeposition.VEERG_5_4_1_3__2_MassOfNitrogenVolatilisedFromOrganicFertiliser">_xlfn.LAMBDA(_xlpm.MNSoil_jf,_xlpm.FracGASM_soil, _xlpm.MNSoil_jf * _xlpm.FracGASM_soil)</definedName>
    <definedName name="Fertiliser_Equations_AtmosphericDeposition.VEERG_5_4_1_3__2_MassOfNitrogenVolatilisedFromOrganicFertiliser_Arguments">_xlfn.LAMBDA(_xlfn.MAKEARRAY(2, 4, _xlfn.LAMBDA(_xlpm.r,_xlpm.c, INDEX({"MNSoil_jf","mass of nitrogen in organic fertiliser type f applied to production system j","kg N","Calculated from 5.2.1.1 (2)";"FracGASM_soil","fraction of organic fertiliser N that volatilises","(kg NH3-N + NOx-N)/kg N","Constant"}, _xlpm.r, _xlpm.c))))</definedName>
    <definedName name="Fertiliser_Equations_AtmosphericDeposition.VEERG_5_4_1_3__2_MassOfNitrogenVolatilisedFromOrganicFertiliser_LatexEquation">_xlfn.LAMBDA("M_{vol,organic,jf}=MNSoil_{jf}\times FracGASM_{soil}")</definedName>
    <definedName name="Fertiliser_Equations_AtmosphericDeposition.VEERG_5_4_1_3__2_MassOfNitrogenVolatilisedFromOrganicFertiliser_NIRReference">_xlfn.LAMBDA("")</definedName>
    <definedName name="Fertiliser_Equations_AtmosphericDeposition.VEERG_5_4_1_3__2_MassOfNitrogenVolatilisedFromOrganicFertiliser_Source">_xlfn.LAMBDA("VEERG 2026: 5.4.1.3, Equation (2)")</definedName>
    <definedName name="Fertiliser_Equations_AtmosphericDeposition.VEERG_5_4_1_3__2_MassOfNitrogenVolatilisedFromOrganicFertiliser_Title">_xlfn.LAMBDA("Mass of nitrogen volatilised from organic fertiliser applied to production system")</definedName>
    <definedName name="Fertiliser_Equations_AtmosphericDeposition.VEERG_5_4_1_3__2_MassOfNitrogenVolatilisedFromOrganicFertiliser_Unit">_xlfn.LAMBDA("kg N")</definedName>
    <definedName name="Fertiliser_Equations_AtmosphericDeposition.VEERG_5_4_1_3__2_MassOfNitrogenVolatilisedFromOrganicFertiliser_Variable">_xlfn.LAMBDA("M_volorganicjf")</definedName>
    <definedName name="Fertiliser_Equations_InorganicCO2.VEERG_5_1_1_3__1_InorganicFertiliserApplicationCO2Emissions">_xlfn.LAMBDA(_xlpm.MU_jf,_xlpm.EF_ureaCO2,_xlpm.C_CO2, (_xlpm.MU_jf * _xlpm.EF_ureaCO2 * _xlpm.C_CO2) * 10 ^ -3)</definedName>
    <definedName name="Fertiliser_Equations_InorganicCO2.VEERG_5_1_1_3__1_InorganicFertiliserApplicationCO2Emissions_Arguments">_xlfn.LAMBDA(_xlfn.MAKEARRAY(5, 4, _xlfn.LAMBDA(_xlpm.r,_xlpm.c, INDEX({"MU_jf","mass of urea of inorganic fertiliser type f applied to production system j","kg urea","Calculated";"EF_ureaCO2","emission factor for carbon emissions from urea-based fertilisers","kg C/kg urea","Constant";"C_CO2","factor to convert elemental mass of carbon to molecular mass of carbon dioxide","","Constant";"j","Production system","","Input";"f","Inorganic fertiliser type","","Lookup"}, _xlpm.r, _xlpm.c))))</definedName>
    <definedName name="Fertiliser_Equations_InorganicCO2.VEERG_5_1_1_3__1_InorganicFertiliserApplicationCO2Emissions_LatexEquation">_xlfn.LAMBDA("E_{CO2}=\sum_{j}\sum_{f}((MU_{jf}\times EF_{urea,CO2}\times C_{CO2})\times 10^{-3})")</definedName>
    <definedName name="Fertiliser_Equations_InorganicCO2.VEERG_5_1_1_3__1_InorganicFertiliserApplicationCO2Emissions_NIRReference">_xlfn.LAMBDA("")</definedName>
    <definedName name="Fertiliser_Equations_InorganicCO2.VEERG_5_1_1_3__1_InorganicFertiliserApplicationCO2Emissions_Source">_xlfn.LAMBDA("VEERG 2026: 5.1.1.3, Equation (1)")</definedName>
    <definedName name="Fertiliser_Equations_InorganicCO2.VEERG_5_1_1_3__1_InorganicFertiliserApplicationCO2Emissions_Title">_xlfn.LAMBDA("Carbon dioxide emissions resulting from the use of all inorganic, urea-based fertilisers")</definedName>
    <definedName name="Fertiliser_Equations_InorganicCO2.VEERG_5_1_1_3__1_InorganicFertiliserApplicationCO2Emissions_Unit">_xlfn.LAMBDA("t CO2")</definedName>
    <definedName name="Fertiliser_Equations_InorganicCO2.VEERG_5_1_1_3__1_InorganicFertiliserApplicationCO2Emissions_Variable">_xlfn.LAMBDA("E_CO2")</definedName>
    <definedName name="Fertiliser_Equations_InorganicCO2.VEERG_5_1_1_3__2_MassOfUreaInInorganicFertiliser">_xlfn.LAMBDA(_xlpm.TM_jf,_xlpm.FU_f, _xlpm.TM_jf * _xlpm.FU_f)</definedName>
    <definedName name="Fertiliser_Equations_InorganicCO2.VEERG_5_1_1_3__2_MassOfUreaInInorganicFertiliser_Arguments">_xlfn.LAMBDA(_xlfn.MAKEARRAY(2, 4, _xlfn.LAMBDA(_xlpm.r,_xlpm.c, INDEX({"TM_jf","total mass of inorganic fertiliser type f applied to production system j","kg","Input";"FU_f","fraction of urea in fertiliser type f","kg urea/kg","Lookup"}, _xlpm.r, _xlpm.c))))</definedName>
    <definedName name="Fertiliser_Equations_InorganicCO2.VEERG_5_1_1_3__2_MassOfUreaInInorganicFertiliser_LatexEquation">_xlfn.LAMBDA("{MU}_{jf}=TM_{jf}\times FU_f")</definedName>
    <definedName name="Fertiliser_Equations_InorganicCO2.VEERG_5_1_1_3__2_MassOfUreaInInorganicFertiliser_NIRReference">_xlfn.LAMBDA("")</definedName>
    <definedName name="Fertiliser_Equations_InorganicCO2.VEERG_5_1_1_3__2_MassOfUreaInInorganicFertiliser_Source">_xlfn.LAMBDA("VEERG 2026: 5.1.1.3, Equation (2)")</definedName>
    <definedName name="Fertiliser_Equations_InorganicCO2.VEERG_5_1_1_3__2_MassOfUreaInInorganicFertiliser_Title">_xlfn.LAMBDA("Mass of urea applied to production system")</definedName>
    <definedName name="Fertiliser_Equations_InorganicCO2.VEERG_5_1_1_3__2_MassOfUreaInInorganicFertiliser_Unit">_xlfn.LAMBDA("kg urea")</definedName>
    <definedName name="Fertiliser_Equations_InorganicCO2.VEERG_5_1_1_3__2_MassOfUreaInInorganicFertiliser_Variable">_xlfn.LAMBDA("MU_jf")</definedName>
    <definedName name="Fertiliser_Equations_InorganicN2O.VEERG_5_1_1_1__1_InorganicFertiliserApplicationN2OEmissions">_xlfn.LAMBDA(_xlpm.MN_jf,_xlpm.EF_jN2O,_xlpm.C_N2O, (_xlpm.MN_jf * _xlpm.EF_jN2O * _xlpm.C_N2O) * 10 ^ -3)</definedName>
    <definedName name="Fertiliser_Equations_InorganicN2O.VEERG_5_1_1_1__1_InorganicFertiliserApplicationN2OEmissions_Arguments">_xlfn.LAMBDA(_xlfn.MAKEARRAY(7, 4, _xlfn.LAMBDA(_xlpm.r,_xlpm.c, INDEX({"MN_jf","mass of nitrogen in inorganic fertiliser type f applied to production system j","kg N","Calculated from 5.1.1.1 (2)";"EF_jN2O","emission factor for nitrous oxide for inorganic fertilisers","kg N2O-N/kg N applied","Constant";"C_N2O","factor to convert elemental mass of nitrous oxide to molecular mass","","Constant";"j","Production system","","Input";"f","Inorganic fertiliser type","","Constant";"ir","irrigation method","","Input";"z","rainfall zone","","Input"}, _xlpm.r, _xlpm.c))))</definedName>
    <definedName name="Fertiliser_Equations_InorganicN2O.VEERG_5_1_1_1__1_InorganicFertiliserApplicationN2OEmissions_Arguments_Method2">_xlfn.LAMBDA(_xlfn.MAKEARRAY(8, 4, _xlfn.LAMBDA(_xlpm.r,_xlpm.c, INDEX({"MN_jf","mass of nitrogen in inorganic fertiliser type f applied to production system j","kg N","Calculated from 5.1.1.1 (2)";"EF_jN2O","emission factor for nitrous oxide for inorganic fertilisers","kg N2O-N/kg N applied","Calculated from 5.1.1.2 (1)(2)(3)";"C_N2O","factor to convert elemental mass of nitrous oxide to molecular mass","","Constant";"j","Production system","","Input";"c","Crop type","","Input";"f","Inorganic fertiliser type","","Constant";"ir","irrigation method","","Input";"z","rainfall zone","","Input"}, _xlpm.r, _xlpm.c))))</definedName>
    <definedName name="Fertiliser_Equations_InorganicN2O.VEERG_5_1_1_1__1_InorganicFertiliserApplicationN2OEmissions_LatexEquation">_xlfn.LAMBDA("E_{N2O}=\sum_{j}\sum_{f}((MN_{jf}\times EF_{j,N2O}\times C_{N2O})\times 10^{-3})")</definedName>
    <definedName name="Fertiliser_Equations_InorganicN2O.VEERG_5_1_1_1__1_InorganicFertiliserApplicationN2OEmissions_NIRReference">_xlfn.LAMBDA("")</definedName>
    <definedName name="Fertiliser_Equations_InorganicN2O.VEERG_5_1_1_1__1_InorganicFertiliserApplicationN2OEmissions_Source">_xlfn.LAMBDA("VEERG 2026: 5.1.1.1, Equation (1)")</definedName>
    <definedName name="Fertiliser_Equations_InorganicN2O.VEERG_5_1_1_1__1_InorganicFertiliserApplicationN2OEmissions_Title">_xlfn.LAMBDA("Nitrous oxide emissions from the application of all inorganic fertiliser types f to all production systems j")</definedName>
    <definedName name="Fertiliser_Equations_InorganicN2O.VEERG_5_1_1_1__1_InorganicFertiliserApplicationN2OEmissions_Unit">_xlfn.LAMBDA("t N2O")</definedName>
    <definedName name="Fertiliser_Equations_InorganicN2O.VEERG_5_1_1_1__1_InorganicFertiliserApplicationN2OEmissions_Variable">_xlfn.LAMBDA("E_N2O")</definedName>
    <definedName name="Fertiliser_Equations_InorganicN2O.VEERG_5_1_1_1__2_MassOfNitrogenInInorganicFertiliser">_xlfn.LAMBDA(_xlpm.TM_jf,_xlpm.FN_inorganicf, _xlpm.TM_jf * _xlpm.FN_inorganicf)</definedName>
    <definedName name="Fertiliser_Equations_InorganicN2O.VEERG_5_1_1_1__2_MassOfNitrogenInInorganicFertiliser_Arguments">_xlfn.LAMBDA(_xlfn.MAKEARRAY(2, 4, _xlfn.LAMBDA(_xlpm.r,_xlpm.c, INDEX({"TM_jf","total mass of inorganic fertiliser type f applied to production system j","kg","Input";"FN_inorganicf","fraction of nitrogen in inorganic fertiliser type f ","kg N/kg","Constant"}, _xlpm.r, _xlpm.c))))</definedName>
    <definedName name="Fertiliser_Equations_InorganicN2O.VEERG_5_1_1_1__2_MassOfNitrogenInInorganicFertiliser_LatexEquation">_xlfn.LAMBDA("{MN}_{jf}=TM_{jf}\times FN_{inorganic,f}")</definedName>
    <definedName name="Fertiliser_Equations_InorganicN2O.VEERG_5_1_1_1__2_MassOfNitrogenInInorganicFertiliser_NIRReference">_xlfn.LAMBDA("")</definedName>
    <definedName name="Fertiliser_Equations_InorganicN2O.VEERG_5_1_1_1__2_MassOfNitrogenInInorganicFertiliser_Source">_xlfn.LAMBDA("VEERG 2026: 5.1.1.1, Equation (2)")</definedName>
    <definedName name="Fertiliser_Equations_InorganicN2O.VEERG_5_1_1_1__2_MassOfNitrogenInInorganicFertiliser_Title">_xlfn.LAMBDA("Mass of nitrogen in inorganic fertiliser applied to production system")</definedName>
    <definedName name="Fertiliser_Equations_InorganicN2O.VEERG_5_1_1_1__2_MassOfNitrogenInInorganicFertiliser_Unit">_xlfn.LAMBDA("kg N")</definedName>
    <definedName name="Fertiliser_Equations_InorganicN2O.VEERG_5_1_1_1__2_MassOfNitrogenInInorganicFertiliser_Variable">_xlfn.LAMBDA("MN_jf")</definedName>
    <definedName name="Fertiliser_Equations_InorganicN2O.VEERG_5_1_1_2__1_EmissionFactorIrrigatedMaize">_xlfn.LAMBDA(_xlpm.N_fjIrrigatedMaize, (-0.1474 + (0.0061 * _xlpm.N_fjIrrigatedMaize)) * 10 ^ -2)</definedName>
    <definedName name="Fertiliser_Equations_InorganicN2O.VEERG_5_1_1_2__1_EmissionFactorIrrigatedMaize_Arguments">_xlfn.LAMBDA(_xlfn.MAKEARRAY(2, 4, _xlfn.LAMBDA(_xlpm.r,_xlpm.c, INDEX({"N_fjIrrigatedMaize","application rate of inorganic fertiliser type f in the irrigated maize crop","kg N/ha","Input";"f","Inorganic fertiliser type","","Constant"}, _xlpm.r, _xlpm.c))))</definedName>
    <definedName name="Fertiliser_Equations_InorganicN2O.VEERG_5_1_1_2__1_EmissionFactorIrrigatedMaize_LatexEquation">_xlfn.LAMBDA("EF_{fj=irrigatedmaize,N2O}=(-0.1474+(0.0061\times N_{fj=irrigatedmaize}))\times 10^{-2}")</definedName>
    <definedName name="Fertiliser_Equations_InorganicN2O.VEERG_5_1_1_2__1_EmissionFactorIrrigatedMaize_NIRReference">_xlfn.LAMBDA("")</definedName>
    <definedName name="Fertiliser_Equations_InorganicN2O.VEERG_5_1_1_2__1_EmissionFactorIrrigatedMaize_Source">_xlfn.LAMBDA("VEERG 2026: 5.1.1.2, Equation (1)")</definedName>
    <definedName name="Fertiliser_Equations_InorganicN2O.VEERG_5_1_1_2__1_EmissionFactorIrrigatedMaize_Title">_xlfn.LAMBDA("Emission factor for nitrous oxide for irrigated maize")</definedName>
    <definedName name="Fertiliser_Equations_InorganicN2O.VEERG_5_1_1_2__1_EmissionFactorIrrigatedMaize_Unit">_xlfn.LAMBDA("kg N2O-N/kg N applied")</definedName>
    <definedName name="Fertiliser_Equations_InorganicN2O.VEERG_5_1_1_2__1_EmissionFactorIrrigatedMaize_Variable">_xlfn.LAMBDA("EF_fjIrrigatedMaizeN2O")</definedName>
    <definedName name="Fertiliser_Equations_InorganicN2O.VEERG_5_1_1_2__2_EmissionFactorNonIrrigatedGrainsHighRainfall">_xlfn.LAMBDA(_xlpm.N_fjNonIrrigatedGrains, (0.0781 + (0.0075 * _xlpm.N_fjNonIrrigatedGrains)) * 10 ^ -2)</definedName>
    <definedName name="Fertiliser_Equations_InorganicN2O.VEERG_5_1_1_2__2_EmissionFactorNonIrrigatedGrainsHighRainfall_Arguments">_xlfn.LAMBDA(_xlfn.MAKEARRAY(2, 4, _xlfn.LAMBDA(_xlpm.r,_xlpm.c, INDEX({"N_fjNonIrrigatedGrains","application rate of inorganic fertiliser type f in the grains crop","kg N/ha","Input";"f","Inorganic fertiliser type","","Constant"}, _xlpm.r, _xlpm.c))))</definedName>
    <definedName name="Fertiliser_Equations_InorganicN2O.VEERG_5_1_1_2__2_EmissionFactorNonIrrigatedGrainsHighRainfall_LatexEquation">_xlfn.LAMBDA("EF_{fj=nonirrigatedgrains,N2O}=(0.0781+(0.0075\times N_{fj=nonirrigatedgrains}))\times 10^{-2}")</definedName>
    <definedName name="Fertiliser_Equations_InorganicN2O.VEERG_5_1_1_2__2_EmissionFactorNonIrrigatedGrainsHighRainfall_NIRReference">_xlfn.LAMBDA("")</definedName>
    <definedName name="Fertiliser_Equations_InorganicN2O.VEERG_5_1_1_2__2_EmissionFactorNonIrrigatedGrainsHighRainfall_Source">_xlfn.LAMBDA("VEERG 2026: 5.1.1.2, Equation (2)")</definedName>
    <definedName name="Fertiliser_Equations_InorganicN2O.VEERG_5_1_1_2__2_EmissionFactorNonIrrigatedGrainsHighRainfall_Title">_xlfn.LAMBDA("Emission factor for nitrous oxide for non-irrigated grains in high rainfall zone")</definedName>
    <definedName name="Fertiliser_Equations_InorganicN2O.VEERG_5_1_1_2__2_EmissionFactorNonIrrigatedGrainsHighRainfall_Unit">_xlfn.LAMBDA("kg N2O-N/kg N applied")</definedName>
    <definedName name="Fertiliser_Equations_InorganicN2O.VEERG_5_1_1_2__2_EmissionFactorNonIrrigatedGrainsHighRainfall_Variable">_xlfn.LAMBDA("EF_fjNonIrrigatedGrainsN2O")</definedName>
    <definedName name="Fertiliser_Equations_InorganicN2O.VEERG_5_1_1_2__3_EmissionFactorCotton">_xlfn.LAMBDA(_xlpm.N_fjCotton, (0.01 * (0.29 + ((0.007 * (EXP(0.037 * _xlpm.N_fjCotton) - 1)) / _xlpm.N_fjCotton))) * 10 ^ -2)</definedName>
    <definedName name="Fertiliser_Equations_InorganicN2O.VEERG_5_1_1_2__3_EmissionFactorCotton_Arguments">_xlfn.LAMBDA(_xlfn.MAKEARRAY(2, 4, _xlfn.LAMBDA(_xlpm.r,_xlpm.c, INDEX({"N_fjCotton","application rate of inorganic fertiliser type f in the cotton crop","kg N/ha","Input";"f","Inorganic fertiliser type","","Constant"}, _xlpm.r, _xlpm.c))))</definedName>
    <definedName name="Fertiliser_Equations_InorganicN2O.VEERG_5_1_1_2__3_EmissionFactorCotton_LatexEquation">_xlfn.LAMBDA("EF_{fj=cotton,N2O}=(0.01 \times (0.29 + \frac{0.007(e^{0.037 \times N_{fj=cotton}}-1)}{N_{fj=cotton}})) \times 10^{-2}
")</definedName>
    <definedName name="Fertiliser_Equations_InorganicN2O.VEERG_5_1_1_2__3_EmissionFactorCotton_NIRReference">_xlfn.LAMBDA("")</definedName>
    <definedName name="Fertiliser_Equations_InorganicN2O.VEERG_5_1_1_2__3_EmissionFactorCotton_Source">_xlfn.LAMBDA("VEERG 2026: 5.1.1.2, Equation (3)")</definedName>
    <definedName name="Fertiliser_Equations_InorganicN2O.VEERG_5_1_1_2__3_EmissionFactorCotton_Title">_xlfn.LAMBDA("Emission factor for nitrous oxide for cotton")</definedName>
    <definedName name="Fertiliser_Equations_InorganicN2O.VEERG_5_1_1_2__3_EmissionFactorCotton_Unit">_xlfn.LAMBDA("kg N2O-N/kg N applied")</definedName>
    <definedName name="Fertiliser_Equations_InorganicN2O.VEERG_5_1_1_2__3_EmissionFactorCotton_Variable">_xlfn.LAMBDA("EF_fjCottonN2O")</definedName>
    <definedName name="Fertiliser_Equations_LeachingAndRunoff.VEERG_5_5_1_1__1_FertiliserLeachingAndRunoffN2OEmissions">_xlfn.LAMBDA(_xlpm.M_leachinorganicj,_xlpm.M_leachorganicj,_xlpm.EF_leach,_xlpm.C_N2O, (_xlpm.M_leachinorganicj + _xlpm.M_leachorganicj) * _xlpm.EF_leach * _xlpm.C_N2O * 10 ^ -3)</definedName>
    <definedName name="Fertiliser_Equations_LeachingAndRunoff.VEERG_5_5_1_1__1_FertiliserLeachingAndRunoffN2OEmissions_Arguments">_xlfn.LAMBDA(_xlfn.MAKEARRAY(4, 4, _xlfn.LAMBDA(_xlpm.r,_xlpm.c, INDEX({"M_leachinorganicj","mass of nitrogen lost through leaching and runoff from inorganic fertiliser application in production system j","kg N","Calculated from 5.5.1.1 (2)";"M_leachorganicj","mass of nitrogen lost through leaching and runoff from organic fertiliser application","kg N","Calculated from 5.5.1.1 (3)";"EF_leach","emission factor for nitrogen leaching and runoff","kg N2O-N/kg N","Constant";"C_N2O","factor to convert elemental mass of nitrous oxide to molecular mass","","Constant"}, _xlpm.r, _xlpm.c))))</definedName>
    <definedName name="Fertiliser_Equations_LeachingAndRunoff.VEERG_5_5_1_1__1_FertiliserLeachingAndRunoffN2OEmissions_LatexEquation">_xlfn.LAMBDA("E_{fert,leach}=\sum_{j}((M_{leach,inorganic,j}+M_{leach,organic,j})\times EF_{leach}\times C_{N2O}\times 10^{-3})")</definedName>
    <definedName name="Fertiliser_Equations_LeachingAndRunoff.VEERG_5_5_1_1__1_FertiliserLeachingAndRunoffN2OEmissions_NIRReference">_xlfn.LAMBDA("")</definedName>
    <definedName name="Fertiliser_Equations_LeachingAndRunoff.VEERG_5_5_1_1__1_FertiliserLeachingAndRunoffN2OEmissions_Source">_xlfn.LAMBDA("VEERG 2026: 5.5, Equation (1)")</definedName>
    <definedName name="Fertiliser_Equations_LeachingAndRunoff.VEERG_5_5_1_1__1_FertiliserLeachingAndRunoffN2OEmissions_Title">_xlfn.LAMBDA("Nitrous oxide emissions from nitrogen leaching and runoff from the application of all fertilisers across all production systems j")</definedName>
    <definedName name="Fertiliser_Equations_LeachingAndRunoff.VEERG_5_5_1_1__1_FertiliserLeachingAndRunoffN2OEmissions_Unit">_xlfn.LAMBDA("t N2O")</definedName>
    <definedName name="Fertiliser_Equations_LeachingAndRunoff.VEERG_5_5_1_1__1_FertiliserLeachingAndRunoffN2OEmissions_Variable">_xlfn.LAMBDA("E_fertleach")</definedName>
    <definedName name="Fertiliser_Equations_LeachingAndRunoff.VEERG_5_5_1_1__2_MassOfNitrogenLeachedFromInorganicFertiliser">_xlfn.LAMBDA(_xlpm.MN_jf,_xlpm.FracWETj,_xlpm.FracLEACH, _xlpm.MN_jf * _xlpm.FracWETj * _xlpm.FracLEACH)</definedName>
    <definedName name="Fertiliser_Equations_LeachingAndRunoff.VEERG_5_5_1_1__2_MassOfNitrogenLeachedFromInorganicFertiliser_Arguments">_xlfn.LAMBDA(_xlfn.MAKEARRAY(6, 4, _xlfn.LAMBDA(_xlpm.r,_xlpm.c, INDEX({"MN_jf","mass of nitrogen in inorganic fertiliser","kg N","Calculated from 5.1.1.1 (2)";"FracWETj","fraction of N available for leaching and runoff","fraction","Constant";"FracLEACH","fraction of N that is lost through leaching and runoff","fraction","Constant";"z","location in leaching zone","","Input";"j","production system","","Input";"ir","irrigation method","","Input"}, _xlpm.r, _xlpm.c))))</definedName>
    <definedName name="Fertiliser_Equations_LeachingAndRunoff.VEERG_5_5_1_1__2_MassOfNitrogenLeachedFromInorganicFertiliser_LatexEquation">_xlfn.LAMBDA("M_{leach,inorganic,j}=\sum\nolimits_{f}\left({MN}_{jf}\times Frac_{WET,j}\times Frac_{LEACH}\right)")</definedName>
    <definedName name="Fertiliser_Equations_LeachingAndRunoff.VEERG_5_5_1_1__2_MassOfNitrogenLeachedFromInorganicFertiliser_NIRReference">_xlfn.LAMBDA("")</definedName>
    <definedName name="Fertiliser_Equations_LeachingAndRunoff.VEERG_5_5_1_1__2_MassOfNitrogenLeachedFromInorganicFertiliser_Source">_xlfn.LAMBDA("VEERG 2026: 5.5, Equation (2)")</definedName>
    <definedName name="Fertiliser_Equations_LeachingAndRunoff.VEERG_5_5_1_1__2_MassOfNitrogenLeachedFromInorganicFertiliser_Title">_xlfn.LAMBDA("Mass of nitrogen lost through leaching and runoff from inorganic fertiliser application in production system j")</definedName>
    <definedName name="Fertiliser_Equations_LeachingAndRunoff.VEERG_5_5_1_1__2_MassOfNitrogenLeachedFromInorganicFertiliser_Unit">_xlfn.LAMBDA("kg N")</definedName>
    <definedName name="Fertiliser_Equations_LeachingAndRunoff.VEERG_5_5_1_1__2_MassOfNitrogenLeachedFromInorganicFertiliser_Variable">_xlfn.LAMBDA("M_leachinorganicj")</definedName>
    <definedName name="Fertiliser_Equations_LeachingAndRunoff.VEERG_5_5_1_1__3_MassOfNitrogenLeachedFromOrganicFertiliser">_xlfn.LAMBDA(_xlpm.MNSoil_jf,_xlpm.FracWETj,_xlpm.FracLEACH, _xlpm.MNSoil_jf * _xlpm.FracWETj * _xlpm.FracLEACH)</definedName>
    <definedName name="Fertiliser_Equations_LeachingAndRunoff.VEERG_5_5_1_1__3_MassOfNitrogenLeachedFromOrganicFertiliser_Arguments">_xlfn.LAMBDA(_xlfn.MAKEARRAY(6, 4, _xlfn.LAMBDA(_xlpm.r,_xlpm.c, INDEX({"MNSoil_jf","mass of nitrogen in organic fertiliser","kg N","Calculated from 5.2.1.1 (2)";"FracWETj","fraction of N available for leaching and runoff","fraction","Constant";"FracLEACH","fraction of N that is lost through leaching and runoff","fraction","Constant";"z","location in leaching zone","","Input";"j","production system","","Input";"ir","irrigation method","","Input"}, _xlpm.r, _xlpm.c))))</definedName>
    <definedName name="Fertiliser_Equations_LeachingAndRunoff.VEERG_5_5_1_1__3_MassOfNitrogenLeachedFromOrganicFertiliser_LatexEquation">_xlfn.LAMBDA("M_{leach,organic,j}=\sum\nolimits_{f}\left({MNSoil}_{jf}\times Frac_{WET,j}\times Frac_{LEACH}\right)")</definedName>
    <definedName name="Fertiliser_Equations_LeachingAndRunoff.VEERG_5_5_1_1__3_MassOfNitrogenLeachedFromOrganicFertiliser_NIRReference">_xlfn.LAMBDA("")</definedName>
    <definedName name="Fertiliser_Equations_LeachingAndRunoff.VEERG_5_5_1_1__3_MassOfNitrogenLeachedFromOrganicFertiliser_Source">_xlfn.LAMBDA("VEERG 2026: 5.5, Equation (3)")</definedName>
    <definedName name="Fertiliser_Equations_LeachingAndRunoff.VEERG_5_5_1_1__3_MassOfNitrogenLeachedFromOrganicFertiliser_Title">_xlfn.LAMBDA("Mass of nitrogen lost through leaching and runoff from organic fertiliser application in production system j")</definedName>
    <definedName name="Fertiliser_Equations_LeachingAndRunoff.VEERG_5_5_1_1__3_MassOfNitrogenLeachedFromOrganicFertiliser_Unit">_xlfn.LAMBDA("kg N")</definedName>
    <definedName name="Fertiliser_Equations_LeachingAndRunoff.VEERG_5_5_1_1__3_MassOfNitrogenLeachedFromOrganicFertiliser_Variable">_xlfn.LAMBDA("M_leachorganicj")</definedName>
    <definedName name="Fertiliser_Equations_Lime.VEERG_5_3_1_1__1_LimeApplication">_xlfn.LAMBDA(_xlpm.Mlime,_xlpm.FracLime,_xlpm.Plime,_xlpm.EFlime,_xlpm.FracDol,_xlpm.Pdol,_xlpm.EFdol,_xlpm.CgCO2, ((_xlpm.Mlime * _xlpm.FracLime * _xlpm.Plime * _xlpm.EFlime) + (_xlpm.Mlime * _xlpm.FracDol * _xlpm.Pdol * _xlpm.EFdol)) * _xlpm.CgCO2 * 10 ^ -3)</definedName>
    <definedName name="Fertiliser_Equations_Lime.VEERG_5_3_1_1__1_LimeApplicationCO2Emissions">_xlfn.LAMBDA(_xlpm.M_lime,_xlpm.FracLime,_xlpm.P_lime,_xlpm.EF_lime,_xlpm.FracDol,_xlpm.P_dol,_xlpm.EF_dol,_xlpm.C_CO2, ((_xlpm.M_lime * _xlpm.FracLime * _xlpm.P_lime * _xlpm.EF_lime) + (_xlpm.M_lime * _xlpm.FracDol * _xlpm.P_dol * _xlpm.EF_dol)) * _xlpm.C_CO2 * 10 ^ -3)</definedName>
    <definedName name="Fertiliser_Equations_Lime.VEERG_5_3_1_1__1_LimeApplicationCO2Emissions_Arguments">_xlfn.LAMBDA(_xlfn.MAKEARRAY(8, 4, _xlfn.LAMBDA(_xlpm.r,_xlpm.c, INDEX({"M_lime","total mass of lime applied to production system","kg","Input";"FracLime","fraction of lime as limestone (CaCO3)","fraction","Input";"P_lime","fractional purity of limestone","fraction","Constant";"EF_lime","emission factor for limestone fraction of lime","kg C/kg","Constant";"FracDol","fraction of lime as dolomite","fraction","Input";"P_dol","fractional purity of dolomite","fraction","Constant";"EF_dol","emission factor for dolomite fraction of lime","kg C/kg","Constant";"C_CO2","factor to convert elemental mass of carbon dioxide to molecular mass","","Constant"}, _xlpm.r, _xlpm.c))))</definedName>
    <definedName name="Fertiliser_Equations_Lime.VEERG_5_3_1_1__1_LimeApplicationCO2Emissions_LatexEquation">_xlfn.LAMBDA("E_{lime}=[(M_{lime}\times FracLime\times P_{lime}\times EF_{lime})+(M_{lime}\times FracDol\times P_{dol}\times EF_{dol})]\times C_{CO2}\times 10^{-3}")</definedName>
    <definedName name="Fertiliser_Equations_Lime.VEERG_5_3_1_1__1_LimeApplicationCO2Emissions_NIRReference">_xlfn.LAMBDA("")</definedName>
    <definedName name="Fertiliser_Equations_Lime.VEERG_5_3_1_1__1_LimeApplicationCO2Emissions_Source">_xlfn.LAMBDA("VEERG 2026: 5.3.1.1, Equation (1)")</definedName>
    <definedName name="Fertiliser_Equations_Lime.VEERG_5_3_1_1__1_LimeApplicationCO2Emissions_Title">_xlfn.LAMBDA("Emissions from the application of lime and dolomite to production systems")</definedName>
    <definedName name="Fertiliser_Equations_Lime.VEERG_5_3_1_1__1_LimeApplicationCO2Emissions_Unit">_xlfn.LAMBDA("t CO2")</definedName>
    <definedName name="Fertiliser_Equations_Lime.VEERG_5_3_1_1__1_LimeApplicationCO2Emissions_Variable">_xlfn.LAMBDA("E_lime")</definedName>
    <definedName name="Fertiliser_Equations_Organic.VEERG_5_2_1_1__2_MassOfNitrogenInOrganicFertiliser">_xlfn.LAMBDA(_xlpm.Morganicjf,_xlpm.FNorganicf, _xlpm.Morganicjf * _xlpm.FNorganicf)</definedName>
    <definedName name="Fertiliser_Equations_OrganicN2O.VEERG_5_2_1_1__1_OrganicFertiliserApplicationN2OEmissions">_xlfn.LAMBDA(_xlpm.MNSoil_jf,_xlpm.EF_N2Oi,_xlpm.C_N2O, (_xlpm.MNSoil_jf * _xlpm.EF_N2Oi * _xlpm.C_N2O) * 10 ^ -3)</definedName>
    <definedName name="Fertiliser_Equations_OrganicN2O.VEERG_5_2_1_1__1_OrganicFertiliserApplicationN2OEmissions_Arguments">_xlfn.LAMBDA(_xlfn.MAKEARRAY(5, 4, _xlfn.LAMBDA(_xlpm.r,_xlpm.c, INDEX({"MNSoil_jf","mass of nitrogen in organic fertiliser type f applied to production system j","kg N","Calculated from 5.2.1.1 (2)";"EF_N2Oi","emission factor for direct nitrous oxide emissions from organic fertiliser applied to soils and aquatic systems in climate zone i","kg N2O-N/kg N","Lookup";"C_N2O","factor to convert elemental mass of nitrous oxide to molecular mass","","Constant";"j","Production system","","Input";"i","Wet or dry climate zone","","Input"}, _xlpm.r, _xlpm.c))))</definedName>
    <definedName name="Fertiliser_Equations_OrganicN2O.VEERG_5_2_1_1__1_OrganicFertiliserApplicationN2OEmissions_LatexEquation">_xlfn.LAMBDA("E_{N2O}=\sum_{j}\sum_{f}((MNSoil_{jf}\times EF_{N2O,i}\times C_{N2O})\times 10^{-3})")</definedName>
    <definedName name="Fertiliser_Equations_OrganicN2O.VEERG_5_2_1_1__1_OrganicFertiliserApplicationN2OEmissions_NIRReference">_xlfn.LAMBDA("")</definedName>
    <definedName name="Fertiliser_Equations_OrganicN2O.VEERG_5_2_1_1__1_OrganicFertiliserApplicationN2OEmissions_Source">_xlfn.LAMBDA("VEERG 2026: 5.2.1.1, Equation (1)")</definedName>
    <definedName name="Fertiliser_Equations_OrganicN2O.VEERG_5_2_1_1__1_OrganicFertiliserApplicationN2OEmissions_Title">_xlfn.LAMBDA("Nitrous oxide emissions from the application of all organic fertiliser types f to all production systems j")</definedName>
    <definedName name="Fertiliser_Equations_OrganicN2O.VEERG_5_2_1_1__1_OrganicFertiliserApplicationN2OEmissions_Unit">_xlfn.LAMBDA("t N2O")</definedName>
    <definedName name="Fertiliser_Equations_OrganicN2O.VEERG_5_2_1_1__1_OrganicFertiliserApplicationN2OEmissions_Variable">_xlfn.LAMBDA("E_N2O")</definedName>
    <definedName name="Fertiliser_Equations_OrganicN2O.VEERG_5_2_1_1__2_MassOfNitrogenInOrganicFertiliser">_xlfn.LAMBDA(_xlpm.M_organicjf,_xlpm.FN_organicf, _xlpm.M_organicjf * _xlpm.FN_organicf)</definedName>
    <definedName name="Fertiliser_Equations_OrganicN2O.VEERG_5_2_1_1__2_MassOfNitrogenInOrganicFertiliser_Arguments">_xlfn.LAMBDA(_xlfn.MAKEARRAY(3, 4, _xlfn.LAMBDA(_xlpm.r,_xlpm.c, INDEX({"M_organicjf","mass of organic fertiliser type f applied to production system j","kg","Input";"FN_organicf","nitrogen fraction of organic fertiliser type f","kg N/kg","Input";"f","Organic fertiliser type","","Input"}, _xlpm.r, _xlpm.c))))</definedName>
    <definedName name="Fertiliser_Equations_OrganicN2O.VEERG_5_2_1_1__2_MassOfNitrogenInOrganicFertiliser_LatexEquation">_xlfn.LAMBDA("MNSoil_{jf}=M_{organic,jf}\times FN_{organic,f}")</definedName>
    <definedName name="Fertiliser_Equations_OrganicN2O.VEERG_5_2_1_1__2_MassOfNitrogenInOrganicFertiliser_NIRReference">_xlfn.LAMBDA("")</definedName>
    <definedName name="Fertiliser_Equations_OrganicN2O.VEERG_5_2_1_1__2_MassOfNitrogenInOrganicFertiliser_Source">_xlfn.LAMBDA("VEERG 2026: 5.2.1.1, Equation (2)")</definedName>
    <definedName name="Fertiliser_Equations_OrganicN2O.VEERG_5_2_1_1__2_MassOfNitrogenInOrganicFertiliser_Title">_xlfn.LAMBDA("Mass of nitrogen in purchased organic fertilisers applied to production system")</definedName>
    <definedName name="Fertiliser_Equations_OrganicN2O.VEERG_5_2_1_1__2_MassOfNitrogenInOrganicFertiliser_Unit">_xlfn.LAMBDA("kg N")</definedName>
    <definedName name="Fertiliser_Equations_OrganicN2O.VEERG_5_2_1_1__2_MassOfNitrogenInOrganicFertiliser_Variable">_xlfn.LAMBDA("MNSoil_jf")</definedName>
    <definedName name="Fertiliser_FracGASMSoil_Data">'Constants - Fertiliser'!$E$73</definedName>
    <definedName name="Fertiliser_FracLEACH_Data">'Constants - Fertiliser'!$E$78</definedName>
    <definedName name="Fertiliser_InputFunctions.Fertiliser_FertiliserProductLookup">_xlfn.LAMBDA(_xlpm.Product,_xlpm.ProductAttribute,_xlpm.ProductArray,_xlpm.ProductArrayColumn,_xlpm.ProductArrayHeaders, IFERROR(INDEX(_xlpm.ProductArray, _xlfn.XMATCH(TRIM(_xlpm.Product), _xlpm.ProductArrayColumn, 0), _xlfn.XMATCH(TRIM(_xlpm.ProductAttribute), _xlpm.ProductArrayHeaders, 0)), ""))</definedName>
    <definedName name="Fertiliser_InputFunctions.Fertiliser_GetChemicalCompoundElementFraction">_xlfn.LAMBDA(_xlpm.ChemicalCompound,_xlpm.Element,_xlpm.ChemicalCompoundArray,_xlpm.ChemicalCompoundColumn,_xlpm.ElementRow, INDEX(_xlpm.ChemicalCompoundArray, MATCH(_xlpm.ChemicalCompound, _xlpm.ChemicalCompoundColumn, 0), MATCH(_xlpm.Element, _xlpm.ElementRow, 0)))</definedName>
    <definedName name="Fertiliser_InputFunctions.Fertiliser_GetScope3EF">_xlfn.LAMBDA(_xlpm.ChemicalCompound,_xlpm.Scope3Array,_xlpm.ChemicalCompoundColumn,_xlpm.Source,_xlpm.SourceRow, INDEX(_xlpm.Scope3Array, MATCH(_xlpm.ChemicalCompound, _xlpm.ChemicalCompoundColumn, 0), MATCH(_xlpm.Source, _xlpm.SourceRow, 0)))</definedName>
    <definedName name="Fertiliser_InputFunctions.Fertiliser_SumProductApplied" localSheetId="37">_xlfn.LAMBDA(_xlpm.LookupTarget1,_xlpm.LookupArray1,_xlpm.AmountApplied,_xlop.LookupTarget2,_xlop.LookupArray2,
  _xlfn.LET(
    _xlpm.criteria1,
    --(
      _xlpm.LookupArray1 = _xlpm.LookupTarget1
    ),
    _xlpm.criteria2,
    IF(
      _xlfn.ISOMITTED(
        _xlpm.LookupTarget2
      ),
      1,
      --(
        _xlpm.LookupArray2 = _xlpm.LookupTarget2
      )
    ),
    SUMPRODUCT(
      IFERROR(_xlpm.criteria1 * _xlpm.criteria2 * _xlpm.AmountApplied, 0)
    )
  )
)</definedName>
    <definedName name="Fertiliser_InputFunctions.Fertiliser_SumProductApplied" localSheetId="25">_xlfn.LAMBDA(_xlpm.LookupTarget1,_xlpm.LookupArray1,_xlpm.AmountApplied,_xlop.LookupTarget2,_xlop.LookupArray2, _xlfn.LET(_xlpm.criteria1, --(_xlpm.LookupArray1 = _xlpm.LookupTarget1), _xlpm.criteria2, IF(_xlfn.ISOMITTED(_xlpm.LookupTarget2), 1, --(_xlpm.LookupArray2 = _xlpm.LookupTarget2)), SUMPRODUCT(IFERROR(_xlpm.criteria1 * _xlpm.criteria2 * _xlpm.AmountApplied, 0))))</definedName>
    <definedName name="Fertiliser_InputFunctions.Fertiliser_SumProductApplied" localSheetId="26">_xlfn.LAMBDA(_xlpm.LookupTarget1,_xlpm.LookupArray1,_xlpm.AmountApplied,_xlop.LookupTarget2,_xlop.LookupArray2, _xlfn.LET(_xlpm.criteria1, --(_xlpm.LookupArray1 = _xlpm.LookupTarget1), _xlpm.criteria2, IF(_xlfn.ISOMITTED(_xlpm.LookupTarget2), 1, --(_xlpm.LookupArray2 = _xlpm.LookupTarget2)), SUMPRODUCT(IFERROR(_xlpm.criteria1 * _xlpm.criteria2 * _xlpm.AmountApplied, 0))))</definedName>
    <definedName name="Fertiliser_InputFunctions.Fertiliser_SumProductApplied" localSheetId="27">_xlfn.LAMBDA(_xlpm.LookupTarget1,_xlpm.LookupArray1,_xlpm.AmountApplied,_xlop.LookupTarget2,_xlop.LookupArray2, _xlfn.LET(_xlpm.criteria1, --(_xlpm.LookupArray1 = _xlpm.LookupTarget1), _xlpm.criteria2, IF(_xlfn.ISOMITTED(_xlpm.LookupTarget2), 1, --(_xlpm.LookupArray2 = _xlpm.LookupTarget2)), SUMPRODUCT(IFERROR(_xlpm.criteria1 * _xlpm.criteria2 * _xlpm.AmountApplied, 0))))</definedName>
    <definedName name="Fertiliser_InputFunctions.Fertiliser_SumProductApplied" localSheetId="28">_xlfn.LAMBDA(_xlpm.LookupTarget1,_xlpm.LookupArray1,_xlpm.AmountApplied,_xlop.LookupTarget2,_xlop.LookupArray2, _xlfn.LET(_xlpm.criteria1, --(_xlpm.LookupArray1 = _xlpm.LookupTarget1), _xlpm.criteria2, IF(_xlfn.ISOMITTED(_xlpm.LookupTarget2), 1, --(_xlpm.LookupArray2 = _xlpm.LookupTarget2)), SUMPRODUCT(IFERROR(_xlpm.criteria1 * _xlpm.criteria2 * _xlpm.AmountApplied, 0))))</definedName>
    <definedName name="Fertiliser_InputFunctions.Fertiliser_SumProductApplied" localSheetId="29">_xlfn.LAMBDA(_xlpm.LookupTarget1,_xlpm.LookupArray1,_xlpm.AmountApplied,_xlop.LookupTarget2,_xlop.LookupArray2, _xlfn.LET(_xlpm.criteria1, --(_xlpm.LookupArray1 = _xlpm.LookupTarget1), _xlpm.criteria2, IF(_xlfn.ISOMITTED(_xlpm.LookupTarget2), 1, --(_xlpm.LookupArray2 = _xlpm.LookupTarget2)), SUMPRODUCT(IFERROR(_xlpm.criteria1 * _xlpm.criteria2 * _xlpm.AmountApplied, 0))))</definedName>
    <definedName name="Fertiliser_InputFunctions.Fertiliser_SumProductApplied" localSheetId="30">_xlfn.LAMBDA(_xlpm.LookupTarget1,_xlpm.LookupArray1,_xlpm.AmountApplied,_xlop.LookupTarget2,_xlop.LookupArray2, _xlfn.LET(_xlpm.criteria1, --(_xlpm.LookupArray1 = _xlpm.LookupTarget1), _xlpm.criteria2, IF(_xlfn.ISOMITTED(_xlpm.LookupTarget2), 1, --(_xlpm.LookupArray2 = _xlpm.LookupTarget2)), SUMPRODUCT(IFERROR(_xlpm.criteria1 * _xlpm.criteria2 * _xlpm.AmountApplied, 0))))</definedName>
    <definedName name="Fertiliser_InputFunctions.Fertiliser_SumProductApplied" localSheetId="31">_xlfn.LAMBDA(_xlpm.LookupTarget1,_xlpm.LookupArray1,_xlpm.AmountApplied,_xlop.LookupTarget2,_xlop.LookupArray2,
  _xlfn.LET(
    _xlpm.criteria1,
    --(
      _xlpm.LookupArray1 = _xlpm.LookupTarget1
    ),
    _xlpm.criteria2,
    IF(
      _xlfn.ISOMITTED(
        _xlpm.LookupTarget2
      ),
      1,
      --(
        _xlpm.LookupArray2 = _xlpm.LookupTarget2
      )
    ),
    SUMPRODUCT(
      IFERROR(_xlpm.criteria1 * _xlpm.criteria2 * _xlpm.AmountApplied, 0)
    )
  )
)</definedName>
    <definedName name="Fertiliser_InputFunctions.Fertiliser_SumProductApplied" localSheetId="32">_xlfn.LAMBDA(_xlpm.LookupTarget1,_xlpm.LookupArray1,_xlpm.AmountApplied,_xlop.LookupTarget2,_xlop.LookupArray2,
  _xlfn.LET(
    _xlpm.criteria1,
    --(
      _xlpm.LookupArray1 = _xlpm.LookupTarget1
    ),
    _xlpm.criteria2,
    IF(
      _xlfn.ISOMITTED(
        _xlpm.LookupTarget2
      ),
      1,
      --(
        _xlpm.LookupArray2 = _xlpm.LookupTarget2
      )
    ),
    SUMPRODUCT(
      IFERROR(_xlpm.criteria1 * _xlpm.criteria2 * _xlpm.AmountApplied, 0)
    )
  )
)</definedName>
    <definedName name="Fertiliser_InputFunctions.Fertiliser_SumProductApplied" localSheetId="38">_xlfn.LAMBDA(_xlpm.LookupTarget1,_xlpm.LookupArray1,_xlpm.AmountApplied,_xlop.LookupTarget2,_xlop.LookupArray2,
  _xlfn.LET(
    _xlpm.criteria1,
    --(
      _xlpm.LookupArray1 = _xlpm.LookupTarget1
    ),
    _xlpm.criteria2,
    IF(
      _xlfn.ISOMITTED(
        _xlpm.LookupTarget2
      ),
      1,
      --(
        _xlpm.LookupArray2 = _xlpm.LookupTarget2
      )
    ),
    SUMPRODUCT(
      IFERROR(_xlpm.criteria1 * _xlpm.criteria2 * _xlpm.AmountApplied, 0)
    )
  )
)</definedName>
    <definedName name="Fertiliser_InputFunctions.Fertiliser_SumProductApplied" localSheetId="40">_xlfn.LAMBDA(_xlpm.LookupTarget1,_xlpm.LookupArray1,_xlpm.AmountApplied,_xlop.LookupTarget2,_xlop.LookupArray2,
  _xlfn.LET(
    _xlpm.criteria1,
    --(
      _xlpm.LookupArray1 = _xlpm.LookupTarget1
    ),
    _xlpm.criteria2,
    IF(
      _xlfn.ISOMITTED(
        _xlpm.LookupTarget2
      ),
      1,
      --(
        _xlpm.LookupArray2 = _xlpm.LookupTarget2
      )
    ),
    SUMPRODUCT(
      IFERROR(_xlpm.criteria1 * _xlpm.criteria2 * _xlpm.AmountApplied, 0)
    )
  )
)</definedName>
    <definedName name="Fertiliser_InputFunctions.Fertiliser_SumProductApplied" localSheetId="43">_xlfn.LAMBDA(_xlpm.LookupTarget1,_xlpm.LookupArray1,_xlpm.AmountApplied,_xlop.LookupTarget2,_xlop.LookupArray2, _xlfn.LET(_xlpm.criteria1, --(_xlpm.LookupArray1 = _xlpm.LookupTarget1), _xlpm.criteria2, IF(_xlfn.ISOMITTED(_xlpm.LookupTarget2), 1, --(_xlpm.LookupArray2 = _xlpm.LookupTarget2)), SUMPRODUCT(IFERROR(_xlpm.criteria1 * _xlpm.criteria2 * _xlpm.AmountApplied, 0))))</definedName>
    <definedName name="Fertiliser_InputFunctions.Fertiliser_SumProductApplied" localSheetId="45">_xlfn.LAMBDA(_xlpm.LookupTarget1,_xlpm.LookupArray1,_xlpm.AmountApplied,_xlop.LookupTarget2,_xlop.LookupArray2,
  _xlfn.LET(
    _xlpm.criteria1,
    --(
      _xlpm.LookupArray1 = _xlpm.LookupTarget1
    ),
    _xlpm.criteria2,
    IF(
      _xlfn.ISOMITTED(
        _xlpm.LookupTarget2
      ),
      1,
      --(
        _xlpm.LookupArray2 = _xlpm.LookupTarget2
      )
    ),
    SUMPRODUCT(
      IFERROR(_xlpm.criteria1 * _xlpm.criteria2 * _xlpm.AmountApplied, 0)
    )
  )
)</definedName>
    <definedName name="Fertiliser_InputFunctions.Fertiliser_SumProductApplied" localSheetId="7">_xlfn.LAMBDA(_xlpm.LookupTarget1,_xlpm.LookupArray1,_xlpm.AmountApplied,_xlop.LookupTarget2,_xlop.LookupArray2,
  _xlfn.LET(
    _xlpm.criteria1,
    --(
      _xlpm.LookupArray1 = _xlpm.LookupTarget1
    ),
    _xlpm.criteria2,
    IF(
      _xlfn.ISOMITTED(
        _xlpm.LookupTarget2
      ),
      1,
      --(
        _xlpm.LookupArray2 = _xlpm.LookupTarget2
      )
    ),
    SUMPRODUCT(
      IFERROR(_xlpm.criteria1 * _xlpm.criteria2 * _xlpm.AmountApplied, 0)
    )
  )
)</definedName>
    <definedName name="Fertiliser_InputFunctions.Fertiliser_SumProductApplied" localSheetId="13">_xlfn.LAMBDA(_xlpm.LookupTarget1,_xlpm.LookupArray1,_xlpm.AmountApplied,_xlop.LookupTarget2,_xlop.LookupArray2,
  _xlfn.LET(
    _xlpm.criteria1,
    --(
      _xlpm.LookupArray1 = _xlpm.LookupTarget1
    ),
    _xlpm.criteria2,
    IF(
      _xlfn.ISOMITTED(
        _xlpm.LookupTarget2
      ),
      1,
      --(
        _xlpm.LookupArray2 = _xlpm.LookupTarget2
      )
    ),
    SUMPRODUCT(
      IFERROR(_xlpm.criteria1 * _xlpm.criteria2 * _xlpm.AmountApplied, 0)
    )
  )
)</definedName>
    <definedName name="Fertiliser_InputFunctions.Fertiliser_SumProductApplied" localSheetId="14">_xlfn.LAMBDA(_xlpm.LookupTarget1,_xlpm.LookupArray1,_xlpm.AmountApplied,_xlop.LookupTarget2,_xlop.LookupArray2,
  _xlfn.LET(
    _xlpm.criteria1,
    --(
      _xlpm.LookupArray1 = _xlpm.LookupTarget1
    ),
    _xlpm.criteria2,
    IF(
      _xlfn.ISOMITTED(
        _xlpm.LookupTarget2
      ),
      1,
      --(
        _xlpm.LookupArray2 = _xlpm.LookupTarget2
      )
    ),
    SUMPRODUCT(
      IFERROR(_xlpm.criteria1 * _xlpm.criteria2 * _xlpm.AmountApplied, 0)
    )
  )
)</definedName>
    <definedName name="Fertiliser_InputFunctions.Fertiliser_SumProductApplied" localSheetId="10">_xlfn.LAMBDA(_xlpm.LookupTarget1,_xlpm.LookupArray1,_xlpm.AmountApplied,_xlop.LookupTarget2,_xlop.LookupArray2, _xlfn.LET(_xlpm.criteria1, --(_xlpm.LookupArray1 = _xlpm.LookupTarget1), _xlpm.criteria2, IF(_xlfn.ISOMITTED(_xlpm.LookupTarget2), 1, --(_xlpm.LookupArray2 = _xlpm.LookupTarget2)), SUMPRODUCT(IFERROR(_xlpm.criteria1 * _xlpm.criteria2 * _xlpm.AmountApplied, 0))))</definedName>
    <definedName name="Fertiliser_InputFunctions.Fertiliser_SumProductApplied" localSheetId="16">_xlfn.LAMBDA(_xlpm.LookupTarget1,_xlpm.LookupArray1,_xlpm.AmountApplied,_xlop.LookupTarget2,_xlop.LookupArray2,
  _xlfn.LET(
    _xlpm.criteria1,
    --(
      _xlpm.LookupArray1 = _xlpm.LookupTarget1
    ),
    _xlpm.criteria2,
    IF(
      _xlfn.ISOMITTED(
        _xlpm.LookupTarget2
      ),
      1,
      --(
        _xlpm.LookupArray2 = _xlpm.LookupTarget2
      )
    ),
    SUMPRODUCT(
      IFERROR(_xlpm.criteria1 * _xlpm.criteria2 * _xlpm.AmountApplied, 0)
    )
  )
)</definedName>
    <definedName name="Fertiliser_InputFunctions.Fertiliser_SumProductApplied" localSheetId="15">_xlfn.LAMBDA(_xlpm.LookupTarget1,_xlpm.LookupArray1,_xlpm.AmountApplied,_xlop.LookupTarget2,_xlop.LookupArray2,
  _xlfn.LET(
    _xlpm.criteria1,
    --(
      _xlpm.LookupArray1 = _xlpm.LookupTarget1
    ),
    _xlpm.criteria2,
    IF(
      _xlfn.ISOMITTED(
        _xlpm.LookupTarget2
      ),
      1,
      --(
        _xlpm.LookupArray2 = _xlpm.LookupTarget2
      )
    ),
    SUMPRODUCT(
      IFERROR(_xlpm.criteria1 * _xlpm.criteria2 * _xlpm.AmountApplied, 0)
    )
  )
)</definedName>
    <definedName name="Fertiliser_InputFunctions.Fertiliser_SumProductApplied" localSheetId="18">_xlfn.LAMBDA(_xlpm.LookupTarget1,_xlpm.LookupArray1,_xlpm.AmountApplied,_xlop.LookupTarget2,_xlop.LookupArray2,
  _xlfn.LET(
    _xlpm.criteria1,
    --(
      _xlpm.LookupArray1 = _xlpm.LookupTarget1
    ),
    _xlpm.criteria2,
    IF(
      _xlfn.ISOMITTED(
        _xlpm.LookupTarget2
      ),
      1,
      --(
        _xlpm.LookupArray2 = _xlpm.LookupTarget2
      )
    ),
    SUMPRODUCT(
      IFERROR(_xlpm.criteria1 * _xlpm.criteria2 * _xlpm.AmountApplied, 0)
    )
  )
)</definedName>
    <definedName name="Fertiliser_InputFunctions.Fertiliser_SumProductApplied" localSheetId="8">_xlfn.LAMBDA(_xlpm.LookupTarget1,_xlpm.LookupArray1,_xlpm.AmountApplied,_xlop.LookupTarget2,_xlop.LookupArray2,
  _xlfn.LET(
    _xlpm.criteria1,
    --(
      _xlpm.LookupArray1 = _xlpm.LookupTarget1
    ),
    _xlpm.criteria2,
    IF(
      _xlfn.ISOMITTED(
        _xlpm.LookupTarget2
      ),
      1,
      --(
        _xlpm.LookupArray2 = _xlpm.LookupTarget2
      )
    ),
    SUMPRODUCT(
      IFERROR(_xlpm.criteria1 * _xlpm.criteria2 * _xlpm.AmountApplied, 0)
    )
  )
)</definedName>
    <definedName name="Fertiliser_InputFunctions.Fertiliser_SumProductApplied">_xlfn.LAMBDA(_xlpm.LookupTarget1,_xlpm.LookupArray1,_xlpm.AmountApplied,_xlop.LookupTarget2,_xlop.LookupArray2,
  _xlfn.LET(
    _xlpm.criteria1,
    --(
      _xlpm.LookupArray1 = _xlpm.LookupTarget1
    ),
    _xlpm.criteria2,
    IF(
      _xlfn.ISOMITTED(
        _xlpm.LookupTarget2
      ),
      1,
      --(
        _xlpm.LookupArray2 = _xlpm.LookupTarget2
      )
    ),
    SUMPRODUCT(
      IFERROR(_xlpm.criteria1 * _xlpm.criteria2 * _xlpm.AmountApplied, 0)
    )
  )
)</definedName>
    <definedName name="Fertiliser_InputFunctions.Fertiliser_TotalActiveIngredientAppliedAllIngredients" localSheetId="37">_xlfn.LAMBDA(_xlpm.ChemicalCompound,_xlpm.AmountApplied,_xlpm.ProductIngredient1,_xlpm.ProductIngredientUnit1,_xlpm.ProductIngredientPercent1,_xlop.ProductIngredient2,_xlop.ProductIngredientUnit2,_xlop.ProductIngredientPercent2,_xlop.ProductIngredient3,_xlop.ProductIngredientUnit3,_xlop.ProductIngredientPercent3, _xlfn.LET(_xlpm.calculatedAmount1, (IF(_xlpm.ProductIngredientUnit1 = "Percent of product", _xlpm.AmountApplied * _xlpm.ProductIngredientPercent1, _xlpm.AmountApplied * (_xlpm.ProductIngredientPercent1 * 10 ^ -3))), _xlpm.calculatedAmount2, (IF(_xlpm.ProductIngredientUnit1 = "Percent of product", _xlpm.AmountApplied * _xlpm.ProductIngredientPercent2, _xlpm.AmountApplied * (_xlpm.ProductIngredientPercent2 * 10 ^ -3))), _xlpm.calculatedAmount3, (IF(_xlpm.ProductIngredientUnit1 = "Percent of product", _xlpm.AmountApplied * _xlpm.ProductIngredientPercent3, _xlpm.AmountApplied * (_xlpm.ProductIngredientPercent3 * 10 ^ -3))), '15 Scope 3'!Fertiliser_InputFunctions.Fertiliser_SumProductApplied(_xlpm.ChemicalCompound, _xlpm.ProductIngredient1, _xlpm.calculatedAmount1) + IFERROR('15 Scope 3'!Fertiliser_InputFunctions.Fertiliser_SumProductApplied(_xlpm.ChemicalCompound, _xlpm.ProductIngredient2, _xlpm.calculatedAmount2), 0) + IFERROR('15 Scope 3'!Fertiliser_InputFunctions.Fertiliser_SumProductApplied(_xlpm.ChemicalCompound, _xlpm.ProductIngredient3, _xlpm.calculatedAmount3), 0)))</definedName>
    <definedName name="Fertiliser_InputFunctions.Fertiliser_TotalActiveIngredientAppliedAllIngredients" localSheetId="21">_xlfn.LAMBDA(_xlpm.ChemicalCompound,_xlpm.AmountApplied,_xlpm.ProductIngredient1,_xlpm.ProductIngredientUnit1,_xlpm.ProductIngredientPercent1,_xlop.ProductIngredient2,_xlop.ProductIngredientUnit2,_xlop.ProductIngredientPercent2,_xlop.ProductIngredient3,_xlop.ProductIngredientUnit3,_xlop.ProductIngredientPercent3, _xlfn.LET(_xlpm.calculatedAmount1, (IF(_xlpm.ProductIngredientUnit1 = "Percent of product", _xlpm.AmountApplied * _xlpm.ProductIngredientPercent1, _xlpm.AmountApplied * (_xlpm.ProductIngredientPercent1 * 10 ^ -3))), _xlpm.calculatedAmount2, (IF(_xlpm.ProductIngredientUnit1 = "Percent of product", _xlpm.AmountApplied * _xlpm.ProductIngredientPercent2, _xlpm.AmountApplied * (_xlpm.ProductIngredientPercent2 * 10 ^ -3))), _xlpm.calculatedAmount3, (IF(_xlpm.ProductIngredientUnit1 = "Percent of product", _xlpm.AmountApplied * _xlpm.ProductIngredientPercent3, _xlpm.AmountApplied * (_xlpm.ProductIngredientPercent3 * 10 ^ -3))), [0]!Fertiliser_InputFunctions.Fertiliser_SumProductApplied(_xlpm.ChemicalCompound, _xlpm.ProductIngredient1, _xlpm.calculatedAmount1) + IFERROR([0]!Fertiliser_InputFunctions.Fertiliser_SumProductApplied(_xlpm.ChemicalCompound, _xlpm.ProductIngredient2, _xlpm.calculatedAmount2), 0) + IFERROR([0]!Fertiliser_InputFunctions.Fertiliser_SumProductApplied(_xlpm.ChemicalCompound, _xlpm.ProductIngredient3, _xlpm.calculatedAmount3), 0)))</definedName>
    <definedName name="Fertiliser_InputFunctions.Fertiliser_TotalActiveIngredientAppliedAllIngredients" localSheetId="22">_xlfn.LAMBDA(_xlpm.ChemicalCompound,_xlpm.AmountApplied,_xlpm.ProductIngredient1,_xlpm.ProductIngredientUnit1,_xlpm.ProductIngredientPercent1,_xlop.ProductIngredient2,_xlop.ProductIngredientUnit2,_xlop.ProductIngredientPercent2,_xlop.ProductIngredient3,_xlop.ProductIngredientUnit3,_xlop.ProductIngredientPercent3, _xlfn.LET(_xlpm.calculatedAmount1, (IF(_xlpm.ProductIngredientUnit1 = "Percent of product", _xlpm.AmountApplied * _xlpm.ProductIngredientPercent1, _xlpm.AmountApplied * (_xlpm.ProductIngredientPercent1 * 10 ^ -3))), _xlpm.calculatedAmount2, (IF(_xlpm.ProductIngredientUnit1 = "Percent of product", _xlpm.AmountApplied * _xlpm.ProductIngredientPercent2, _xlpm.AmountApplied * (_xlpm.ProductIngredientPercent2 * 10 ^ -3))), _xlpm.calculatedAmount3, (IF(_xlpm.ProductIngredientUnit1 = "Percent of product", _xlpm.AmountApplied * _xlpm.ProductIngredientPercent3, _xlpm.AmountApplied * (_xlpm.ProductIngredientPercent3 * 10 ^ -3))), [0]!Fertiliser_InputFunctions.Fertiliser_SumProductApplied(_xlpm.ChemicalCompound, _xlpm.ProductIngredient1, _xlpm.calculatedAmount1) + IFERROR([0]!Fertiliser_InputFunctions.Fertiliser_SumProductApplied(_xlpm.ChemicalCompound, _xlpm.ProductIngredient2, _xlpm.calculatedAmount2), 0) + IFERROR([0]!Fertiliser_InputFunctions.Fertiliser_SumProductApplied(_xlpm.ChemicalCompound, _xlpm.ProductIngredient3, _xlpm.calculatedAmount3), 0)))</definedName>
    <definedName name="Fertiliser_InputFunctions.Fertiliser_TotalActiveIngredientAppliedAllIngredients" localSheetId="23">_xlfn.LAMBDA(_xlpm.ChemicalCompound,_xlpm.AmountApplied,_xlpm.ProductIngredient1,_xlpm.ProductIngredientUnit1,_xlpm.ProductIngredientPercent1,_xlop.ProductIngredient2,_xlop.ProductIngredientUnit2,_xlop.ProductIngredientPercent2,_xlop.ProductIngredient3,_xlop.ProductIngredientUnit3,_xlop.ProductIngredientPercent3, _xlfn.LET(_xlpm.calculatedAmount1, (IF(_xlpm.ProductIngredientUnit1 = "Percent of product", _xlpm.AmountApplied * _xlpm.ProductIngredientPercent1, _xlpm.AmountApplied * (_xlpm.ProductIngredientPercent1 * 10 ^ -3))), _xlpm.calculatedAmount2, (IF(_xlpm.ProductIngredientUnit1 = "Percent of product", _xlpm.AmountApplied * _xlpm.ProductIngredientPercent2, _xlpm.AmountApplied * (_xlpm.ProductIngredientPercent2 * 10 ^ -3))), _xlpm.calculatedAmount3, (IF(_xlpm.ProductIngredientUnit1 = "Percent of product", _xlpm.AmountApplied * _xlpm.ProductIngredientPercent3, _xlpm.AmountApplied * (_xlpm.ProductIngredientPercent3 * 10 ^ -3))), [0]!Fertiliser_InputFunctions.Fertiliser_SumProductApplied(_xlpm.ChemicalCompound, _xlpm.ProductIngredient1, _xlpm.calculatedAmount1) + IFERROR([0]!Fertiliser_InputFunctions.Fertiliser_SumProductApplied(_xlpm.ChemicalCompound, _xlpm.ProductIngredient2, _xlpm.calculatedAmount2), 0) + IFERROR([0]!Fertiliser_InputFunctions.Fertiliser_SumProductApplied(_xlpm.ChemicalCompound, _xlpm.ProductIngredient3, _xlpm.calculatedAmount3), 0)))</definedName>
    <definedName name="Fertiliser_InputFunctions.Fertiliser_TotalActiveIngredientAppliedAllIngredients" localSheetId="24">_xlfn.LAMBDA(_xlpm.ChemicalCompound,_xlpm.AmountApplied,_xlpm.ProductIngredient1,_xlpm.ProductIngredientUnit1,_xlpm.ProductIngredientPercent1,_xlop.ProductIngredient2,_xlop.ProductIngredientUnit2,_xlop.ProductIngredientPercent2,_xlop.ProductIngredient3,_xlop.ProductIngredientUnit3,_xlop.ProductIngredientPercent3, _xlfn.LET(_xlpm.calculatedAmount1, (IF(_xlpm.ProductIngredientUnit1 = "Percent of product", _xlpm.AmountApplied * _xlpm.ProductIngredientPercent1, _xlpm.AmountApplied * (_xlpm.ProductIngredientPercent1 * 10 ^ -3))), _xlpm.calculatedAmount2, (IF(_xlpm.ProductIngredientUnit1 = "Percent of product", _xlpm.AmountApplied * _xlpm.ProductIngredientPercent2, _xlpm.AmountApplied * (_xlpm.ProductIngredientPercent2 * 10 ^ -3))), _xlpm.calculatedAmount3, (IF(_xlpm.ProductIngredientUnit1 = "Percent of product", _xlpm.AmountApplied * _xlpm.ProductIngredientPercent3, _xlpm.AmountApplied * (_xlpm.ProductIngredientPercent3 * 10 ^ -3))), [0]!Fertiliser_InputFunctions.Fertiliser_SumProductApplied(_xlpm.ChemicalCompound, _xlpm.ProductIngredient1, _xlpm.calculatedAmount1) + IFERROR([0]!Fertiliser_InputFunctions.Fertiliser_SumProductApplied(_xlpm.ChemicalCompound, _xlpm.ProductIngredient2, _xlpm.calculatedAmount2), 0) + IFERROR([0]!Fertiliser_InputFunctions.Fertiliser_SumProductApplied(_xlpm.ChemicalCompound, _xlpm.ProductIngredient3, _xlpm.calculatedAmount3), 0)))</definedName>
    <definedName name="Fertiliser_InputFunctions.Fertiliser_TotalActiveIngredientAppliedAllIngredients" localSheetId="25">_xlfn.LAMBDA(_xlpm.ChemicalCompound,_xlpm.AmountApplied,_xlpm.ProductIngredient1,_xlpm.ProductIngredientUnit1,_xlpm.ProductIngredientPercent1,_xlop.ProductIngredient2,_xlop.ProductIngredientUnit2,_xlop.ProductIngredientPercent2,_xlop.ProductIngredient3,_xlop.ProductIngredientUnit3,_xlop.ProductIngredientPercent3, _xlfn.LET(_xlpm.calculatedAmount1, (IF(_xlpm.ProductIngredientUnit1 = "Percent of product", _xlpm.AmountApplied * _xlpm.ProductIngredientPercent1, _xlpm.AmountApplied * (_xlpm.ProductIngredientPercent1 * 10 ^ -3))), _xlpm.calculatedAmount2, (IF(_xlpm.ProductIngredientUnit1 = "Percent of product", _xlpm.AmountApplied * _xlpm.ProductIngredientPercent2, _xlpm.AmountApplied * (_xlpm.ProductIngredientPercent2 * 10 ^ -3))), _xlpm.calculatedAmount3, (IF(_xlpm.ProductIngredientUnit1 = "Percent of product", _xlpm.AmountApplied * _xlpm.ProductIngredientPercent3, _xlpm.AmountApplied * (_xlpm.ProductIngredientPercent3 * 10 ^ -3))), '5.1.1.1-2 Inorganic fert N2O'!Fertiliser_InputFunctions.Fertiliser_SumProductApplied(_xlpm.ChemicalCompound, _xlpm.ProductIngredient1, _xlpm.calculatedAmount1) + IFERROR('5.1.1.1-2 Inorganic fert N2O'!Fertiliser_InputFunctions.Fertiliser_SumProductApplied(_xlpm.ChemicalCompound, _xlpm.ProductIngredient2, _xlpm.calculatedAmount2), 0) + IFERROR('5.1.1.1-2 Inorganic fert N2O'!Fertiliser_InputFunctions.Fertiliser_SumProductApplied(_xlpm.ChemicalCompound, _xlpm.ProductIngredient3, _xlpm.calculatedAmount3), 0)))</definedName>
    <definedName name="Fertiliser_InputFunctions.Fertiliser_TotalActiveIngredientAppliedAllIngredients" localSheetId="26">_xlfn.LAMBDA(_xlpm.ChemicalCompound,_xlpm.AmountApplied,_xlpm.ProductIngredient1,_xlpm.ProductIngredientUnit1,_xlpm.ProductIngredientPercent1,_xlop.ProductIngredient2,_xlop.ProductIngredientUnit2,_xlop.ProductIngredientPercent2,_xlop.ProductIngredient3,_xlop.ProductIngredientUnit3,_xlop.ProductIngredientPercent3, _xlfn.LET(_xlpm.calculatedAmount1, (IF(_xlpm.ProductIngredientUnit1 = "Percent of product", _xlpm.AmountApplied * _xlpm.ProductIngredientPercent1, _xlpm.AmountApplied * (_xlpm.ProductIngredientPercent1 * 10 ^ -3))), _xlpm.calculatedAmount2, (IF(_xlpm.ProductIngredientUnit1 = "Percent of product", _xlpm.AmountApplied * _xlpm.ProductIngredientPercent2, _xlpm.AmountApplied * (_xlpm.ProductIngredientPercent2 * 10 ^ -3))), _xlpm.calculatedAmount3, (IF(_xlpm.ProductIngredientUnit1 = "Percent of product", _xlpm.AmountApplied * _xlpm.ProductIngredientPercent3, _xlpm.AmountApplied * (_xlpm.ProductIngredientPercent3 * 10 ^ -3))), '5.1.1.3-4 Inorganic fert CO2'!Fertiliser_InputFunctions.Fertiliser_SumProductApplied(_xlpm.ChemicalCompound, _xlpm.ProductIngredient1, _xlpm.calculatedAmount1) + IFERROR('5.1.1.3-4 Inorganic fert CO2'!Fertiliser_InputFunctions.Fertiliser_SumProductApplied(_xlpm.ChemicalCompound, _xlpm.ProductIngredient2, _xlpm.calculatedAmount2), 0) + IFERROR('5.1.1.3-4 Inorganic fert CO2'!Fertiliser_InputFunctions.Fertiliser_SumProductApplied(_xlpm.ChemicalCompound, _xlpm.ProductIngredient3, _xlpm.calculatedAmount3), 0)))</definedName>
    <definedName name="Fertiliser_InputFunctions.Fertiliser_TotalActiveIngredientAppliedAllIngredients" localSheetId="27">_xlfn.LAMBDA(_xlpm.ChemicalCompound,_xlpm.AmountApplied,_xlpm.ProductIngredient1,_xlpm.ProductIngredientUnit1,_xlpm.ProductIngredientPercent1,_xlop.ProductIngredient2,_xlop.ProductIngredientUnit2,_xlop.ProductIngredientPercent2,_xlop.ProductIngredient3,_xlop.ProductIngredientUnit3,_xlop.ProductIngredientPercent3, _xlfn.LET(_xlpm.calculatedAmount1, (IF(_xlpm.ProductIngredientUnit1 = "Percent of product", _xlpm.AmountApplied * _xlpm.ProductIngredientPercent1, _xlpm.AmountApplied * (_xlpm.ProductIngredientPercent1 * 10 ^ -3))), _xlpm.calculatedAmount2, (IF(_xlpm.ProductIngredientUnit1 = "Percent of product", _xlpm.AmountApplied * _xlpm.ProductIngredientPercent2, _xlpm.AmountApplied * (_xlpm.ProductIngredientPercent2 * 10 ^ -3))), _xlpm.calculatedAmount3, (IF(_xlpm.ProductIngredientUnit1 = "Percent of product", _xlpm.AmountApplied * _xlpm.ProductIngredientPercent3, _xlpm.AmountApplied * (_xlpm.ProductIngredientPercent3 * 10 ^ -3))), '5.2.1.1-2 Organic Fert N2O'!Fertiliser_InputFunctions.Fertiliser_SumProductApplied(_xlpm.ChemicalCompound, _xlpm.ProductIngredient1, _xlpm.calculatedAmount1) + IFERROR('5.2.1.1-2 Organic Fert N2O'!Fertiliser_InputFunctions.Fertiliser_SumProductApplied(_xlpm.ChemicalCompound, _xlpm.ProductIngredient2, _xlpm.calculatedAmount2), 0) + IFERROR('5.2.1.1-2 Organic Fert N2O'!Fertiliser_InputFunctions.Fertiliser_SumProductApplied(_xlpm.ChemicalCompound, _xlpm.ProductIngredient3, _xlpm.calculatedAmount3), 0)))</definedName>
    <definedName name="Fertiliser_InputFunctions.Fertiliser_TotalActiveIngredientAppliedAllIngredients" localSheetId="28">_xlfn.LAMBDA(_xlpm.ChemicalCompound,_xlpm.AmountApplied,_xlpm.ProductIngredient1,_xlpm.ProductIngredientUnit1,_xlpm.ProductIngredientPercent1,_xlop.ProductIngredient2,_xlop.ProductIngredientUnit2,_xlop.ProductIngredientPercent2,_xlop.ProductIngredient3,_xlop.ProductIngredientUnit3,_xlop.ProductIngredientPercent3, _xlfn.LET(_xlpm.calculatedAmount1, (IF(_xlpm.ProductIngredientUnit1 = "Percent of product", _xlpm.AmountApplied * _xlpm.ProductIngredientPercent1, _xlpm.AmountApplied * (_xlpm.ProductIngredientPercent1 * 10 ^ -3))), _xlpm.calculatedAmount2, (IF(_xlpm.ProductIngredientUnit1 = "Percent of product", _xlpm.AmountApplied * _xlpm.ProductIngredientPercent2, _xlpm.AmountApplied * (_xlpm.ProductIngredientPercent2 * 10 ^ -3))), _xlpm.calculatedAmount3, (IF(_xlpm.ProductIngredientUnit1 = "Percent of product", _xlpm.AmountApplied * _xlpm.ProductIngredientPercent3, _xlpm.AmountApplied * (_xlpm.ProductIngredientPercent3 * 10 ^ -3))), '5.3.1.1-2 Lime CO2'!Fertiliser_InputFunctions.Fertiliser_SumProductApplied(_xlpm.ChemicalCompound, _xlpm.ProductIngredient1, _xlpm.calculatedAmount1) + IFERROR('5.3.1.1-2 Lime CO2'!Fertiliser_InputFunctions.Fertiliser_SumProductApplied(_xlpm.ChemicalCompound, _xlpm.ProductIngredient2, _xlpm.calculatedAmount2), 0) + IFERROR('5.3.1.1-2 Lime CO2'!Fertiliser_InputFunctions.Fertiliser_SumProductApplied(_xlpm.ChemicalCompound, _xlpm.ProductIngredient3, _xlpm.calculatedAmount3), 0)))</definedName>
    <definedName name="Fertiliser_InputFunctions.Fertiliser_TotalActiveIngredientAppliedAllIngredients" localSheetId="29">_xlfn.LAMBDA(_xlpm.ChemicalCompound,_xlpm.AmountApplied,_xlpm.ProductIngredient1,_xlpm.ProductIngredientUnit1,_xlpm.ProductIngredientPercent1,_xlop.ProductIngredient2,_xlop.ProductIngredientUnit2,_xlop.ProductIngredientPercent2,_xlop.ProductIngredient3,_xlop.ProductIngredientUnit3,_xlop.ProductIngredientPercent3, _xlfn.LET(_xlpm.calculatedAmount1, (IF(_xlpm.ProductIngredientUnit1 = "Percent of product", _xlpm.AmountApplied * _xlpm.ProductIngredientPercent1, _xlpm.AmountApplied * (_xlpm.ProductIngredientPercent1 * 10 ^ -3))), _xlpm.calculatedAmount2, (IF(_xlpm.ProductIngredientUnit1 = "Percent of product", _xlpm.AmountApplied * _xlpm.ProductIngredientPercent2, _xlpm.AmountApplied * (_xlpm.ProductIngredientPercent2 * 10 ^ -3))), _xlpm.calculatedAmount3, (IF(_xlpm.ProductIngredientUnit1 = "Percent of product", _xlpm.AmountApplied * _xlpm.ProductIngredientPercent3, _xlpm.AmountApplied * (_xlpm.ProductIngredientPercent3 * 10 ^ -3))), '5.4.1.1-4 Atmos deposition'!Fertiliser_InputFunctions.Fertiliser_SumProductApplied(_xlpm.ChemicalCompound, _xlpm.ProductIngredient1, _xlpm.calculatedAmount1) + IFERROR('5.4.1.1-4 Atmos deposition'!Fertiliser_InputFunctions.Fertiliser_SumProductApplied(_xlpm.ChemicalCompound, _xlpm.ProductIngredient2, _xlpm.calculatedAmount2), 0) + IFERROR('5.4.1.1-4 Atmos deposition'!Fertiliser_InputFunctions.Fertiliser_SumProductApplied(_xlpm.ChemicalCompound, _xlpm.ProductIngredient3, _xlpm.calculatedAmount3), 0)))</definedName>
    <definedName name="Fertiliser_InputFunctions.Fertiliser_TotalActiveIngredientAppliedAllIngredients" localSheetId="30">_xlfn.LAMBDA(_xlpm.ChemicalCompound,_xlpm.AmountApplied,_xlpm.ProductIngredient1,_xlpm.ProductIngredientUnit1,_xlpm.ProductIngredientPercent1,_xlop.ProductIngredient2,_xlop.ProductIngredientUnit2,_xlop.ProductIngredientPercent2,_xlop.ProductIngredient3,_xlop.ProductIngredientUnit3,_xlop.ProductIngredientPercent3, _xlfn.LET(_xlpm.calculatedAmount1, (IF(_xlpm.ProductIngredientUnit1 = "Percent of product", _xlpm.AmountApplied * _xlpm.ProductIngredientPercent1, _xlpm.AmountApplied * (_xlpm.ProductIngredientPercent1 * 10 ^ -3))), _xlpm.calculatedAmount2, (IF(_xlpm.ProductIngredientUnit1 = "Percent of product", _xlpm.AmountApplied * _xlpm.ProductIngredientPercent2, _xlpm.AmountApplied * (_xlpm.ProductIngredientPercent2 * 10 ^ -3))), _xlpm.calculatedAmount3, (IF(_xlpm.ProductIngredientUnit1 = "Percent of product", _xlpm.AmountApplied * _xlpm.ProductIngredientPercent3, _xlpm.AmountApplied * (_xlpm.ProductIngredientPercent3 * 10 ^ -3))), '5.5.1.1-2 Leaching and runoff'!Fertiliser_InputFunctions.Fertiliser_SumProductApplied(_xlpm.ChemicalCompound, _xlpm.ProductIngredient1, _xlpm.calculatedAmount1) + IFERROR('5.5.1.1-2 Leaching and runoff'!Fertiliser_InputFunctions.Fertiliser_SumProductApplied(_xlpm.ChemicalCompound, _xlpm.ProductIngredient2, _xlpm.calculatedAmount2), 0) + IFERROR('5.5.1.1-2 Leaching and runoff'!Fertiliser_InputFunctions.Fertiliser_SumProductApplied(_xlpm.ChemicalCompound, _xlpm.ProductIngredient3, _xlpm.calculatedAmount3), 0)))</definedName>
    <definedName name="Fertiliser_InputFunctions.Fertiliser_TotalActiveIngredientAppliedAllIngredients" localSheetId="31">_xlfn.LAMBDA(_xlpm.ChemicalCompound,_xlpm.AmountApplied,_xlpm.ProductIngredient1,_xlpm.ProductIngredientUnit1,_xlpm.ProductIngredientPercent1,_xlop.ProductIngredient2,_xlop.ProductIngredientUnit2,_xlop.ProductIngredientPercent2,_xlop.ProductIngredient3,_xlop.ProductIngredientUnit3,_xlop.ProductIngredientPercent3, _xlfn.LET(_xlpm.calculatedAmount1, (IF(_xlpm.ProductIngredientUnit1 = "Percent of product", _xlpm.AmountApplied * _xlpm.ProductIngredientPercent1, _xlpm.AmountApplied * (_xlpm.ProductIngredientPercent1 * 10 ^ -3))), _xlpm.calculatedAmount2, (IF(_xlpm.ProductIngredientUnit1 = "Percent of product", _xlpm.AmountApplied * _xlpm.ProductIngredientPercent2, _xlpm.AmountApplied * (_xlpm.ProductIngredientPercent2 * 10 ^ -3))), _xlpm.calculatedAmount3, (IF(_xlpm.ProductIngredientUnit1 = "Percent of product", _xlpm.AmountApplied * _xlpm.ProductIngredientPercent3, _xlpm.AmountApplied * (_xlpm.ProductIngredientPercent3 * 10 ^ -3))), '6.2.1.1-2 Pasture residue N2O'!Fertiliser_InputFunctions.Fertiliser_SumProductApplied(_xlpm.ChemicalCompound, _xlpm.ProductIngredient1, _xlpm.calculatedAmount1) + IFERROR('6.2.1.1-2 Pasture residue N2O'!Fertiliser_InputFunctions.Fertiliser_SumProductApplied(_xlpm.ChemicalCompound, _xlpm.ProductIngredient2, _xlpm.calculatedAmount2), 0) + IFERROR('6.2.1.1-2 Pasture residue N2O'!Fertiliser_InputFunctions.Fertiliser_SumProductApplied(_xlpm.ChemicalCompound, _xlpm.ProductIngredient3, _xlpm.calculatedAmount3), 0)))</definedName>
    <definedName name="Fertiliser_InputFunctions.Fertiliser_TotalActiveIngredientAppliedAllIngredients" localSheetId="32">_xlfn.LAMBDA(_xlpm.ChemicalCompound,_xlpm.AmountApplied,_xlpm.ProductIngredient1,_xlpm.ProductIngredientUnit1,_xlpm.ProductIngredientPercent1,_xlop.ProductIngredient2,_xlop.ProductIngredientUnit2,_xlop.ProductIngredientPercent2,_xlop.ProductIngredient3,_xlop.ProductIngredientUnit3,_xlop.ProductIngredientPercent3, _xlfn.LET(_xlpm.calculatedAmount1, (IF(_xlpm.ProductIngredientUnit1 = "Percent of product", _xlpm.AmountApplied * _xlpm.ProductIngredientPercent1, _xlpm.AmountApplied * (_xlpm.ProductIngredientPercent1 * 10 ^ -3))), _xlpm.calculatedAmount2, (IF(_xlpm.ProductIngredientUnit1 = "Percent of product", _xlpm.AmountApplied * _xlpm.ProductIngredientPercent2, _xlpm.AmountApplied * (_xlpm.ProductIngredientPercent2 * 10 ^ -3))), _xlpm.calculatedAmount3, (IF(_xlpm.ProductIngredientUnit1 = "Percent of product", _xlpm.AmountApplied * _xlpm.ProductIngredientPercent3, _xlpm.AmountApplied * (_xlpm.ProductIngredientPercent3 * 10 ^ -3))), '6.3.1.1-2 Leach runoff pasture'!Fertiliser_InputFunctions.Fertiliser_SumProductApplied(_xlpm.ChemicalCompound, _xlpm.ProductIngredient1, _xlpm.calculatedAmount1) + IFERROR('6.3.1.1-2 Leach runoff pasture'!Fertiliser_InputFunctions.Fertiliser_SumProductApplied(_xlpm.ChemicalCompound, _xlpm.ProductIngredient2, _xlpm.calculatedAmount2), 0) + IFERROR('6.3.1.1-2 Leach runoff pasture'!Fertiliser_InputFunctions.Fertiliser_SumProductApplied(_xlpm.ChemicalCompound, _xlpm.ProductIngredient3, _xlpm.calculatedAmount3), 0)))</definedName>
    <definedName name="Fertiliser_InputFunctions.Fertiliser_TotalActiveIngredientAppliedAllIngredients" localSheetId="48">_xlfn.LAMBDA(_xlpm.ChemicalCompound,_xlpm.AmountApplied,_xlpm.ProductIngredient1,_xlpm.ProductIngredientUnit1,_xlpm.ProductIngredientPercent1,_xlop.ProductIngredient2,_xlop.ProductIngredientUnit2,_xlop.ProductIngredientPercent2,_xlop.ProductIngredient3,_xlop.ProductIngredientUnit3,_xlop.ProductIngredientPercent3, _xlfn.LET(_xlpm.calculatedAmount1, (IF(_xlpm.ProductIngredientUnit1 = "Percent of product", _xlpm.AmountApplied * _xlpm.ProductIngredientPercent1, _xlpm.AmountApplied * (_xlpm.ProductIngredientPercent1 * 10 ^ -3))), _xlpm.calculatedAmount2, (IF(_xlpm.ProductIngredientUnit1 = "Percent of product", _xlpm.AmountApplied * _xlpm.ProductIngredientPercent2, _xlpm.AmountApplied * (_xlpm.ProductIngredientPercent2 * 10 ^ -3))), _xlpm.calculatedAmount3, (IF(_xlpm.ProductIngredientUnit1 = "Percent of product", _xlpm.AmountApplied * _xlpm.ProductIngredientPercent3, _xlpm.AmountApplied * (_xlpm.ProductIngredientPercent3 * 10 ^ -3))), [0]!Fertiliser_InputFunctions.Fertiliser_SumProductApplied(_xlpm.ChemicalCompound, _xlpm.ProductIngredient1, _xlpm.calculatedAmount1) + IFERROR([0]!Fertiliser_InputFunctions.Fertiliser_SumProductApplied(_xlpm.ChemicalCompound, _xlpm.ProductIngredient2, _xlpm.calculatedAmount2), 0) + IFERROR([0]!Fertiliser_InputFunctions.Fertiliser_SumProductApplied(_xlpm.ChemicalCompound, _xlpm.ProductIngredient3, _xlpm.calculatedAmount3), 0)))</definedName>
    <definedName name="Fertiliser_InputFunctions.Fertiliser_TotalActiveIngredientAppliedAllIngredients" localSheetId="38">_xlfn.LAMBDA(_xlpm.ChemicalCompound,_xlpm.AmountApplied,_xlpm.ProductIngredient1,_xlpm.ProductIngredientUnit1,_xlpm.ProductIngredientPercent1,_xlop.ProductIngredient2,_xlop.ProductIngredientUnit2,_xlop.ProductIngredientPercent2,_xlop.ProductIngredient3,_xlop.ProductIngredientUnit3,_xlop.ProductIngredientPercent3, _xlfn.LET(_xlpm.calculatedAmount1, (IF(_xlpm.ProductIngredientUnit1 = "Percent of product", _xlpm.AmountApplied * _xlpm.ProductIngredientPercent1, _xlpm.AmountApplied * (_xlpm.ProductIngredientPercent1 * 10 ^ -3))), _xlpm.calculatedAmount2, (IF(_xlpm.ProductIngredientUnit1 = "Percent of product", _xlpm.AmountApplied * _xlpm.ProductIngredientPercent2, _xlpm.AmountApplied * (_xlpm.ProductIngredientPercent2 * 10 ^ -3))), _xlpm.calculatedAmount3, (IF(_xlpm.ProductIngredientUnit1 = "Percent of product", _xlpm.AmountApplied * _xlpm.ProductIngredientPercent3, _xlpm.AmountApplied * (_xlpm.ProductIngredientPercent3 * 10 ^ -3))), 'Calcs - Manure sent off-site'!Fertiliser_InputFunctions.Fertiliser_SumProductApplied(_xlpm.ChemicalCompound, _xlpm.ProductIngredient1, _xlpm.calculatedAmount1) + IFERROR('Calcs - Manure sent off-site'!Fertiliser_InputFunctions.Fertiliser_SumProductApplied(_xlpm.ChemicalCompound, _xlpm.ProductIngredient2, _xlpm.calculatedAmount2), 0) + IFERROR('Calcs - Manure sent off-site'!Fertiliser_InputFunctions.Fertiliser_SumProductApplied(_xlpm.ChemicalCompound, _xlpm.ProductIngredient3, _xlpm.calculatedAmount3), 0)))</definedName>
    <definedName name="Fertiliser_InputFunctions.Fertiliser_TotalActiveIngredientAppliedAllIngredients" localSheetId="40">_xlfn.LAMBDA(_xlpm.ChemicalCompound,_xlpm.AmountApplied,_xlpm.ProductIngredient1,_xlpm.ProductIngredientUnit1,_xlpm.ProductIngredientPercent1,_xlop.ProductIngredient2,_xlop.ProductIngredientUnit2,_xlop.ProductIngredientPercent2,_xlop.ProductIngredient3,_xlop.ProductIngredientUnit3,_xlop.ProductIngredientPercent3, _xlfn.LET(_xlpm.calculatedAmount1, (IF(_xlpm.ProductIngredientUnit1 = "Percent of product", _xlpm.AmountApplied * _xlpm.ProductIngredientPercent1, _xlpm.AmountApplied * (_xlpm.ProductIngredientPercent1 * 10 ^ -3))), _xlpm.calculatedAmount2, (IF(_xlpm.ProductIngredientUnit1 = "Percent of product", _xlpm.AmountApplied * _xlpm.ProductIngredientPercent2, _xlpm.AmountApplied * (_xlpm.ProductIngredientPercent2 * 10 ^ -3))), _xlpm.calculatedAmount3, (IF(_xlpm.ProductIngredientUnit1 = "Percent of product", _xlpm.AmountApplied * _xlpm.ProductIngredientPercent3, _xlpm.AmountApplied * (_xlpm.ProductIngredientPercent3 * 10 ^ -3))), 'Constants - Ag Residue'!Fertiliser_InputFunctions.Fertiliser_SumProductApplied(_xlpm.ChemicalCompound, _xlpm.ProductIngredient1, _xlpm.calculatedAmount1) + IFERROR('Constants - Ag Residue'!Fertiliser_InputFunctions.Fertiliser_SumProductApplied(_xlpm.ChemicalCompound, _xlpm.ProductIngredient2, _xlpm.calculatedAmount2), 0) + IFERROR('Constants - Ag Residue'!Fertiliser_InputFunctions.Fertiliser_SumProductApplied(_xlpm.ChemicalCompound, _xlpm.ProductIngredient3, _xlpm.calculatedAmount3), 0)))</definedName>
    <definedName name="Fertiliser_InputFunctions.Fertiliser_TotalActiveIngredientAppliedAllIngredients" localSheetId="41">_xlfn.LAMBDA(_xlpm.ChemicalCompound,_xlpm.AmountApplied,_xlpm.ProductIngredient1,_xlpm.ProductIngredientUnit1,_xlpm.ProductIngredientPercent1,_xlop.ProductIngredient2,_xlop.ProductIngredientUnit2,_xlop.ProductIngredientPercent2,_xlop.ProductIngredient3,_xlop.ProductIngredientUnit3,_xlop.ProductIngredientPercent3, _xlfn.LET(_xlpm.calculatedAmount1, (IF(_xlpm.ProductIngredientUnit1 = "Percent of product", _xlpm.AmountApplied * _xlpm.ProductIngredientPercent1, _xlpm.AmountApplied * (_xlpm.ProductIngredientPercent1 * 10 ^ -3))), _xlpm.calculatedAmount2, (IF(_xlpm.ProductIngredientUnit1 = "Percent of product", _xlpm.AmountApplied * _xlpm.ProductIngredientPercent2, _xlpm.AmountApplied * (_xlpm.ProductIngredientPercent2 * 10 ^ -3))), _xlpm.calculatedAmount3, (IF(_xlpm.ProductIngredientUnit1 = "Percent of product", _xlpm.AmountApplied * _xlpm.ProductIngredientPercent3, _xlpm.AmountApplied * (_xlpm.ProductIngredientPercent3 * 10 ^ -3))), [0]!Fertiliser_InputFunctions.Fertiliser_SumProductApplied(_xlpm.ChemicalCompound, _xlpm.ProductIngredient1, _xlpm.calculatedAmount1) + IFERROR([0]!Fertiliser_InputFunctions.Fertiliser_SumProductApplied(_xlpm.ChemicalCompound, _xlpm.ProductIngredient2, _xlpm.calculatedAmount2), 0) + IFERROR([0]!Fertiliser_InputFunctions.Fertiliser_SumProductApplied(_xlpm.ChemicalCompound, _xlpm.ProductIngredient3, _xlpm.calculatedAmount3), 0)))</definedName>
    <definedName name="Fertiliser_InputFunctions.Fertiliser_TotalActiveIngredientAppliedAllIngredients" localSheetId="43">_xlfn.LAMBDA(_xlpm.ChemicalCompound,_xlpm.AmountApplied,_xlpm.ProductIngredient1,_xlpm.ProductIngredientUnit1,_xlpm.ProductIngredientPercent1,_xlop.ProductIngredient2,_xlop.ProductIngredientUnit2,_xlop.ProductIngredientPercent2,_xlop.ProductIngredient3,_xlop.ProductIngredientUnit3,_xlop.ProductIngredientPercent3, _xlfn.LET(_xlpm.calculatedAmount1, (IF(_xlpm.ProductIngredientUnit1 = "Percent of product", _xlpm.AmountApplied * _xlpm.ProductIngredientPercent1, _xlpm.AmountApplied * (_xlpm.ProductIngredientPercent1 * 10 ^ -3))), _xlpm.calculatedAmount2, (IF(_xlpm.ProductIngredientUnit1 = "Percent of product", _xlpm.AmountApplied * _xlpm.ProductIngredientPercent2, _xlpm.AmountApplied * (_xlpm.ProductIngredientPercent2 * 10 ^ -3))), _xlpm.calculatedAmount3, (IF(_xlpm.ProductIngredientUnit1 = "Percent of product", _xlpm.AmountApplied * _xlpm.ProductIngredientPercent3, _xlpm.AmountApplied * (_xlpm.ProductIngredientPercent3 * 10 ^ -3))), 'Constants - Fertiliser'!Fertiliser_InputFunctions.Fertiliser_SumProductApplied(_xlpm.ChemicalCompound, _xlpm.ProductIngredient1, _xlpm.calculatedAmount1) + IFERROR('Constants - Fertiliser'!Fertiliser_InputFunctions.Fertiliser_SumProductApplied(_xlpm.ChemicalCompound, _xlpm.ProductIngredient2, _xlpm.calculatedAmount2), 0) + IFERROR('Constants - Fertiliser'!Fertiliser_InputFunctions.Fertiliser_SumProductApplied(_xlpm.ChemicalCompound, _xlpm.ProductIngredient3, _xlpm.calculatedAmount3), 0)))</definedName>
    <definedName name="Fertiliser_InputFunctions.Fertiliser_TotalActiveIngredientAppliedAllIngredients" localSheetId="39">_xlfn.LAMBDA(_xlpm.ChemicalCompound,_xlpm.AmountApplied,_xlpm.ProductIngredient1,_xlpm.ProductIngredientUnit1,_xlpm.ProductIngredientPercent1,_xlop.ProductIngredient2,_xlop.ProductIngredientUnit2,_xlop.ProductIngredientPercent2,_xlop.ProductIngredient3,_xlop.ProductIngredientUnit3,_xlop.ProductIngredientPercent3, _xlfn.LET(_xlpm.calculatedAmount1, (IF(_xlpm.ProductIngredientUnit1 = "Percent of product", _xlpm.AmountApplied * _xlpm.ProductIngredientPercent1, _xlpm.AmountApplied * (_xlpm.ProductIngredientPercent1 * 10 ^ -3))), _xlpm.calculatedAmount2, (IF(_xlpm.ProductIngredientUnit1 = "Percent of product", _xlpm.AmountApplied * _xlpm.ProductIngredientPercent2, _xlpm.AmountApplied * (_xlpm.ProductIngredientPercent2 * 10 ^ -3))), _xlpm.calculatedAmount3, (IF(_xlpm.ProductIngredientUnit1 = "Percent of product", _xlpm.AmountApplied * _xlpm.ProductIngredientPercent3, _xlpm.AmountApplied * (_xlpm.ProductIngredientPercent3 * 10 ^ -3))), [0]!Fertiliser_InputFunctions.Fertiliser_SumProductApplied(_xlpm.ChemicalCompound, _xlpm.ProductIngredient1, _xlpm.calculatedAmount1) + IFERROR([0]!Fertiliser_InputFunctions.Fertiliser_SumProductApplied(_xlpm.ChemicalCompound, _xlpm.ProductIngredient2, _xlpm.calculatedAmount2), 0) + IFERROR([0]!Fertiliser_InputFunctions.Fertiliser_SumProductApplied(_xlpm.ChemicalCompound, _xlpm.ProductIngredient3, _xlpm.calculatedAmount3), 0)))</definedName>
    <definedName name="Fertiliser_InputFunctions.Fertiliser_TotalActiveIngredientAppliedAllIngredients" localSheetId="45">_xlfn.LAMBDA(_xlpm.ChemicalCompound,_xlpm.AmountApplied,_xlpm.ProductIngredient1,_xlpm.ProductIngredientUnit1,_xlpm.ProductIngredientPercent1,_xlop.ProductIngredient2,_xlop.ProductIngredientUnit2,_xlop.ProductIngredientPercent2,_xlop.ProductIngredient3,_xlop.ProductIngredientUnit3,_xlop.ProductIngredientPercent3, _xlfn.LET(_xlpm.calculatedAmount1, (IF(_xlpm.ProductIngredientUnit1 = "Percent of product", _xlpm.AmountApplied * _xlpm.ProductIngredientPercent1, _xlpm.AmountApplied * (_xlpm.ProductIngredientPercent1 * 10 ^ -3))), _xlpm.calculatedAmount2, (IF(_xlpm.ProductIngredientUnit1 = "Percent of product", _xlpm.AmountApplied * _xlpm.ProductIngredientPercent2, _xlpm.AmountApplied * (_xlpm.ProductIngredientPercent2 * 10 ^ -3))), _xlpm.calculatedAmount3, (IF(_xlpm.ProductIngredientUnit1 = "Percent of product", _xlpm.AmountApplied * _xlpm.ProductIngredientPercent3, _xlpm.AmountApplied * (_xlpm.ProductIngredientPercent3 * 10 ^ -3))), 'Constants - Scope 3'!Fertiliser_InputFunctions.Fertiliser_SumProductApplied(_xlpm.ChemicalCompound, _xlpm.ProductIngredient1, _xlpm.calculatedAmount1) + IFERROR('Constants - Scope 3'!Fertiliser_InputFunctions.Fertiliser_SumProductApplied(_xlpm.ChemicalCompound, _xlpm.ProductIngredient2, _xlpm.calculatedAmount2), 0) + IFERROR('Constants - Scope 3'!Fertiliser_InputFunctions.Fertiliser_SumProductApplied(_xlpm.ChemicalCompound, _xlpm.ProductIngredient3, _xlpm.calculatedAmount3), 0)))</definedName>
    <definedName name="Fertiliser_InputFunctions.Fertiliser_TotalActiveIngredientAppliedAllIngredients" localSheetId="7">_xlfn.LAMBDA(_xlpm.ChemicalCompound,_xlpm.AmountApplied,_xlpm.ProductIngredient1,_xlpm.ProductIngredientUnit1,_xlpm.ProductIngredientPercent1,_xlop.ProductIngredient2,_xlop.ProductIngredientUnit2,_xlop.ProductIngredientPercent2,_xlop.ProductIngredient3,_xlop.ProductIngredientUnit3,_xlop.ProductIngredientPercent3, _xlfn.LET(_xlpm.calculatedAmount1, (IF(_xlpm.ProductIngredientUnit1 = "Percent of product", _xlpm.AmountApplied * _xlpm.ProductIngredientPercent1, _xlpm.AmountApplied * (_xlpm.ProductIngredientPercent1 * 10 ^ -3))), _xlpm.calculatedAmount2, (IF(_xlpm.ProductIngredientUnit1 = "Percent of product", _xlpm.AmountApplied * _xlpm.ProductIngredientPercent2, _xlpm.AmountApplied * (_xlpm.ProductIngredientPercent2 * 10 ^ -3))), _xlpm.calculatedAmount3, (IF(_xlpm.ProductIngredientUnit1 = "Percent of product", _xlpm.AmountApplied * _xlpm.ProductIngredientPercent3, _xlpm.AmountApplied * (_xlpm.ProductIngredientPercent3 * 10 ^ -3))), 'Input - Beef cattle purchases'!Fertiliser_InputFunctions.Fertiliser_SumProductApplied(_xlpm.ChemicalCompound, _xlpm.ProductIngredient1, _xlpm.calculatedAmount1) + IFERROR('Input - Beef cattle purchases'!Fertiliser_InputFunctions.Fertiliser_SumProductApplied(_xlpm.ChemicalCompound, _xlpm.ProductIngredient2, _xlpm.calculatedAmount2), 0) + IFERROR('Input - Beef cattle purchases'!Fertiliser_InputFunctions.Fertiliser_SumProductApplied(_xlpm.ChemicalCompound, _xlpm.ProductIngredient3, _xlpm.calculatedAmount3), 0)))</definedName>
    <definedName name="Fertiliser_InputFunctions.Fertiliser_TotalActiveIngredientAppliedAllIngredients" localSheetId="13">_xlfn.LAMBDA(_xlpm.ChemicalCompound,_xlpm.AmountApplied,_xlpm.ProductIngredient1,_xlpm.ProductIngredientUnit1,_xlpm.ProductIngredientPercent1,_xlop.ProductIngredient2,_xlop.ProductIngredientUnit2,_xlop.ProductIngredientPercent2,_xlop.ProductIngredient3,_xlop.ProductIngredientUnit3,_xlop.ProductIngredientPercent3, _xlfn.LET(_xlpm.calculatedAmount1, (IF(_xlpm.ProductIngredientUnit1 = "Percent of product", _xlpm.AmountApplied * _xlpm.ProductIngredientPercent1, _xlpm.AmountApplied * (_xlpm.ProductIngredientPercent1 * 10 ^ -3))), _xlpm.calculatedAmount2, (IF(_xlpm.ProductIngredientUnit1 = "Percent of product", _xlpm.AmountApplied * _xlpm.ProductIngredientPercent2, _xlpm.AmountApplied * (_xlpm.ProductIngredientPercent2 * 10 ^ -3))), _xlpm.calculatedAmount3, (IF(_xlpm.ProductIngredientUnit1 = "Percent of product", _xlpm.AmountApplied * _xlpm.ProductIngredientPercent3, _xlpm.AmountApplied * (_xlpm.ProductIngredientPercent3 * 10 ^ -3))), 'Input - Common farm inputs'!Fertiliser_InputFunctions.Fertiliser_SumProductApplied(_xlpm.ChemicalCompound, _xlpm.ProductIngredient1, _xlpm.calculatedAmount1) + IFERROR('Input - Common farm inputs'!Fertiliser_InputFunctions.Fertiliser_SumProductApplied(_xlpm.ChemicalCompound, _xlpm.ProductIngredient2, _xlpm.calculatedAmount2), 0) + IFERROR('Input - Common farm inputs'!Fertiliser_InputFunctions.Fertiliser_SumProductApplied(_xlpm.ChemicalCompound, _xlpm.ProductIngredient3, _xlpm.calculatedAmount3), 0)))</definedName>
    <definedName name="Fertiliser_InputFunctions.Fertiliser_TotalActiveIngredientAppliedAllIngredients" localSheetId="14">_xlfn.LAMBDA(_xlpm.ChemicalCompound,_xlpm.AmountApplied,_xlpm.ProductIngredient1,_xlpm.ProductIngredientUnit1,_xlpm.ProductIngredientPercent1,_xlop.ProductIngredient2,_xlop.ProductIngredientUnit2,_xlop.ProductIngredientPercent2,_xlop.ProductIngredient3,_xlop.ProductIngredientUnit3,_xlop.ProductIngredientPercent3, _xlfn.LET(_xlpm.calculatedAmount1, (IF(_xlpm.ProductIngredientUnit1 = "Percent of product", _xlpm.AmountApplied * _xlpm.ProductIngredientPercent1, _xlpm.AmountApplied * (_xlpm.ProductIngredientPercent1 * 10 ^ -3))), _xlpm.calculatedAmount2, (IF(_xlpm.ProductIngredientUnit1 = "Percent of product", _xlpm.AmountApplied * _xlpm.ProductIngredientPercent2, _xlpm.AmountApplied * (_xlpm.ProductIngredientPercent2 * 10 ^ -3))), _xlpm.calculatedAmount3, (IF(_xlpm.ProductIngredientUnit1 = "Percent of product", _xlpm.AmountApplied * _xlpm.ProductIngredientPercent3, _xlpm.AmountApplied * (_xlpm.ProductIngredientPercent3 * 10 ^ -3))), 'Input - Crop pasture farm input'!Fertiliser_InputFunctions.Fertiliser_SumProductApplied(_xlpm.ChemicalCompound, _xlpm.ProductIngredient1, _xlpm.calculatedAmount1) + IFERROR('Input - Crop pasture farm input'!Fertiliser_InputFunctions.Fertiliser_SumProductApplied(_xlpm.ChemicalCompound, _xlpm.ProductIngredient2, _xlpm.calculatedAmount2), 0) + IFERROR('Input - Crop pasture farm input'!Fertiliser_InputFunctions.Fertiliser_SumProductApplied(_xlpm.ChemicalCompound, _xlpm.ProductIngredient3, _xlpm.calculatedAmount3), 0)))</definedName>
    <definedName name="Fertiliser_InputFunctions.Fertiliser_TotalActiveIngredientAppliedAllIngredients" localSheetId="10">_xlfn.LAMBDA(_xlpm.ChemicalCompound,_xlpm.AmountApplied,_xlpm.ProductIngredient1,_xlpm.ProductIngredientUnit1,_xlpm.ProductIngredientPercent1,_xlop.ProductIngredient2,_xlop.ProductIngredientUnit2,_xlop.ProductIngredientPercent2,_xlop.ProductIngredient3,_xlop.ProductIngredientUnit3,_xlop.ProductIngredientPercent3, _xlfn.LET(_xlpm.calculatedAmount1, (IF(_xlpm.ProductIngredientUnit1 = "Percent of product", _xlpm.AmountApplied * _xlpm.ProductIngredientPercent1, _xlpm.AmountApplied * (_xlpm.ProductIngredientPercent1 * 10 ^ -3))), _xlpm.calculatedAmount2, (IF(_xlpm.ProductIngredientUnit1 = "Percent of product", _xlpm.AmountApplied * _xlpm.ProductIngredientPercent2, _xlpm.AmountApplied * (_xlpm.ProductIngredientPercent2 * 10 ^ -3))), _xlpm.calculatedAmount3, (IF(_xlpm.ProductIngredientUnit1 = "Percent of product", _xlpm.AmountApplied * _xlpm.ProductIngredientPercent3, _xlpm.AmountApplied * (_xlpm.ProductIngredientPercent3 * 10 ^ -3))), 'Input - Fertiliser'!Fertiliser_InputFunctions.Fertiliser_SumProductApplied(_xlpm.ChemicalCompound, _xlpm.ProductIngredient1, _xlpm.calculatedAmount1) + IFERROR('Input - Fertiliser'!Fertiliser_InputFunctions.Fertiliser_SumProductApplied(_xlpm.ChemicalCompound, _xlpm.ProductIngredient2, _xlpm.calculatedAmount2), 0) + IFERROR('Input - Fertiliser'!Fertiliser_InputFunctions.Fertiliser_SumProductApplied(_xlpm.ChemicalCompound, _xlpm.ProductIngredient3, _xlpm.calculatedAmount3), 0)))</definedName>
    <definedName name="Fertiliser_InputFunctions.Fertiliser_TotalActiveIngredientAppliedAllIngredients" localSheetId="16">_xlfn.LAMBDA(_xlpm.ChemicalCompound,_xlpm.AmountApplied,_xlpm.ProductIngredient1,_xlpm.ProductIngredientUnit1,_xlpm.ProductIngredientPercent1,_xlop.ProductIngredient2,_xlop.ProductIngredientUnit2,_xlop.ProductIngredientPercent2,_xlop.ProductIngredient3,_xlop.ProductIngredientUnit3,_xlop.ProductIngredientPercent3, _xlfn.LET(_xlpm.calculatedAmount1, (IF(_xlpm.ProductIngredientUnit1 = "Percent of product", _xlpm.AmountApplied * _xlpm.ProductIngredientPercent1, _xlpm.AmountApplied * (_xlpm.ProductIngredientPercent1 * 10 ^ -3))), _xlpm.calculatedAmount2, (IF(_xlpm.ProductIngredientUnit1 = "Percent of product", _xlpm.AmountApplied * _xlpm.ProductIngredientPercent2, _xlpm.AmountApplied * (_xlpm.ProductIngredientPercent2 * 10 ^ -3))), _xlpm.calculatedAmount3, (IF(_xlpm.ProductIngredientUnit1 = "Percent of product", _xlpm.AmountApplied * _xlpm.ProductIngredientPercent3, _xlpm.AmountApplied * (_xlpm.ProductIngredientPercent3 * 10 ^ -3))), 'Input - Freight'!Fertiliser_InputFunctions.Fertiliser_SumProductApplied(_xlpm.ChemicalCompound, _xlpm.ProductIngredient1, _xlpm.calculatedAmount1) + IFERROR('Input - Freight'!Fertiliser_InputFunctions.Fertiliser_SumProductApplied(_xlpm.ChemicalCompound, _xlpm.ProductIngredient2, _xlpm.calculatedAmount2), 0) + IFERROR('Input - Freight'!Fertiliser_InputFunctions.Fertiliser_SumProductApplied(_xlpm.ChemicalCompound, _xlpm.ProductIngredient3, _xlpm.calculatedAmount3), 0)))</definedName>
    <definedName name="Fertiliser_InputFunctions.Fertiliser_TotalActiveIngredientAppliedAllIngredients" localSheetId="15">_xlfn.LAMBDA(_xlpm.ChemicalCompound,_xlpm.AmountApplied,_xlpm.ProductIngredient1,_xlpm.ProductIngredientUnit1,_xlpm.ProductIngredientPercent1,_xlop.ProductIngredient2,_xlop.ProductIngredientUnit2,_xlop.ProductIngredientPercent2,_xlop.ProductIngredient3,_xlop.ProductIngredientUnit3,_xlop.ProductIngredientPercent3, _xlfn.LET(_xlpm.calculatedAmount1, (IF(_xlpm.ProductIngredientUnit1 = "Percent of product", _xlpm.AmountApplied * _xlpm.ProductIngredientPercent1, _xlpm.AmountApplied * (_xlpm.ProductIngredientPercent1 * 10 ^ -3))), _xlpm.calculatedAmount2, (IF(_xlpm.ProductIngredientUnit1 = "Percent of product", _xlpm.AmountApplied * _xlpm.ProductIngredientPercent2, _xlpm.AmountApplied * (_xlpm.ProductIngredientPercent2 * 10 ^ -3))), _xlpm.calculatedAmount3, (IF(_xlpm.ProductIngredientUnit1 = "Percent of product", _xlpm.AmountApplied * _xlpm.ProductIngredientPercent3, _xlpm.AmountApplied * (_xlpm.ProductIngredientPercent3 * 10 ^ -3))), 'Input - Livestock farm Inputs'!Fertiliser_InputFunctions.Fertiliser_SumProductApplied(_xlpm.ChemicalCompound, _xlpm.ProductIngredient1, _xlpm.calculatedAmount1) + IFERROR('Input - Livestock farm Inputs'!Fertiliser_InputFunctions.Fertiliser_SumProductApplied(_xlpm.ChemicalCompound, _xlpm.ProductIngredient2, _xlpm.calculatedAmount2), 0) + IFERROR('Input - Livestock farm Inputs'!Fertiliser_InputFunctions.Fertiliser_SumProductApplied(_xlpm.ChemicalCompound, _xlpm.ProductIngredient3, _xlpm.calculatedAmount3), 0)))</definedName>
    <definedName name="Fertiliser_InputFunctions.Fertiliser_TotalActiveIngredientAppliedAllIngredients" localSheetId="18">_xlfn.LAMBDA(_xlpm.ChemicalCompound,_xlpm.AmountApplied,_xlpm.ProductIngredient1,_xlpm.ProductIngredientUnit1,_xlpm.ProductIngredientPercent1,_xlop.ProductIngredient2,_xlop.ProductIngredientUnit2,_xlop.ProductIngredientPercent2,_xlop.ProductIngredient3,_xlop.ProductIngredientUnit3,_xlop.ProductIngredientPercent3, _xlfn.LET(_xlpm.calculatedAmount1, (IF(_xlpm.ProductIngredientUnit1 = "Percent of product", _xlpm.AmountApplied * _xlpm.ProductIngredientPercent1, _xlpm.AmountApplied * (_xlpm.ProductIngredientPercent1 * 10 ^ -3))), _xlpm.calculatedAmount2, (IF(_xlpm.ProductIngredientUnit1 = "Percent of product", _xlpm.AmountApplied * _xlpm.ProductIngredientPercent2, _xlpm.AmountApplied * (_xlpm.ProductIngredientPercent2 * 10 ^ -3))), _xlpm.calculatedAmount3, (IF(_xlpm.ProductIngredientUnit1 = "Percent of product", _xlpm.AmountApplied * _xlpm.ProductIngredientPercent3, _xlpm.AmountApplied * (_xlpm.ProductIngredientPercent3 * 10 ^ -3))), 'Input - Manure sent off-site'!Fertiliser_InputFunctions.Fertiliser_SumProductApplied(_xlpm.ChemicalCompound, _xlpm.ProductIngredient1, _xlpm.calculatedAmount1) + IFERROR('Input - Manure sent off-site'!Fertiliser_InputFunctions.Fertiliser_SumProductApplied(_xlpm.ChemicalCompound, _xlpm.ProductIngredient2, _xlpm.calculatedAmount2), 0) + IFERROR('Input - Manure sent off-site'!Fertiliser_InputFunctions.Fertiliser_SumProductApplied(_xlpm.ChemicalCompound, _xlpm.ProductIngredient3, _xlpm.calculatedAmount3), 0)))</definedName>
    <definedName name="Fertiliser_InputFunctions.Fertiliser_TotalActiveIngredientAppliedAllIngredients" localSheetId="8">_xlfn.LAMBDA(_xlpm.ChemicalCompound,_xlpm.AmountApplied,_xlpm.ProductIngredient1,_xlpm.ProductIngredientUnit1,_xlpm.ProductIngredientPercent1,_xlop.ProductIngredient2,_xlop.ProductIngredientUnit2,_xlop.ProductIngredientPercent2,_xlop.ProductIngredient3,_xlop.ProductIngredientUnit3,_xlop.ProductIngredientPercent3, _xlfn.LET(_xlpm.calculatedAmount1, (IF(_xlpm.ProductIngredientUnit1 = "Percent of product", _xlpm.AmountApplied * _xlpm.ProductIngredientPercent1, _xlpm.AmountApplied * (_xlpm.ProductIngredientPercent1 * 10 ^ -3))), _xlpm.calculatedAmount2, (IF(_xlpm.ProductIngredientUnit1 = "Percent of product", _xlpm.AmountApplied * _xlpm.ProductIngredientPercent2, _xlpm.AmountApplied * (_xlpm.ProductIngredientPercent2 * 10 ^ -3))), _xlpm.calculatedAmount3, (IF(_xlpm.ProductIngredientUnit1 = "Percent of product", _xlpm.AmountApplied * _xlpm.ProductIngredientPercent3, _xlpm.AmountApplied * (_xlpm.ProductIngredientPercent3 * 10 ^ -3))), 'Input - Pasture'!Fertiliser_InputFunctions.Fertiliser_SumProductApplied(_xlpm.ChemicalCompound, _xlpm.ProductIngredient1, _xlpm.calculatedAmount1) + IFERROR('Input - Pasture'!Fertiliser_InputFunctions.Fertiliser_SumProductApplied(_xlpm.ChemicalCompound, _xlpm.ProductIngredient2, _xlpm.calculatedAmount2), 0) + IFERROR('Input - Pasture'!Fertiliser_InputFunctions.Fertiliser_SumProductApplied(_xlpm.ChemicalCompound, _xlpm.ProductIngredient3, _xlpm.calculatedAmount3), 0)))</definedName>
    <definedName name="Fertiliser_InputFunctions.Fertiliser_TotalActiveIngredientAppliedAllIngredients">_xlfn.LAMBDA(_xlpm.ChemicalCompound,_xlpm.AmountApplied,_xlpm.ProductIngredient1,_xlpm.ProductIngredientUnit1,_xlpm.ProductIngredientPercent1,_xlop.ProductIngredient2,_xlop.ProductIngredientUnit2,_xlop.ProductIngredientPercent2,_xlop.ProductIngredient3,_xlop.ProductIngredientUnit3,_xlop.ProductIngredientPercent3, _xlfn.LET(_xlpm.calculatedAmount1, (IF(_xlpm.ProductIngredientUnit1 = "Percent of product", _xlpm.AmountApplied * _xlpm.ProductIngredientPercent1, _xlpm.AmountApplied * (_xlpm.ProductIngredientPercent1 * 10 ^ -3))), _xlpm.calculatedAmount2, (IF(_xlpm.ProductIngredientUnit1 = "Percent of product", _xlpm.AmountApplied * _xlpm.ProductIngredientPercent2, _xlpm.AmountApplied * (_xlpm.ProductIngredientPercent2 * 10 ^ -3))), _xlpm.calculatedAmount3, (IF(_xlpm.ProductIngredientUnit1 = "Percent of product", _xlpm.AmountApplied * _xlpm.ProductIngredientPercent3, _xlpm.AmountApplied * (_xlpm.ProductIngredientPercent3 * 10 ^ -3))), Fertiliser_InputFunctions.Fertiliser_SumProductApplied(_xlpm.ChemicalCompound, _xlpm.ProductIngredient1, _xlpm.calculatedAmount1) + IFERROR(Fertiliser_InputFunctions.Fertiliser_SumProductApplied(_xlpm.ChemicalCompound, _xlpm.ProductIngredient2, _xlpm.calculatedAmount2), 0) + IFERROR(Fertiliser_InputFunctions.Fertiliser_SumProductApplied(_xlpm.ChemicalCompound, _xlpm.ProductIngredient3, _xlpm.calculatedAmount3), 0)))</definedName>
    <definedName name="Fertiliser_InputFunctions.Fertiliser_TotalChemicalCompoundAppliedAllIngredients" localSheetId="37">_xlfn.LAMBDA(_xlpm.ChemicalCompound,_xlpm.AmountApplied,_xlpm.ProductIngredient1,_xlpm.ProductIngredientPercent1,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'15 Scope 3'!Fertiliser_InputFunctions.Fertiliser_SumProductApplied(_xlpm.ChemicalCompound, _xlpm.ProductIngredient1, _xlpm.calculatedAmount1) + IFERROR('15 Scope 3'!Fertiliser_InputFunctions.Fertiliser_SumProductApplied(_xlpm.ChemicalCompound, _xlpm.ProductIngredient2, _xlpm.calculatedAmount2), 0) + IFERROR('15 Scope 3'!Fertiliser_InputFunctions.Fertiliser_SumProductApplied(_xlpm.ChemicalCompound, _xlpm.ProductIngredient3, _xlpm.calculatedAmount3), 0) + IFERROR('15 Scope 3'!Fertiliser_InputFunctions.Fertiliser_SumProductApplied(_xlpm.ChemicalCompound, _xlpm.ProductIngredient4, _xlpm.calculatedAmount4), 0) + IFERROR('15 Scope 3'!Fertiliser_InputFunctions.Fertiliser_SumProductApplied(_xlpm.ChemicalCompound, _xlpm.ProductIngredient5, _xlpm.calculatedAmount5), 0) + IFERROR('15 Scope 3'!Fertiliser_InputFunctions.Fertiliser_SumProductApplied(_xlpm.ChemicalCompound, _xlpm.ProductIngredient6, _xlpm.calculatedAmount6), 0)))</definedName>
    <definedName name="Fertiliser_InputFunctions.Fertiliser_TotalChemicalCompoundAppliedAllIngredients" localSheetId="21">_xlfn.LAMBDA(_xlpm.ChemicalCompound,_xlpm.AmountApplied,_xlpm.ProductIngredient1,_xlpm.ProductIngredientPercent1,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[0]!Fertiliser_InputFunctions.Fertiliser_SumProductApplied(_xlpm.ChemicalCompound, _xlpm.ProductIngredient1, _xlpm.calculatedAmount1) + IFERROR([0]!Fertiliser_InputFunctions.Fertiliser_SumProductApplied(_xlpm.ChemicalCompound, _xlpm.ProductIngredient2, _xlpm.calculatedAmount2), 0) + IFERROR([0]!Fertiliser_InputFunctions.Fertiliser_SumProductApplied(_xlpm.ChemicalCompound, _xlpm.ProductIngredient3, _xlpm.calculatedAmount3), 0) + IFERROR([0]!Fertiliser_InputFunctions.Fertiliser_SumProductApplied(_xlpm.ChemicalCompound, _xlpm.ProductIngredient4, _xlpm.calculatedAmount4), 0) + IFERROR([0]!Fertiliser_InputFunctions.Fertiliser_SumProductApplied(_xlpm.ChemicalCompound, _xlpm.ProductIngredient5, _xlpm.calculatedAmount5), 0) + IFERROR([0]!Fertiliser_InputFunctions.Fertiliser_SumProductApplied(_xlpm.ChemicalCompound, _xlpm.ProductIngredient6, _xlpm.calculatedAmount6), 0)))</definedName>
    <definedName name="Fertiliser_InputFunctions.Fertiliser_TotalChemicalCompoundAppliedAllIngredients" localSheetId="22">_xlfn.LAMBDA(_xlpm.ChemicalCompound,_xlpm.AmountApplied,_xlpm.ProductIngredient1,_xlpm.ProductIngredientPercent1,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[0]!Fertiliser_InputFunctions.Fertiliser_SumProductApplied(_xlpm.ChemicalCompound, _xlpm.ProductIngredient1, _xlpm.calculatedAmount1) + IFERROR([0]!Fertiliser_InputFunctions.Fertiliser_SumProductApplied(_xlpm.ChemicalCompound, _xlpm.ProductIngredient2, _xlpm.calculatedAmount2), 0) + IFERROR([0]!Fertiliser_InputFunctions.Fertiliser_SumProductApplied(_xlpm.ChemicalCompound, _xlpm.ProductIngredient3, _xlpm.calculatedAmount3), 0) + IFERROR([0]!Fertiliser_InputFunctions.Fertiliser_SumProductApplied(_xlpm.ChemicalCompound, _xlpm.ProductIngredient4, _xlpm.calculatedAmount4), 0) + IFERROR([0]!Fertiliser_InputFunctions.Fertiliser_SumProductApplied(_xlpm.ChemicalCompound, _xlpm.ProductIngredient5, _xlpm.calculatedAmount5), 0) + IFERROR([0]!Fertiliser_InputFunctions.Fertiliser_SumProductApplied(_xlpm.ChemicalCompound, _xlpm.ProductIngredient6, _xlpm.calculatedAmount6), 0)))</definedName>
    <definedName name="Fertiliser_InputFunctions.Fertiliser_TotalChemicalCompoundAppliedAllIngredients" localSheetId="23">_xlfn.LAMBDA(_xlpm.ChemicalCompound,_xlpm.AmountApplied,_xlpm.ProductIngredient1,_xlpm.ProductIngredientPercent1,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[0]!Fertiliser_InputFunctions.Fertiliser_SumProductApplied(_xlpm.ChemicalCompound, _xlpm.ProductIngredient1, _xlpm.calculatedAmount1) + IFERROR([0]!Fertiliser_InputFunctions.Fertiliser_SumProductApplied(_xlpm.ChemicalCompound, _xlpm.ProductIngredient2, _xlpm.calculatedAmount2), 0) + IFERROR([0]!Fertiliser_InputFunctions.Fertiliser_SumProductApplied(_xlpm.ChemicalCompound, _xlpm.ProductIngredient3, _xlpm.calculatedAmount3), 0) + IFERROR([0]!Fertiliser_InputFunctions.Fertiliser_SumProductApplied(_xlpm.ChemicalCompound, _xlpm.ProductIngredient4, _xlpm.calculatedAmount4), 0) + IFERROR([0]!Fertiliser_InputFunctions.Fertiliser_SumProductApplied(_xlpm.ChemicalCompound, _xlpm.ProductIngredient5, _xlpm.calculatedAmount5), 0) + IFERROR([0]!Fertiliser_InputFunctions.Fertiliser_SumProductApplied(_xlpm.ChemicalCompound, _xlpm.ProductIngredient6, _xlpm.calculatedAmount6), 0)))</definedName>
    <definedName name="Fertiliser_InputFunctions.Fertiliser_TotalChemicalCompoundAppliedAllIngredients" localSheetId="24">_xlfn.LAMBDA(_xlpm.ChemicalCompound,_xlpm.AmountApplied,_xlpm.ProductIngredient1,_xlpm.ProductIngredientPercent1,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[0]!Fertiliser_InputFunctions.Fertiliser_SumProductApplied(_xlpm.ChemicalCompound, _xlpm.ProductIngredient1, _xlpm.calculatedAmount1) + IFERROR([0]!Fertiliser_InputFunctions.Fertiliser_SumProductApplied(_xlpm.ChemicalCompound, _xlpm.ProductIngredient2, _xlpm.calculatedAmount2), 0) + IFERROR([0]!Fertiliser_InputFunctions.Fertiliser_SumProductApplied(_xlpm.ChemicalCompound, _xlpm.ProductIngredient3, _xlpm.calculatedAmount3), 0) + IFERROR([0]!Fertiliser_InputFunctions.Fertiliser_SumProductApplied(_xlpm.ChemicalCompound, _xlpm.ProductIngredient4, _xlpm.calculatedAmount4), 0) + IFERROR([0]!Fertiliser_InputFunctions.Fertiliser_SumProductApplied(_xlpm.ChemicalCompound, _xlpm.ProductIngredient5, _xlpm.calculatedAmount5), 0) + IFERROR([0]!Fertiliser_InputFunctions.Fertiliser_SumProductApplied(_xlpm.ChemicalCompound, _xlpm.ProductIngredient6, _xlpm.calculatedAmount6), 0)))</definedName>
    <definedName name="Fertiliser_InputFunctions.Fertiliser_TotalChemicalCompoundAppliedAllIngredients" localSheetId="25">_xlfn.LAMBDA(_xlpm.ChemicalCompound,_xlpm.AmountApplied,_xlpm.ProductIngredient1,_xlpm.ProductIngredientPercent1,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'5.1.1.1-2 Inorganic fert N2O'!Fertiliser_InputFunctions.Fertiliser_SumProductApplied(_xlpm.ChemicalCompound, _xlpm.ProductIngredient1, _xlpm.calculatedAmount1) + IFERROR('5.1.1.1-2 Inorganic fert N2O'!Fertiliser_InputFunctions.Fertiliser_SumProductApplied(_xlpm.ChemicalCompound, _xlpm.ProductIngredient2, _xlpm.calculatedAmount2), 0) + IFERROR('5.1.1.1-2 Inorganic fert N2O'!Fertiliser_InputFunctions.Fertiliser_SumProductApplied(_xlpm.ChemicalCompound, _xlpm.ProductIngredient3, _xlpm.calculatedAmount3), 0) + IFERROR('5.1.1.1-2 Inorganic fert N2O'!Fertiliser_InputFunctions.Fertiliser_SumProductApplied(_xlpm.ChemicalCompound, _xlpm.ProductIngredient4, _xlpm.calculatedAmount4), 0) + IFERROR('5.1.1.1-2 Inorganic fert N2O'!Fertiliser_InputFunctions.Fertiliser_SumProductApplied(_xlpm.ChemicalCompound, _xlpm.ProductIngredient5, _xlpm.calculatedAmount5), 0) + IFERROR('5.1.1.1-2 Inorganic fert N2O'!Fertiliser_InputFunctions.Fertiliser_SumProductApplied(_xlpm.ChemicalCompound, _xlpm.ProductIngredient6, _xlpm.calculatedAmount6), 0)))</definedName>
    <definedName name="Fertiliser_InputFunctions.Fertiliser_TotalChemicalCompoundAppliedAllIngredients" localSheetId="26">_xlfn.LAMBDA(_xlpm.ChemicalCompound,_xlpm.AmountApplied,_xlpm.ProductIngredient1,_xlpm.ProductIngredientPercent1,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'5.1.1.3-4 Inorganic fert CO2'!Fertiliser_InputFunctions.Fertiliser_SumProductApplied(_xlpm.ChemicalCompound, _xlpm.ProductIngredient1, _xlpm.calculatedAmount1) + IFERROR('5.1.1.3-4 Inorganic fert CO2'!Fertiliser_InputFunctions.Fertiliser_SumProductApplied(_xlpm.ChemicalCompound, _xlpm.ProductIngredient2, _xlpm.calculatedAmount2), 0) + IFERROR('5.1.1.3-4 Inorganic fert CO2'!Fertiliser_InputFunctions.Fertiliser_SumProductApplied(_xlpm.ChemicalCompound, _xlpm.ProductIngredient3, _xlpm.calculatedAmount3), 0) + IFERROR('5.1.1.3-4 Inorganic fert CO2'!Fertiliser_InputFunctions.Fertiliser_SumProductApplied(_xlpm.ChemicalCompound, _xlpm.ProductIngredient4, _xlpm.calculatedAmount4), 0) + IFERROR('5.1.1.3-4 Inorganic fert CO2'!Fertiliser_InputFunctions.Fertiliser_SumProductApplied(_xlpm.ChemicalCompound, _xlpm.ProductIngredient5, _xlpm.calculatedAmount5), 0) + IFERROR('5.1.1.3-4 Inorganic fert CO2'!Fertiliser_InputFunctions.Fertiliser_SumProductApplied(_xlpm.ChemicalCompound, _xlpm.ProductIngredient6, _xlpm.calculatedAmount6), 0)))</definedName>
    <definedName name="Fertiliser_InputFunctions.Fertiliser_TotalChemicalCompoundAppliedAllIngredients" localSheetId="27">_xlfn.LAMBDA(_xlpm.ChemicalCompound,_xlpm.AmountApplied,_xlpm.ProductIngredient1,_xlpm.ProductIngredientPercent1,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'5.2.1.1-2 Organic Fert N2O'!Fertiliser_InputFunctions.Fertiliser_SumProductApplied(_xlpm.ChemicalCompound, _xlpm.ProductIngredient1, _xlpm.calculatedAmount1) + IFERROR('5.2.1.1-2 Organic Fert N2O'!Fertiliser_InputFunctions.Fertiliser_SumProductApplied(_xlpm.ChemicalCompound, _xlpm.ProductIngredient2, _xlpm.calculatedAmount2), 0) + IFERROR('5.2.1.1-2 Organic Fert N2O'!Fertiliser_InputFunctions.Fertiliser_SumProductApplied(_xlpm.ChemicalCompound, _xlpm.ProductIngredient3, _xlpm.calculatedAmount3), 0) + IFERROR('5.2.1.1-2 Organic Fert N2O'!Fertiliser_InputFunctions.Fertiliser_SumProductApplied(_xlpm.ChemicalCompound, _xlpm.ProductIngredient4, _xlpm.calculatedAmount4), 0) + IFERROR('5.2.1.1-2 Organic Fert N2O'!Fertiliser_InputFunctions.Fertiliser_SumProductApplied(_xlpm.ChemicalCompound, _xlpm.ProductIngredient5, _xlpm.calculatedAmount5), 0) + IFERROR('5.2.1.1-2 Organic Fert N2O'!Fertiliser_InputFunctions.Fertiliser_SumProductApplied(_xlpm.ChemicalCompound, _xlpm.ProductIngredient6, _xlpm.calculatedAmount6), 0)))</definedName>
    <definedName name="Fertiliser_InputFunctions.Fertiliser_TotalChemicalCompoundAppliedAllIngredients" localSheetId="28">_xlfn.LAMBDA(_xlpm.ChemicalCompound,_xlpm.AmountApplied,_xlpm.ProductIngredient1,_xlpm.ProductIngredientPercent1,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'5.3.1.1-2 Lime CO2'!Fertiliser_InputFunctions.Fertiliser_SumProductApplied(_xlpm.ChemicalCompound, _xlpm.ProductIngredient1, _xlpm.calculatedAmount1) + IFERROR('5.3.1.1-2 Lime CO2'!Fertiliser_InputFunctions.Fertiliser_SumProductApplied(_xlpm.ChemicalCompound, _xlpm.ProductIngredient2, _xlpm.calculatedAmount2), 0) + IFERROR('5.3.1.1-2 Lime CO2'!Fertiliser_InputFunctions.Fertiliser_SumProductApplied(_xlpm.ChemicalCompound, _xlpm.ProductIngredient3, _xlpm.calculatedAmount3), 0) + IFERROR('5.3.1.1-2 Lime CO2'!Fertiliser_InputFunctions.Fertiliser_SumProductApplied(_xlpm.ChemicalCompound, _xlpm.ProductIngredient4, _xlpm.calculatedAmount4), 0) + IFERROR('5.3.1.1-2 Lime CO2'!Fertiliser_InputFunctions.Fertiliser_SumProductApplied(_xlpm.ChemicalCompound, _xlpm.ProductIngredient5, _xlpm.calculatedAmount5), 0) + IFERROR('5.3.1.1-2 Lime CO2'!Fertiliser_InputFunctions.Fertiliser_SumProductApplied(_xlpm.ChemicalCompound, _xlpm.ProductIngredient6, _xlpm.calculatedAmount6), 0)))</definedName>
    <definedName name="Fertiliser_InputFunctions.Fertiliser_TotalChemicalCompoundAppliedAllIngredients" localSheetId="29">_xlfn.LAMBDA(_xlpm.ChemicalCompound,_xlpm.AmountApplied,_xlpm.ProductIngredient1,_xlpm.ProductIngredientPercent1,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'5.4.1.1-4 Atmos deposition'!Fertiliser_InputFunctions.Fertiliser_SumProductApplied(_xlpm.ChemicalCompound, _xlpm.ProductIngredient1, _xlpm.calculatedAmount1) + IFERROR('5.4.1.1-4 Atmos deposition'!Fertiliser_InputFunctions.Fertiliser_SumProductApplied(_xlpm.ChemicalCompound, _xlpm.ProductIngredient2, _xlpm.calculatedAmount2), 0) + IFERROR('5.4.1.1-4 Atmos deposition'!Fertiliser_InputFunctions.Fertiliser_SumProductApplied(_xlpm.ChemicalCompound, _xlpm.ProductIngredient3, _xlpm.calculatedAmount3), 0) + IFERROR('5.4.1.1-4 Atmos deposition'!Fertiliser_InputFunctions.Fertiliser_SumProductApplied(_xlpm.ChemicalCompound, _xlpm.ProductIngredient4, _xlpm.calculatedAmount4), 0) + IFERROR('5.4.1.1-4 Atmos deposition'!Fertiliser_InputFunctions.Fertiliser_SumProductApplied(_xlpm.ChemicalCompound, _xlpm.ProductIngredient5, _xlpm.calculatedAmount5), 0) + IFERROR('5.4.1.1-4 Atmos deposition'!Fertiliser_InputFunctions.Fertiliser_SumProductApplied(_xlpm.ChemicalCompound, _xlpm.ProductIngredient6, _xlpm.calculatedAmount6), 0)))</definedName>
    <definedName name="Fertiliser_InputFunctions.Fertiliser_TotalChemicalCompoundAppliedAllIngredients" localSheetId="30">_xlfn.LAMBDA(_xlpm.ChemicalCompound,_xlpm.AmountApplied,_xlpm.ProductIngredient1,_xlpm.ProductIngredientPercent1,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'5.5.1.1-2 Leaching and runoff'!Fertiliser_InputFunctions.Fertiliser_SumProductApplied(_xlpm.ChemicalCompound, _xlpm.ProductIngredient1, _xlpm.calculatedAmount1) + IFERROR('5.5.1.1-2 Leaching and runoff'!Fertiliser_InputFunctions.Fertiliser_SumProductApplied(_xlpm.ChemicalCompound, _xlpm.ProductIngredient2, _xlpm.calculatedAmount2), 0) + IFERROR('5.5.1.1-2 Leaching and runoff'!Fertiliser_InputFunctions.Fertiliser_SumProductApplied(_xlpm.ChemicalCompound, _xlpm.ProductIngredient3, _xlpm.calculatedAmount3), 0) + IFERROR('5.5.1.1-2 Leaching and runoff'!Fertiliser_InputFunctions.Fertiliser_SumProductApplied(_xlpm.ChemicalCompound, _xlpm.ProductIngredient4, _xlpm.calculatedAmount4), 0) + IFERROR('5.5.1.1-2 Leaching and runoff'!Fertiliser_InputFunctions.Fertiliser_SumProductApplied(_xlpm.ChemicalCompound, _xlpm.ProductIngredient5, _xlpm.calculatedAmount5), 0) + IFERROR('5.5.1.1-2 Leaching and runoff'!Fertiliser_InputFunctions.Fertiliser_SumProductApplied(_xlpm.ChemicalCompound, _xlpm.ProductIngredient6, _xlpm.calculatedAmount6), 0)))</definedName>
    <definedName name="Fertiliser_InputFunctions.Fertiliser_TotalChemicalCompoundAppliedAllIngredients" localSheetId="31">_xlfn.LAMBDA(_xlpm.ChemicalCompound,_xlpm.AmountApplied,_xlpm.ProductIngredient1,_xlpm.ProductIngredientPercent1,_xlop.ProductIngredient2,_xlop.ProductIngredientPercent2,_xlop.ProductIngredient3,_xlop.ProductIngredientPercent3,_xlop.ProductIngredient4,_xlop.ProductIngredientPercent4,_xlop.ProductIngredient5,_xlop.ProductIngredientPercent5,_xlop.ProductIngredient6,_xlop.ProductIngredientPercent6,
  _xlfn.LET(
    _xlpm.calculatedAmount1,
    (
      _xlpm.AmountApplied * _xlpm.ProductIngredientPercent1
    ),
    _xlpm.calculatedAmount2,
    (
      _xlpm.AmountApplied * _xlpm.ProductIngredientPercent2
    ),
    _xlpm.calculatedAmount3,
    (
      _xlpm.AmountApplied * _xlpm.ProductIngredientPercent3
    ),
    _xlpm.calculatedAmount4,
    (
      _xlpm.AmountApplied * _xlpm.ProductIngredientPercent4
    ),
    _xlpm.calculatedAmount5,
    (
      _xlpm.AmountApplied * _xlpm.ProductIngredientPercent5
    ),
    _xlpm.calculatedAmount6,
    (
      _xlpm.AmountApplied * _xlpm.ProductIngredientPercent6
    ),
    '6.2.1.1-2 Pasture residue N2O'!Fertiliser_InputFunctions.Fertiliser_SumProductApplied(
      _xlpm.ChemicalCompound,
      _xlpm.ProductIngredient1,
      _xlpm.calculatedAmount1
    ) + IFERROR(
      '6.2.1.1-2 Pasture residue N2O'!Fertiliser_InputFunctions.Fertiliser_SumProductApplied(
        _xlpm.ChemicalCompound,
        _xlpm.ProductIngredient2,
        _xlpm.calculatedAmount2
      ),
      0
    ) + IFERROR(
      '6.2.1.1-2 Pasture residue N2O'!Fertiliser_InputFunctions.Fertiliser_SumProductApplied(
        _xlpm.ChemicalCompound,
        _xlpm.ProductIngredient3,
        _xlpm.calculatedAmount3
      ),
      0
    ) + IFERROR(
      '6.2.1.1-2 Pasture residue N2O'!Fertiliser_InputFunctions.Fertiliser_SumProductApplied(
        _xlpm.ChemicalCompound,
        _xlpm.ProductIngredient4,
        _xlpm.calculatedAmount4
      ),
      0
    ) + IFERROR(
      '6.2.1.1-2 Pasture residue N2O'!Fertiliser_InputFunctions.Fertiliser_SumProductApplied(
        _xlpm.ChemicalCompound,
        _xlpm.ProductIngredient5,
        _xlpm.calculatedAmount5
      ),
      0
    ) + IFERROR(
      '6.2.1.1-2 Pasture residue N2O'!Fertiliser_InputFunctions.Fertiliser_SumProductApplied(
        _xlpm.ChemicalCompound,
        _xlpm.ProductIngredient6,
        _xlpm.calculatedAmount6
      ),
      0
    )
  )
)</definedName>
    <definedName name="Fertiliser_InputFunctions.Fertiliser_TotalChemicalCompoundAppliedAllIngredients" localSheetId="32">_xlfn.LAMBDA(_xlpm.ChemicalCompound,_xlpm.AmountApplied,_xlpm.ProductIngredient1,_xlpm.ProductIngredientPercent1,_xlop.ProductIngredient2,_xlop.ProductIngredientPercent2,_xlop.ProductIngredient3,_xlop.ProductIngredientPercent3,_xlop.ProductIngredient4,_xlop.ProductIngredientPercent4,_xlop.ProductIngredient5,_xlop.ProductIngredientPercent5,_xlop.ProductIngredient6,_xlop.ProductIngredientPercent6,
  _xlfn.LET(
    _xlpm.calculatedAmount1,
    (
      _xlpm.AmountApplied * _xlpm.ProductIngredientPercent1
    ),
    _xlpm.calculatedAmount2,
    (
      _xlpm.AmountApplied * _xlpm.ProductIngredientPercent2
    ),
    _xlpm.calculatedAmount3,
    (
      _xlpm.AmountApplied * _xlpm.ProductIngredientPercent3
    ),
    _xlpm.calculatedAmount4,
    (
      _xlpm.AmountApplied * _xlpm.ProductIngredientPercent4
    ),
    _xlpm.calculatedAmount5,
    (
      _xlpm.AmountApplied * _xlpm.ProductIngredientPercent5
    ),
    _xlpm.calculatedAmount6,
    (
      _xlpm.AmountApplied * _xlpm.ProductIngredientPercent6
    ),
    '6.3.1.1-2 Leach runoff pasture'!Fertiliser_InputFunctions.Fertiliser_SumProductApplied(
      _xlpm.ChemicalCompound,
      _xlpm.ProductIngredient1,
      _xlpm.calculatedAmount1
    ) + IFERROR(
      '6.3.1.1-2 Leach runoff pasture'!Fertiliser_InputFunctions.Fertiliser_SumProductApplied(
        _xlpm.ChemicalCompound,
        _xlpm.ProductIngredient2,
        _xlpm.calculatedAmount2
      ),
      0
    ) + IFERROR(
      '6.3.1.1-2 Leach runoff pasture'!Fertiliser_InputFunctions.Fertiliser_SumProductApplied(
        _xlpm.ChemicalCompound,
        _xlpm.ProductIngredient3,
        _xlpm.calculatedAmount3
      ),
      0
    ) + IFERROR(
      '6.3.1.1-2 Leach runoff pasture'!Fertiliser_InputFunctions.Fertiliser_SumProductApplied(
        _xlpm.ChemicalCompound,
        _xlpm.ProductIngredient4,
        _xlpm.calculatedAmount4
      ),
      0
    ) + IFERROR(
      '6.3.1.1-2 Leach runoff pasture'!Fertiliser_InputFunctions.Fertiliser_SumProductApplied(
        _xlpm.ChemicalCompound,
        _xlpm.ProductIngredient5,
        _xlpm.calculatedAmount5
      ),
      0
    ) + IFERROR(
      '6.3.1.1-2 Leach runoff pasture'!Fertiliser_InputFunctions.Fertiliser_SumProductApplied(
        _xlpm.ChemicalCompound,
        _xlpm.ProductIngredient6,
        _xlpm.calculatedAmount6
      ),
      0
    )
  )
)</definedName>
    <definedName name="Fertiliser_InputFunctions.Fertiliser_TotalChemicalCompoundAppliedAllIngredients" localSheetId="48">_xlfn.LAMBDA(_xlpm.ChemicalCompound,_xlpm.AmountApplied,_xlpm.ProductIngredient1,_xlpm.ProductIngredientPercent1,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[0]!Fertiliser_InputFunctions.Fertiliser_SumProductApplied(_xlpm.ChemicalCompound, _xlpm.ProductIngredient1, _xlpm.calculatedAmount1) + IFERROR([0]!Fertiliser_InputFunctions.Fertiliser_SumProductApplied(_xlpm.ChemicalCompound, _xlpm.ProductIngredient2, _xlpm.calculatedAmount2), 0) + IFERROR([0]!Fertiliser_InputFunctions.Fertiliser_SumProductApplied(_xlpm.ChemicalCompound, _xlpm.ProductIngredient3, _xlpm.calculatedAmount3), 0) + IFERROR([0]!Fertiliser_InputFunctions.Fertiliser_SumProductApplied(_xlpm.ChemicalCompound, _xlpm.ProductIngredient4, _xlpm.calculatedAmount4), 0) + IFERROR([0]!Fertiliser_InputFunctions.Fertiliser_SumProductApplied(_xlpm.ChemicalCompound, _xlpm.ProductIngredient5, _xlpm.calculatedAmount5), 0) + IFERROR([0]!Fertiliser_InputFunctions.Fertiliser_SumProductApplied(_xlpm.ChemicalCompound, _xlpm.ProductIngredient6, _xlpm.calculatedAmount6), 0)))</definedName>
    <definedName name="Fertiliser_InputFunctions.Fertiliser_TotalChemicalCompoundAppliedAllIngredients" localSheetId="38">_xlfn.LAMBDA(_xlpm.ChemicalCompound,_xlpm.AmountApplied,_xlpm.ProductIngredient1,_xlpm.ProductIngredientPercent1,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'Calcs - Manure sent off-site'!Fertiliser_InputFunctions.Fertiliser_SumProductApplied(_xlpm.ChemicalCompound, _xlpm.ProductIngredient1, _xlpm.calculatedAmount1) + IFERROR('Calcs - Manure sent off-site'!Fertiliser_InputFunctions.Fertiliser_SumProductApplied(_xlpm.ChemicalCompound, _xlpm.ProductIngredient2, _xlpm.calculatedAmount2), 0) + IFERROR('Calcs - Manure sent off-site'!Fertiliser_InputFunctions.Fertiliser_SumProductApplied(_xlpm.ChemicalCompound, _xlpm.ProductIngredient3, _xlpm.calculatedAmount3), 0) + IFERROR('Calcs - Manure sent off-site'!Fertiliser_InputFunctions.Fertiliser_SumProductApplied(_xlpm.ChemicalCompound, _xlpm.ProductIngredient4, _xlpm.calculatedAmount4), 0) + IFERROR('Calcs - Manure sent off-site'!Fertiliser_InputFunctions.Fertiliser_SumProductApplied(_xlpm.ChemicalCompound, _xlpm.ProductIngredient5, _xlpm.calculatedAmount5), 0) + IFERROR('Calcs - Manure sent off-site'!Fertiliser_InputFunctions.Fertiliser_SumProductApplied(_xlpm.ChemicalCompound, _xlpm.ProductIngredient6, _xlpm.calculatedAmount6), 0)))</definedName>
    <definedName name="Fertiliser_InputFunctions.Fertiliser_TotalChemicalCompoundAppliedAllIngredients" localSheetId="40">_xlfn.LAMBDA(_xlpm.ChemicalCompound,_xlpm.AmountApplied,_xlpm.ProductIngredient1,_xlpm.ProductIngredientPercent1,_xlop.ProductIngredient2,_xlop.ProductIngredientPercent2,_xlop.ProductIngredient3,_xlop.ProductIngredientPercent3,_xlop.ProductIngredient4,_xlop.ProductIngredientPercent4,_xlop.ProductIngredient5,_xlop.ProductIngredientPercent5,_xlop.ProductIngredient6,_xlop.ProductIngredientPercent6,
  _xlfn.LET(
    _xlpm.calculatedAmount1,
    (
      _xlpm.AmountApplied * _xlpm.ProductIngredientPercent1
    ),
    _xlpm.calculatedAmount2,
    (
      _xlpm.AmountApplied * _xlpm.ProductIngredientPercent2
    ),
    _xlpm.calculatedAmount3,
    (
      _xlpm.AmountApplied * _xlpm.ProductIngredientPercent3
    ),
    _xlpm.calculatedAmount4,
    (
      _xlpm.AmountApplied * _xlpm.ProductIngredientPercent4
    ),
    _xlpm.calculatedAmount5,
    (
      _xlpm.AmountApplied * _xlpm.ProductIngredientPercent5
    ),
    _xlpm.calculatedAmount6,
    (
      _xlpm.AmountApplied * _xlpm.ProductIngredientPercent6
    ),
    'Constants - Ag Residue'!Fertiliser_InputFunctions.Fertiliser_SumProductApplied(
      _xlpm.ChemicalCompound,
      _xlpm.ProductIngredient1,
      _xlpm.calculatedAmount1
    ) + IFERROR(
      'Constants - Ag Residue'!Fertiliser_InputFunctions.Fertiliser_SumProductApplied(
        _xlpm.ChemicalCompound,
        _xlpm.ProductIngredient2,
        _xlpm.calculatedAmount2
      ),
      0
    ) + IFERROR(
      'Constants - Ag Residue'!Fertiliser_InputFunctions.Fertiliser_SumProductApplied(
        _xlpm.ChemicalCompound,
        _xlpm.ProductIngredient3,
        _xlpm.calculatedAmount3
      ),
      0
    ) + IFERROR(
      'Constants - Ag Residue'!Fertiliser_InputFunctions.Fertiliser_SumProductApplied(
        _xlpm.ChemicalCompound,
        _xlpm.ProductIngredient4,
        _xlpm.calculatedAmount4
      ),
      0
    ) + IFERROR(
      'Constants - Ag Residue'!Fertiliser_InputFunctions.Fertiliser_SumProductApplied(
        _xlpm.ChemicalCompound,
        _xlpm.ProductIngredient5,
        _xlpm.calculatedAmount5
      ),
      0
    ) + IFERROR(
      'Constants - Ag Residue'!Fertiliser_InputFunctions.Fertiliser_SumProductApplied(
        _xlpm.ChemicalCompound,
        _xlpm.ProductIngredient6,
        _xlpm.calculatedAmount6
      ),
      0
    )
  )
)</definedName>
    <definedName name="Fertiliser_InputFunctions.Fertiliser_TotalChemicalCompoundAppliedAllIngredients" localSheetId="41">_xlfn.LAMBDA(_xlpm.ChemicalCompound,_xlpm.AmountApplied,_xlpm.ProductIngredient1,_xlpm.ProductIngredientPercent1,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[0]!Fertiliser_InputFunctions.Fertiliser_SumProductApplied(_xlpm.ChemicalCompound, _xlpm.ProductIngredient1, _xlpm.calculatedAmount1) + IFERROR([0]!Fertiliser_InputFunctions.Fertiliser_SumProductApplied(_xlpm.ChemicalCompound, _xlpm.ProductIngredient2, _xlpm.calculatedAmount2), 0) + IFERROR([0]!Fertiliser_InputFunctions.Fertiliser_SumProductApplied(_xlpm.ChemicalCompound, _xlpm.ProductIngredient3, _xlpm.calculatedAmount3), 0) + IFERROR([0]!Fertiliser_InputFunctions.Fertiliser_SumProductApplied(_xlpm.ChemicalCompound, _xlpm.ProductIngredient4, _xlpm.calculatedAmount4), 0) + IFERROR([0]!Fertiliser_InputFunctions.Fertiliser_SumProductApplied(_xlpm.ChemicalCompound, _xlpm.ProductIngredient5, _xlpm.calculatedAmount5), 0) + IFERROR([0]!Fertiliser_InputFunctions.Fertiliser_SumProductApplied(_xlpm.ChemicalCompound, _xlpm.ProductIngredient6, _xlpm.calculatedAmount6), 0)))</definedName>
    <definedName name="Fertiliser_InputFunctions.Fertiliser_TotalChemicalCompoundAppliedAllIngredients" localSheetId="43">_xlfn.LAMBDA(_xlpm.ChemicalCompound,_xlpm.AmountApplied,_xlpm.ProductIngredient1,_xlpm.ProductIngredientPercent1,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'Constants - Fertiliser'!Fertiliser_InputFunctions.Fertiliser_SumProductApplied(_xlpm.ChemicalCompound, _xlpm.ProductIngredient1, _xlpm.calculatedAmount1) + IFERROR('Constants - Fertiliser'!Fertiliser_InputFunctions.Fertiliser_SumProductApplied(_xlpm.ChemicalCompound, _xlpm.ProductIngredient2, _xlpm.calculatedAmount2), 0) + IFERROR('Constants - Fertiliser'!Fertiliser_InputFunctions.Fertiliser_SumProductApplied(_xlpm.ChemicalCompound, _xlpm.ProductIngredient3, _xlpm.calculatedAmount3), 0) + IFERROR('Constants - Fertiliser'!Fertiliser_InputFunctions.Fertiliser_SumProductApplied(_xlpm.ChemicalCompound, _xlpm.ProductIngredient4, _xlpm.calculatedAmount4), 0) + IFERROR('Constants - Fertiliser'!Fertiliser_InputFunctions.Fertiliser_SumProductApplied(_xlpm.ChemicalCompound, _xlpm.ProductIngredient5, _xlpm.calculatedAmount5), 0) + IFERROR('Constants - Fertiliser'!Fertiliser_InputFunctions.Fertiliser_SumProductApplied(_xlpm.ChemicalCompound, _xlpm.ProductIngredient6, _xlpm.calculatedAmount6), 0)))</definedName>
    <definedName name="Fertiliser_InputFunctions.Fertiliser_TotalChemicalCompoundAppliedAllIngredients" localSheetId="39">_xlfn.LAMBDA(_xlpm.ChemicalCompound,_xlpm.AmountApplied,_xlpm.ProductIngredient1,_xlpm.ProductIngredientPercent1,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[0]!Fertiliser_InputFunctions.Fertiliser_SumProductApplied(_xlpm.ChemicalCompound, _xlpm.ProductIngredient1, _xlpm.calculatedAmount1) + IFERROR([0]!Fertiliser_InputFunctions.Fertiliser_SumProductApplied(_xlpm.ChemicalCompound, _xlpm.ProductIngredient2, _xlpm.calculatedAmount2), 0) + IFERROR([0]!Fertiliser_InputFunctions.Fertiliser_SumProductApplied(_xlpm.ChemicalCompound, _xlpm.ProductIngredient3, _xlpm.calculatedAmount3), 0) + IFERROR([0]!Fertiliser_InputFunctions.Fertiliser_SumProductApplied(_xlpm.ChemicalCompound, _xlpm.ProductIngredient4, _xlpm.calculatedAmount4), 0) + IFERROR([0]!Fertiliser_InputFunctions.Fertiliser_SumProductApplied(_xlpm.ChemicalCompound, _xlpm.ProductIngredient5, _xlpm.calculatedAmount5), 0) + IFERROR([0]!Fertiliser_InputFunctions.Fertiliser_SumProductApplied(_xlpm.ChemicalCompound, _xlpm.ProductIngredient6, _xlpm.calculatedAmount6), 0)))</definedName>
    <definedName name="Fertiliser_InputFunctions.Fertiliser_TotalChemicalCompoundAppliedAllIngredients" localSheetId="45">_xlfn.LAMBDA(_xlpm.ChemicalCompound,_xlpm.AmountApplied,_xlpm.ProductIngredient1,_xlpm.ProductIngredientPercent1,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'Constants - Scope 3'!Fertiliser_InputFunctions.Fertiliser_SumProductApplied(_xlpm.ChemicalCompound, _xlpm.ProductIngredient1, _xlpm.calculatedAmount1) + IFERROR('Constants - Scope 3'!Fertiliser_InputFunctions.Fertiliser_SumProductApplied(_xlpm.ChemicalCompound, _xlpm.ProductIngredient2, _xlpm.calculatedAmount2), 0) + IFERROR('Constants - Scope 3'!Fertiliser_InputFunctions.Fertiliser_SumProductApplied(_xlpm.ChemicalCompound, _xlpm.ProductIngredient3, _xlpm.calculatedAmount3), 0) + IFERROR('Constants - Scope 3'!Fertiliser_InputFunctions.Fertiliser_SumProductApplied(_xlpm.ChemicalCompound, _xlpm.ProductIngredient4, _xlpm.calculatedAmount4), 0) + IFERROR('Constants - Scope 3'!Fertiliser_InputFunctions.Fertiliser_SumProductApplied(_xlpm.ChemicalCompound, _xlpm.ProductIngredient5, _xlpm.calculatedAmount5), 0) + IFERROR('Constants - Scope 3'!Fertiliser_InputFunctions.Fertiliser_SumProductApplied(_xlpm.ChemicalCompound, _xlpm.ProductIngredient6, _xlpm.calculatedAmount6), 0)))</definedName>
    <definedName name="Fertiliser_InputFunctions.Fertiliser_TotalChemicalCompoundAppliedAllIngredients" localSheetId="7">_xlfn.LAMBDA(_xlpm.ChemicalCompound,_xlpm.AmountApplied,_xlpm.ProductIngredient1,_xlpm.ProductIngredientPercent1,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'Input - Beef cattle purchases'!Fertiliser_InputFunctions.Fertiliser_SumProductApplied(_xlpm.ChemicalCompound, _xlpm.ProductIngredient1, _xlpm.calculatedAmount1) + IFERROR('Input - Beef cattle purchases'!Fertiliser_InputFunctions.Fertiliser_SumProductApplied(_xlpm.ChemicalCompound, _xlpm.ProductIngredient2, _xlpm.calculatedAmount2), 0) + IFERROR('Input - Beef cattle purchases'!Fertiliser_InputFunctions.Fertiliser_SumProductApplied(_xlpm.ChemicalCompound, _xlpm.ProductIngredient3, _xlpm.calculatedAmount3), 0) + IFERROR('Input - Beef cattle purchases'!Fertiliser_InputFunctions.Fertiliser_SumProductApplied(_xlpm.ChemicalCompound, _xlpm.ProductIngredient4, _xlpm.calculatedAmount4), 0) + IFERROR('Input - Beef cattle purchases'!Fertiliser_InputFunctions.Fertiliser_SumProductApplied(_xlpm.ChemicalCompound, _xlpm.ProductIngredient5, _xlpm.calculatedAmount5), 0) + IFERROR('Input - Beef cattle purchases'!Fertiliser_InputFunctions.Fertiliser_SumProductApplied(_xlpm.ChemicalCompound, _xlpm.ProductIngredient6, _xlpm.calculatedAmount6), 0)))</definedName>
    <definedName name="Fertiliser_InputFunctions.Fertiliser_TotalChemicalCompoundAppliedAllIngredients" localSheetId="13">_xlfn.LAMBDA(_xlpm.ChemicalCompound,_xlpm.AmountApplied,_xlpm.ProductIngredient1,_xlpm.ProductIngredientPercent1,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'Input - Common farm inputs'!Fertiliser_InputFunctions.Fertiliser_SumProductApplied(_xlpm.ChemicalCompound, _xlpm.ProductIngredient1, _xlpm.calculatedAmount1) + IFERROR('Input - Common farm inputs'!Fertiliser_InputFunctions.Fertiliser_SumProductApplied(_xlpm.ChemicalCompound, _xlpm.ProductIngredient2, _xlpm.calculatedAmount2), 0) + IFERROR('Input - Common farm inputs'!Fertiliser_InputFunctions.Fertiliser_SumProductApplied(_xlpm.ChemicalCompound, _xlpm.ProductIngredient3, _xlpm.calculatedAmount3), 0) + IFERROR('Input - Common farm inputs'!Fertiliser_InputFunctions.Fertiliser_SumProductApplied(_xlpm.ChemicalCompound, _xlpm.ProductIngredient4, _xlpm.calculatedAmount4), 0) + IFERROR('Input - Common farm inputs'!Fertiliser_InputFunctions.Fertiliser_SumProductApplied(_xlpm.ChemicalCompound, _xlpm.ProductIngredient5, _xlpm.calculatedAmount5), 0) + IFERROR('Input - Common farm inputs'!Fertiliser_InputFunctions.Fertiliser_SumProductApplied(_xlpm.ChemicalCompound, _xlpm.ProductIngredient6, _xlpm.calculatedAmount6), 0)))</definedName>
    <definedName name="Fertiliser_InputFunctions.Fertiliser_TotalChemicalCompoundAppliedAllIngredients" localSheetId="14">_xlfn.LAMBDA(_xlpm.ChemicalCompound,_xlpm.AmountApplied,_xlpm.ProductIngredient1,_xlpm.ProductIngredientPercent1,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'Input - Crop pasture farm input'!Fertiliser_InputFunctions.Fertiliser_SumProductApplied(_xlpm.ChemicalCompound, _xlpm.ProductIngredient1, _xlpm.calculatedAmount1) + IFERROR('Input - Crop pasture farm input'!Fertiliser_InputFunctions.Fertiliser_SumProductApplied(_xlpm.ChemicalCompound, _xlpm.ProductIngredient2, _xlpm.calculatedAmount2), 0) + IFERROR('Input - Crop pasture farm input'!Fertiliser_InputFunctions.Fertiliser_SumProductApplied(_xlpm.ChemicalCompound, _xlpm.ProductIngredient3, _xlpm.calculatedAmount3), 0) + IFERROR('Input - Crop pasture farm input'!Fertiliser_InputFunctions.Fertiliser_SumProductApplied(_xlpm.ChemicalCompound, _xlpm.ProductIngredient4, _xlpm.calculatedAmount4), 0) + IFERROR('Input - Crop pasture farm input'!Fertiliser_InputFunctions.Fertiliser_SumProductApplied(_xlpm.ChemicalCompound, _xlpm.ProductIngredient5, _xlpm.calculatedAmount5), 0) + IFERROR('Input - Crop pasture farm input'!Fertiliser_InputFunctions.Fertiliser_SumProductApplied(_xlpm.ChemicalCompound, _xlpm.ProductIngredient6, _xlpm.calculatedAmount6), 0)))</definedName>
    <definedName name="Fertiliser_InputFunctions.Fertiliser_TotalChemicalCompoundAppliedAllIngredients" localSheetId="10">_xlfn.LAMBDA(_xlpm.ChemicalCompound,_xlpm.AmountApplied,_xlpm.ProductIngredient1,_xlpm.ProductIngredientPercent1,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'Input - Fertiliser'!Fertiliser_InputFunctions.Fertiliser_SumProductApplied(_xlpm.ChemicalCompound, _xlpm.ProductIngredient1, _xlpm.calculatedAmount1) + IFERROR('Input - Fertiliser'!Fertiliser_InputFunctions.Fertiliser_SumProductApplied(_xlpm.ChemicalCompound, _xlpm.ProductIngredient2, _xlpm.calculatedAmount2), 0) + IFERROR('Input - Fertiliser'!Fertiliser_InputFunctions.Fertiliser_SumProductApplied(_xlpm.ChemicalCompound, _xlpm.ProductIngredient3, _xlpm.calculatedAmount3), 0) + IFERROR('Input - Fertiliser'!Fertiliser_InputFunctions.Fertiliser_SumProductApplied(_xlpm.ChemicalCompound, _xlpm.ProductIngredient4, _xlpm.calculatedAmount4), 0) + IFERROR('Input - Fertiliser'!Fertiliser_InputFunctions.Fertiliser_SumProductApplied(_xlpm.ChemicalCompound, _xlpm.ProductIngredient5, _xlpm.calculatedAmount5), 0) + IFERROR('Input - Fertiliser'!Fertiliser_InputFunctions.Fertiliser_SumProductApplied(_xlpm.ChemicalCompound, _xlpm.ProductIngredient6, _xlpm.calculatedAmount6), 0)))</definedName>
    <definedName name="Fertiliser_InputFunctions.Fertiliser_TotalChemicalCompoundAppliedAllIngredients" localSheetId="16">_xlfn.LAMBDA(_xlpm.ChemicalCompound,_xlpm.AmountApplied,_xlpm.ProductIngredient1,_xlpm.ProductIngredientPercent1,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'Input - Freight'!Fertiliser_InputFunctions.Fertiliser_SumProductApplied(_xlpm.ChemicalCompound, _xlpm.ProductIngredient1, _xlpm.calculatedAmount1) + IFERROR('Input - Freight'!Fertiliser_InputFunctions.Fertiliser_SumProductApplied(_xlpm.ChemicalCompound, _xlpm.ProductIngredient2, _xlpm.calculatedAmount2), 0) + IFERROR('Input - Freight'!Fertiliser_InputFunctions.Fertiliser_SumProductApplied(_xlpm.ChemicalCompound, _xlpm.ProductIngredient3, _xlpm.calculatedAmount3), 0) + IFERROR('Input - Freight'!Fertiliser_InputFunctions.Fertiliser_SumProductApplied(_xlpm.ChemicalCompound, _xlpm.ProductIngredient4, _xlpm.calculatedAmount4), 0) + IFERROR('Input - Freight'!Fertiliser_InputFunctions.Fertiliser_SumProductApplied(_xlpm.ChemicalCompound, _xlpm.ProductIngredient5, _xlpm.calculatedAmount5), 0) + IFERROR('Input - Freight'!Fertiliser_InputFunctions.Fertiliser_SumProductApplied(_xlpm.ChemicalCompound, _xlpm.ProductIngredient6, _xlpm.calculatedAmount6), 0)))</definedName>
    <definedName name="Fertiliser_InputFunctions.Fertiliser_TotalChemicalCompoundAppliedAllIngredients" localSheetId="15">_xlfn.LAMBDA(_xlpm.ChemicalCompound,_xlpm.AmountApplied,_xlpm.ProductIngredient1,_xlpm.ProductIngredientPercent1,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'Input - Livestock farm Inputs'!Fertiliser_InputFunctions.Fertiliser_SumProductApplied(_xlpm.ChemicalCompound, _xlpm.ProductIngredient1, _xlpm.calculatedAmount1) + IFERROR('Input - Livestock farm Inputs'!Fertiliser_InputFunctions.Fertiliser_SumProductApplied(_xlpm.ChemicalCompound, _xlpm.ProductIngredient2, _xlpm.calculatedAmount2), 0) + IFERROR('Input - Livestock farm Inputs'!Fertiliser_InputFunctions.Fertiliser_SumProductApplied(_xlpm.ChemicalCompound, _xlpm.ProductIngredient3, _xlpm.calculatedAmount3), 0) + IFERROR('Input - Livestock farm Inputs'!Fertiliser_InputFunctions.Fertiliser_SumProductApplied(_xlpm.ChemicalCompound, _xlpm.ProductIngredient4, _xlpm.calculatedAmount4), 0) + IFERROR('Input - Livestock farm Inputs'!Fertiliser_InputFunctions.Fertiliser_SumProductApplied(_xlpm.ChemicalCompound, _xlpm.ProductIngredient5, _xlpm.calculatedAmount5), 0) + IFERROR('Input - Livestock farm Inputs'!Fertiliser_InputFunctions.Fertiliser_SumProductApplied(_xlpm.ChemicalCompound, _xlpm.ProductIngredient6, _xlpm.calculatedAmount6), 0)))</definedName>
    <definedName name="Fertiliser_InputFunctions.Fertiliser_TotalChemicalCompoundAppliedAllIngredients" localSheetId="18">_xlfn.LAMBDA(_xlpm.ChemicalCompound,_xlpm.AmountApplied,_xlpm.ProductIngredient1,_xlpm.ProductIngredientPercent1,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'Input - Manure sent off-site'!Fertiliser_InputFunctions.Fertiliser_SumProductApplied(_xlpm.ChemicalCompound, _xlpm.ProductIngredient1, _xlpm.calculatedAmount1) + IFERROR('Input - Manure sent off-site'!Fertiliser_InputFunctions.Fertiliser_SumProductApplied(_xlpm.ChemicalCompound, _xlpm.ProductIngredient2, _xlpm.calculatedAmount2), 0) + IFERROR('Input - Manure sent off-site'!Fertiliser_InputFunctions.Fertiliser_SumProductApplied(_xlpm.ChemicalCompound, _xlpm.ProductIngredient3, _xlpm.calculatedAmount3), 0) + IFERROR('Input - Manure sent off-site'!Fertiliser_InputFunctions.Fertiliser_SumProductApplied(_xlpm.ChemicalCompound, _xlpm.ProductIngredient4, _xlpm.calculatedAmount4), 0) + IFERROR('Input - Manure sent off-site'!Fertiliser_InputFunctions.Fertiliser_SumProductApplied(_xlpm.ChemicalCompound, _xlpm.ProductIngredient5, _xlpm.calculatedAmount5), 0) + IFERROR('Input - Manure sent off-site'!Fertiliser_InputFunctions.Fertiliser_SumProductApplied(_xlpm.ChemicalCompound, _xlpm.ProductIngredient6, _xlpm.calculatedAmount6), 0)))</definedName>
    <definedName name="Fertiliser_InputFunctions.Fertiliser_TotalChemicalCompoundAppliedAllIngredients" localSheetId="8">_xlfn.LAMBDA(_xlpm.ChemicalCompound,_xlpm.AmountApplied,_xlpm.ProductIngredient1,_xlpm.ProductIngredientPercent1,_xlop.ProductIngredient2,_xlop.ProductIngredientPercent2,_xlop.ProductIngredient3,_xlop.ProductIngredientPercent3,_xlop.ProductIngredient4,_xlop.ProductIngredientPercent4,_xlop.ProductIngredient5,_xlop.ProductIngredientPercent5,_xlop.ProductIngredient6,_xlop.ProductIngredientPercent6,
  _xlfn.LET(
    _xlpm.calculatedAmount1,
    (
      _xlpm.AmountApplied * _xlpm.ProductIngredientPercent1
    ),
    _xlpm.calculatedAmount2,
    (
      _xlpm.AmountApplied * _xlpm.ProductIngredientPercent2
    ),
    _xlpm.calculatedAmount3,
    (
      _xlpm.AmountApplied * _xlpm.ProductIngredientPercent3
    ),
    _xlpm.calculatedAmount4,
    (
      _xlpm.AmountApplied * _xlpm.ProductIngredientPercent4
    ),
    _xlpm.calculatedAmount5,
    (
      _xlpm.AmountApplied * _xlpm.ProductIngredientPercent5
    ),
    _xlpm.calculatedAmount6,
    (
      _xlpm.AmountApplied * _xlpm.ProductIngredientPercent6
    ),
    'Input - Pasture'!Fertiliser_InputFunctions.Fertiliser_SumProductApplied(
      _xlpm.ChemicalCompound,
      _xlpm.ProductIngredient1,
      _xlpm.calculatedAmount1
    ) + IFERROR(
      'Input - Pasture'!Fertiliser_InputFunctions.Fertiliser_SumProductApplied(
        _xlpm.ChemicalCompound,
        _xlpm.ProductIngredient2,
        _xlpm.calculatedAmount2
      ),
      0
    ) + IFERROR(
      'Input - Pasture'!Fertiliser_InputFunctions.Fertiliser_SumProductApplied(
        _xlpm.ChemicalCompound,
        _xlpm.ProductIngredient3,
        _xlpm.calculatedAmount3
      ),
      0
    ) + IFERROR(
      'Input - Pasture'!Fertiliser_InputFunctions.Fertiliser_SumProductApplied(
        _xlpm.ChemicalCompound,
        _xlpm.ProductIngredient4,
        _xlpm.calculatedAmount4
      ),
      0
    ) + IFERROR(
      'Input - Pasture'!Fertiliser_InputFunctions.Fertiliser_SumProductApplied(
        _xlpm.ChemicalCompound,
        _xlpm.ProductIngredient5,
        _xlpm.calculatedAmount5
      ),
      0
    ) + IFERROR(
      'Input - Pasture'!Fertiliser_InputFunctions.Fertiliser_SumProductApplied(
        _xlpm.ChemicalCompound,
        _xlpm.ProductIngredient6,
        _xlpm.calculatedAmount6
      ),
      0
    )
  )
)</definedName>
    <definedName name="Fertiliser_InputFunctions.Fertiliser_TotalChemicalCompoundAppliedAllIngredients">_xlfn.LAMBDA(_xlpm.ChemicalCompound,_xlpm.AmountApplied,_xlpm.ProductIngredient1,_xlpm.ProductIngredientPercent1,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Fertiliser_InputFunctions.Fertiliser_SumProductApplied(_xlpm.ChemicalCompound, _xlpm.ProductIngredient1, _xlpm.calculatedAmount1) + IFERROR(Fertiliser_InputFunctions.Fertiliser_SumProductApplied(_xlpm.ChemicalCompound, _xlpm.ProductIngredient2, _xlpm.calculatedAmount2), 0) + IFERROR(Fertiliser_InputFunctions.Fertiliser_SumProductApplied(_xlpm.ChemicalCompound, _xlpm.ProductIngredient3, _xlpm.calculatedAmount3), 0) + IFERROR(Fertiliser_InputFunctions.Fertiliser_SumProductApplied(_xlpm.ChemicalCompound, _xlpm.ProductIngredient4, _xlpm.calculatedAmount4), 0) + IFERROR(Fertiliser_InputFunctions.Fertiliser_SumProductApplied(_xlpm.ChemicalCompound, _xlpm.ProductIngredient5, _xlpm.calculatedAmount5), 0) + IFERROR(Fertiliser_InputFunctions.Fertiliser_SumProductApplied(_xlpm.ChemicalCompound, _xlpm.ProductIngredient6, _xlpm.calculatedAmount6), 0)))</definedName>
    <definedName name="Fertiliser_InputFunctions.Fertiliser_TotalChemicalCompoundtAppliedBySourceAllIngredients" localSheetId="37">_xlfn.LAMBDA(_xlpm.ChemicalCompound,_xlpm.Source,_xlpm.AmountApplied,_xlpm.ProductIngredient1,_xlpm.ProductIngredientPercent1,_xlop.ProductIngredientSource,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_xlpm.ProductIngredientSource, IF(_xlpm.ProductIngredientSource = "", "Global", _xlpm.ProductIngredientSource), '15 Scope 3'!Fertiliser_InputFunctions.Fertiliser_SumProductApplied(_xlpm.ChemicalCompound, _xlpm.ProductIngredient1, _xlpm.calculatedAmount1, _xlpm.Source, _xlpm.ProductIngredientSource) + IFERROR('15 Scope 3'!Fertiliser_InputFunctions.Fertiliser_SumProductApplied(_xlpm.ChemicalCompound, _xlpm.ProductIngredient2, _xlpm.calculatedAmount2, _xlpm.Source, _xlpm.ProductIngredientSource), 0) + IFERROR('15 Scope 3'!Fertiliser_InputFunctions.Fertiliser_SumProductApplied(_xlpm.ChemicalCompound, _xlpm.ProductIngredient3, _xlpm.calculatedAmount3, _xlpm.Source, _xlpm.ProductIngredientSource), 0) + IFERROR('15 Scope 3'!Fertiliser_InputFunctions.Fertiliser_SumProductApplied(_xlpm.ChemicalCompound, _xlpm.ProductIngredient4, _xlpm.calculatedAmount4, _xlpm.Source, _xlpm.ProductIngredientSource), 0) + IFERROR('15 Scope 3'!Fertiliser_InputFunctions.Fertiliser_SumProductApplied(_xlpm.ChemicalCompound, _xlpm.ProductIngredient5, _xlpm.calculatedAmount5, _xlpm.Source, _xlpm.ProductIngredientSource), 0) + IFERROR('15 Scope 3'!Fertiliser_InputFunctions.Fertiliser_SumProductApplied(_xlpm.ChemicalCompound, _xlpm.ProductIngredient6, _xlpm.calculatedAmount6, _xlpm.Source, _xlpm.ProductIngredientSource), 0)))</definedName>
    <definedName name="Fertiliser_InputFunctions.Fertiliser_TotalChemicalCompoundtAppliedBySourceAllIngredients" localSheetId="21">_xlfn.LAMBDA(_xlpm.ChemicalCompound,_xlpm.Source,_xlpm.AmountApplied,_xlpm.ProductIngredient1,_xlpm.ProductIngredientPercent1,_xlop.ProductIngredientSource,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_xlpm.ProductIngredientSource, IF(_xlpm.ProductIngredientSource = "", "Global", _xlpm.ProductIngredientSource), [0]!Fertiliser_InputFunctions.Fertiliser_SumProductApplied(_xlpm.ChemicalCompound, _xlpm.ProductIngredient1, _xlpm.calculatedAmount1, _xlpm.Source, _xlpm.ProductIngredientSource) + IFERROR([0]!Fertiliser_InputFunctions.Fertiliser_SumProductApplied(_xlpm.ChemicalCompound, _xlpm.ProductIngredient2, _xlpm.calculatedAmount2, _xlpm.Source, _xlpm.ProductIngredientSource), 0) + IFERROR([0]!Fertiliser_InputFunctions.Fertiliser_SumProductApplied(_xlpm.ChemicalCompound, _xlpm.ProductIngredient3, _xlpm.calculatedAmount3, _xlpm.Source, _xlpm.ProductIngredientSource), 0) + IFERROR([0]!Fertiliser_InputFunctions.Fertiliser_SumProductApplied(_xlpm.ChemicalCompound, _xlpm.ProductIngredient4, _xlpm.calculatedAmount4, _xlpm.Source, _xlpm.ProductIngredientSource), 0) + IFERROR([0]!Fertiliser_InputFunctions.Fertiliser_SumProductApplied(_xlpm.ChemicalCompound, _xlpm.ProductIngredient5, _xlpm.calculatedAmount5, _xlpm.Source, _xlpm.ProductIngredientSource), 0) + IFERROR([0]!Fertiliser_InputFunctions.Fertiliser_SumProductApplied(_xlpm.ChemicalCompound, _xlpm.ProductIngredient6, _xlpm.calculatedAmount6, _xlpm.Source, _xlpm.ProductIngredientSource), 0)))</definedName>
    <definedName name="Fertiliser_InputFunctions.Fertiliser_TotalChemicalCompoundtAppliedBySourceAllIngredients" localSheetId="22">_xlfn.LAMBDA(_xlpm.ChemicalCompound,_xlpm.Source,_xlpm.AmountApplied,_xlpm.ProductIngredient1,_xlpm.ProductIngredientPercent1,_xlop.ProductIngredientSource,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_xlpm.ProductIngredientSource, IF(_xlpm.ProductIngredientSource = "", "Global", _xlpm.ProductIngredientSource), [0]!Fertiliser_InputFunctions.Fertiliser_SumProductApplied(_xlpm.ChemicalCompound, _xlpm.ProductIngredient1, _xlpm.calculatedAmount1, _xlpm.Source, _xlpm.ProductIngredientSource) + IFERROR([0]!Fertiliser_InputFunctions.Fertiliser_SumProductApplied(_xlpm.ChemicalCompound, _xlpm.ProductIngredient2, _xlpm.calculatedAmount2, _xlpm.Source, _xlpm.ProductIngredientSource), 0) + IFERROR([0]!Fertiliser_InputFunctions.Fertiliser_SumProductApplied(_xlpm.ChemicalCompound, _xlpm.ProductIngredient3, _xlpm.calculatedAmount3, _xlpm.Source, _xlpm.ProductIngredientSource), 0) + IFERROR([0]!Fertiliser_InputFunctions.Fertiliser_SumProductApplied(_xlpm.ChemicalCompound, _xlpm.ProductIngredient4, _xlpm.calculatedAmount4, _xlpm.Source, _xlpm.ProductIngredientSource), 0) + IFERROR([0]!Fertiliser_InputFunctions.Fertiliser_SumProductApplied(_xlpm.ChemicalCompound, _xlpm.ProductIngredient5, _xlpm.calculatedAmount5, _xlpm.Source, _xlpm.ProductIngredientSource), 0) + IFERROR([0]!Fertiliser_InputFunctions.Fertiliser_SumProductApplied(_xlpm.ChemicalCompound, _xlpm.ProductIngredient6, _xlpm.calculatedAmount6, _xlpm.Source, _xlpm.ProductIngredientSource), 0)))</definedName>
    <definedName name="Fertiliser_InputFunctions.Fertiliser_TotalChemicalCompoundtAppliedBySourceAllIngredients" localSheetId="23">_xlfn.LAMBDA(_xlpm.ChemicalCompound,_xlpm.Source,_xlpm.AmountApplied,_xlpm.ProductIngredient1,_xlpm.ProductIngredientPercent1,_xlop.ProductIngredientSource,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_xlpm.ProductIngredientSource, IF(_xlpm.ProductIngredientSource = "", "Global", _xlpm.ProductIngredientSource), [0]!Fertiliser_InputFunctions.Fertiliser_SumProductApplied(_xlpm.ChemicalCompound, _xlpm.ProductIngredient1, _xlpm.calculatedAmount1, _xlpm.Source, _xlpm.ProductIngredientSource) + IFERROR([0]!Fertiliser_InputFunctions.Fertiliser_SumProductApplied(_xlpm.ChemicalCompound, _xlpm.ProductIngredient2, _xlpm.calculatedAmount2, _xlpm.Source, _xlpm.ProductIngredientSource), 0) + IFERROR([0]!Fertiliser_InputFunctions.Fertiliser_SumProductApplied(_xlpm.ChemicalCompound, _xlpm.ProductIngredient3, _xlpm.calculatedAmount3, _xlpm.Source, _xlpm.ProductIngredientSource), 0) + IFERROR([0]!Fertiliser_InputFunctions.Fertiliser_SumProductApplied(_xlpm.ChemicalCompound, _xlpm.ProductIngredient4, _xlpm.calculatedAmount4, _xlpm.Source, _xlpm.ProductIngredientSource), 0) + IFERROR([0]!Fertiliser_InputFunctions.Fertiliser_SumProductApplied(_xlpm.ChemicalCompound, _xlpm.ProductIngredient5, _xlpm.calculatedAmount5, _xlpm.Source, _xlpm.ProductIngredientSource), 0) + IFERROR([0]!Fertiliser_InputFunctions.Fertiliser_SumProductApplied(_xlpm.ChemicalCompound, _xlpm.ProductIngredient6, _xlpm.calculatedAmount6, _xlpm.Source, _xlpm.ProductIngredientSource), 0)))</definedName>
    <definedName name="Fertiliser_InputFunctions.Fertiliser_TotalChemicalCompoundtAppliedBySourceAllIngredients" localSheetId="24">_xlfn.LAMBDA(_xlpm.ChemicalCompound,_xlpm.Source,_xlpm.AmountApplied,_xlpm.ProductIngredient1,_xlpm.ProductIngredientPercent1,_xlop.ProductIngredientSource,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_xlpm.ProductIngredientSource, IF(_xlpm.ProductIngredientSource = "", "Global", _xlpm.ProductIngredientSource), [0]!Fertiliser_InputFunctions.Fertiliser_SumProductApplied(_xlpm.ChemicalCompound, _xlpm.ProductIngredient1, _xlpm.calculatedAmount1, _xlpm.Source, _xlpm.ProductIngredientSource) + IFERROR([0]!Fertiliser_InputFunctions.Fertiliser_SumProductApplied(_xlpm.ChemicalCompound, _xlpm.ProductIngredient2, _xlpm.calculatedAmount2, _xlpm.Source, _xlpm.ProductIngredientSource), 0) + IFERROR([0]!Fertiliser_InputFunctions.Fertiliser_SumProductApplied(_xlpm.ChemicalCompound, _xlpm.ProductIngredient3, _xlpm.calculatedAmount3, _xlpm.Source, _xlpm.ProductIngredientSource), 0) + IFERROR([0]!Fertiliser_InputFunctions.Fertiliser_SumProductApplied(_xlpm.ChemicalCompound, _xlpm.ProductIngredient4, _xlpm.calculatedAmount4, _xlpm.Source, _xlpm.ProductIngredientSource), 0) + IFERROR([0]!Fertiliser_InputFunctions.Fertiliser_SumProductApplied(_xlpm.ChemicalCompound, _xlpm.ProductIngredient5, _xlpm.calculatedAmount5, _xlpm.Source, _xlpm.ProductIngredientSource), 0) + IFERROR([0]!Fertiliser_InputFunctions.Fertiliser_SumProductApplied(_xlpm.ChemicalCompound, _xlpm.ProductIngredient6, _xlpm.calculatedAmount6, _xlpm.Source, _xlpm.ProductIngredientSource), 0)))</definedName>
    <definedName name="Fertiliser_InputFunctions.Fertiliser_TotalChemicalCompoundtAppliedBySourceAllIngredients" localSheetId="25">_xlfn.LAMBDA(_xlpm.ChemicalCompound,_xlpm.Source,_xlpm.AmountApplied,_xlpm.ProductIngredient1,_xlpm.ProductIngredientPercent1,_xlop.ProductIngredientSource,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_xlpm.ProductIngredientSource, IF(_xlpm.ProductIngredientSource = "", "Global", _xlpm.ProductIngredientSource), '5.1.1.1-2 Inorganic fert N2O'!Fertiliser_InputFunctions.Fertiliser_SumProductApplied(_xlpm.ChemicalCompound, _xlpm.ProductIngredient1, _xlpm.calculatedAmount1, _xlpm.Source, _xlpm.ProductIngredientSource) + IFERROR('5.1.1.1-2 Inorganic fert N2O'!Fertiliser_InputFunctions.Fertiliser_SumProductApplied(_xlpm.ChemicalCompound, _xlpm.ProductIngredient2, _xlpm.calculatedAmount2, _xlpm.Source, _xlpm.ProductIngredientSource), 0) + IFERROR('5.1.1.1-2 Inorganic fert N2O'!Fertiliser_InputFunctions.Fertiliser_SumProductApplied(_xlpm.ChemicalCompound, _xlpm.ProductIngredient3, _xlpm.calculatedAmount3, _xlpm.Source, _xlpm.ProductIngredientSource), 0) + IFERROR('5.1.1.1-2 Inorganic fert N2O'!Fertiliser_InputFunctions.Fertiliser_SumProductApplied(_xlpm.ChemicalCompound, _xlpm.ProductIngredient4, _xlpm.calculatedAmount4, _xlpm.Source, _xlpm.ProductIngredientSource), 0) + IFERROR('5.1.1.1-2 Inorganic fert N2O'!Fertiliser_InputFunctions.Fertiliser_SumProductApplied(_xlpm.ChemicalCompound, _xlpm.ProductIngredient5, _xlpm.calculatedAmount5, _xlpm.Source, _xlpm.ProductIngredientSource), 0) + IFERROR('5.1.1.1-2 Inorganic fert N2O'!Fertiliser_InputFunctions.Fertiliser_SumProductApplied(_xlpm.ChemicalCompound, _xlpm.ProductIngredient6, _xlpm.calculatedAmount6, _xlpm.Source, _xlpm.ProductIngredientSource), 0)))</definedName>
    <definedName name="Fertiliser_InputFunctions.Fertiliser_TotalChemicalCompoundtAppliedBySourceAllIngredients" localSheetId="26">_xlfn.LAMBDA(_xlpm.ChemicalCompound,_xlpm.Source,_xlpm.AmountApplied,_xlpm.ProductIngredient1,_xlpm.ProductIngredientPercent1,_xlop.ProductIngredientSource,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_xlpm.ProductIngredientSource, IF(_xlpm.ProductIngredientSource = "", "Global", _xlpm.ProductIngredientSource), '5.1.1.3-4 Inorganic fert CO2'!Fertiliser_InputFunctions.Fertiliser_SumProductApplied(_xlpm.ChemicalCompound, _xlpm.ProductIngredient1, _xlpm.calculatedAmount1, _xlpm.Source, _xlpm.ProductIngredientSource) + IFERROR('5.1.1.3-4 Inorganic fert CO2'!Fertiliser_InputFunctions.Fertiliser_SumProductApplied(_xlpm.ChemicalCompound, _xlpm.ProductIngredient2, _xlpm.calculatedAmount2, _xlpm.Source, _xlpm.ProductIngredientSource), 0) + IFERROR('5.1.1.3-4 Inorganic fert CO2'!Fertiliser_InputFunctions.Fertiliser_SumProductApplied(_xlpm.ChemicalCompound, _xlpm.ProductIngredient3, _xlpm.calculatedAmount3, _xlpm.Source, _xlpm.ProductIngredientSource), 0) + IFERROR('5.1.1.3-4 Inorganic fert CO2'!Fertiliser_InputFunctions.Fertiliser_SumProductApplied(_xlpm.ChemicalCompound, _xlpm.ProductIngredient4, _xlpm.calculatedAmount4, _xlpm.Source, _xlpm.ProductIngredientSource), 0) + IFERROR('5.1.1.3-4 Inorganic fert CO2'!Fertiliser_InputFunctions.Fertiliser_SumProductApplied(_xlpm.ChemicalCompound, _xlpm.ProductIngredient5, _xlpm.calculatedAmount5, _xlpm.Source, _xlpm.ProductIngredientSource), 0) + IFERROR('5.1.1.3-4 Inorganic fert CO2'!Fertiliser_InputFunctions.Fertiliser_SumProductApplied(_xlpm.ChemicalCompound, _xlpm.ProductIngredient6, _xlpm.calculatedAmount6, _xlpm.Source, _xlpm.ProductIngredientSource), 0)))</definedName>
    <definedName name="Fertiliser_InputFunctions.Fertiliser_TotalChemicalCompoundtAppliedBySourceAllIngredients" localSheetId="27">_xlfn.LAMBDA(_xlpm.ChemicalCompound,_xlpm.Source,_xlpm.AmountApplied,_xlpm.ProductIngredient1,_xlpm.ProductIngredientPercent1,_xlop.ProductIngredientSource,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_xlpm.ProductIngredientSource, IF(_xlpm.ProductIngredientSource = "", "Global", _xlpm.ProductIngredientSource), '5.2.1.1-2 Organic Fert N2O'!Fertiliser_InputFunctions.Fertiliser_SumProductApplied(_xlpm.ChemicalCompound, _xlpm.ProductIngredient1, _xlpm.calculatedAmount1, _xlpm.Source, _xlpm.ProductIngredientSource) + IFERROR('5.2.1.1-2 Organic Fert N2O'!Fertiliser_InputFunctions.Fertiliser_SumProductApplied(_xlpm.ChemicalCompound, _xlpm.ProductIngredient2, _xlpm.calculatedAmount2, _xlpm.Source, _xlpm.ProductIngredientSource), 0) + IFERROR('5.2.1.1-2 Organic Fert N2O'!Fertiliser_InputFunctions.Fertiliser_SumProductApplied(_xlpm.ChemicalCompound, _xlpm.ProductIngredient3, _xlpm.calculatedAmount3, _xlpm.Source, _xlpm.ProductIngredientSource), 0) + IFERROR('5.2.1.1-2 Organic Fert N2O'!Fertiliser_InputFunctions.Fertiliser_SumProductApplied(_xlpm.ChemicalCompound, _xlpm.ProductIngredient4, _xlpm.calculatedAmount4, _xlpm.Source, _xlpm.ProductIngredientSource), 0) + IFERROR('5.2.1.1-2 Organic Fert N2O'!Fertiliser_InputFunctions.Fertiliser_SumProductApplied(_xlpm.ChemicalCompound, _xlpm.ProductIngredient5, _xlpm.calculatedAmount5, _xlpm.Source, _xlpm.ProductIngredientSource), 0) + IFERROR('5.2.1.1-2 Organic Fert N2O'!Fertiliser_InputFunctions.Fertiliser_SumProductApplied(_xlpm.ChemicalCompound, _xlpm.ProductIngredient6, _xlpm.calculatedAmount6, _xlpm.Source, _xlpm.ProductIngredientSource), 0)))</definedName>
    <definedName name="Fertiliser_InputFunctions.Fertiliser_TotalChemicalCompoundtAppliedBySourceAllIngredients" localSheetId="28">_xlfn.LAMBDA(_xlpm.ChemicalCompound,_xlpm.Source,_xlpm.AmountApplied,_xlpm.ProductIngredient1,_xlpm.ProductIngredientPercent1,_xlop.ProductIngredientSource,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_xlpm.ProductIngredientSource, IF(_xlpm.ProductIngredientSource = "", "Global", _xlpm.ProductIngredientSource), '5.3.1.1-2 Lime CO2'!Fertiliser_InputFunctions.Fertiliser_SumProductApplied(_xlpm.ChemicalCompound, _xlpm.ProductIngredient1, _xlpm.calculatedAmount1, _xlpm.Source, _xlpm.ProductIngredientSource) + IFERROR('5.3.1.1-2 Lime CO2'!Fertiliser_InputFunctions.Fertiliser_SumProductApplied(_xlpm.ChemicalCompound, _xlpm.ProductIngredient2, _xlpm.calculatedAmount2, _xlpm.Source, _xlpm.ProductIngredientSource), 0) + IFERROR('5.3.1.1-2 Lime CO2'!Fertiliser_InputFunctions.Fertiliser_SumProductApplied(_xlpm.ChemicalCompound, _xlpm.ProductIngredient3, _xlpm.calculatedAmount3, _xlpm.Source, _xlpm.ProductIngredientSource), 0) + IFERROR('5.3.1.1-2 Lime CO2'!Fertiliser_InputFunctions.Fertiliser_SumProductApplied(_xlpm.ChemicalCompound, _xlpm.ProductIngredient4, _xlpm.calculatedAmount4, _xlpm.Source, _xlpm.ProductIngredientSource), 0) + IFERROR('5.3.1.1-2 Lime CO2'!Fertiliser_InputFunctions.Fertiliser_SumProductApplied(_xlpm.ChemicalCompound, _xlpm.ProductIngredient5, _xlpm.calculatedAmount5, _xlpm.Source, _xlpm.ProductIngredientSource), 0) + IFERROR('5.3.1.1-2 Lime CO2'!Fertiliser_InputFunctions.Fertiliser_SumProductApplied(_xlpm.ChemicalCompound, _xlpm.ProductIngredient6, _xlpm.calculatedAmount6, _xlpm.Source, _xlpm.ProductIngredientSource), 0)))</definedName>
    <definedName name="Fertiliser_InputFunctions.Fertiliser_TotalChemicalCompoundtAppliedBySourceAllIngredients" localSheetId="29">_xlfn.LAMBDA(_xlpm.ChemicalCompound,_xlpm.Source,_xlpm.AmountApplied,_xlpm.ProductIngredient1,_xlpm.ProductIngredientPercent1,_xlop.ProductIngredientSource,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_xlpm.ProductIngredientSource, IF(_xlpm.ProductIngredientSource = "", "Global", _xlpm.ProductIngredientSource), '5.4.1.1-4 Atmos deposition'!Fertiliser_InputFunctions.Fertiliser_SumProductApplied(_xlpm.ChemicalCompound, _xlpm.ProductIngredient1, _xlpm.calculatedAmount1, _xlpm.Source, _xlpm.ProductIngredientSource) + IFERROR('5.4.1.1-4 Atmos deposition'!Fertiliser_InputFunctions.Fertiliser_SumProductApplied(_xlpm.ChemicalCompound, _xlpm.ProductIngredient2, _xlpm.calculatedAmount2, _xlpm.Source, _xlpm.ProductIngredientSource), 0) + IFERROR('5.4.1.1-4 Atmos deposition'!Fertiliser_InputFunctions.Fertiliser_SumProductApplied(_xlpm.ChemicalCompound, _xlpm.ProductIngredient3, _xlpm.calculatedAmount3, _xlpm.Source, _xlpm.ProductIngredientSource), 0) + IFERROR('5.4.1.1-4 Atmos deposition'!Fertiliser_InputFunctions.Fertiliser_SumProductApplied(_xlpm.ChemicalCompound, _xlpm.ProductIngredient4, _xlpm.calculatedAmount4, _xlpm.Source, _xlpm.ProductIngredientSource), 0) + IFERROR('5.4.1.1-4 Atmos deposition'!Fertiliser_InputFunctions.Fertiliser_SumProductApplied(_xlpm.ChemicalCompound, _xlpm.ProductIngredient5, _xlpm.calculatedAmount5, _xlpm.Source, _xlpm.ProductIngredientSource), 0) + IFERROR('5.4.1.1-4 Atmos deposition'!Fertiliser_InputFunctions.Fertiliser_SumProductApplied(_xlpm.ChemicalCompound, _xlpm.ProductIngredient6, _xlpm.calculatedAmount6, _xlpm.Source, _xlpm.ProductIngredientSource), 0)))</definedName>
    <definedName name="Fertiliser_InputFunctions.Fertiliser_TotalChemicalCompoundtAppliedBySourceAllIngredients" localSheetId="30">_xlfn.LAMBDA(_xlpm.ChemicalCompound,_xlpm.Source,_xlpm.AmountApplied,_xlpm.ProductIngredient1,_xlpm.ProductIngredientPercent1,_xlop.ProductIngredientSource,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_xlpm.ProductIngredientSource, IF(_xlpm.ProductIngredientSource = "", "Global", _xlpm.ProductIngredientSource), '5.5.1.1-2 Leaching and runoff'!Fertiliser_InputFunctions.Fertiliser_SumProductApplied(_xlpm.ChemicalCompound, _xlpm.ProductIngredient1, _xlpm.calculatedAmount1, _xlpm.Source, _xlpm.ProductIngredientSource) + IFERROR('5.5.1.1-2 Leaching and runoff'!Fertiliser_InputFunctions.Fertiliser_SumProductApplied(_xlpm.ChemicalCompound, _xlpm.ProductIngredient2, _xlpm.calculatedAmount2, _xlpm.Source, _xlpm.ProductIngredientSource), 0) + IFERROR('5.5.1.1-2 Leaching and runoff'!Fertiliser_InputFunctions.Fertiliser_SumProductApplied(_xlpm.ChemicalCompound, _xlpm.ProductIngredient3, _xlpm.calculatedAmount3, _xlpm.Source, _xlpm.ProductIngredientSource), 0) + IFERROR('5.5.1.1-2 Leaching and runoff'!Fertiliser_InputFunctions.Fertiliser_SumProductApplied(_xlpm.ChemicalCompound, _xlpm.ProductIngredient4, _xlpm.calculatedAmount4, _xlpm.Source, _xlpm.ProductIngredientSource), 0) + IFERROR('5.5.1.1-2 Leaching and runoff'!Fertiliser_InputFunctions.Fertiliser_SumProductApplied(_xlpm.ChemicalCompound, _xlpm.ProductIngredient5, _xlpm.calculatedAmount5, _xlpm.Source, _xlpm.ProductIngredientSource), 0) + IFERROR('5.5.1.1-2 Leaching and runoff'!Fertiliser_InputFunctions.Fertiliser_SumProductApplied(_xlpm.ChemicalCompound, _xlpm.ProductIngredient6, _xlpm.calculatedAmount6, _xlpm.Source, _xlpm.ProductIngredientSource), 0)))</definedName>
    <definedName name="Fertiliser_InputFunctions.Fertiliser_TotalChemicalCompoundtAppliedBySourceAllIngredients" localSheetId="31">_xlfn.LAMBDA(_xlpm.ChemicalCompound,_xlpm.Source,_xlpm.AmountApplied,_xlpm.ProductIngredient1,_xlpm.ProductIngredientPercent1,_xlop.ProductIngredientSource,_xlop.ProductIngredient2,_xlop.ProductIngredientPercent2,_xlop.ProductIngredient3,_xlop.ProductIngredientPercent3,_xlop.ProductIngredient4,_xlop.ProductIngredientPercent4,_xlop.ProductIngredient5,_xlop.ProductIngredientPercent5,_xlop.ProductIngredient6,_xlop.ProductIngredientPercent6,
  _xlfn.LET(
    _xlpm.calculatedAmount1,
    (
      _xlpm.AmountApplied * _xlpm.ProductIngredientPercent1
    ),
    _xlpm.calculatedAmount2,
    (
      _xlpm.AmountApplied * _xlpm.ProductIngredientPercent2
    ),
    _xlpm.calculatedAmount3,
    (
      _xlpm.AmountApplied * _xlpm.ProductIngredientPercent3
    ),
    _xlpm.calculatedAmount4,
    (
      _xlpm.AmountApplied * _xlpm.ProductIngredientPercent4
    ),
    _xlpm.calculatedAmount5,
    (
      _xlpm.AmountApplied * _xlpm.ProductIngredientPercent5
    ),
    _xlpm.calculatedAmount6,
    (
      _xlpm.AmountApplied * _xlpm.ProductIngredientPercent6
    ),
    _xlpm.ProductIngredientSource,
    IF(
      _xlpm.ProductIngredientSource = "",
      "Global",
      _xlpm.ProductIngredientSource
    ),
    '6.2.1.1-2 Pasture residue N2O'!Fertiliser_InputFunctions.Fertiliser_SumProductApplied(
      _xlpm.ChemicalCompound,
      _xlpm.ProductIngredient1,
      _xlpm.calculatedAmount1,
      _xlpm.Source,
      _xlpm.ProductIngredientSource
    ) + IFERROR(
      '6.2.1.1-2 Pasture residue N2O'!Fertiliser_InputFunctions.Fertiliser_SumProductApplied(
        _xlpm.ChemicalCompound,
        _xlpm.ProductIngredient2,
        _xlpm.calculatedAmount2,
        _xlpm.Source,
        _xlpm.ProductIngredientSource
      ),
      0
    ) + IFERROR(
      '6.2.1.1-2 Pasture residue N2O'!Fertiliser_InputFunctions.Fertiliser_SumProductApplied(
        _xlpm.ChemicalCompound,
        _xlpm.ProductIngredient3,
        _xlpm.calculatedAmount3,
        _xlpm.Source,
        _xlpm.ProductIngredientSource
      ),
      0
    ) + IFERROR(
      '6.2.1.1-2 Pasture residue N2O'!Fertiliser_InputFunctions.Fertiliser_SumProductApplied(
        _xlpm.ChemicalCompound,
        _xlpm.ProductIngredient4,
        _xlpm.calculatedAmount4,
        _xlpm.Source,
        _xlpm.ProductIngredientSource
      ),
      0
    ) + IFERROR(
      '6.2.1.1-2 Pasture residue N2O'!Fertiliser_InputFunctions.Fertiliser_SumProductApplied(
        _xlpm.ChemicalCompound,
        _xlpm.ProductIngredient5,
        _xlpm.calculatedAmount5,
        _xlpm.Source,
        _xlpm.ProductIngredientSource
      ),
      0
    ) + IFERROR(
      '6.2.1.1-2 Pasture residue N2O'!Fertiliser_InputFunctions.Fertiliser_SumProductApplied(
        _xlpm.ChemicalCompound,
        _xlpm.ProductIngredient6,
        _xlpm.calculatedAmount6,
        _xlpm.Source,
        _xlpm.ProductIngredientSource
      ),
      0
    )
  )
)</definedName>
    <definedName name="Fertiliser_InputFunctions.Fertiliser_TotalChemicalCompoundtAppliedBySourceAllIngredients" localSheetId="32">_xlfn.LAMBDA(_xlpm.ChemicalCompound,_xlpm.Source,_xlpm.AmountApplied,_xlpm.ProductIngredient1,_xlpm.ProductIngredientPercent1,_xlop.ProductIngredientSource,_xlop.ProductIngredient2,_xlop.ProductIngredientPercent2,_xlop.ProductIngredient3,_xlop.ProductIngredientPercent3,_xlop.ProductIngredient4,_xlop.ProductIngredientPercent4,_xlop.ProductIngredient5,_xlop.ProductIngredientPercent5,_xlop.ProductIngredient6,_xlop.ProductIngredientPercent6,
  _xlfn.LET(
    _xlpm.calculatedAmount1,
    (
      _xlpm.AmountApplied * _xlpm.ProductIngredientPercent1
    ),
    _xlpm.calculatedAmount2,
    (
      _xlpm.AmountApplied * _xlpm.ProductIngredientPercent2
    ),
    _xlpm.calculatedAmount3,
    (
      _xlpm.AmountApplied * _xlpm.ProductIngredientPercent3
    ),
    _xlpm.calculatedAmount4,
    (
      _xlpm.AmountApplied * _xlpm.ProductIngredientPercent4
    ),
    _xlpm.calculatedAmount5,
    (
      _xlpm.AmountApplied * _xlpm.ProductIngredientPercent5
    ),
    _xlpm.calculatedAmount6,
    (
      _xlpm.AmountApplied * _xlpm.ProductIngredientPercent6
    ),
    _xlpm.ProductIngredientSource,
    IF(
      _xlpm.ProductIngredientSource = "",
      "Global",
      _xlpm.ProductIngredientSource
    ),
    '6.3.1.1-2 Leach runoff pasture'!Fertiliser_InputFunctions.Fertiliser_SumProductApplied(
      _xlpm.ChemicalCompound,
      _xlpm.ProductIngredient1,
      _xlpm.calculatedAmount1,
      _xlpm.Source,
      _xlpm.ProductIngredientSource
    ) + IFERROR(
      '6.3.1.1-2 Leach runoff pasture'!Fertiliser_InputFunctions.Fertiliser_SumProductApplied(
        _xlpm.ChemicalCompound,
        _xlpm.ProductIngredient2,
        _xlpm.calculatedAmount2,
        _xlpm.Source,
        _xlpm.ProductIngredientSource
      ),
      0
    ) + IFERROR(
      '6.3.1.1-2 Leach runoff pasture'!Fertiliser_InputFunctions.Fertiliser_SumProductApplied(
        _xlpm.ChemicalCompound,
        _xlpm.ProductIngredient3,
        _xlpm.calculatedAmount3,
        _xlpm.Source,
        _xlpm.ProductIngredientSource
      ),
      0
    ) + IFERROR(
      '6.3.1.1-2 Leach runoff pasture'!Fertiliser_InputFunctions.Fertiliser_SumProductApplied(
        _xlpm.ChemicalCompound,
        _xlpm.ProductIngredient4,
        _xlpm.calculatedAmount4,
        _xlpm.Source,
        _xlpm.ProductIngredientSource
      ),
      0
    ) + IFERROR(
      '6.3.1.1-2 Leach runoff pasture'!Fertiliser_InputFunctions.Fertiliser_SumProductApplied(
        _xlpm.ChemicalCompound,
        _xlpm.ProductIngredient5,
        _xlpm.calculatedAmount5,
        _xlpm.Source,
        _xlpm.ProductIngredientSource
      ),
      0
    ) + IFERROR(
      '6.3.1.1-2 Leach runoff pasture'!Fertiliser_InputFunctions.Fertiliser_SumProductApplied(
        _xlpm.ChemicalCompound,
        _xlpm.ProductIngredient6,
        _xlpm.calculatedAmount6,
        _xlpm.Source,
        _xlpm.ProductIngredientSource
      ),
      0
    )
  )
)</definedName>
    <definedName name="Fertiliser_InputFunctions.Fertiliser_TotalChemicalCompoundtAppliedBySourceAllIngredients" localSheetId="48">_xlfn.LAMBDA(_xlpm.ChemicalCompound,_xlpm.Source,_xlpm.AmountApplied,_xlpm.ProductIngredient1,_xlpm.ProductIngredientPercent1,_xlop.ProductIngredientSource,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_xlpm.ProductIngredientSource, IF(_xlpm.ProductIngredientSource = "", "Global", _xlpm.ProductIngredientSource), [0]!Fertiliser_InputFunctions.Fertiliser_SumProductApplied(_xlpm.ChemicalCompound, _xlpm.ProductIngredient1, _xlpm.calculatedAmount1, _xlpm.Source, _xlpm.ProductIngredientSource) + IFERROR([0]!Fertiliser_InputFunctions.Fertiliser_SumProductApplied(_xlpm.ChemicalCompound, _xlpm.ProductIngredient2, _xlpm.calculatedAmount2, _xlpm.Source, _xlpm.ProductIngredientSource), 0) + IFERROR([0]!Fertiliser_InputFunctions.Fertiliser_SumProductApplied(_xlpm.ChemicalCompound, _xlpm.ProductIngredient3, _xlpm.calculatedAmount3, _xlpm.Source, _xlpm.ProductIngredientSource), 0) + IFERROR([0]!Fertiliser_InputFunctions.Fertiliser_SumProductApplied(_xlpm.ChemicalCompound, _xlpm.ProductIngredient4, _xlpm.calculatedAmount4, _xlpm.Source, _xlpm.ProductIngredientSource), 0) + IFERROR([0]!Fertiliser_InputFunctions.Fertiliser_SumProductApplied(_xlpm.ChemicalCompound, _xlpm.ProductIngredient5, _xlpm.calculatedAmount5, _xlpm.Source, _xlpm.ProductIngredientSource), 0) + IFERROR([0]!Fertiliser_InputFunctions.Fertiliser_SumProductApplied(_xlpm.ChemicalCompound, _xlpm.ProductIngredient6, _xlpm.calculatedAmount6, _xlpm.Source, _xlpm.ProductIngredientSource), 0)))</definedName>
    <definedName name="Fertiliser_InputFunctions.Fertiliser_TotalChemicalCompoundtAppliedBySourceAllIngredients" localSheetId="38">_xlfn.LAMBDA(_xlpm.ChemicalCompound,_xlpm.Source,_xlpm.AmountApplied,_xlpm.ProductIngredient1,_xlpm.ProductIngredientPercent1,_xlop.ProductIngredientSource,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_xlpm.ProductIngredientSource, IF(_xlpm.ProductIngredientSource = "", "Global", _xlpm.ProductIngredientSource), 'Calcs - Manure sent off-site'!Fertiliser_InputFunctions.Fertiliser_SumProductApplied(_xlpm.ChemicalCompound, _xlpm.ProductIngredient1, _xlpm.calculatedAmount1, _xlpm.Source, _xlpm.ProductIngredientSource) + IFERROR('Calcs - Manure sent off-site'!Fertiliser_InputFunctions.Fertiliser_SumProductApplied(_xlpm.ChemicalCompound, _xlpm.ProductIngredient2, _xlpm.calculatedAmount2, _xlpm.Source, _xlpm.ProductIngredientSource), 0) + IFERROR('Calcs - Manure sent off-site'!Fertiliser_InputFunctions.Fertiliser_SumProductApplied(_xlpm.ChemicalCompound, _xlpm.ProductIngredient3, _xlpm.calculatedAmount3, _xlpm.Source, _xlpm.ProductIngredientSource), 0) + IFERROR('Calcs - Manure sent off-site'!Fertiliser_InputFunctions.Fertiliser_SumProductApplied(_xlpm.ChemicalCompound, _xlpm.ProductIngredient4, _xlpm.calculatedAmount4, _xlpm.Source, _xlpm.ProductIngredientSource), 0) + IFERROR('Calcs - Manure sent off-site'!Fertiliser_InputFunctions.Fertiliser_SumProductApplied(_xlpm.ChemicalCompound, _xlpm.ProductIngredient5, _xlpm.calculatedAmount5, _xlpm.Source, _xlpm.ProductIngredientSource), 0) + IFERROR('Calcs - Manure sent off-site'!Fertiliser_InputFunctions.Fertiliser_SumProductApplied(_xlpm.ChemicalCompound, _xlpm.ProductIngredient6, _xlpm.calculatedAmount6, _xlpm.Source, _xlpm.ProductIngredientSource), 0)))</definedName>
    <definedName name="Fertiliser_InputFunctions.Fertiliser_TotalChemicalCompoundtAppliedBySourceAllIngredients" localSheetId="40">_xlfn.LAMBDA(_xlpm.ChemicalCompound,_xlpm.Source,_xlpm.AmountApplied,_xlpm.ProductIngredient1,_xlpm.ProductIngredientPercent1,_xlop.ProductIngredientSource,_xlop.ProductIngredient2,_xlop.ProductIngredientPercent2,_xlop.ProductIngredient3,_xlop.ProductIngredientPercent3,_xlop.ProductIngredient4,_xlop.ProductIngredientPercent4,_xlop.ProductIngredient5,_xlop.ProductIngredientPercent5,_xlop.ProductIngredient6,_xlop.ProductIngredientPercent6,
  _xlfn.LET(
    _xlpm.calculatedAmount1,
    (
      _xlpm.AmountApplied * _xlpm.ProductIngredientPercent1
    ),
    _xlpm.calculatedAmount2,
    (
      _xlpm.AmountApplied * _xlpm.ProductIngredientPercent2
    ),
    _xlpm.calculatedAmount3,
    (
      _xlpm.AmountApplied * _xlpm.ProductIngredientPercent3
    ),
    _xlpm.calculatedAmount4,
    (
      _xlpm.AmountApplied * _xlpm.ProductIngredientPercent4
    ),
    _xlpm.calculatedAmount5,
    (
      _xlpm.AmountApplied * _xlpm.ProductIngredientPercent5
    ),
    _xlpm.calculatedAmount6,
    (
      _xlpm.AmountApplied * _xlpm.ProductIngredientPercent6
    ),
    _xlpm.ProductIngredientSource,
    IF(
      _xlpm.ProductIngredientSource = "",
      "Global",
      _xlpm.ProductIngredientSource
    ),
    'Constants - Ag Residue'!Fertiliser_InputFunctions.Fertiliser_SumProductApplied(
      _xlpm.ChemicalCompound,
      _xlpm.ProductIngredient1,
      _xlpm.calculatedAmount1,
      _xlpm.Source,
      _xlpm.ProductIngredientSource
    ) + IFERROR(
      'Constants - Ag Residue'!Fertiliser_InputFunctions.Fertiliser_SumProductApplied(
        _xlpm.ChemicalCompound,
        _xlpm.ProductIngredient2,
        _xlpm.calculatedAmount2,
        _xlpm.Source,
        _xlpm.ProductIngredientSource
      ),
      0
    ) + IFERROR(
      'Constants - Ag Residue'!Fertiliser_InputFunctions.Fertiliser_SumProductApplied(
        _xlpm.ChemicalCompound,
        _xlpm.ProductIngredient3,
        _xlpm.calculatedAmount3,
        _xlpm.Source,
        _xlpm.ProductIngredientSource
      ),
      0
    ) + IFERROR(
      'Constants - Ag Residue'!Fertiliser_InputFunctions.Fertiliser_SumProductApplied(
        _xlpm.ChemicalCompound,
        _xlpm.ProductIngredient4,
        _xlpm.calculatedAmount4,
        _xlpm.Source,
        _xlpm.ProductIngredientSource
      ),
      0
    ) + IFERROR(
      'Constants - Ag Residue'!Fertiliser_InputFunctions.Fertiliser_SumProductApplied(
        _xlpm.ChemicalCompound,
        _xlpm.ProductIngredient5,
        _xlpm.calculatedAmount5,
        _xlpm.Source,
        _xlpm.ProductIngredientSource
      ),
      0
    ) + IFERROR(
      'Constants - Ag Residue'!Fertiliser_InputFunctions.Fertiliser_SumProductApplied(
        _xlpm.ChemicalCompound,
        _xlpm.ProductIngredient6,
        _xlpm.calculatedAmount6,
        _xlpm.Source,
        _xlpm.ProductIngredientSource
      ),
      0
    )
  )
)</definedName>
    <definedName name="Fertiliser_InputFunctions.Fertiliser_TotalChemicalCompoundtAppliedBySourceAllIngredients" localSheetId="41">_xlfn.LAMBDA(_xlpm.ChemicalCompound,_xlpm.Source,_xlpm.AmountApplied,_xlpm.ProductIngredient1,_xlpm.ProductIngredientPercent1,_xlop.ProductIngredientSource,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_xlpm.ProductIngredientSource, IF(_xlpm.ProductIngredientSource = "", "Global", _xlpm.ProductIngredientSource), [0]!Fertiliser_InputFunctions.Fertiliser_SumProductApplied(_xlpm.ChemicalCompound, _xlpm.ProductIngredient1, _xlpm.calculatedAmount1, _xlpm.Source, _xlpm.ProductIngredientSource) + IFERROR([0]!Fertiliser_InputFunctions.Fertiliser_SumProductApplied(_xlpm.ChemicalCompound, _xlpm.ProductIngredient2, _xlpm.calculatedAmount2, _xlpm.Source, _xlpm.ProductIngredientSource), 0) + IFERROR([0]!Fertiliser_InputFunctions.Fertiliser_SumProductApplied(_xlpm.ChemicalCompound, _xlpm.ProductIngredient3, _xlpm.calculatedAmount3, _xlpm.Source, _xlpm.ProductIngredientSource), 0) + IFERROR([0]!Fertiliser_InputFunctions.Fertiliser_SumProductApplied(_xlpm.ChemicalCompound, _xlpm.ProductIngredient4, _xlpm.calculatedAmount4, _xlpm.Source, _xlpm.ProductIngredientSource), 0) + IFERROR([0]!Fertiliser_InputFunctions.Fertiliser_SumProductApplied(_xlpm.ChemicalCompound, _xlpm.ProductIngredient5, _xlpm.calculatedAmount5, _xlpm.Source, _xlpm.ProductIngredientSource), 0) + IFERROR([0]!Fertiliser_InputFunctions.Fertiliser_SumProductApplied(_xlpm.ChemicalCompound, _xlpm.ProductIngredient6, _xlpm.calculatedAmount6, _xlpm.Source, _xlpm.ProductIngredientSource), 0)))</definedName>
    <definedName name="Fertiliser_InputFunctions.Fertiliser_TotalChemicalCompoundtAppliedBySourceAllIngredients" localSheetId="43">_xlfn.LAMBDA(_xlpm.ChemicalCompound,_xlpm.Source,_xlpm.AmountApplied,_xlpm.ProductIngredient1,_xlpm.ProductIngredientPercent1,_xlop.ProductIngredientSource,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_xlpm.ProductIngredientSource, IF(_xlpm.ProductIngredientSource = "", "Global", _xlpm.ProductIngredientSource), 'Constants - Fertiliser'!Fertiliser_InputFunctions.Fertiliser_SumProductApplied(_xlpm.ChemicalCompound, _xlpm.ProductIngredient1, _xlpm.calculatedAmount1, _xlpm.Source, _xlpm.ProductIngredientSource) + IFERROR('Constants - Fertiliser'!Fertiliser_InputFunctions.Fertiliser_SumProductApplied(_xlpm.ChemicalCompound, _xlpm.ProductIngredient2, _xlpm.calculatedAmount2, _xlpm.Source, _xlpm.ProductIngredientSource), 0) + IFERROR('Constants - Fertiliser'!Fertiliser_InputFunctions.Fertiliser_SumProductApplied(_xlpm.ChemicalCompound, _xlpm.ProductIngredient3, _xlpm.calculatedAmount3, _xlpm.Source, _xlpm.ProductIngredientSource), 0) + IFERROR('Constants - Fertiliser'!Fertiliser_InputFunctions.Fertiliser_SumProductApplied(_xlpm.ChemicalCompound, _xlpm.ProductIngredient4, _xlpm.calculatedAmount4, _xlpm.Source, _xlpm.ProductIngredientSource), 0) + IFERROR('Constants - Fertiliser'!Fertiliser_InputFunctions.Fertiliser_SumProductApplied(_xlpm.ChemicalCompound, _xlpm.ProductIngredient5, _xlpm.calculatedAmount5, _xlpm.Source, _xlpm.ProductIngredientSource), 0) + IFERROR('Constants - Fertiliser'!Fertiliser_InputFunctions.Fertiliser_SumProductApplied(_xlpm.ChemicalCompound, _xlpm.ProductIngredient6, _xlpm.calculatedAmount6, _xlpm.Source, _xlpm.ProductIngredientSource), 0)))</definedName>
    <definedName name="Fertiliser_InputFunctions.Fertiliser_TotalChemicalCompoundtAppliedBySourceAllIngredients" localSheetId="39">_xlfn.LAMBDA(_xlpm.ChemicalCompound,_xlpm.Source,_xlpm.AmountApplied,_xlpm.ProductIngredient1,_xlpm.ProductIngredientPercent1,_xlop.ProductIngredientSource,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_xlpm.ProductIngredientSource, IF(_xlpm.ProductIngredientSource = "", "Global", _xlpm.ProductIngredientSource), [0]!Fertiliser_InputFunctions.Fertiliser_SumProductApplied(_xlpm.ChemicalCompound, _xlpm.ProductIngredient1, _xlpm.calculatedAmount1, _xlpm.Source, _xlpm.ProductIngredientSource) + IFERROR([0]!Fertiliser_InputFunctions.Fertiliser_SumProductApplied(_xlpm.ChemicalCompound, _xlpm.ProductIngredient2, _xlpm.calculatedAmount2, _xlpm.Source, _xlpm.ProductIngredientSource), 0) + IFERROR([0]!Fertiliser_InputFunctions.Fertiliser_SumProductApplied(_xlpm.ChemicalCompound, _xlpm.ProductIngredient3, _xlpm.calculatedAmount3, _xlpm.Source, _xlpm.ProductIngredientSource), 0) + IFERROR([0]!Fertiliser_InputFunctions.Fertiliser_SumProductApplied(_xlpm.ChemicalCompound, _xlpm.ProductIngredient4, _xlpm.calculatedAmount4, _xlpm.Source, _xlpm.ProductIngredientSource), 0) + IFERROR([0]!Fertiliser_InputFunctions.Fertiliser_SumProductApplied(_xlpm.ChemicalCompound, _xlpm.ProductIngredient5, _xlpm.calculatedAmount5, _xlpm.Source, _xlpm.ProductIngredientSource), 0) + IFERROR([0]!Fertiliser_InputFunctions.Fertiliser_SumProductApplied(_xlpm.ChemicalCompound, _xlpm.ProductIngredient6, _xlpm.calculatedAmount6, _xlpm.Source, _xlpm.ProductIngredientSource), 0)))</definedName>
    <definedName name="Fertiliser_InputFunctions.Fertiliser_TotalChemicalCompoundtAppliedBySourceAllIngredients" localSheetId="45">_xlfn.LAMBDA(_xlpm.ChemicalCompound,_xlpm.Source,_xlpm.AmountApplied,_xlpm.ProductIngredient1,_xlpm.ProductIngredientPercent1,_xlop.ProductIngredientSource,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_xlpm.ProductIngredientSource, IF(_xlpm.ProductIngredientSource = "", "Global", _xlpm.ProductIngredientSource), 'Constants - Scope 3'!Fertiliser_InputFunctions.Fertiliser_SumProductApplied(_xlpm.ChemicalCompound, _xlpm.ProductIngredient1, _xlpm.calculatedAmount1, _xlpm.Source, _xlpm.ProductIngredientSource) + IFERROR('Constants - Scope 3'!Fertiliser_InputFunctions.Fertiliser_SumProductApplied(_xlpm.ChemicalCompound, _xlpm.ProductIngredient2, _xlpm.calculatedAmount2, _xlpm.Source, _xlpm.ProductIngredientSource), 0) + IFERROR('Constants - Scope 3'!Fertiliser_InputFunctions.Fertiliser_SumProductApplied(_xlpm.ChemicalCompound, _xlpm.ProductIngredient3, _xlpm.calculatedAmount3, _xlpm.Source, _xlpm.ProductIngredientSource), 0) + IFERROR('Constants - Scope 3'!Fertiliser_InputFunctions.Fertiliser_SumProductApplied(_xlpm.ChemicalCompound, _xlpm.ProductIngredient4, _xlpm.calculatedAmount4, _xlpm.Source, _xlpm.ProductIngredientSource), 0) + IFERROR('Constants - Scope 3'!Fertiliser_InputFunctions.Fertiliser_SumProductApplied(_xlpm.ChemicalCompound, _xlpm.ProductIngredient5, _xlpm.calculatedAmount5, _xlpm.Source, _xlpm.ProductIngredientSource), 0) + IFERROR('Constants - Scope 3'!Fertiliser_InputFunctions.Fertiliser_SumProductApplied(_xlpm.ChemicalCompound, _xlpm.ProductIngredient6, _xlpm.calculatedAmount6, _xlpm.Source, _xlpm.ProductIngredientSource), 0)))</definedName>
    <definedName name="Fertiliser_InputFunctions.Fertiliser_TotalChemicalCompoundtAppliedBySourceAllIngredients" localSheetId="7">_xlfn.LAMBDA(_xlpm.ChemicalCompound,_xlpm.Source,_xlpm.AmountApplied,_xlpm.ProductIngredient1,_xlpm.ProductIngredientPercent1,_xlop.ProductIngredientSource,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_xlpm.ProductIngredientSource, IF(_xlpm.ProductIngredientSource = "", "Global", _xlpm.ProductIngredientSource), 'Input - Beef cattle purchases'!Fertiliser_InputFunctions.Fertiliser_SumProductApplied(_xlpm.ChemicalCompound, _xlpm.ProductIngredient1, _xlpm.calculatedAmount1, _xlpm.Source, _xlpm.ProductIngredientSource) + IFERROR('Input - Beef cattle purchases'!Fertiliser_InputFunctions.Fertiliser_SumProductApplied(_xlpm.ChemicalCompound, _xlpm.ProductIngredient2, _xlpm.calculatedAmount2, _xlpm.Source, _xlpm.ProductIngredientSource), 0) + IFERROR('Input - Beef cattle purchases'!Fertiliser_InputFunctions.Fertiliser_SumProductApplied(_xlpm.ChemicalCompound, _xlpm.ProductIngredient3, _xlpm.calculatedAmount3, _xlpm.Source, _xlpm.ProductIngredientSource), 0) + IFERROR('Input - Beef cattle purchases'!Fertiliser_InputFunctions.Fertiliser_SumProductApplied(_xlpm.ChemicalCompound, _xlpm.ProductIngredient4, _xlpm.calculatedAmount4, _xlpm.Source, _xlpm.ProductIngredientSource), 0) + IFERROR('Input - Beef cattle purchases'!Fertiliser_InputFunctions.Fertiliser_SumProductApplied(_xlpm.ChemicalCompound, _xlpm.ProductIngredient5, _xlpm.calculatedAmount5, _xlpm.Source, _xlpm.ProductIngredientSource), 0) + IFERROR('Input - Beef cattle purchases'!Fertiliser_InputFunctions.Fertiliser_SumProductApplied(_xlpm.ChemicalCompound, _xlpm.ProductIngredient6, _xlpm.calculatedAmount6, _xlpm.Source, _xlpm.ProductIngredientSource), 0)))</definedName>
    <definedName name="Fertiliser_InputFunctions.Fertiliser_TotalChemicalCompoundtAppliedBySourceAllIngredients" localSheetId="13">_xlfn.LAMBDA(_xlpm.ChemicalCompound,_xlpm.Source,_xlpm.AmountApplied,_xlpm.ProductIngredient1,_xlpm.ProductIngredientPercent1,_xlop.ProductIngredientSource,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_xlpm.ProductIngredientSource, IF(_xlpm.ProductIngredientSource = "", "Global", _xlpm.ProductIngredientSource), 'Input - Common farm inputs'!Fertiliser_InputFunctions.Fertiliser_SumProductApplied(_xlpm.ChemicalCompound, _xlpm.ProductIngredient1, _xlpm.calculatedAmount1, _xlpm.Source, _xlpm.ProductIngredientSource) + IFERROR('Input - Common farm inputs'!Fertiliser_InputFunctions.Fertiliser_SumProductApplied(_xlpm.ChemicalCompound, _xlpm.ProductIngredient2, _xlpm.calculatedAmount2, _xlpm.Source, _xlpm.ProductIngredientSource), 0) + IFERROR('Input - Common farm inputs'!Fertiliser_InputFunctions.Fertiliser_SumProductApplied(_xlpm.ChemicalCompound, _xlpm.ProductIngredient3, _xlpm.calculatedAmount3, _xlpm.Source, _xlpm.ProductIngredientSource), 0) + IFERROR('Input - Common farm inputs'!Fertiliser_InputFunctions.Fertiliser_SumProductApplied(_xlpm.ChemicalCompound, _xlpm.ProductIngredient4, _xlpm.calculatedAmount4, _xlpm.Source, _xlpm.ProductIngredientSource), 0) + IFERROR('Input - Common farm inputs'!Fertiliser_InputFunctions.Fertiliser_SumProductApplied(_xlpm.ChemicalCompound, _xlpm.ProductIngredient5, _xlpm.calculatedAmount5, _xlpm.Source, _xlpm.ProductIngredientSource), 0) + IFERROR('Input - Common farm inputs'!Fertiliser_InputFunctions.Fertiliser_SumProductApplied(_xlpm.ChemicalCompound, _xlpm.ProductIngredient6, _xlpm.calculatedAmount6, _xlpm.Source, _xlpm.ProductIngredientSource), 0)))</definedName>
    <definedName name="Fertiliser_InputFunctions.Fertiliser_TotalChemicalCompoundtAppliedBySourceAllIngredients" localSheetId="14">_xlfn.LAMBDA(_xlpm.ChemicalCompound,_xlpm.Source,_xlpm.AmountApplied,_xlpm.ProductIngredient1,_xlpm.ProductIngredientPercent1,_xlop.ProductIngredientSource,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_xlpm.ProductIngredientSource, IF(_xlpm.ProductIngredientSource = "", "Global", _xlpm.ProductIngredientSource), 'Input - Crop pasture farm input'!Fertiliser_InputFunctions.Fertiliser_SumProductApplied(_xlpm.ChemicalCompound, _xlpm.ProductIngredient1, _xlpm.calculatedAmount1, _xlpm.Source, _xlpm.ProductIngredientSource) + IFERROR('Input - Crop pasture farm input'!Fertiliser_InputFunctions.Fertiliser_SumProductApplied(_xlpm.ChemicalCompound, _xlpm.ProductIngredient2, _xlpm.calculatedAmount2, _xlpm.Source, _xlpm.ProductIngredientSource), 0) + IFERROR('Input - Crop pasture farm input'!Fertiliser_InputFunctions.Fertiliser_SumProductApplied(_xlpm.ChemicalCompound, _xlpm.ProductIngredient3, _xlpm.calculatedAmount3, _xlpm.Source, _xlpm.ProductIngredientSource), 0) + IFERROR('Input - Crop pasture farm input'!Fertiliser_InputFunctions.Fertiliser_SumProductApplied(_xlpm.ChemicalCompound, _xlpm.ProductIngredient4, _xlpm.calculatedAmount4, _xlpm.Source, _xlpm.ProductIngredientSource), 0) + IFERROR('Input - Crop pasture farm input'!Fertiliser_InputFunctions.Fertiliser_SumProductApplied(_xlpm.ChemicalCompound, _xlpm.ProductIngredient5, _xlpm.calculatedAmount5, _xlpm.Source, _xlpm.ProductIngredientSource), 0) + IFERROR('Input - Crop pasture farm input'!Fertiliser_InputFunctions.Fertiliser_SumProductApplied(_xlpm.ChemicalCompound, _xlpm.ProductIngredient6, _xlpm.calculatedAmount6, _xlpm.Source, _xlpm.ProductIngredientSource), 0)))</definedName>
    <definedName name="Fertiliser_InputFunctions.Fertiliser_TotalChemicalCompoundtAppliedBySourceAllIngredients" localSheetId="10">_xlfn.LAMBDA(_xlpm.ChemicalCompound,_xlpm.Source,_xlpm.AmountApplied,_xlpm.ProductIngredient1,_xlpm.ProductIngredientPercent1,_xlop.ProductIngredientSource,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_xlpm.ProductIngredientSource, IF(_xlpm.ProductIngredientSource = "", "Global", _xlpm.ProductIngredientSource), 'Input - Fertiliser'!Fertiliser_InputFunctions.Fertiliser_SumProductApplied(_xlpm.ChemicalCompound, _xlpm.ProductIngredient1, _xlpm.calculatedAmount1, _xlpm.Source, _xlpm.ProductIngredientSource) + IFERROR('Input - Fertiliser'!Fertiliser_InputFunctions.Fertiliser_SumProductApplied(_xlpm.ChemicalCompound, _xlpm.ProductIngredient2, _xlpm.calculatedAmount2, _xlpm.Source, _xlpm.ProductIngredientSource), 0) + IFERROR('Input - Fertiliser'!Fertiliser_InputFunctions.Fertiliser_SumProductApplied(_xlpm.ChemicalCompound, _xlpm.ProductIngredient3, _xlpm.calculatedAmount3, _xlpm.Source, _xlpm.ProductIngredientSource), 0) + IFERROR('Input - Fertiliser'!Fertiliser_InputFunctions.Fertiliser_SumProductApplied(_xlpm.ChemicalCompound, _xlpm.ProductIngredient4, _xlpm.calculatedAmount4, _xlpm.Source, _xlpm.ProductIngredientSource), 0) + IFERROR('Input - Fertiliser'!Fertiliser_InputFunctions.Fertiliser_SumProductApplied(_xlpm.ChemicalCompound, _xlpm.ProductIngredient5, _xlpm.calculatedAmount5, _xlpm.Source, _xlpm.ProductIngredientSource), 0) + IFERROR('Input - Fertiliser'!Fertiliser_InputFunctions.Fertiliser_SumProductApplied(_xlpm.ChemicalCompound, _xlpm.ProductIngredient6, _xlpm.calculatedAmount6, _xlpm.Source, _xlpm.ProductIngredientSource), 0)))</definedName>
    <definedName name="Fertiliser_InputFunctions.Fertiliser_TotalChemicalCompoundtAppliedBySourceAllIngredients" localSheetId="16">_xlfn.LAMBDA(_xlpm.ChemicalCompound,_xlpm.Source,_xlpm.AmountApplied,_xlpm.ProductIngredient1,_xlpm.ProductIngredientPercent1,_xlop.ProductIngredientSource,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_xlpm.ProductIngredientSource, IF(_xlpm.ProductIngredientSource = "", "Global", _xlpm.ProductIngredientSource), 'Input - Freight'!Fertiliser_InputFunctions.Fertiliser_SumProductApplied(_xlpm.ChemicalCompound, _xlpm.ProductIngredient1, _xlpm.calculatedAmount1, _xlpm.Source, _xlpm.ProductIngredientSource) + IFERROR('Input - Freight'!Fertiliser_InputFunctions.Fertiliser_SumProductApplied(_xlpm.ChemicalCompound, _xlpm.ProductIngredient2, _xlpm.calculatedAmount2, _xlpm.Source, _xlpm.ProductIngredientSource), 0) + IFERROR('Input - Freight'!Fertiliser_InputFunctions.Fertiliser_SumProductApplied(_xlpm.ChemicalCompound, _xlpm.ProductIngredient3, _xlpm.calculatedAmount3, _xlpm.Source, _xlpm.ProductIngredientSource), 0) + IFERROR('Input - Freight'!Fertiliser_InputFunctions.Fertiliser_SumProductApplied(_xlpm.ChemicalCompound, _xlpm.ProductIngredient4, _xlpm.calculatedAmount4, _xlpm.Source, _xlpm.ProductIngredientSource), 0) + IFERROR('Input - Freight'!Fertiliser_InputFunctions.Fertiliser_SumProductApplied(_xlpm.ChemicalCompound, _xlpm.ProductIngredient5, _xlpm.calculatedAmount5, _xlpm.Source, _xlpm.ProductIngredientSource), 0) + IFERROR('Input - Freight'!Fertiliser_InputFunctions.Fertiliser_SumProductApplied(_xlpm.ChemicalCompound, _xlpm.ProductIngredient6, _xlpm.calculatedAmount6, _xlpm.Source, _xlpm.ProductIngredientSource), 0)))</definedName>
    <definedName name="Fertiliser_InputFunctions.Fertiliser_TotalChemicalCompoundtAppliedBySourceAllIngredients" localSheetId="15">_xlfn.LAMBDA(_xlpm.ChemicalCompound,_xlpm.Source,_xlpm.AmountApplied,_xlpm.ProductIngredient1,_xlpm.ProductIngredientPercent1,_xlop.ProductIngredientSource,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_xlpm.ProductIngredientSource, IF(_xlpm.ProductIngredientSource = "", "Global", _xlpm.ProductIngredientSource), 'Input - Livestock farm Inputs'!Fertiliser_InputFunctions.Fertiliser_SumProductApplied(_xlpm.ChemicalCompound, _xlpm.ProductIngredient1, _xlpm.calculatedAmount1, _xlpm.Source, _xlpm.ProductIngredientSource) + IFERROR('Input - Livestock farm Inputs'!Fertiliser_InputFunctions.Fertiliser_SumProductApplied(_xlpm.ChemicalCompound, _xlpm.ProductIngredient2, _xlpm.calculatedAmount2, _xlpm.Source, _xlpm.ProductIngredientSource), 0) + IFERROR('Input - Livestock farm Inputs'!Fertiliser_InputFunctions.Fertiliser_SumProductApplied(_xlpm.ChemicalCompound, _xlpm.ProductIngredient3, _xlpm.calculatedAmount3, _xlpm.Source, _xlpm.ProductIngredientSource), 0) + IFERROR('Input - Livestock farm Inputs'!Fertiliser_InputFunctions.Fertiliser_SumProductApplied(_xlpm.ChemicalCompound, _xlpm.ProductIngredient4, _xlpm.calculatedAmount4, _xlpm.Source, _xlpm.ProductIngredientSource), 0) + IFERROR('Input - Livestock farm Inputs'!Fertiliser_InputFunctions.Fertiliser_SumProductApplied(_xlpm.ChemicalCompound, _xlpm.ProductIngredient5, _xlpm.calculatedAmount5, _xlpm.Source, _xlpm.ProductIngredientSource), 0) + IFERROR('Input - Livestock farm Inputs'!Fertiliser_InputFunctions.Fertiliser_SumProductApplied(_xlpm.ChemicalCompound, _xlpm.ProductIngredient6, _xlpm.calculatedAmount6, _xlpm.Source, _xlpm.ProductIngredientSource), 0)))</definedName>
    <definedName name="Fertiliser_InputFunctions.Fertiliser_TotalChemicalCompoundtAppliedBySourceAllIngredients" localSheetId="18">_xlfn.LAMBDA(_xlpm.ChemicalCompound,_xlpm.Source,_xlpm.AmountApplied,_xlpm.ProductIngredient1,_xlpm.ProductIngredientPercent1,_xlop.ProductIngredientSource,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_xlpm.ProductIngredientSource, IF(_xlpm.ProductIngredientSource = "", "Global", _xlpm.ProductIngredientSource), 'Input - Manure sent off-site'!Fertiliser_InputFunctions.Fertiliser_SumProductApplied(_xlpm.ChemicalCompound, _xlpm.ProductIngredient1, _xlpm.calculatedAmount1, _xlpm.Source, _xlpm.ProductIngredientSource) + IFERROR('Input - Manure sent off-site'!Fertiliser_InputFunctions.Fertiliser_SumProductApplied(_xlpm.ChemicalCompound, _xlpm.ProductIngredient2, _xlpm.calculatedAmount2, _xlpm.Source, _xlpm.ProductIngredientSource), 0) + IFERROR('Input - Manure sent off-site'!Fertiliser_InputFunctions.Fertiliser_SumProductApplied(_xlpm.ChemicalCompound, _xlpm.ProductIngredient3, _xlpm.calculatedAmount3, _xlpm.Source, _xlpm.ProductIngredientSource), 0) + IFERROR('Input - Manure sent off-site'!Fertiliser_InputFunctions.Fertiliser_SumProductApplied(_xlpm.ChemicalCompound, _xlpm.ProductIngredient4, _xlpm.calculatedAmount4, _xlpm.Source, _xlpm.ProductIngredientSource), 0) + IFERROR('Input - Manure sent off-site'!Fertiliser_InputFunctions.Fertiliser_SumProductApplied(_xlpm.ChemicalCompound, _xlpm.ProductIngredient5, _xlpm.calculatedAmount5, _xlpm.Source, _xlpm.ProductIngredientSource), 0) + IFERROR('Input - Manure sent off-site'!Fertiliser_InputFunctions.Fertiliser_SumProductApplied(_xlpm.ChemicalCompound, _xlpm.ProductIngredient6, _xlpm.calculatedAmount6, _xlpm.Source, _xlpm.ProductIngredientSource), 0)))</definedName>
    <definedName name="Fertiliser_InputFunctions.Fertiliser_TotalChemicalCompoundtAppliedBySourceAllIngredients" localSheetId="8">_xlfn.LAMBDA(_xlpm.ChemicalCompound,_xlpm.Source,_xlpm.AmountApplied,_xlpm.ProductIngredient1,_xlpm.ProductIngredientPercent1,_xlop.ProductIngredientSource,_xlop.ProductIngredient2,_xlop.ProductIngredientPercent2,_xlop.ProductIngredient3,_xlop.ProductIngredientPercent3,_xlop.ProductIngredient4,_xlop.ProductIngredientPercent4,_xlop.ProductIngredient5,_xlop.ProductIngredientPercent5,_xlop.ProductIngredient6,_xlop.ProductIngredientPercent6,
  _xlfn.LET(
    _xlpm.calculatedAmount1,
    (
      _xlpm.AmountApplied * _xlpm.ProductIngredientPercent1
    ),
    _xlpm.calculatedAmount2,
    (
      _xlpm.AmountApplied * _xlpm.ProductIngredientPercent2
    ),
    _xlpm.calculatedAmount3,
    (
      _xlpm.AmountApplied * _xlpm.ProductIngredientPercent3
    ),
    _xlpm.calculatedAmount4,
    (
      _xlpm.AmountApplied * _xlpm.ProductIngredientPercent4
    ),
    _xlpm.calculatedAmount5,
    (
      _xlpm.AmountApplied * _xlpm.ProductIngredientPercent5
    ),
    _xlpm.calculatedAmount6,
    (
      _xlpm.AmountApplied * _xlpm.ProductIngredientPercent6
    ),
    _xlpm.ProductIngredientSource,
    IF(
      _xlpm.ProductIngredientSource = "",
      "Global",
      _xlpm.ProductIngredientSource
    ),
    'Input - Pasture'!Fertiliser_InputFunctions.Fertiliser_SumProductApplied(
      _xlpm.ChemicalCompound,
      _xlpm.ProductIngredient1,
      _xlpm.calculatedAmount1,
      _xlpm.Source,
      _xlpm.ProductIngredientSource
    ) + IFERROR(
      'Input - Pasture'!Fertiliser_InputFunctions.Fertiliser_SumProductApplied(
        _xlpm.ChemicalCompound,
        _xlpm.ProductIngredient2,
        _xlpm.calculatedAmount2,
        _xlpm.Source,
        _xlpm.ProductIngredientSource
      ),
      0
    ) + IFERROR(
      'Input - Pasture'!Fertiliser_InputFunctions.Fertiliser_SumProductApplied(
        _xlpm.ChemicalCompound,
        _xlpm.ProductIngredient3,
        _xlpm.calculatedAmount3,
        _xlpm.Source,
        _xlpm.ProductIngredientSource
      ),
      0
    ) + IFERROR(
      'Input - Pasture'!Fertiliser_InputFunctions.Fertiliser_SumProductApplied(
        _xlpm.ChemicalCompound,
        _xlpm.ProductIngredient4,
        _xlpm.calculatedAmount4,
        _xlpm.Source,
        _xlpm.ProductIngredientSource
      ),
      0
    ) + IFERROR(
      'Input - Pasture'!Fertiliser_InputFunctions.Fertiliser_SumProductApplied(
        _xlpm.ChemicalCompound,
        _xlpm.ProductIngredient5,
        _xlpm.calculatedAmount5,
        _xlpm.Source,
        _xlpm.ProductIngredientSource
      ),
      0
    ) + IFERROR(
      'Input - Pasture'!Fertiliser_InputFunctions.Fertiliser_SumProductApplied(
        _xlpm.ChemicalCompound,
        _xlpm.ProductIngredient6,
        _xlpm.calculatedAmount6,
        _xlpm.Source,
        _xlpm.ProductIngredientSource
      ),
      0
    )
  )
)</definedName>
    <definedName name="Fertiliser_InputFunctions.Fertiliser_TotalChemicalCompoundtAppliedBySourceAllIngredients">_xlfn.LAMBDA(_xlpm.ChemicalCompound,_xlpm.Source,_xlpm.AmountApplied,_xlpm.ProductIngredient1,_xlpm.ProductIngredientPercent1,_xlop.ProductIngredientSource,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_xlpm.ProductIngredientSource, IF(_xlpm.ProductIngredientSource = "", "Global", _xlpm.ProductIngredientSource), Fertiliser_InputFunctions.Fertiliser_SumProductApplied(_xlpm.ChemicalCompound, _xlpm.ProductIngredient1, _xlpm.calculatedAmount1, _xlpm.Source, _xlpm.ProductIngredientSource) + IFERROR(Fertiliser_InputFunctions.Fertiliser_SumProductApplied(_xlpm.ChemicalCompound, _xlpm.ProductIngredient2, _xlpm.calculatedAmount2, _xlpm.Source, _xlpm.ProductIngredientSource), 0) + IFERROR(Fertiliser_InputFunctions.Fertiliser_SumProductApplied(_xlpm.ChemicalCompound, _xlpm.ProductIngredient3, _xlpm.calculatedAmount3, _xlpm.Source, _xlpm.ProductIngredientSource), 0) + IFERROR(Fertiliser_InputFunctions.Fertiliser_SumProductApplied(_xlpm.ChemicalCompound, _xlpm.ProductIngredient4, _xlpm.calculatedAmount4, _xlpm.Source, _xlpm.ProductIngredientSource), 0) + IFERROR(Fertiliser_InputFunctions.Fertiliser_SumProductApplied(_xlpm.ChemicalCompound, _xlpm.ProductIngredient5, _xlpm.calculatedAmount5, _xlpm.Source, _xlpm.ProductIngredientSource), 0) + IFERROR(Fertiliser_InputFunctions.Fertiliser_SumProductApplied(_xlpm.ChemicalCompound, _xlpm.ProductIngredient6, _xlpm.calculatedAmount6, _xlpm.Source, _xlpm.ProductIngredientSource), 0)))</definedName>
    <definedName name="Fertiliser_InputFunctions.Fertiliser_TotalSoilAmendmentApplied">_xlfn.LAMBDA(_xlpm.AmountApplied,_xlpm.AmendmentPercent, SUMPRODUCT(_xlpm.AmountApplied * _xlpm.AmendmentPercent))</definedName>
    <definedName name="Fertiliser_SourceData.Fertiliser_ChemicalCompoundElements_Data">_xlfn.LAMBDA(_xlfn.MAKEARRAY(20, 6, _xlfn.LAMBDA(_xlpm.r,_xlpm.c, INDEX({"Fertiliser Type f","FNinorganic,f","FUf","Basis","LifeCycles Scope 3 definition","Source";"Monoammonium phosphate (MAP)",0.1,0,"Ammonium-based fertilisers","Monoammonium phosphate (MAP)","VEERG";"Diammonium phosphate (DAP)",0.18,0,"Ammonium-based fertilisers","Diammonium phosphate (DAP)","VEERG";"Urea",0.46,1,"Urea-based fertilisers","Urea","VEERG";"Sulphate of ammonia (SOA)",0.21,0,"Ammonium-based fertilisers","Sulphate of ammonia (SOA)","VEERG";"Urea-ammonium nitrate (UAN)",0.32,0.35,"Urea-based fertilisers","Urea-ammonium nitrate (UAN)","VEERG";"Ammonium nitrate (AN)",0.337,0,"Ammonium-nitrate based fertilisers","Ammonium nitrate (AN)","VEERG";"Calcium ammonium nitrate (CAN)",0.27,0,"Ammonium-nitrate based fertilisers","Calcium ammonium nitrate (CAN)","VEERG";"Nitrogen - Ammoniacal",1,0,"Ammonium-based fertilisers","Nitrogen - Ammoniacal","LifeCycles";"Nitrogen - Nitrate",1,0,"Nitrate-based fertilisers","Nitrogen from Nitrate","LifeCycles";"Nitrogen - Generic",1,0,"Urea-based fertilisers","Nitrogen from fertiliser","LifeCycles";"Phosphorus - Generic",0,0,"Other fertilisers","Phosphorus from fertiliser","LifeCycles";"Potassium - Generic",0,0,"Other fertilisers","Potassium from fertiliser","LifeCycles";"Sulfur - Generic",0,0,"Other fertilisers","Sulfur from fertiliser","LifeCycles";"Zinc - Generic",0,0,"Other fertilisers","Zinc from fertiliser","LifeCycles";"Muriate of potash (MOP)",0,0,"Other fertilisers","Muriate of potash (MOP)","LifeCycles";"Double superphosphate",0,0,"Other fertilisers","Double superphosphate","LifeCycles";"Single superphosphate (SSP)",0,0,"Other fertilisers","Single superphosphate (SSP)","LifeCycles";"Ammonia",0.8235,0,"Ammonium-based fertilisers","Ammonia","LifeCycles";"Calcium nitrate",0.155,0,"Nitrate-based fertilisers","Calcium nitrate","VEERG"}, _xlpm.r, _xlpm.c))))</definedName>
    <definedName name="Fertiliser_SourceData.Fertiliser_ChemicalCompoundElements_Description">_xlfn.LAMBDA(("Chemical compounds used in fertilisers, along with their elemental composition"))</definedName>
    <definedName name="Fertiliser_SourceData.Fertiliser_ChemicalCompoundElements_Source">_xlfn.LAMBDA(("Table A.2.2.3: Fraction of nitrogen in common inorganic fertilisers (kgN/kg) (FNorganic,f) AND Table A.2.2.4: Fraction of urea in common inorganic fertilisers (kg urea/kg) (FUf)"))</definedName>
    <definedName name="Fertiliser_SourceData.Fertiliser_ChemicalCompoundElements_Title">_xlfn.LAMBDA(("Common inorganic fertilisers"))</definedName>
    <definedName name="Fertiliser_SourceData.Fertiliser_ChemicalCompoundElements_Variation">_xlfn.LAMBDA(_xlfn.MAKEARRAY(12, 1, _xlfn.LAMBDA(_xlpm.r,_xlpm.c, INDEX({"VARIATION ON SOURCE";"Added 'Basis' column to allow cross-referencing with table Table A.2.2.6: Fraction of inorganic fertiliser f that volatilises as NH3 and NOx ((kg NH3-N + NOx-N)/kg N) (FracGASFf)";"Added extra fertiliser types and generic chemical compounds to allow for custom NPKS blends";"Added extra 'Scope 3 definition' column to allow mapping with scope 3 data";"Added 'Source' column";"Combined data from Table A.2.2.3 and Table A.2.2.4 into one table to aid lookup.";"Excluded 'References' column";"Excluded 'Ammonium sulfate' as it is a duplicate of 'Sulphate of ammonia (SOA)'";"Excluded 'Calcium nitrate' as no scope 3 value available.";"Set 'Nitrogen - Generic' basis as 'Urea-based fertilisers, as urea is the most commonly used form of nitrogen in Australian fertilisers";"Set 'Urea-ammonium nitrate' basis as 'Urea-based fertiliser'";"Ammonia has an FN value of 0.8235 based on (14/17)x100, where 14 is the mass of nitrogen in ammonia and 17 is the molar mass of ammonia."}, _xlpm.r, _xlpm.c))))</definedName>
    <definedName name="Fertiliser_SourceData.Fertiliser_EFLeach_Data">_xlfn.LAMBDA(0.011)</definedName>
    <definedName name="Fertiliser_SourceData.Fertiliser_EFLeach_Source">_xlfn.LAMBDA(("VEERG 2026: 5.5.2.3 Constant Parameters"))</definedName>
    <definedName name="Fertiliser_SourceData.Fertiliser_EFLeach_Title">_xlfn.LAMBDA(("Emission factor for nitrogen leaching and runoff"))</definedName>
    <definedName name="Fertiliser_SourceData.Fertiliser_EFLeach_Unit">_xlfn.LAMBDA(("kg N2O-N / kg N"))</definedName>
    <definedName name="Fertiliser_SourceData.Fertiliser_EFLeach_Variable">_xlfn.LAMBDA(("EFLeach"))</definedName>
    <definedName name="Fertiliser_SourceData.Fertiliser_EFLeach_Variation">_xlfn.LAMBDA("")</definedName>
    <definedName name="Fertiliser_SourceData.Fertiliser_EFUreaCO2_Data">_xlfn.LAMBDA(0.2)</definedName>
    <definedName name="Fertiliser_SourceData.Fertiliser_EFUreaCO2_Source">_xlfn.LAMBDA(("VEERG 2026: 5.1.2.2 Constant Parameters"))</definedName>
    <definedName name="Fertiliser_SourceData.Fertiliser_EFUreaCO2_Title">_xlfn.LAMBDA(("Emission factor for carbon emissions from urea application"))</definedName>
    <definedName name="Fertiliser_SourceData.Fertiliser_EFUreaCO2_Unit">_xlfn.LAMBDA(("kg C/kg urea"))</definedName>
    <definedName name="Fertiliser_SourceData.Fertiliser_EFUreaCO2_Variable">_xlfn.LAMBDA(("EFureaCO2"))</definedName>
    <definedName name="Fertiliser_SourceData.Fertiliser_EFUreaCO2_Variation">_xlfn.LAMBDA("")</definedName>
    <definedName name="Fertiliser_SourceData.Fertiliser_FracGASF_Data">_xlfn.LAMBDA(_xlfn.MAKEARRAY(6, 2, _xlfn.LAMBDA(_xlpm.r,_xlpm.c, INDEX({"Fertiliser type f","FracGASFf";"Urea-based fertilisers",0.15;"Ammonium-based fertilisers",0.08;"Nitrate-based fertilisers",0.01;"Ammonium-nitrate based fertilisers",0.05;"Other fertilisers",0.11}, _xlpm.r, _xlpm.c))))</definedName>
    <definedName name="Fertiliser_SourceData.Fertiliser_FracGASF_Source" localSheetId="37">_xlfn.LAMBDA(("Table A.2.2.6: Fraction of inorganic fertiliser f that volatilises as NH3 and NOx ((kg NH3-N + NOx-N)/kg N) (FracGASFf)"))</definedName>
    <definedName name="Fertiliser_SourceData.Fertiliser_FracGASF_Source" localSheetId="25">_xlfn.LAMBDA(("Table A.2.2.6: Fraction of inorganic fertiliser f that volatilises as NH3 and NOx ((kg NH3-N + NOx-N)/kg N) (FracGASFf)"))</definedName>
    <definedName name="Fertiliser_SourceData.Fertiliser_FracGASF_Source" localSheetId="26">_xlfn.LAMBDA(("Table A.2.2.6: Fraction of inorganic fertiliser f that volatilises as NH3 and NOx ((kg NH3-N + NOx-N)/kg N) (FracGASFf)"))</definedName>
    <definedName name="Fertiliser_SourceData.Fertiliser_FracGASF_Source" localSheetId="27">_xlfn.LAMBDA(("Table A.2.2.6: Fraction of inorganic fertiliser f that volatilises as NH3 and NOx ((kg NH3-N + NOx-N)/kg N) (FracGASFf)"))</definedName>
    <definedName name="Fertiliser_SourceData.Fertiliser_FracGASF_Source" localSheetId="28">_xlfn.LAMBDA(("Table A.2.2.6: Fraction of inorganic fertiliser f that volatilises as NH3 and NOx ((kg NH3-N + NOx-N)/kg N) (FracGASFf)"))</definedName>
    <definedName name="Fertiliser_SourceData.Fertiliser_FracGASF_Source" localSheetId="29">_xlfn.LAMBDA(("Table A.2.2.6: Fraction of inorganic fertiliser f that volatilises as NH3 and NOx ((kg NH3-N + NOx-N)/kg N) (FracGASFf)"))</definedName>
    <definedName name="Fertiliser_SourceData.Fertiliser_FracGASF_Source" localSheetId="30">_xlfn.LAMBDA(("Table A.2.2.6: Fraction of inorganic fertiliser f that volatilises as NH3 and NOx ((kg NH3-N + NOx-N)/kg N) (FracGASFf)"))</definedName>
    <definedName name="Fertiliser_SourceData.Fertiliser_FracGASF_Source" localSheetId="38">_xlfn.LAMBDA(("Table A.2.2.6: Fraction of inorganic fertiliser f that volatilises as NH3 and NOx ((kg NH3-N + NOx-N)/kg N) (FracGASFf)"))</definedName>
    <definedName name="Fertiliser_SourceData.Fertiliser_FracGASF_Source" localSheetId="43">_xlfn.LAMBDA(("Table A.2.2.6: Fraction of inorganic fertiliser f that volatilises as NH3 and NOx ((kg NH3-N + NOx-N)/kg N) (FracGASFf)"))</definedName>
    <definedName name="Fertiliser_SourceData.Fertiliser_FracGASF_Source" localSheetId="45">_xlfn.LAMBDA(("Table A.2.2.6: Fraction of inorganic fertiliser f that volatilises as NH3 and NOx ((kg NH3-N + NOx-N)/kg N) (FracGASFf)"))</definedName>
    <definedName name="Fertiliser_SourceData.Fertiliser_FracGASF_Source" localSheetId="7">_xlfn.LAMBDA(("Table A.2.2.6: Fraction of inorganic fertiliser f that volatilises as NH3 and NOx ((kg NH3-N + NOx-N)/kg N) (FracGASFf)"))</definedName>
    <definedName name="Fertiliser_SourceData.Fertiliser_FracGASF_Source" localSheetId="13">_xlfn.LAMBDA(("Table A.2.2.6: Fraction of inorganic fertiliser f that volatilises as NH3 and NOx ((kg NH3-N + NOx-N)/kg N) (FracGASFf)"))</definedName>
    <definedName name="Fertiliser_SourceData.Fertiliser_FracGASF_Source" localSheetId="14">_xlfn.LAMBDA(("Table A.2.2.6: Fraction of inorganic fertiliser f that volatilises as NH3 and NOx ((kg NH3-N + NOx-N)/kg N) (FracGASFf)"))</definedName>
    <definedName name="Fertiliser_SourceData.Fertiliser_FracGASF_Source" localSheetId="10">_xlfn.LAMBDA(("Table A.2.2.6: Fraction of inorganic fertiliser f that volatilises as NH3 and NOx ((kg NH3-N + NOx-N)/kg N) (FracGASFf)"))</definedName>
    <definedName name="Fertiliser_SourceData.Fertiliser_FracGASF_Source" localSheetId="16">_xlfn.LAMBDA(("Table A.2.2.6: Fraction of inorganic fertiliser f that volatilises as NH3 and NOx ((kg NH3-N + NOx-N)/kg N) (FracGASFf)"))</definedName>
    <definedName name="Fertiliser_SourceData.Fertiliser_FracGASF_Source" localSheetId="15">_xlfn.LAMBDA(("Table A.2.2.6: Fraction of inorganic fertiliser f that volatilises as NH3 and NOx ((kg NH3-N + NOx-N)/kg N) (FracGASFf)"))</definedName>
    <definedName name="Fertiliser_SourceData.Fertiliser_FracGASF_Source" localSheetId="18">_xlfn.LAMBDA(("Table A.2.2.6: Fraction of inorganic fertiliser f that volatilises as NH3 and NOx ((kg NH3-N + NOx-N)/kg N) (FracGASFf)"))</definedName>
    <definedName name="Fertiliser_SourceData.Fertiliser_FracGASF_Source">_xlfn.LAMBDA(("Table A.2.2.6: Fraction of inorganic fertiliser f that volatilises as NH3 and NOx ((kg NH3-N + NOx-N)/kg N) (FracGASFf)"))</definedName>
    <definedName name="Fertiliser_SourceData.Fertiliser_FracGASF_Title">_xlfn.LAMBDA(("Fraction of inorganic fertiliser that volatilises as NH3 and NOx"))</definedName>
    <definedName name="Fertiliser_SourceData.Fertiliser_FracGASF_Variation">_xlfn.LAMBDA("")</definedName>
    <definedName name="Fertiliser_SourceData.Fertiliser_FracGASMSoil_Data">_xlfn.LAMBDA(0.21)</definedName>
    <definedName name="Fertiliser_SourceData.Fertiliser_FracGASMSoil_Source">_xlfn.LAMBDA(("VEERG 2026: 5.4.2.3 Constant Parameters"))</definedName>
    <definedName name="Fertiliser_SourceData.Fertiliser_FracGASMSoil_Title">_xlfn.LAMBDA(("Fraction of organic fertiliser that volatilises as NH3 and NOx"))</definedName>
    <definedName name="Fertiliser_SourceData.Fertiliser_FracGASMSoil_Unit">_xlfn.LAMBDA(("(kg NH3-N + NOx-N)/kg N"))</definedName>
    <definedName name="Fertiliser_SourceData.Fertiliser_FracGASMSoil_Variable">_xlfn.LAMBDA(("FracGASMsoil"))</definedName>
    <definedName name="Fertiliser_SourceData.Fertiliser_FracGASMSoil_Variation">_xlfn.LAMBDA("")</definedName>
    <definedName name="Fertiliser_SourceData.Fertiliser_FracLEACH_Data">_xlfn.LAMBDA(0.24)</definedName>
    <definedName name="Fertiliser_SourceData.Fertiliser_FracLEACH_Source">_xlfn.LAMBDA(("VEERG 2026: 5.5.2.3 Constant Parameters"))</definedName>
    <definedName name="Fertiliser_SourceData.Fertiliser_FracLEACH_Title">_xlfn.LAMBDA(("Fraction of nitrogen that is lost through leaching and runoff"))</definedName>
    <definedName name="Fertiliser_SourceData.Fertiliser_FracLEACH_Unit">_xlfn.LAMBDA(("fraction"))</definedName>
    <definedName name="Fertiliser_SourceData.Fertiliser_FracLEACH_Variable">_xlfn.LAMBDA(("FracLEACH"))</definedName>
    <definedName name="Fertiliser_SourceData.Fertiliser_FracLEACH_Variation">_xlfn.LAMBDA("")</definedName>
    <definedName name="Fertiliser_SourceData.Fertiliser_FractionNCommonFertilisers_Data">_xlfn.LAMBDA(_xlfn.MAKEARRAY(10, 2, _xlfn.LAMBDA(_xlpm.r,_xlpm.c, INDEX({"Fertiliser Type f","FNinorganicf";"Monoammonium phosphate (MAP)",0.1;"Diammonium phosphate (DAP)",0.18;"Urea",0.46;"Sulphate of ammonia (SOA)",0.21;"Urea-ammonium nitrate (UAN)",0.32;"Ammonium nitrate (AN)",0.337;"Calcium ammonium nitrate (CAN)",0.27;"Ammonium Sulfate",0.21;"Calcium Nitrate",0.155}, _xlpm.r, _xlpm.c))))</definedName>
    <definedName name="Fertiliser_SourceData.Fertiliser_FractionNCommonFertilisers_Source">_xlfn.LAMBDA(("VEERG 2026: Table A.2.2.3"))</definedName>
    <definedName name="Fertiliser_SourceData.Fertiliser_FractionNCommonFertilisers_Title">_xlfn.LAMBDA(("Fraction of nitrogen in common inorganic fertilisers (kgN/kg) (FNorganic,f)"))</definedName>
    <definedName name="Fertiliser_SourceData.Fertiliser_FractionNCommonFertilisers_Variation">_xlfn.LAMBDA((""))</definedName>
    <definedName name="Fertiliser_SourceData.Fertiliser_FractionUreaCommonFertilisers_Data">_xlfn.LAMBDA(_xlfn.MAKEARRAY(10, 2, _xlfn.LAMBDA(_xlpm.r,_xlpm.c, INDEX({"Fertiliser Type f","FUf";"Monoammonium phosphate (MAP)",0;"Diammonium phosphate (DAP)",0;"Urea",1;"Sulphate of ammonia (SOA)",0;"Urea-ammonium nitrate (UAN)",0.35;"Ammonium nitrate (AN)",0;"Calcium ammonium nitrate (CAN)",0;"Ammonium Sulfate",0;"Calcium Nitrate",0}, _xlpm.r, _xlpm.c))))</definedName>
    <definedName name="Fertiliser_SourceData.Fertiliser_FractionUreaCommonFertilisers_Source">_xlfn.LAMBDA(("VEERG 2026: Table A.2.2.4"))</definedName>
    <definedName name="Fertiliser_SourceData.Fertiliser_FractionUreaCommonFertilisers_Title">_xlfn.LAMBDA(("Fraction of urea in common inorganic fertilisers (kg urea/kg) (FUf)"))</definedName>
    <definedName name="Fertiliser_SourceData.Fertiliser_FractionUreaCommonFertilisers_Variation">_xlfn.LAMBDA((""))</definedName>
    <definedName name="Fertiliser_SourceData.Fertiliser_LimeDolomiteGypsumConstants_Data">_xlfn.LAMBDA(_xlfn.MAKEARRAY(4, 3, _xlfn.LAMBDA(_xlpm.r,_xlpm.c, INDEX({"Element","P","EF";"Lime (Calcium carbonate)",0.9,0.12;"Dolomite (Magnesium carbonate)",0.95,0.13;"Gypsum",0,0}, _xlpm.r, _xlpm.c))))</definedName>
    <definedName name="Fertiliser_SourceData.Fertiliser_LimeDolomiteGypsumConstants_Description">_xlfn.LAMBDA(("Constants for lime, dolomite and gypsum"))</definedName>
    <definedName name="Fertiliser_SourceData.Fertiliser_LimeDolomiteGypsumConstants_Source">_xlfn.LAMBDA(("VEERG 2026: 5.3.2.3 Constant Parameters"))</definedName>
    <definedName name="Fertiliser_SourceData.Fertiliser_LimeDolomiteGypsumConstants_Title">_xlfn.LAMBDA(("Constants for lime, dolomite and gypsum"))</definedName>
    <definedName name="Fertiliser_SourceData.Fertiliser_LimeDolomiteGypsumConstants_Variation">_xlfn.LAMBDA(("VARIATION FROM SOURCE DATA: Gypsum has been added with placeholder values of 0 for P and EF."))</definedName>
    <definedName name="Fertiliser_SourceData.Fertiliser_Products_Data1" localSheetId="37">_xlfn.LAMBDA(_xlfn.MAKEARRAY(30, 31, _xlfn.LAMBDA(_xlpm.r,_xlpm.c, INDEX({"Campbells fertilisers Australia","Aqua Finish","L",1.26,"","","",2.6,4,22.5,"","Potassium - Generic",0.225,"Phosphorus - Generic",0.04,"Nitrogen - Generic",0.026,"","","","","","","","","","","","","","";"Campbells fertilisers Australia","Aqua Grow","L",1.26,"","","",9.6,5,10.5,"","Potassium - Generic",0.105,"Nitrogen - Generic",0.096,"Phosphorus - Generic",0.05,"","","","","","","","","","","","","","";"Campbells fertilisers Australia","Aqua Nitro AN","L",1.24,"","","",22.3,"","","","Nitrogen - Ammoniacal",0.223,"","","","","","","","","","","","","","","","","","";"Campbells fertilisers Australia","Aqua NitroCal","L",1.5,"","","",13.2,"","","","Calcium",0.162,"Nitrogen - Nitrate",0.132,"","","","","","","","","","","","","","","","";"Campbells fertilisers Australia","Aqua NitroCal (VI)","L",1.5,"","","",13.2,"","","","Calcium",0.187,"Nitrogen - Nitrate",0.132,"","","","","","","","","","","","","","","","";"Campbells fertilisers Australia","Aqua NitroCal Ultimate","L",1.5,"","","",13.2,"","","","Calcium",0.183,"Nitrogen - Nitrate",0.132,"","","","","","","","","","","","","","","","";"Campbells fertilisers Australia","Aqua Start","L",1.25,"","","",10.3,10,3.4,"","Nitrogen - Generic",0.103,"Phosphorus - Generic",0.1,"Potassium - Generic",0.034,"","","","","","","","","","","","","","";"Campbells fertilisers Australia","Aqua Thio-Complete","L",1.43,"","","",2.5,3.8,22.5,"","Potassium - Generic",0.225,"Phosphorus - Generic",0.038,"Nitrogen - Generic",0.025,"","","","","","","","","","","","","","";"Campbells fertilisers Australia","Aqua Thio-Emerge","L",1.29,"","","",10.5,9.4,4,3,"Nitrogen - Generic",0.105,"Phosphorus - Generic",0.094,"Potassium - Generic",0.04,"Sulfur - Generic",0.03,"","","","","","","","","","","","";"Campbells fertilisers Australia","Aqua Thio-Flourish","L",1.32,"","","",9.5,4.7,10.8,8.1,"Potassium - Generic",0.108,"Nitrogen - Generic",0.095,"Sulfur - Generic",0.081,"Phosphorus - Generic",0.047,"","","","","","","","","","","","";"Campbells fertilisers Australia","Boost-It","kg",1,"","","",24,5.2,8,5.3,"Urea",0.521739,"Potassium - Generic",0.08,"Sulfur - Generic",0.053,"Phosphorus - Generic",0.052,"Magnesium",0.013,"Zinc",0.002,"Manganese",0.0035,"Iron",0.0013,"Copper",0.0007,"Boron",0.0007;"Campbells fertilisers Australia","Bronze","kg",1,"","","",17,0.04,11.6,0.5,"Muriate of potash (MOP)",0.232,"Nitrogen - Generic",0.17,"Sulfur - Generic",0.005,"Magnesium",0.0024,"Phosphorus - Generic",0.0004,"","","","","","","","","","";"Campbells fertilisers Australia","Calbit C","L",1.45,"","","","","","","","Calcium",0.107,"","","","","","","","","","","","","","","","","","";"Campbells fertilisers Australia","Compass","kg",1,"","","",15,6.5,12.5,6,"Nitrogen - Ammoniacal",0.075,"Nitrogen - Nitrate",0.075,"Potassium - Generic",0.125,"Phosphorus - Generic",0.065,"Sulfur - Generic",0.06,"","","","","","","","","","";"Campbells fertilisers Australia","CoRoN 12-0-10","L",1.215,"","","",12,"",10,"","Urea",0.195652,"Potassium - Generic",0.1,"Nitrogen - Generic",0.03,"Boron",0.005,"","","","","","","","","","","","";"Campbells fertilisers Australia","Maximum Quick-N","kg",1,"","","",21.66,"","",13.2,"Sulphate of ammonia (SOA)",0.55,"Ammonium nitrate (AN)",0.3,"","","","","","","","","","","","","","","","";"SL Tec","Crop Booster PLUS","L",1.319,"","","",5,15,2.1,"","Phosphorus - Generic",0.15,"Calcium",0.04,"Nitrogen - Ammoniacal",0.029,"Nitrogen - Nitrate",0.021,"Potassium - Generic",0.021,"Copper",0.005,"Zinc",0.004,"Manganese",0.004,"Magnesium",0.002,"","";"Risso-Chemical","Ammonium Bicarbonate","kg",1,"","","China",17.7,"","","","Nitrogen - Ammoniacal",0.177,"","","","","","","","","","","","","","","","","","";"Risso-Chemical","Ammonium Sulfate","kg",1,"","","China",21,"","",24,"Sulfur - Generic",0.24,"Nitrogen - Ammoniacal",0.21,"","","","","","","","","","","","","","","","";"Ravensdown","Ammonium Sulphate - Granular","kg",1,"","","",21,"","",24,"Sulphate of ammonia (SOA)",1,"","","","","","","","","","","","","","","","","","";"Impact Fertilisers","Di-Ammonium Phosphate (DAP)","kg",1,"","","",18,20,"","","Diammonium phosphate (DAP)",1,"","","","","","","","","","","","","","","","","","";"Incitec Pivot Fertilisers","Basalt BooSSta","kg",1,"","","",8,14,"",27.6,"Sulfur - Generic",0.276,"Phosphorus - Generic",0.14,"Nitrogen - Generic",0.08,"Fluoride",0.024,"","","","","","","","","","","","";"Summit Fertilizers","DAPSZC","kg",1,"","","",16.9,18.2,"",8,"Phosphorus - Generic",0.182,"Nitrogen - Generic",0.169,"Sulfur - Generic",0.08,"Zinc",0.002,"Copper",0.001,"","","","","","","","","","";"Incitec Pivot Fertilisers","Easy N","L",1.32,"","","",42.5,"","","","Urea",0.467391,"Nitrogen - Nitrate",0.105,"Nitrogen - Ammoniacal",0.105,"Biuret",0.006,"","","","","","","","","","","","";"Risso-Chemical","Calcium Ammonium nitrate","kg",1,"","","China",40.5,"","","","Nitrogen - Ammoniacal",0.27,"Nitrogen - Nitrate",0.135,"Calcium",0.12,"","","","","","","","","","","","","","";"SL Tec","CellCAL Plus","L",1.138,"","","","","","","","Calcium",0.059,"Copper",0.003,"Boron",0.001,"","","","","","","","","","","","","","";"Incitec Pivot Fertilisers","CK55","kg",1,"","","",13.5,15,6.25,1.2,"Phosphorus - Generic",0.15,"Nitrogen - Ammoniacal",0.135,"Muriate of potash (MOP)",0.125,"Fluoride",0.023,"Sulfur - Generic",0.012,"","","","","","","","","","";"Switch Ag","Crop K","L",1.25,"","","",3,"",21,"","Potassium - Generic",0.21,"Nitrogen - Generic",0.03,"","","","","","","","","","","","","","","","";"Switch Ag","Crop Starter","L",1.2,"","","",5,3,8,"","Potassium - Generic",0.08,"Nitrogen - Generic",0.05,"Phosphorus - Generic",0.03,"","","","","","","","","","","","","","";"Incitec Pivot Fertilisers","Gran-Am","kg",1,"","","",21,"","",24,"Sulphate of ammonia (SOA)",1,"","","","","","","","","","","","","","","","","",""}, _xlpm.r, _xlpm.c))))</definedName>
    <definedName name="Fertiliser_SourceData.Fertiliser_Products_Data1" localSheetId="25">_xlfn.LAMBDA(_xlfn.MAKEARRAY(30, 31, _xlfn.LAMBDA(_xlpm.r,_xlpm.c, INDEX({"Campbells fertilisers Australia","Aqua Finish","L",1.26,"","","",2.6,4,22.5,"","Potassium - Generic",0.225,"Phosphorus - Generic",0.04,"Nitrogen - Generic",0.026,"","","","","","","","","","","","","","";"Campbells fertilisers Australia","Aqua Grow","L",1.26,"","","",9.6,5,10.5,"","Potassium - Generic",0.105,"Nitrogen - Generic",0.096,"Phosphorus - Generic",0.05,"","","","","","","","","","","","","","";"Campbells fertilisers Australia","Aqua Nitro AN","L",1.24,"","","",22.3,"","","","Nitrogen - Ammoniacal",0.223,"","","","","","","","","","","","","","","","","","";"Campbells fertilisers Australia","Aqua NitroCal","L",1.5,"","","",13.2,"","","","Calcium",0.162,"Nitrogen - Nitrate",0.132,"","","","","","","","","","","","","","","","";"Campbells fertilisers Australia","Aqua NitroCal (VI)","L",1.5,"","","",13.2,"","","","Calcium",0.187,"Nitrogen - Nitrate",0.132,"","","","","","","","","","","","","","","","";"Campbells fertilisers Australia","Aqua NitroCal Ultimate","L",1.5,"","","",13.2,"","","","Calcium",0.183,"Nitrogen - Nitrate",0.132,"","","","","","","","","","","","","","","","";"Campbells fertilisers Australia","Aqua Start","L",1.25,"","","",10.3,10,3.4,"","Nitrogen - Generic",0.103,"Phosphorus - Generic",0.1,"Potassium - Generic",0.034,"","","","","","","","","","","","","","";"Campbells fertilisers Australia","Aqua Thio-Complete","L",1.43,"","","",2.5,3.8,22.5,"","Potassium - Generic",0.225,"Phosphorus - Generic",0.038,"Nitrogen - Generic",0.025,"","","","","","","","","","","","","","";"Campbells fertilisers Australia","Aqua Thio-Emerge","L",1.29,"","","",10.5,9.4,4,3,"Nitrogen - Generic",0.105,"Phosphorus - Generic",0.094,"Potassium - Generic",0.04,"Sulfur - Generic",0.03,"","","","","","","","","","","","";"Campbells fertilisers Australia","Aqua Thio-Flourish","L",1.32,"","","",9.5,4.7,10.8,8.1,"Potassium - Generic",0.108,"Nitrogen - Generic",0.095,"Sulfur - Generic",0.081,"Phosphorus - Generic",0.047,"","","","","","","","","","","","";"Campbells fertilisers Australia","Boost-It","kg",1,"","","",24,5.2,8,5.3,"Urea",0.521739,"Potassium - Generic",0.08,"Sulfur - Generic",0.053,"Phosphorus - Generic",0.052,"Magnesium",0.013,"Zinc",0.002,"Manganese",0.0035,"Iron",0.0013,"Copper",0.0007,"Boron",0.0007;"Campbells fertilisers Australia","Bronze","kg",1,"","","",17,0.04,11.6,0.5,"Muriate of potash (MOP)",0.232,"Nitrogen - Generic",0.17,"Sulfur - Generic",0.005,"Magnesium",0.0024,"Phosphorus - Generic",0.0004,"","","","","","","","","","";"Campbells fertilisers Australia","Calbit C","L",1.45,"","","","","","","","Calcium",0.107,"","","","","","","","","","","","","","","","","","";"Campbells fertilisers Australia","Compass","kg",1,"","","",15,6.5,12.5,6,"Nitrogen - Ammoniacal",0.075,"Nitrogen - Nitrate",0.075,"Potassium - Generic",0.125,"Phosphorus - Generic",0.065,"Sulfur - Generic",0.06,"","","","","","","","","","";"Campbells fertilisers Australia","CoRoN 12-0-10","L",1.215,"","","",12,"",10,"","Urea",0.195652,"Potassium - Generic",0.1,"Nitrogen - Generic",0.03,"Boron",0.005,"","","","","","","","","","","","";"Campbells fertilisers Australia","Maximum Quick-N","kg",1,"","","",21.66,"","",13.2,"Sulphate of ammonia (SOA)",0.55,"Ammonium nitrate (AN)",0.3,"","","","","","","","","","","","","","","","";"SL Tec","Crop Booster PLUS","L",1.319,"","","",5,15,2.1,"","Phosphorus - Generic",0.15,"Calcium",0.04,"Nitrogen - Ammoniacal",0.029,"Nitrogen - Nitrate",0.021,"Potassium - Generic",0.021,"Copper",0.005,"Zinc",0.004,"Manganese",0.004,"Magnesium",0.002,"","";"Risso-Chemical","Ammonium Bicarbonate","kg",1,"","","China",17.7,"","","","Nitrogen - Ammoniacal",0.177,"","","","","","","","","","","","","","","","","","";"Risso-Chemical","Ammonium Sulfate","kg",1,"","","China",21,"","",24,"Sulfur - Generic",0.24,"Nitrogen - Ammoniacal",0.21,"","","","","","","","","","","","","","","","";"Ravensdown","Ammonium Sulphate - Granular","kg",1,"","","",21,"","",24,"Sulphate of ammonia (SOA)",1,"","","","","","","","","","","","","","","","","","";"Impact Fertilisers","Di-Ammonium Phosphate (DAP)","kg",1,"","","",18,20,"","","Diammonium phosphate (DAP)",1,"","","","","","","","","","","","","","","","","","";"Incitec Pivot Fertilisers","Basalt BooSSta","kg",1,"","","",8,14,"",27.6,"Sulfur - Generic",0.276,"Phosphorus - Generic",0.14,"Nitrogen - Generic",0.08,"Fluoride",0.024,"","","","","","","","","","","","";"Summit Fertilizers","DAPSZC","kg",1,"","","",16.9,18.2,"",8,"Phosphorus - Generic",0.182,"Nitrogen - Generic",0.169,"Sulfur - Generic",0.08,"Zinc",0.002,"Copper",0.001,"","","","","","","","","","";"Incitec Pivot Fertilisers","Easy N","L",1.32,"","","",42.5,"","","","Urea",0.467391,"Nitrogen - Nitrate",0.105,"Nitrogen - Ammoniacal",0.105,"Biuret",0.006,"","","","","","","","","","","","";"Risso-Chemical","Calcium Ammonium nitrate","kg",1,"","","China",40.5,"","","","Nitrogen - Ammoniacal",0.27,"Nitrogen - Nitrate",0.135,"Calcium",0.12,"","","","","","","","","","","","","","";"SL Tec","CellCAL Plus","L",1.138,"","","","","","","","Calcium",0.059,"Copper",0.003,"Boron",0.001,"","","","","","","","","","","","","","";"Incitec Pivot Fertilisers","CK55","kg",1,"","","",13.5,15,6.25,1.2,"Phosphorus - Generic",0.15,"Nitrogen - Ammoniacal",0.135,"Muriate of potash (MOP)",0.125,"Fluoride",0.023,"Sulfur - Generic",0.012,"","","","","","","","","","";"Switch Ag","Crop K","L",1.25,"","","",3,"",21,"","Potassium - Generic",0.21,"Nitrogen - Generic",0.03,"","","","","","","","","","","","","","","","";"Switch Ag","Crop Starter","L",1.2,"","","",5,3,8,"","Potassium - Generic",0.08,"Nitrogen - Generic",0.05,"Phosphorus - Generic",0.03,"","","","","","","","","","","","","","";"Incitec Pivot Fertilisers","Gran-Am","kg",1,"","","",21,"","",24,"Sulphate of ammonia (SOA)",1,"","","","","","","","","","","","","","","","","",""}, _xlpm.r, _xlpm.c))))</definedName>
    <definedName name="Fertiliser_SourceData.Fertiliser_Products_Data1" localSheetId="26">_xlfn.LAMBDA(_xlfn.MAKEARRAY(30, 31, _xlfn.LAMBDA(_xlpm.r,_xlpm.c, INDEX({"Campbells fertilisers Australia","Aqua Finish","L",1.26,"","","",2.6,4,22.5,"","Potassium - Generic",0.225,"Phosphorus - Generic",0.04,"Nitrogen - Generic",0.026,"","","","","","","","","","","","","","";"Campbells fertilisers Australia","Aqua Grow","L",1.26,"","","",9.6,5,10.5,"","Potassium - Generic",0.105,"Nitrogen - Generic",0.096,"Phosphorus - Generic",0.05,"","","","","","","","","","","","","","";"Campbells fertilisers Australia","Aqua Nitro AN","L",1.24,"","","",22.3,"","","","Nitrogen - Ammoniacal",0.223,"","","","","","","","","","","","","","","","","","";"Campbells fertilisers Australia","Aqua NitroCal","L",1.5,"","","",13.2,"","","","Calcium",0.162,"Nitrogen - Nitrate",0.132,"","","","","","","","","","","","","","","","";"Campbells fertilisers Australia","Aqua NitroCal (VI)","L",1.5,"","","",13.2,"","","","Calcium",0.187,"Nitrogen - Nitrate",0.132,"","","","","","","","","","","","","","","","";"Campbells fertilisers Australia","Aqua NitroCal Ultimate","L",1.5,"","","",13.2,"","","","Calcium",0.183,"Nitrogen - Nitrate",0.132,"","","","","","","","","","","","","","","","";"Campbells fertilisers Australia","Aqua Start","L",1.25,"","","",10.3,10,3.4,"","Nitrogen - Generic",0.103,"Phosphorus - Generic",0.1,"Potassium - Generic",0.034,"","","","","","","","","","","","","","";"Campbells fertilisers Australia","Aqua Thio-Complete","L",1.43,"","","",2.5,3.8,22.5,"","Potassium - Generic",0.225,"Phosphorus - Generic",0.038,"Nitrogen - Generic",0.025,"","","","","","","","","","","","","","";"Campbells fertilisers Australia","Aqua Thio-Emerge","L",1.29,"","","",10.5,9.4,4,3,"Nitrogen - Generic",0.105,"Phosphorus - Generic",0.094,"Potassium - Generic",0.04,"Sulfur - Generic",0.03,"","","","","","","","","","","","";"Campbells fertilisers Australia","Aqua Thio-Flourish","L",1.32,"","","",9.5,4.7,10.8,8.1,"Potassium - Generic",0.108,"Nitrogen - Generic",0.095,"Sulfur - Generic",0.081,"Phosphorus - Generic",0.047,"","","","","","","","","","","","";"Campbells fertilisers Australia","Boost-It","kg",1,"","","",24,5.2,8,5.3,"Urea",0.521739,"Potassium - Generic",0.08,"Sulfur - Generic",0.053,"Phosphorus - Generic",0.052,"Magnesium",0.013,"Zinc",0.002,"Manganese",0.0035,"Iron",0.0013,"Copper",0.0007,"Boron",0.0007;"Campbells fertilisers Australia","Bronze","kg",1,"","","",17,0.04,11.6,0.5,"Muriate of potash (MOP)",0.232,"Nitrogen - Generic",0.17,"Sulfur - Generic",0.005,"Magnesium",0.0024,"Phosphorus - Generic",0.0004,"","","","","","","","","","";"Campbells fertilisers Australia","Calbit C","L",1.45,"","","","","","","","Calcium",0.107,"","","","","","","","","","","","","","","","","","";"Campbells fertilisers Australia","Compass","kg",1,"","","",15,6.5,12.5,6,"Nitrogen - Ammoniacal",0.075,"Nitrogen - Nitrate",0.075,"Potassium - Generic",0.125,"Phosphorus - Generic",0.065,"Sulfur - Generic",0.06,"","","","","","","","","","";"Campbells fertilisers Australia","CoRoN 12-0-10","L",1.215,"","","",12,"",10,"","Urea",0.195652,"Potassium - Generic",0.1,"Nitrogen - Generic",0.03,"Boron",0.005,"","","","","","","","","","","","";"Campbells fertilisers Australia","Maximum Quick-N","kg",1,"","","",21.66,"","",13.2,"Sulphate of ammonia (SOA)",0.55,"Ammonium nitrate (AN)",0.3,"","","","","","","","","","","","","","","","";"SL Tec","Crop Booster PLUS","L",1.319,"","","",5,15,2.1,"","Phosphorus - Generic",0.15,"Calcium",0.04,"Nitrogen - Ammoniacal",0.029,"Nitrogen - Nitrate",0.021,"Potassium - Generic",0.021,"Copper",0.005,"Zinc",0.004,"Manganese",0.004,"Magnesium",0.002,"","";"Risso-Chemical","Ammonium Bicarbonate","kg",1,"","","China",17.7,"","","","Nitrogen - Ammoniacal",0.177,"","","","","","","","","","","","","","","","","","";"Risso-Chemical","Ammonium Sulfate","kg",1,"","","China",21,"","",24,"Sulfur - Generic",0.24,"Nitrogen - Ammoniacal",0.21,"","","","","","","","","","","","","","","","";"Ravensdown","Ammonium Sulphate - Granular","kg",1,"","","",21,"","",24,"Sulphate of ammonia (SOA)",1,"","","","","","","","","","","","","","","","","","";"Impact Fertilisers","Di-Ammonium Phosphate (DAP)","kg",1,"","","",18,20,"","","Diammonium phosphate (DAP)",1,"","","","","","","","","","","","","","","","","","";"Incitec Pivot Fertilisers","Basalt BooSSta","kg",1,"","","",8,14,"",27.6,"Sulfur - Generic",0.276,"Phosphorus - Generic",0.14,"Nitrogen - Generic",0.08,"Fluoride",0.024,"","","","","","","","","","","","";"Summit Fertilizers","DAPSZC","kg",1,"","","",16.9,18.2,"",8,"Phosphorus - Generic",0.182,"Nitrogen - Generic",0.169,"Sulfur - Generic",0.08,"Zinc",0.002,"Copper",0.001,"","","","","","","","","","";"Incitec Pivot Fertilisers","Easy N","L",1.32,"","","",42.5,"","","","Urea",0.467391,"Nitrogen - Nitrate",0.105,"Nitrogen - Ammoniacal",0.105,"Biuret",0.006,"","","","","","","","","","","","";"Risso-Chemical","Calcium Ammonium nitrate","kg",1,"","","China",40.5,"","","","Nitrogen - Ammoniacal",0.27,"Nitrogen - Nitrate",0.135,"Calcium",0.12,"","","","","","","","","","","","","","";"SL Tec","CellCAL Plus","L",1.138,"","","","","","","","Calcium",0.059,"Copper",0.003,"Boron",0.001,"","","","","","","","","","","","","","";"Incitec Pivot Fertilisers","CK55","kg",1,"","","",13.5,15,6.25,1.2,"Phosphorus - Generic",0.15,"Nitrogen - Ammoniacal",0.135,"Muriate of potash (MOP)",0.125,"Fluoride",0.023,"Sulfur - Generic",0.012,"","","","","","","","","","";"Switch Ag","Crop K","L",1.25,"","","",3,"",21,"","Potassium - Generic",0.21,"Nitrogen - Generic",0.03,"","","","","","","","","","","","","","","","";"Switch Ag","Crop Starter","L",1.2,"","","",5,3,8,"","Potassium - Generic",0.08,"Nitrogen - Generic",0.05,"Phosphorus - Generic",0.03,"","","","","","","","","","","","","","";"Incitec Pivot Fertilisers","Gran-Am","kg",1,"","","",21,"","",24,"Sulphate of ammonia (SOA)",1,"","","","","","","","","","","","","","","","","",""}, _xlpm.r, _xlpm.c))))</definedName>
    <definedName name="Fertiliser_SourceData.Fertiliser_Products_Data1" localSheetId="27">_xlfn.LAMBDA(_xlfn.MAKEARRAY(30, 31, _xlfn.LAMBDA(_xlpm.r,_xlpm.c, INDEX({"Campbells fertilisers Australia","Aqua Finish","L",1.26,"","","",2.6,4,22.5,"","Potassium - Generic",0.225,"Phosphorus - Generic",0.04,"Nitrogen - Generic",0.026,"","","","","","","","","","","","","","";"Campbells fertilisers Australia","Aqua Grow","L",1.26,"","","",9.6,5,10.5,"","Potassium - Generic",0.105,"Nitrogen - Generic",0.096,"Phosphorus - Generic",0.05,"","","","","","","","","","","","","","";"Campbells fertilisers Australia","Aqua Nitro AN","L",1.24,"","","",22.3,"","","","Nitrogen - Ammoniacal",0.223,"","","","","","","","","","","","","","","","","","";"Campbells fertilisers Australia","Aqua NitroCal","L",1.5,"","","",13.2,"","","","Calcium",0.162,"Nitrogen - Nitrate",0.132,"","","","","","","","","","","","","","","","";"Campbells fertilisers Australia","Aqua NitroCal (VI)","L",1.5,"","","",13.2,"","","","Calcium",0.187,"Nitrogen - Nitrate",0.132,"","","","","","","","","","","","","","","","";"Campbells fertilisers Australia","Aqua NitroCal Ultimate","L",1.5,"","","",13.2,"","","","Calcium",0.183,"Nitrogen - Nitrate",0.132,"","","","","","","","","","","","","","","","";"Campbells fertilisers Australia","Aqua Start","L",1.25,"","","",10.3,10,3.4,"","Nitrogen - Generic",0.103,"Phosphorus - Generic",0.1,"Potassium - Generic",0.034,"","","","","","","","","","","","","","";"Campbells fertilisers Australia","Aqua Thio-Complete","L",1.43,"","","",2.5,3.8,22.5,"","Potassium - Generic",0.225,"Phosphorus - Generic",0.038,"Nitrogen - Generic",0.025,"","","","","","","","","","","","","","";"Campbells fertilisers Australia","Aqua Thio-Emerge","L",1.29,"","","",10.5,9.4,4,3,"Nitrogen - Generic",0.105,"Phosphorus - Generic",0.094,"Potassium - Generic",0.04,"Sulfur - Generic",0.03,"","","","","","","","","","","","";"Campbells fertilisers Australia","Aqua Thio-Flourish","L",1.32,"","","",9.5,4.7,10.8,8.1,"Potassium - Generic",0.108,"Nitrogen - Generic",0.095,"Sulfur - Generic",0.081,"Phosphorus - Generic",0.047,"","","","","","","","","","","","";"Campbells fertilisers Australia","Boost-It","kg",1,"","","",24,5.2,8,5.3,"Urea",0.521739,"Potassium - Generic",0.08,"Sulfur - Generic",0.053,"Phosphorus - Generic",0.052,"Magnesium",0.013,"Zinc",0.002,"Manganese",0.0035,"Iron",0.0013,"Copper",0.0007,"Boron",0.0007;"Campbells fertilisers Australia","Bronze","kg",1,"","","",17,0.04,11.6,0.5,"Muriate of potash (MOP)",0.232,"Nitrogen - Generic",0.17,"Sulfur - Generic",0.005,"Magnesium",0.0024,"Phosphorus - Generic",0.0004,"","","","","","","","","","";"Campbells fertilisers Australia","Calbit C","L",1.45,"","","","","","","","Calcium",0.107,"","","","","","","","","","","","","","","","","","";"Campbells fertilisers Australia","Compass","kg",1,"","","",15,6.5,12.5,6,"Nitrogen - Ammoniacal",0.075,"Nitrogen - Nitrate",0.075,"Potassium - Generic",0.125,"Phosphorus - Generic",0.065,"Sulfur - Generic",0.06,"","","","","","","","","","";"Campbells fertilisers Australia","CoRoN 12-0-10","L",1.215,"","","",12,"",10,"","Urea",0.195652,"Potassium - Generic",0.1,"Nitrogen - Generic",0.03,"Boron",0.005,"","","","","","","","","","","","";"Campbells fertilisers Australia","Maximum Quick-N","kg",1,"","","",21.66,"","",13.2,"Sulphate of ammonia (SOA)",0.55,"Ammonium nitrate (AN)",0.3,"","","","","","","","","","","","","","","","";"SL Tec","Crop Booster PLUS","L",1.319,"","","",5,15,2.1,"","Phosphorus - Generic",0.15,"Calcium",0.04,"Nitrogen - Ammoniacal",0.029,"Nitrogen - Nitrate",0.021,"Potassium - Generic",0.021,"Copper",0.005,"Zinc",0.004,"Manganese",0.004,"Magnesium",0.002,"","";"Risso-Chemical","Ammonium Bicarbonate","kg",1,"","","China",17.7,"","","","Nitrogen - Ammoniacal",0.177,"","","","","","","","","","","","","","","","","","";"Risso-Chemical","Ammonium Sulfate","kg",1,"","","China",21,"","",24,"Sulfur - Generic",0.24,"Nitrogen - Ammoniacal",0.21,"","","","","","","","","","","","","","","","";"Ravensdown","Ammonium Sulphate - Granular","kg",1,"","","",21,"","",24,"Sulphate of ammonia (SOA)",1,"","","","","","","","","","","","","","","","","","";"Impact Fertilisers","Di-Ammonium Phosphate (DAP)","kg",1,"","","",18,20,"","","Diammonium phosphate (DAP)",1,"","","","","","","","","","","","","","","","","","";"Incitec Pivot Fertilisers","Basalt BooSSta","kg",1,"","","",8,14,"",27.6,"Sulfur - Generic",0.276,"Phosphorus - Generic",0.14,"Nitrogen - Generic",0.08,"Fluoride",0.024,"","","","","","","","","","","","";"Summit Fertilizers","DAPSZC","kg",1,"","","",16.9,18.2,"",8,"Phosphorus - Generic",0.182,"Nitrogen - Generic",0.169,"Sulfur - Generic",0.08,"Zinc",0.002,"Copper",0.001,"","","","","","","","","","";"Incitec Pivot Fertilisers","Easy N","L",1.32,"","","",42.5,"","","","Urea",0.467391,"Nitrogen - Nitrate",0.105,"Nitrogen - Ammoniacal",0.105,"Biuret",0.006,"","","","","","","","","","","","";"Risso-Chemical","Calcium Ammonium nitrate","kg",1,"","","China",40.5,"","","","Nitrogen - Ammoniacal",0.27,"Nitrogen - Nitrate",0.135,"Calcium",0.12,"","","","","","","","","","","","","","";"SL Tec","CellCAL Plus","L",1.138,"","","","","","","","Calcium",0.059,"Copper",0.003,"Boron",0.001,"","","","","","","","","","","","","","";"Incitec Pivot Fertilisers","CK55","kg",1,"","","",13.5,15,6.25,1.2,"Phosphorus - Generic",0.15,"Nitrogen - Ammoniacal",0.135,"Muriate of potash (MOP)",0.125,"Fluoride",0.023,"Sulfur - Generic",0.012,"","","","","","","","","","";"Switch Ag","Crop K","L",1.25,"","","",3,"",21,"","Potassium - Generic",0.21,"Nitrogen - Generic",0.03,"","","","","","","","","","","","","","","","";"Switch Ag","Crop Starter","L",1.2,"","","",5,3,8,"","Potassium - Generic",0.08,"Nitrogen - Generic",0.05,"Phosphorus - Generic",0.03,"","","","","","","","","","","","","","";"Incitec Pivot Fertilisers","Gran-Am","kg",1,"","","",21,"","",24,"Sulphate of ammonia (SOA)",1,"","","","","","","","","","","","","","","","","",""}, _xlpm.r, _xlpm.c))))</definedName>
    <definedName name="Fertiliser_SourceData.Fertiliser_Products_Data1" localSheetId="28">_xlfn.LAMBDA(_xlfn.MAKEARRAY(30, 31, _xlfn.LAMBDA(_xlpm.r,_xlpm.c, INDEX({"Campbells fertilisers Australia","Aqua Finish","L",1.26,"","","",2.6,4,22.5,"","Potassium - Generic",0.225,"Phosphorus - Generic",0.04,"Nitrogen - Generic",0.026,"","","","","","","","","","","","","","";"Campbells fertilisers Australia","Aqua Grow","L",1.26,"","","",9.6,5,10.5,"","Potassium - Generic",0.105,"Nitrogen - Generic",0.096,"Phosphorus - Generic",0.05,"","","","","","","","","","","","","","";"Campbells fertilisers Australia","Aqua Nitro AN","L",1.24,"","","",22.3,"","","","Nitrogen - Ammoniacal",0.223,"","","","","","","","","","","","","","","","","","";"Campbells fertilisers Australia","Aqua NitroCal","L",1.5,"","","",13.2,"","","","Calcium",0.162,"Nitrogen - Nitrate",0.132,"","","","","","","","","","","","","","","","";"Campbells fertilisers Australia","Aqua NitroCal (VI)","L",1.5,"","","",13.2,"","","","Calcium",0.187,"Nitrogen - Nitrate",0.132,"","","","","","","","","","","","","","","","";"Campbells fertilisers Australia","Aqua NitroCal Ultimate","L",1.5,"","","",13.2,"","","","Calcium",0.183,"Nitrogen - Nitrate",0.132,"","","","","","","","","","","","","","","","";"Campbells fertilisers Australia","Aqua Start","L",1.25,"","","",10.3,10,3.4,"","Nitrogen - Generic",0.103,"Phosphorus - Generic",0.1,"Potassium - Generic",0.034,"","","","","","","","","","","","","","";"Campbells fertilisers Australia","Aqua Thio-Complete","L",1.43,"","","",2.5,3.8,22.5,"","Potassium - Generic",0.225,"Phosphorus - Generic",0.038,"Nitrogen - Generic",0.025,"","","","","","","","","","","","","","";"Campbells fertilisers Australia","Aqua Thio-Emerge","L",1.29,"","","",10.5,9.4,4,3,"Nitrogen - Generic",0.105,"Phosphorus - Generic",0.094,"Potassium - Generic",0.04,"Sulfur - Generic",0.03,"","","","","","","","","","","","";"Campbells fertilisers Australia","Aqua Thio-Flourish","L",1.32,"","","",9.5,4.7,10.8,8.1,"Potassium - Generic",0.108,"Nitrogen - Generic",0.095,"Sulfur - Generic",0.081,"Phosphorus - Generic",0.047,"","","","","","","","","","","","";"Campbells fertilisers Australia","Boost-It","kg",1,"","","",24,5.2,8,5.3,"Urea",0.521739,"Potassium - Generic",0.08,"Sulfur - Generic",0.053,"Phosphorus - Generic",0.052,"Magnesium",0.013,"Zinc",0.002,"Manganese",0.0035,"Iron",0.0013,"Copper",0.0007,"Boron",0.0007;"Campbells fertilisers Australia","Bronze","kg",1,"","","",17,0.04,11.6,0.5,"Muriate of potash (MOP)",0.232,"Nitrogen - Generic",0.17,"Sulfur - Generic",0.005,"Magnesium",0.0024,"Phosphorus - Generic",0.0004,"","","","","","","","","","";"Campbells fertilisers Australia","Calbit C","L",1.45,"","","","","","","","Calcium",0.107,"","","","","","","","","","","","","","","","","","";"Campbells fertilisers Australia","Compass","kg",1,"","","",15,6.5,12.5,6,"Nitrogen - Ammoniacal",0.075,"Nitrogen - Nitrate",0.075,"Potassium - Generic",0.125,"Phosphorus - Generic",0.065,"Sulfur - Generic",0.06,"","","","","","","","","","";"Campbells fertilisers Australia","CoRoN 12-0-10","L",1.215,"","","",12,"",10,"","Urea",0.195652,"Potassium - Generic",0.1,"Nitrogen - Generic",0.03,"Boron",0.005,"","","","","","","","","","","","";"Campbells fertilisers Australia","Maximum Quick-N","kg",1,"","","",21.66,"","",13.2,"Sulphate of ammonia (SOA)",0.55,"Ammonium nitrate (AN)",0.3,"","","","","","","","","","","","","","","","";"SL Tec","Crop Booster PLUS","L",1.319,"","","",5,15,2.1,"","Phosphorus - Generic",0.15,"Calcium",0.04,"Nitrogen - Ammoniacal",0.029,"Nitrogen - Nitrate",0.021,"Potassium - Generic",0.021,"Copper",0.005,"Zinc",0.004,"Manganese",0.004,"Magnesium",0.002,"","";"Risso-Chemical","Ammonium Bicarbonate","kg",1,"","","China",17.7,"","","","Nitrogen - Ammoniacal",0.177,"","","","","","","","","","","","","","","","","","";"Risso-Chemical","Ammonium Sulfate","kg",1,"","","China",21,"","",24,"Sulfur - Generic",0.24,"Nitrogen - Ammoniacal",0.21,"","","","","","","","","","","","","","","","";"Ravensdown","Ammonium Sulphate - Granular","kg",1,"","","",21,"","",24,"Sulphate of ammonia (SOA)",1,"","","","","","","","","","","","","","","","","","";"Impact Fertilisers","Di-Ammonium Phosphate (DAP)","kg",1,"","","",18,20,"","","Diammonium phosphate (DAP)",1,"","","","","","","","","","","","","","","","","","";"Incitec Pivot Fertilisers","Basalt BooSSta","kg",1,"","","",8,14,"",27.6,"Sulfur - Generic",0.276,"Phosphorus - Generic",0.14,"Nitrogen - Generic",0.08,"Fluoride",0.024,"","","","","","","","","","","","";"Summit Fertilizers","DAPSZC","kg",1,"","","",16.9,18.2,"",8,"Phosphorus - Generic",0.182,"Nitrogen - Generic",0.169,"Sulfur - Generic",0.08,"Zinc",0.002,"Copper",0.001,"","","","","","","","","","";"Incitec Pivot Fertilisers","Easy N","L",1.32,"","","",42.5,"","","","Urea",0.467391,"Nitrogen - Nitrate",0.105,"Nitrogen - Ammoniacal",0.105,"Biuret",0.006,"","","","","","","","","","","","";"Risso-Chemical","Calcium Ammonium nitrate","kg",1,"","","China",40.5,"","","","Nitrogen - Ammoniacal",0.27,"Nitrogen - Nitrate",0.135,"Calcium",0.12,"","","","","","","","","","","","","","";"SL Tec","CellCAL Plus","L",1.138,"","","","","","","","Calcium",0.059,"Copper",0.003,"Boron",0.001,"","","","","","","","","","","","","","";"Incitec Pivot Fertilisers","CK55","kg",1,"","","",13.5,15,6.25,1.2,"Phosphorus - Generic",0.15,"Nitrogen - Ammoniacal",0.135,"Muriate of potash (MOP)",0.125,"Fluoride",0.023,"Sulfur - Generic",0.012,"","","","","","","","","","";"Switch Ag","Crop K","L",1.25,"","","",3,"",21,"","Potassium - Generic",0.21,"Nitrogen - Generic",0.03,"","","","","","","","","","","","","","","","";"Switch Ag","Crop Starter","L",1.2,"","","",5,3,8,"","Potassium - Generic",0.08,"Nitrogen - Generic",0.05,"Phosphorus - Generic",0.03,"","","","","","","","","","","","","","";"Incitec Pivot Fertilisers","Gran-Am","kg",1,"","","",21,"","",24,"Sulphate of ammonia (SOA)",1,"","","","","","","","","","","","","","","","","",""}, _xlpm.r, _xlpm.c))))</definedName>
    <definedName name="Fertiliser_SourceData.Fertiliser_Products_Data1" localSheetId="29">_xlfn.LAMBDA(_xlfn.MAKEARRAY(30, 31, _xlfn.LAMBDA(_xlpm.r,_xlpm.c, INDEX({"Campbells fertilisers Australia","Aqua Finish","L",1.26,"","","",2.6,4,22.5,"","Potassium - Generic",0.225,"Phosphorus - Generic",0.04,"Nitrogen - Generic",0.026,"","","","","","","","","","","","","","";"Campbells fertilisers Australia","Aqua Grow","L",1.26,"","","",9.6,5,10.5,"","Potassium - Generic",0.105,"Nitrogen - Generic",0.096,"Phosphorus - Generic",0.05,"","","","","","","","","","","","","","";"Campbells fertilisers Australia","Aqua Nitro AN","L",1.24,"","","",22.3,"","","","Nitrogen - Ammoniacal",0.223,"","","","","","","","","","","","","","","","","","";"Campbells fertilisers Australia","Aqua NitroCal","L",1.5,"","","",13.2,"","","","Calcium",0.162,"Nitrogen - Nitrate",0.132,"","","","","","","","","","","","","","","","";"Campbells fertilisers Australia","Aqua NitroCal (VI)","L",1.5,"","","",13.2,"","","","Calcium",0.187,"Nitrogen - Nitrate",0.132,"","","","","","","","","","","","","","","","";"Campbells fertilisers Australia","Aqua NitroCal Ultimate","L",1.5,"","","",13.2,"","","","Calcium",0.183,"Nitrogen - Nitrate",0.132,"","","","","","","","","","","","","","","","";"Campbells fertilisers Australia","Aqua Start","L",1.25,"","","",10.3,10,3.4,"","Nitrogen - Generic",0.103,"Phosphorus - Generic",0.1,"Potassium - Generic",0.034,"","","","","","","","","","","","","","";"Campbells fertilisers Australia","Aqua Thio-Complete","L",1.43,"","","",2.5,3.8,22.5,"","Potassium - Generic",0.225,"Phosphorus - Generic",0.038,"Nitrogen - Generic",0.025,"","","","","","","","","","","","","","";"Campbells fertilisers Australia","Aqua Thio-Emerge","L",1.29,"","","",10.5,9.4,4,3,"Nitrogen - Generic",0.105,"Phosphorus - Generic",0.094,"Potassium - Generic",0.04,"Sulfur - Generic",0.03,"","","","","","","","","","","","";"Campbells fertilisers Australia","Aqua Thio-Flourish","L",1.32,"","","",9.5,4.7,10.8,8.1,"Potassium - Generic",0.108,"Nitrogen - Generic",0.095,"Sulfur - Generic",0.081,"Phosphorus - Generic",0.047,"","","","","","","","","","","","";"Campbells fertilisers Australia","Boost-It","kg",1,"","","",24,5.2,8,5.3,"Urea",0.521739,"Potassium - Generic",0.08,"Sulfur - Generic",0.053,"Phosphorus - Generic",0.052,"Magnesium",0.013,"Zinc",0.002,"Manganese",0.0035,"Iron",0.0013,"Copper",0.0007,"Boron",0.0007;"Campbells fertilisers Australia","Bronze","kg",1,"","","",17,0.04,11.6,0.5,"Muriate of potash (MOP)",0.232,"Nitrogen - Generic",0.17,"Sulfur - Generic",0.005,"Magnesium",0.0024,"Phosphorus - Generic",0.0004,"","","","","","","","","","";"Campbells fertilisers Australia","Calbit C","L",1.45,"","","","","","","","Calcium",0.107,"","","","","","","","","","","","","","","","","","";"Campbells fertilisers Australia","Compass","kg",1,"","","",15,6.5,12.5,6,"Nitrogen - Ammoniacal",0.075,"Nitrogen - Nitrate",0.075,"Potassium - Generic",0.125,"Phosphorus - Generic",0.065,"Sulfur - Generic",0.06,"","","","","","","","","","";"Campbells fertilisers Australia","CoRoN 12-0-10","L",1.215,"","","",12,"",10,"","Urea",0.195652,"Potassium - Generic",0.1,"Nitrogen - Generic",0.03,"Boron",0.005,"","","","","","","","","","","","";"Campbells fertilisers Australia","Maximum Quick-N","kg",1,"","","",21.66,"","",13.2,"Sulphate of ammonia (SOA)",0.55,"Ammonium nitrate (AN)",0.3,"","","","","","","","","","","","","","","","";"SL Tec","Crop Booster PLUS","L",1.319,"","","",5,15,2.1,"","Phosphorus - Generic",0.15,"Calcium",0.04,"Nitrogen - Ammoniacal",0.029,"Nitrogen - Nitrate",0.021,"Potassium - Generic",0.021,"Copper",0.005,"Zinc",0.004,"Manganese",0.004,"Magnesium",0.002,"","";"Risso-Chemical","Ammonium Bicarbonate","kg",1,"","","China",17.7,"","","","Nitrogen - Ammoniacal",0.177,"","","","","","","","","","","","","","","","","","";"Risso-Chemical","Ammonium Sulfate","kg",1,"","","China",21,"","",24,"Sulfur - Generic",0.24,"Nitrogen - Ammoniacal",0.21,"","","","","","","","","","","","","","","","";"Ravensdown","Ammonium Sulphate - Granular","kg",1,"","","",21,"","",24,"Sulphate of ammonia (SOA)",1,"","","","","","","","","","","","","","","","","","";"Impact Fertilisers","Di-Ammonium Phosphate (DAP)","kg",1,"","","",18,20,"","","Diammonium phosphate (DAP)",1,"","","","","","","","","","","","","","","","","","";"Incitec Pivot Fertilisers","Basalt BooSSta","kg",1,"","","",8,14,"",27.6,"Sulfur - Generic",0.276,"Phosphorus - Generic",0.14,"Nitrogen - Generic",0.08,"Fluoride",0.024,"","","","","","","","","","","","";"Summit Fertilizers","DAPSZC","kg",1,"","","",16.9,18.2,"",8,"Phosphorus - Generic",0.182,"Nitrogen - Generic",0.169,"Sulfur - Generic",0.08,"Zinc",0.002,"Copper",0.001,"","","","","","","","","","";"Incitec Pivot Fertilisers","Easy N","L",1.32,"","","",42.5,"","","","Urea",0.467391,"Nitrogen - Nitrate",0.105,"Nitrogen - Ammoniacal",0.105,"Biuret",0.006,"","","","","","","","","","","","";"Risso-Chemical","Calcium Ammonium nitrate","kg",1,"","","China",40.5,"","","","Nitrogen - Ammoniacal",0.27,"Nitrogen - Nitrate",0.135,"Calcium",0.12,"","","","","","","","","","","","","","";"SL Tec","CellCAL Plus","L",1.138,"","","","","","","","Calcium",0.059,"Copper",0.003,"Boron",0.001,"","","","","","","","","","","","","","";"Incitec Pivot Fertilisers","CK55","kg",1,"","","",13.5,15,6.25,1.2,"Phosphorus - Generic",0.15,"Nitrogen - Ammoniacal",0.135,"Muriate of potash (MOP)",0.125,"Fluoride",0.023,"Sulfur - Generic",0.012,"","","","","","","","","","";"Switch Ag","Crop K","L",1.25,"","","",3,"",21,"","Potassium - Generic",0.21,"Nitrogen - Generic",0.03,"","","","","","","","","","","","","","","","";"Switch Ag","Crop Starter","L",1.2,"","","",5,3,8,"","Potassium - Generic",0.08,"Nitrogen - Generic",0.05,"Phosphorus - Generic",0.03,"","","","","","","","","","","","","","";"Incitec Pivot Fertilisers","Gran-Am","kg",1,"","","",21,"","",24,"Sulphate of ammonia (SOA)",1,"","","","","","","","","","","","","","","","","",""}, _xlpm.r, _xlpm.c))))</definedName>
    <definedName name="Fertiliser_SourceData.Fertiliser_Products_Data1" localSheetId="30">_xlfn.LAMBDA(_xlfn.MAKEARRAY(30, 31, _xlfn.LAMBDA(_xlpm.r,_xlpm.c, INDEX({"Campbells fertilisers Australia","Aqua Finish","L",1.26,"","","",2.6,4,22.5,"","Potassium - Generic",0.225,"Phosphorus - Generic",0.04,"Nitrogen - Generic",0.026,"","","","","","","","","","","","","","";"Campbells fertilisers Australia","Aqua Grow","L",1.26,"","","",9.6,5,10.5,"","Potassium - Generic",0.105,"Nitrogen - Generic",0.096,"Phosphorus - Generic",0.05,"","","","","","","","","","","","","","";"Campbells fertilisers Australia","Aqua Nitro AN","L",1.24,"","","",22.3,"","","","Nitrogen - Ammoniacal",0.223,"","","","","","","","","","","","","","","","","","";"Campbells fertilisers Australia","Aqua NitroCal","L",1.5,"","","",13.2,"","","","Calcium",0.162,"Nitrogen - Nitrate",0.132,"","","","","","","","","","","","","","","","";"Campbells fertilisers Australia","Aqua NitroCal (VI)","L",1.5,"","","",13.2,"","","","Calcium",0.187,"Nitrogen - Nitrate",0.132,"","","","","","","","","","","","","","","","";"Campbells fertilisers Australia","Aqua NitroCal Ultimate","L",1.5,"","","",13.2,"","","","Calcium",0.183,"Nitrogen - Nitrate",0.132,"","","","","","","","","","","","","","","","";"Campbells fertilisers Australia","Aqua Start","L",1.25,"","","",10.3,10,3.4,"","Nitrogen - Generic",0.103,"Phosphorus - Generic",0.1,"Potassium - Generic",0.034,"","","","","","","","","","","","","","";"Campbells fertilisers Australia","Aqua Thio-Complete","L",1.43,"","","",2.5,3.8,22.5,"","Potassium - Generic",0.225,"Phosphorus - Generic",0.038,"Nitrogen - Generic",0.025,"","","","","","","","","","","","","","";"Campbells fertilisers Australia","Aqua Thio-Emerge","L",1.29,"","","",10.5,9.4,4,3,"Nitrogen - Generic",0.105,"Phosphorus - Generic",0.094,"Potassium - Generic",0.04,"Sulfur - Generic",0.03,"","","","","","","","","","","","";"Campbells fertilisers Australia","Aqua Thio-Flourish","L",1.32,"","","",9.5,4.7,10.8,8.1,"Potassium - Generic",0.108,"Nitrogen - Generic",0.095,"Sulfur - Generic",0.081,"Phosphorus - Generic",0.047,"","","","","","","","","","","","";"Campbells fertilisers Australia","Boost-It","kg",1,"","","",24,5.2,8,5.3,"Urea",0.521739,"Potassium - Generic",0.08,"Sulfur - Generic",0.053,"Phosphorus - Generic",0.052,"Magnesium",0.013,"Zinc",0.002,"Manganese",0.0035,"Iron",0.0013,"Copper",0.0007,"Boron",0.0007;"Campbells fertilisers Australia","Bronze","kg",1,"","","",17,0.04,11.6,0.5,"Muriate of potash (MOP)",0.232,"Nitrogen - Generic",0.17,"Sulfur - Generic",0.005,"Magnesium",0.0024,"Phosphorus - Generic",0.0004,"","","","","","","","","","";"Campbells fertilisers Australia","Calbit C","L",1.45,"","","","","","","","Calcium",0.107,"","","","","","","","","","","","","","","","","","";"Campbells fertilisers Australia","Compass","kg",1,"","","",15,6.5,12.5,6,"Nitrogen - Ammoniacal",0.075,"Nitrogen - Nitrate",0.075,"Potassium - Generic",0.125,"Phosphorus - Generic",0.065,"Sulfur - Generic",0.06,"","","","","","","","","","";"Campbells fertilisers Australia","CoRoN 12-0-10","L",1.215,"","","",12,"",10,"","Urea",0.195652,"Potassium - Generic",0.1,"Nitrogen - Generic",0.03,"Boron",0.005,"","","","","","","","","","","","";"Campbells fertilisers Australia","Maximum Quick-N","kg",1,"","","",21.66,"","",13.2,"Sulphate of ammonia (SOA)",0.55,"Ammonium nitrate (AN)",0.3,"","","","","","","","","","","","","","","","";"SL Tec","Crop Booster PLUS","L",1.319,"","","",5,15,2.1,"","Phosphorus - Generic",0.15,"Calcium",0.04,"Nitrogen - Ammoniacal",0.029,"Nitrogen - Nitrate",0.021,"Potassium - Generic",0.021,"Copper",0.005,"Zinc",0.004,"Manganese",0.004,"Magnesium",0.002,"","";"Risso-Chemical","Ammonium Bicarbonate","kg",1,"","","China",17.7,"","","","Nitrogen - Ammoniacal",0.177,"","","","","","","","","","","","","","","","","","";"Risso-Chemical","Ammonium Sulfate","kg",1,"","","China",21,"","",24,"Sulfur - Generic",0.24,"Nitrogen - Ammoniacal",0.21,"","","","","","","","","","","","","","","","";"Ravensdown","Ammonium Sulphate - Granular","kg",1,"","","",21,"","",24,"Sulphate of ammonia (SOA)",1,"","","","","","","","","","","","","","","","","","";"Impact Fertilisers","Di-Ammonium Phosphate (DAP)","kg",1,"","","",18,20,"","","Diammonium phosphate (DAP)",1,"","","","","","","","","","","","","","","","","","";"Incitec Pivot Fertilisers","Basalt BooSSta","kg",1,"","","",8,14,"",27.6,"Sulfur - Generic",0.276,"Phosphorus - Generic",0.14,"Nitrogen - Generic",0.08,"Fluoride",0.024,"","","","","","","","","","","","";"Summit Fertilizers","DAPSZC","kg",1,"","","",16.9,18.2,"",8,"Phosphorus - Generic",0.182,"Nitrogen - Generic",0.169,"Sulfur - Generic",0.08,"Zinc",0.002,"Copper",0.001,"","","","","","","","","","";"Incitec Pivot Fertilisers","Easy N","L",1.32,"","","",42.5,"","","","Urea",0.467391,"Nitrogen - Nitrate",0.105,"Nitrogen - Ammoniacal",0.105,"Biuret",0.006,"","","","","","","","","","","","";"Risso-Chemical","Calcium Ammonium nitrate","kg",1,"","","China",40.5,"","","","Nitrogen - Ammoniacal",0.27,"Nitrogen - Nitrate",0.135,"Calcium",0.12,"","","","","","","","","","","","","","";"SL Tec","CellCAL Plus","L",1.138,"","","","","","","","Calcium",0.059,"Copper",0.003,"Boron",0.001,"","","","","","","","","","","","","","";"Incitec Pivot Fertilisers","CK55","kg",1,"","","",13.5,15,6.25,1.2,"Phosphorus - Generic",0.15,"Nitrogen - Ammoniacal",0.135,"Muriate of potash (MOP)",0.125,"Fluoride",0.023,"Sulfur - Generic",0.012,"","","","","","","","","","";"Switch Ag","Crop K","L",1.25,"","","",3,"",21,"","Potassium - Generic",0.21,"Nitrogen - Generic",0.03,"","","","","","","","","","","","","","","","";"Switch Ag","Crop Starter","L",1.2,"","","",5,3,8,"","Potassium - Generic",0.08,"Nitrogen - Generic",0.05,"Phosphorus - Generic",0.03,"","","","","","","","","","","","","","";"Incitec Pivot Fertilisers","Gran-Am","kg",1,"","","",21,"","",24,"Sulphate of ammonia (SOA)",1,"","","","","","","","","","","","","","","","","",""}, _xlpm.r, _xlpm.c))))</definedName>
    <definedName name="Fertiliser_SourceData.Fertiliser_Products_Data1" localSheetId="38">_xlfn.LAMBDA(_xlfn.MAKEARRAY(30, 31, _xlfn.LAMBDA(_xlpm.r,_xlpm.c, INDEX({"Campbells fertilisers Australia","Aqua Finish","L",1.26,"","","",2.6,4,22.5,"","Potassium - Generic",0.225,"Phosphorus - Generic",0.04,"Nitrogen - Generic",0.026,"","","","","","","","","","","","","","";"Campbells fertilisers Australia","Aqua Grow","L",1.26,"","","",9.6,5,10.5,"","Potassium - Generic",0.105,"Nitrogen - Generic",0.096,"Phosphorus - Generic",0.05,"","","","","","","","","","","","","","";"Campbells fertilisers Australia","Aqua Nitro AN","L",1.24,"","","",22.3,"","","","Nitrogen - Ammoniacal",0.223,"","","","","","","","","","","","","","","","","","";"Campbells fertilisers Australia","Aqua NitroCal","L",1.5,"","","",13.2,"","","","Calcium",0.162,"Nitrogen - Nitrate",0.132,"","","","","","","","","","","","","","","","";"Campbells fertilisers Australia","Aqua NitroCal (VI)","L",1.5,"","","",13.2,"","","","Calcium",0.187,"Nitrogen - Nitrate",0.132,"","","","","","","","","","","","","","","","";"Campbells fertilisers Australia","Aqua NitroCal Ultimate","L",1.5,"","","",13.2,"","","","Calcium",0.183,"Nitrogen - Nitrate",0.132,"","","","","","","","","","","","","","","","";"Campbells fertilisers Australia","Aqua Start","L",1.25,"","","",10.3,10,3.4,"","Nitrogen - Generic",0.103,"Phosphorus - Generic",0.1,"Potassium - Generic",0.034,"","","","","","","","","","","","","","";"Campbells fertilisers Australia","Aqua Thio-Complete","L",1.43,"","","",2.5,3.8,22.5,"","Potassium - Generic",0.225,"Phosphorus - Generic",0.038,"Nitrogen - Generic",0.025,"","","","","","","","","","","","","","";"Campbells fertilisers Australia","Aqua Thio-Emerge","L",1.29,"","","",10.5,9.4,4,3,"Nitrogen - Generic",0.105,"Phosphorus - Generic",0.094,"Potassium - Generic",0.04,"Sulfur - Generic",0.03,"","","","","","","","","","","","";"Campbells fertilisers Australia","Aqua Thio-Flourish","L",1.32,"","","",9.5,4.7,10.8,8.1,"Potassium - Generic",0.108,"Nitrogen - Generic",0.095,"Sulfur - Generic",0.081,"Phosphorus - Generic",0.047,"","","","","","","","","","","","";"Campbells fertilisers Australia","Boost-It","kg",1,"","","",24,5.2,8,5.3,"Urea",0.521739,"Potassium - Generic",0.08,"Sulfur - Generic",0.053,"Phosphorus - Generic",0.052,"Magnesium",0.013,"Zinc",0.002,"Manganese",0.0035,"Iron",0.0013,"Copper",0.0007,"Boron",0.0007;"Campbells fertilisers Australia","Bronze","kg",1,"","","",17,0.04,11.6,0.5,"Muriate of potash (MOP)",0.232,"Nitrogen - Generic",0.17,"Sulfur - Generic",0.005,"Magnesium",0.0024,"Phosphorus - Generic",0.0004,"","","","","","","","","","";"Campbells fertilisers Australia","Calbit C","L",1.45,"","","","","","","","Calcium",0.107,"","","","","","","","","","","","","","","","","","";"Campbells fertilisers Australia","Compass","kg",1,"","","",15,6.5,12.5,6,"Nitrogen - Ammoniacal",0.075,"Nitrogen - Nitrate",0.075,"Potassium - Generic",0.125,"Phosphorus - Generic",0.065,"Sulfur - Generic",0.06,"","","","","","","","","","";"Campbells fertilisers Australia","CoRoN 12-0-10","L",1.215,"","","",12,"",10,"","Urea",0.195652,"Potassium - Generic",0.1,"Nitrogen - Generic",0.03,"Boron",0.005,"","","","","","","","","","","","";"Campbells fertilisers Australia","Maximum Quick-N","kg",1,"","","",21.66,"","",13.2,"Sulphate of ammonia (SOA)",0.55,"Ammonium nitrate (AN)",0.3,"","","","","","","","","","","","","","","","";"SL Tec","Crop Booster PLUS","L",1.319,"","","",5,15,2.1,"","Phosphorus - Generic",0.15,"Calcium",0.04,"Nitrogen - Ammoniacal",0.029,"Nitrogen - Nitrate",0.021,"Potassium - Generic",0.021,"Copper",0.005,"Zinc",0.004,"Manganese",0.004,"Magnesium",0.002,"","";"Risso-Chemical","Ammonium Bicarbonate","kg",1,"","","China",17.7,"","","","Nitrogen - Ammoniacal",0.177,"","","","","","","","","","","","","","","","","","";"Risso-Chemical","Ammonium Sulfate","kg",1,"","","China",21,"","",24,"Sulfur - Generic",0.24,"Nitrogen - Ammoniacal",0.21,"","","","","","","","","","","","","","","","";"Ravensdown","Ammonium Sulphate - Granular","kg",1,"","","",21,"","",24,"Sulphate of ammonia (SOA)",1,"","","","","","","","","","","","","","","","","","";"Impact Fertilisers","Di-Ammonium Phosphate (DAP)","kg",1,"","","",18,20,"","","Diammonium phosphate (DAP)",1,"","","","","","","","","","","","","","","","","","";"Incitec Pivot Fertilisers","Basalt BooSSta","kg",1,"","","",8,14,"",27.6,"Sulfur - Generic",0.276,"Phosphorus - Generic",0.14,"Nitrogen - Generic",0.08,"Fluoride",0.024,"","","","","","","","","","","","";"Summit Fertilizers","DAPSZC","kg",1,"","","",16.9,18.2,"",8,"Phosphorus - Generic",0.182,"Nitrogen - Generic",0.169,"Sulfur - Generic",0.08,"Zinc",0.002,"Copper",0.001,"","","","","","","","","","";"Incitec Pivot Fertilisers","Easy N","L",1.32,"","","",42.5,"","","","Urea",0.467391,"Nitrogen - Nitrate",0.105,"Nitrogen - Ammoniacal",0.105,"Biuret",0.006,"","","","","","","","","","","","";"Risso-Chemical","Calcium Ammonium nitrate","kg",1,"","","China",40.5,"","","","Nitrogen - Ammoniacal",0.27,"Nitrogen - Nitrate",0.135,"Calcium",0.12,"","","","","","","","","","","","","","";"SL Tec","CellCAL Plus","L",1.138,"","","","","","","","Calcium",0.059,"Copper",0.003,"Boron",0.001,"","","","","","","","","","","","","","";"Incitec Pivot Fertilisers","CK55","kg",1,"","","",13.5,15,6.25,1.2,"Phosphorus - Generic",0.15,"Nitrogen - Ammoniacal",0.135,"Muriate of potash (MOP)",0.125,"Fluoride",0.023,"Sulfur - Generic",0.012,"","","","","","","","","","";"Switch Ag","Crop K","L",1.25,"","","",3,"",21,"","Potassium - Generic",0.21,"Nitrogen - Generic",0.03,"","","","","","","","","","","","","","","","";"Switch Ag","Crop Starter","L",1.2,"","","",5,3,8,"","Potassium - Generic",0.08,"Nitrogen - Generic",0.05,"Phosphorus - Generic",0.03,"","","","","","","","","","","","","","";"Incitec Pivot Fertilisers","Gran-Am","kg",1,"","","",21,"","",24,"Sulphate of ammonia (SOA)",1,"","","","","","","","","","","","","","","","","",""}, _xlpm.r, _xlpm.c))))</definedName>
    <definedName name="Fertiliser_SourceData.Fertiliser_Products_Data1" localSheetId="43">_xlfn.LAMBDA(_xlfn.MAKEARRAY(30, 31, _xlfn.LAMBDA(_xlpm.r,_xlpm.c, INDEX({"Campbells fertilisers Australia","Aqua Finish","L",1.26,"","","",2.6,4,22.5,"","Potassium - Generic",0.225,"Phosphorus - Generic",0.04,"Nitrogen - Generic",0.026,"","","","","","","","","","","","","","";"Campbells fertilisers Australia","Aqua Grow","L",1.26,"","","",9.6,5,10.5,"","Potassium - Generic",0.105,"Nitrogen - Generic",0.096,"Phosphorus - Generic",0.05,"","","","","","","","","","","","","","";"Campbells fertilisers Australia","Aqua Nitro AN","L",1.24,"","","",22.3,"","","","Nitrogen - Ammoniacal",0.223,"","","","","","","","","","","","","","","","","","";"Campbells fertilisers Australia","Aqua NitroCal","L",1.5,"","","",13.2,"","","","Calcium",0.162,"Nitrogen - Nitrate",0.132,"","","","","","","","","","","","","","","","";"Campbells fertilisers Australia","Aqua NitroCal (VI)","L",1.5,"","","",13.2,"","","","Calcium",0.187,"Nitrogen - Nitrate",0.132,"","","","","","","","","","","","","","","","";"Campbells fertilisers Australia","Aqua NitroCal Ultimate","L",1.5,"","","",13.2,"","","","Calcium",0.183,"Nitrogen - Nitrate",0.132,"","","","","","","","","","","","","","","","";"Campbells fertilisers Australia","Aqua Start","L",1.25,"","","",10.3,10,3.4,"","Nitrogen - Generic",0.103,"Phosphorus - Generic",0.1,"Potassium - Generic",0.034,"","","","","","","","","","","","","","";"Campbells fertilisers Australia","Aqua Thio-Complete","L",1.43,"","","",2.5,3.8,22.5,"","Potassium - Generic",0.225,"Phosphorus - Generic",0.038,"Nitrogen - Generic",0.025,"","","","","","","","","","","","","","";"Campbells fertilisers Australia","Aqua Thio-Emerge","L",1.29,"","","",10.5,9.4,4,3,"Nitrogen - Generic",0.105,"Phosphorus - Generic",0.094,"Potassium - Generic",0.04,"Sulfur - Generic",0.03,"","","","","","","","","","","","";"Campbells fertilisers Australia","Aqua Thio-Flourish","L",1.32,"","","",9.5,4.7,10.8,8.1,"Potassium - Generic",0.108,"Nitrogen - Generic",0.095,"Sulfur - Generic",0.081,"Phosphorus - Generic",0.047,"","","","","","","","","","","","";"Campbells fertilisers Australia","Boost-It","kg",1,"","","",24,5.2,8,5.3,"Urea",0.521739,"Potassium - Generic",0.08,"Sulfur - Generic",0.053,"Phosphorus - Generic",0.052,"Magnesium",0.013,"Zinc",0.002,"Manganese",0.0035,"Iron",0.0013,"Copper",0.0007,"Boron",0.0007;"Campbells fertilisers Australia","Bronze","kg",1,"","","",17,0.04,11.6,0.5,"Muriate of potash (MOP)",0.232,"Nitrogen - Generic",0.17,"Sulfur - Generic",0.005,"Magnesium",0.0024,"Phosphorus - Generic",0.0004,"","","","","","","","","","";"Campbells fertilisers Australia","Calbit C","L",1.45,"","","","","","","","Calcium",0.107,"","","","","","","","","","","","","","","","","","";"Campbells fertilisers Australia","Compass","kg",1,"","","",15,6.5,12.5,6,"Nitrogen - Ammoniacal",0.075,"Nitrogen - Nitrate",0.075,"Potassium - Generic",0.125,"Phosphorus - Generic",0.065,"Sulfur - Generic",0.06,"","","","","","","","","","";"Campbells fertilisers Australia","CoRoN 12-0-10","L",1.215,"","","",12,"",10,"","Urea",0.195652,"Potassium - Generic",0.1,"Nitrogen - Generic",0.03,"Boron",0.005,"","","","","","","","","","","","";"Campbells fertilisers Australia","Maximum Quick-N","kg",1,"","","",21.66,"","",13.2,"Sulphate of ammonia (SOA)",0.55,"Ammonium nitrate (AN)",0.3,"","","","","","","","","","","","","","","","";"SL Tec","Crop Booster PLUS","L",1.319,"","","",5,15,2.1,"","Phosphorus - Generic",0.15,"Calcium",0.04,"Nitrogen - Ammoniacal",0.029,"Nitrogen - Nitrate",0.021,"Potassium - Generic",0.021,"Copper",0.005,"Zinc",0.004,"Manganese",0.004,"Magnesium",0.002,"","";"Risso-Chemical","Ammonium Bicarbonate","kg",1,"","","China",17.7,"","","","Nitrogen - Ammoniacal",0.177,"","","","","","","","","","","","","","","","","","";"Risso-Chemical","Ammonium Sulfate","kg",1,"","","China",21,"","",24,"Sulfur - Generic",0.24,"Nitrogen - Ammoniacal",0.21,"","","","","","","","","","","","","","","","";"Ravensdown","Ammonium Sulphate - Granular","kg",1,"","","",21,"","",24,"Sulphate of ammonia (SOA)",1,"","","","","","","","","","","","","","","","","","";"Impact Fertilisers","Di-Ammonium Phosphate (DAP)","kg",1,"","","",18,20,"","","Diammonium phosphate (DAP)",1,"","","","","","","","","","","","","","","","","","";"Incitec Pivot Fertilisers","Basalt BooSSta","kg",1,"","","",8,14,"",27.6,"Sulfur - Generic",0.276,"Phosphorus - Generic",0.14,"Nitrogen - Generic",0.08,"Fluoride",0.024,"","","","","","","","","","","","";"Summit Fertilizers","DAPSZC","kg",1,"","","",16.9,18.2,"",8,"Phosphorus - Generic",0.182,"Nitrogen - Generic",0.169,"Sulfur - Generic",0.08,"Zinc",0.002,"Copper",0.001,"","","","","","","","","","";"Incitec Pivot Fertilisers","Easy N","L",1.32,"","","",42.5,"","","","Urea",0.467391,"Nitrogen - Nitrate",0.105,"Nitrogen - Ammoniacal",0.105,"Biuret",0.006,"","","","","","","","","","","","";"Risso-Chemical","Calcium Ammonium nitrate","kg",1,"","","China",40.5,"","","","Nitrogen - Ammoniacal",0.27,"Nitrogen - Nitrate",0.135,"Calcium",0.12,"","","","","","","","","","","","","","";"SL Tec","CellCAL Plus","L",1.138,"","","","","","","","Calcium",0.059,"Copper",0.003,"Boron",0.001,"","","","","","","","","","","","","","";"Incitec Pivot Fertilisers","CK55","kg",1,"","","",13.5,15,6.25,1.2,"Phosphorus - Generic",0.15,"Nitrogen - Ammoniacal",0.135,"Muriate of potash (MOP)",0.125,"Fluoride",0.023,"Sulfur - Generic",0.012,"","","","","","","","","","";"Switch Ag","Crop K","L",1.25,"","","",3,"",21,"","Potassium - Generic",0.21,"Nitrogen - Generic",0.03,"","","","","","","","","","","","","","","","";"Switch Ag","Crop Starter","L",1.2,"","","",5,3,8,"","Potassium - Generic",0.08,"Nitrogen - Generic",0.05,"Phosphorus - Generic",0.03,"","","","","","","","","","","","","","";"Incitec Pivot Fertilisers","Gran-Am","kg",1,"","","",21,"","",24,"Sulphate of ammonia (SOA)",1,"","","","","","","","","","","","","","","","","",""}, _xlpm.r, _xlpm.c))))</definedName>
    <definedName name="Fertiliser_SourceData.Fertiliser_Products_Data1" localSheetId="45">_xlfn.LAMBDA(_xlfn.MAKEARRAY(30, 31, _xlfn.LAMBDA(_xlpm.r,_xlpm.c, INDEX({"Campbells fertilisers Australia","Aqua Finish","L",1.26,"","","",2.6,4,22.5,"","Potassium - Generic",0.225,"Phosphorus - Generic",0.04,"Nitrogen - Generic",0.026,"","","","","","","","","","","","","","";"Campbells fertilisers Australia","Aqua Grow","L",1.26,"","","",9.6,5,10.5,"","Potassium - Generic",0.105,"Nitrogen - Generic",0.096,"Phosphorus - Generic",0.05,"","","","","","","","","","","","","","";"Campbells fertilisers Australia","Aqua Nitro AN","L",1.24,"","","",22.3,"","","","Nitrogen - Ammoniacal",0.223,"","","","","","","","","","","","","","","","","","";"Campbells fertilisers Australia","Aqua NitroCal","L",1.5,"","","",13.2,"","","","Calcium",0.162,"Nitrogen - Nitrate",0.132,"","","","","","","","","","","","","","","","";"Campbells fertilisers Australia","Aqua NitroCal (VI)","L",1.5,"","","",13.2,"","","","Calcium",0.187,"Nitrogen - Nitrate",0.132,"","","","","","","","","","","","","","","","";"Campbells fertilisers Australia","Aqua NitroCal Ultimate","L",1.5,"","","",13.2,"","","","Calcium",0.183,"Nitrogen - Nitrate",0.132,"","","","","","","","","","","","","","","","";"Campbells fertilisers Australia","Aqua Start","L",1.25,"","","",10.3,10,3.4,"","Nitrogen - Generic",0.103,"Phosphorus - Generic",0.1,"Potassium - Generic",0.034,"","","","","","","","","","","","","","";"Campbells fertilisers Australia","Aqua Thio-Complete","L",1.43,"","","",2.5,3.8,22.5,"","Potassium - Generic",0.225,"Phosphorus - Generic",0.038,"Nitrogen - Generic",0.025,"","","","","","","","","","","","","","";"Campbells fertilisers Australia","Aqua Thio-Emerge","L",1.29,"","","",10.5,9.4,4,3,"Nitrogen - Generic",0.105,"Phosphorus - Generic",0.094,"Potassium - Generic",0.04,"Sulfur - Generic",0.03,"","","","","","","","","","","","";"Campbells fertilisers Australia","Aqua Thio-Flourish","L",1.32,"","","",9.5,4.7,10.8,8.1,"Potassium - Generic",0.108,"Nitrogen - Generic",0.095,"Sulfur - Generic",0.081,"Phosphorus - Generic",0.047,"","","","","","","","","","","","";"Campbells fertilisers Australia","Boost-It","kg",1,"","","",24,5.2,8,5.3,"Urea",0.521739,"Potassium - Generic",0.08,"Sulfur - Generic",0.053,"Phosphorus - Generic",0.052,"Magnesium",0.013,"Zinc",0.002,"Manganese",0.0035,"Iron",0.0013,"Copper",0.0007,"Boron",0.0007;"Campbells fertilisers Australia","Bronze","kg",1,"","","",17,0.04,11.6,0.5,"Muriate of potash (MOP)",0.232,"Nitrogen - Generic",0.17,"Sulfur - Generic",0.005,"Magnesium",0.0024,"Phosphorus - Generic",0.0004,"","","","","","","","","","";"Campbells fertilisers Australia","Calbit C","L",1.45,"","","","","","","","Calcium",0.107,"","","","","","","","","","","","","","","","","","";"Campbells fertilisers Australia","Compass","kg",1,"","","",15,6.5,12.5,6,"Nitrogen - Ammoniacal",0.075,"Nitrogen - Nitrate",0.075,"Potassium - Generic",0.125,"Phosphorus - Generic",0.065,"Sulfur - Generic",0.06,"","","","","","","","","","";"Campbells fertilisers Australia","CoRoN 12-0-10","L",1.215,"","","",12,"",10,"","Urea",0.195652,"Potassium - Generic",0.1,"Nitrogen - Generic",0.03,"Boron",0.005,"","","","","","","","","","","","";"Campbells fertilisers Australia","Maximum Quick-N","kg",1,"","","",21.66,"","",13.2,"Sulphate of ammonia (SOA)",0.55,"Ammonium nitrate (AN)",0.3,"","","","","","","","","","","","","","","","";"SL Tec","Crop Booster PLUS","L",1.319,"","","",5,15,2.1,"","Phosphorus - Generic",0.15,"Calcium",0.04,"Nitrogen - Ammoniacal",0.029,"Nitrogen - Nitrate",0.021,"Potassium - Generic",0.021,"Copper",0.005,"Zinc",0.004,"Manganese",0.004,"Magnesium",0.002,"","";"Risso-Chemical","Ammonium Bicarbonate","kg",1,"","","China",17.7,"","","","Nitrogen - Ammoniacal",0.177,"","","","","","","","","","","","","","","","","","";"Risso-Chemical","Ammonium Sulfate","kg",1,"","","China",21,"","",24,"Sulfur - Generic",0.24,"Nitrogen - Ammoniacal",0.21,"","","","","","","","","","","","","","","","";"Ravensdown","Ammonium Sulphate - Granular","kg",1,"","","",21,"","",24,"Sulphate of ammonia (SOA)",1,"","","","","","","","","","","","","","","","","","";"Impact Fertilisers","Di-Ammonium Phosphate (DAP)","kg",1,"","","",18,20,"","","Diammonium phosphate (DAP)",1,"","","","","","","","","","","","","","","","","","";"Incitec Pivot Fertilisers","Basalt BooSSta","kg",1,"","","",8,14,"",27.6,"Sulfur - Generic",0.276,"Phosphorus - Generic",0.14,"Nitrogen - Generic",0.08,"Fluoride",0.024,"","","","","","","","","","","","";"Summit Fertilizers","DAPSZC","kg",1,"","","",16.9,18.2,"",8,"Phosphorus - Generic",0.182,"Nitrogen - Generic",0.169,"Sulfur - Generic",0.08,"Zinc",0.002,"Copper",0.001,"","","","","","","","","","";"Incitec Pivot Fertilisers","Easy N","L",1.32,"","","",42.5,"","","","Urea",0.467391,"Nitrogen - Nitrate",0.105,"Nitrogen - Ammoniacal",0.105,"Biuret",0.006,"","","","","","","","","","","","";"Risso-Chemical","Calcium Ammonium nitrate","kg",1,"","","China",40.5,"","","","Nitrogen - Ammoniacal",0.27,"Nitrogen - Nitrate",0.135,"Calcium",0.12,"","","","","","","","","","","","","","";"SL Tec","CellCAL Plus","L",1.138,"","","","","","","","Calcium",0.059,"Copper",0.003,"Boron",0.001,"","","","","","","","","","","","","","";"Incitec Pivot Fertilisers","CK55","kg",1,"","","",13.5,15,6.25,1.2,"Phosphorus - Generic",0.15,"Nitrogen - Ammoniacal",0.135,"Muriate of potash (MOP)",0.125,"Fluoride",0.023,"Sulfur - Generic",0.012,"","","","","","","","","","";"Switch Ag","Crop K","L",1.25,"","","",3,"",21,"","Potassium - Generic",0.21,"Nitrogen - Generic",0.03,"","","","","","","","","","","","","","","","";"Switch Ag","Crop Starter","L",1.2,"","","",5,3,8,"","Potassium - Generic",0.08,"Nitrogen - Generic",0.05,"Phosphorus - Generic",0.03,"","","","","","","","","","","","","","";"Incitec Pivot Fertilisers","Gran-Am","kg",1,"","","",21,"","",24,"Sulphate of ammonia (SOA)",1,"","","","","","","","","","","","","","","","","",""}, _xlpm.r, _xlpm.c))))</definedName>
    <definedName name="Fertiliser_SourceData.Fertiliser_Products_Data1" localSheetId="7">_xlfn.LAMBDA(_xlfn.MAKEARRAY(30, 31, _xlfn.LAMBDA(_xlpm.r,_xlpm.c, INDEX({"Campbells fertilisers Australia","Aqua Finish","L",1.26,"","","",2.6,4,22.5,"","Potassium - Generic",0.225,"Phosphorus - Generic",0.04,"Nitrogen - Generic",0.026,"","","","","","","","","","","","","","";"Campbells fertilisers Australia","Aqua Grow","L",1.26,"","","",9.6,5,10.5,"","Potassium - Generic",0.105,"Nitrogen - Generic",0.096,"Phosphorus - Generic",0.05,"","","","","","","","","","","","","","";"Campbells fertilisers Australia","Aqua Nitro AN","L",1.24,"","","",22.3,"","","","Nitrogen - Ammoniacal",0.223,"","","","","","","","","","","","","","","","","","";"Campbells fertilisers Australia","Aqua NitroCal","L",1.5,"","","",13.2,"","","","Calcium",0.162,"Nitrogen - Nitrate",0.132,"","","","","","","","","","","","","","","","";"Campbells fertilisers Australia","Aqua NitroCal (VI)","L",1.5,"","","",13.2,"","","","Calcium",0.187,"Nitrogen - Nitrate",0.132,"","","","","","","","","","","","","","","","";"Campbells fertilisers Australia","Aqua NitroCal Ultimate","L",1.5,"","","",13.2,"","","","Calcium",0.183,"Nitrogen - Nitrate",0.132,"","","","","","","","","","","","","","","","";"Campbells fertilisers Australia","Aqua Start","L",1.25,"","","",10.3,10,3.4,"","Nitrogen - Generic",0.103,"Phosphorus - Generic",0.1,"Potassium - Generic",0.034,"","","","","","","","","","","","","","";"Campbells fertilisers Australia","Aqua Thio-Complete","L",1.43,"","","",2.5,3.8,22.5,"","Potassium - Generic",0.225,"Phosphorus - Generic",0.038,"Nitrogen - Generic",0.025,"","","","","","","","","","","","","","";"Campbells fertilisers Australia","Aqua Thio-Emerge","L",1.29,"","","",10.5,9.4,4,3,"Nitrogen - Generic",0.105,"Phosphorus - Generic",0.094,"Potassium - Generic",0.04,"Sulfur - Generic",0.03,"","","","","","","","","","","","";"Campbells fertilisers Australia","Aqua Thio-Flourish","L",1.32,"","","",9.5,4.7,10.8,8.1,"Potassium - Generic",0.108,"Nitrogen - Generic",0.095,"Sulfur - Generic",0.081,"Phosphorus - Generic",0.047,"","","","","","","","","","","","";"Campbells fertilisers Australia","Boost-It","kg",1,"","","",24,5.2,8,5.3,"Urea",0.521739,"Potassium - Generic",0.08,"Sulfur - Generic",0.053,"Phosphorus - Generic",0.052,"Magnesium",0.013,"Zinc",0.002,"Manganese",0.0035,"Iron",0.0013,"Copper",0.0007,"Boron",0.0007;"Campbells fertilisers Australia","Bronze","kg",1,"","","",17,0.04,11.6,0.5,"Muriate of potash (MOP)",0.232,"Nitrogen - Generic",0.17,"Sulfur - Generic",0.005,"Magnesium",0.0024,"Phosphorus - Generic",0.0004,"","","","","","","","","","";"Campbells fertilisers Australia","Calbit C","L",1.45,"","","","","","","","Calcium",0.107,"","","","","","","","","","","","","","","","","","";"Campbells fertilisers Australia","Compass","kg",1,"","","",15,6.5,12.5,6,"Nitrogen - Ammoniacal",0.075,"Nitrogen - Nitrate",0.075,"Potassium - Generic",0.125,"Phosphorus - Generic",0.065,"Sulfur - Generic",0.06,"","","","","","","","","","";"Campbells fertilisers Australia","CoRoN 12-0-10","L",1.215,"","","",12,"",10,"","Urea",0.195652,"Potassium - Generic",0.1,"Nitrogen - Generic",0.03,"Boron",0.005,"","","","","","","","","","","","";"Campbells fertilisers Australia","Maximum Quick-N","kg",1,"","","",21.66,"","",13.2,"Sulphate of ammonia (SOA)",0.55,"Ammonium nitrate (AN)",0.3,"","","","","","","","","","","","","","","","";"SL Tec","Crop Booster PLUS","L",1.319,"","","",5,15,2.1,"","Phosphorus - Generic",0.15,"Calcium",0.04,"Nitrogen - Ammoniacal",0.029,"Nitrogen - Nitrate",0.021,"Potassium - Generic",0.021,"Copper",0.005,"Zinc",0.004,"Manganese",0.004,"Magnesium",0.002,"","";"Risso-Chemical","Ammonium Bicarbonate","kg",1,"","","China",17.7,"","","","Nitrogen - Ammoniacal",0.177,"","","","","","","","","","","","","","","","","","";"Risso-Chemical","Ammonium Sulfate","kg",1,"","","China",21,"","",24,"Sulfur - Generic",0.24,"Nitrogen - Ammoniacal",0.21,"","","","","","","","","","","","","","","","";"Ravensdown","Ammonium Sulphate - Granular","kg",1,"","","",21,"","",24,"Sulphate of ammonia (SOA)",1,"","","","","","","","","","","","","","","","","","";"Impact Fertilisers","Di-Ammonium Phosphate (DAP)","kg",1,"","","",18,20,"","","Diammonium phosphate (DAP)",1,"","","","","","","","","","","","","","","","","","";"Incitec Pivot Fertilisers","Basalt BooSSta","kg",1,"","","",8,14,"",27.6,"Sulfur - Generic",0.276,"Phosphorus - Generic",0.14,"Nitrogen - Generic",0.08,"Fluoride",0.024,"","","","","","","","","","","","";"Summit Fertilizers","DAPSZC","kg",1,"","","",16.9,18.2,"",8,"Phosphorus - Generic",0.182,"Nitrogen - Generic",0.169,"Sulfur - Generic",0.08,"Zinc",0.002,"Copper",0.001,"","","","","","","","","","";"Incitec Pivot Fertilisers","Easy N","L",1.32,"","","",42.5,"","","","Urea",0.467391,"Nitrogen - Nitrate",0.105,"Nitrogen - Ammoniacal",0.105,"Biuret",0.006,"","","","","","","","","","","","";"Risso-Chemical","Calcium Ammonium nitrate","kg",1,"","","China",40.5,"","","","Nitrogen - Ammoniacal",0.27,"Nitrogen - Nitrate",0.135,"Calcium",0.12,"","","","","","","","","","","","","","";"SL Tec","CellCAL Plus","L",1.138,"","","","","","","","Calcium",0.059,"Copper",0.003,"Boron",0.001,"","","","","","","","","","","","","","";"Incitec Pivot Fertilisers","CK55","kg",1,"","","",13.5,15,6.25,1.2,"Phosphorus - Generic",0.15,"Nitrogen - Ammoniacal",0.135,"Muriate of potash (MOP)",0.125,"Fluoride",0.023,"Sulfur - Generic",0.012,"","","","","","","","","","";"Switch Ag","Crop K","L",1.25,"","","",3,"",21,"","Potassium - Generic",0.21,"Nitrogen - Generic",0.03,"","","","","","","","","","","","","","","","";"Switch Ag","Crop Starter","L",1.2,"","","",5,3,8,"","Potassium - Generic",0.08,"Nitrogen - Generic",0.05,"Phosphorus - Generic",0.03,"","","","","","","","","","","","","","";"Incitec Pivot Fertilisers","Gran-Am","kg",1,"","","",21,"","",24,"Sulphate of ammonia (SOA)",1,"","","","","","","","","","","","","","","","","",""}, _xlpm.r, _xlpm.c))))</definedName>
    <definedName name="Fertiliser_SourceData.Fertiliser_Products_Data1" localSheetId="13">_xlfn.LAMBDA(_xlfn.MAKEARRAY(30, 31, _xlfn.LAMBDA(_xlpm.r,_xlpm.c, INDEX({"Campbells fertilisers Australia","Aqua Finish","L",1.26,"","","",2.6,4,22.5,"","Potassium - Generic",0.225,"Phosphorus - Generic",0.04,"Nitrogen - Generic",0.026,"","","","","","","","","","","","","","";"Campbells fertilisers Australia","Aqua Grow","L",1.26,"","","",9.6,5,10.5,"","Potassium - Generic",0.105,"Nitrogen - Generic",0.096,"Phosphorus - Generic",0.05,"","","","","","","","","","","","","","";"Campbells fertilisers Australia","Aqua Nitro AN","L",1.24,"","","",22.3,"","","","Nitrogen - Ammoniacal",0.223,"","","","","","","","","","","","","","","","","","";"Campbells fertilisers Australia","Aqua NitroCal","L",1.5,"","","",13.2,"","","","Calcium",0.162,"Nitrogen - Nitrate",0.132,"","","","","","","","","","","","","","","","";"Campbells fertilisers Australia","Aqua NitroCal (VI)","L",1.5,"","","",13.2,"","","","Calcium",0.187,"Nitrogen - Nitrate",0.132,"","","","","","","","","","","","","","","","";"Campbells fertilisers Australia","Aqua NitroCal Ultimate","L",1.5,"","","",13.2,"","","","Calcium",0.183,"Nitrogen - Nitrate",0.132,"","","","","","","","","","","","","","","","";"Campbells fertilisers Australia","Aqua Start","L",1.25,"","","",10.3,10,3.4,"","Nitrogen - Generic",0.103,"Phosphorus - Generic",0.1,"Potassium - Generic",0.034,"","","","","","","","","","","","","","";"Campbells fertilisers Australia","Aqua Thio-Complete","L",1.43,"","","",2.5,3.8,22.5,"","Potassium - Generic",0.225,"Phosphorus - Generic",0.038,"Nitrogen - Generic",0.025,"","","","","","","","","","","","","","";"Campbells fertilisers Australia","Aqua Thio-Emerge","L",1.29,"","","",10.5,9.4,4,3,"Nitrogen - Generic",0.105,"Phosphorus - Generic",0.094,"Potassium - Generic",0.04,"Sulfur - Generic",0.03,"","","","","","","","","","","","";"Campbells fertilisers Australia","Aqua Thio-Flourish","L",1.32,"","","",9.5,4.7,10.8,8.1,"Potassium - Generic",0.108,"Nitrogen - Generic",0.095,"Sulfur - Generic",0.081,"Phosphorus - Generic",0.047,"","","","","","","","","","","","";"Campbells fertilisers Australia","Boost-It","kg",1,"","","",24,5.2,8,5.3,"Urea",0.521739,"Potassium - Generic",0.08,"Sulfur - Generic",0.053,"Phosphorus - Generic",0.052,"Magnesium",0.013,"Zinc",0.002,"Manganese",0.0035,"Iron",0.0013,"Copper",0.0007,"Boron",0.0007;"Campbells fertilisers Australia","Bronze","kg",1,"","","",17,0.04,11.6,0.5,"Muriate of potash (MOP)",0.232,"Nitrogen - Generic",0.17,"Sulfur - Generic",0.005,"Magnesium",0.0024,"Phosphorus - Generic",0.0004,"","","","","","","","","","";"Campbells fertilisers Australia","Calbit C","L",1.45,"","","","","","","","Calcium",0.107,"","","","","","","","","","","","","","","","","","";"Campbells fertilisers Australia","Compass","kg",1,"","","",15,6.5,12.5,6,"Nitrogen - Ammoniacal",0.075,"Nitrogen - Nitrate",0.075,"Potassium - Generic",0.125,"Phosphorus - Generic",0.065,"Sulfur - Generic",0.06,"","","","","","","","","","";"Campbells fertilisers Australia","CoRoN 12-0-10","L",1.215,"","","",12,"",10,"","Urea",0.195652,"Potassium - Generic",0.1,"Nitrogen - Generic",0.03,"Boron",0.005,"","","","","","","","","","","","";"Campbells fertilisers Australia","Maximum Quick-N","kg",1,"","","",21.66,"","",13.2,"Sulphate of ammonia (SOA)",0.55,"Ammonium nitrate (AN)",0.3,"","","","","","","","","","","","","","","","";"SL Tec","Crop Booster PLUS","L",1.319,"","","",5,15,2.1,"","Phosphorus - Generic",0.15,"Calcium",0.04,"Nitrogen - Ammoniacal",0.029,"Nitrogen - Nitrate",0.021,"Potassium - Generic",0.021,"Copper",0.005,"Zinc",0.004,"Manganese",0.004,"Magnesium",0.002,"","";"Risso-Chemical","Ammonium Bicarbonate","kg",1,"","","China",17.7,"","","","Nitrogen - Ammoniacal",0.177,"","","","","","","","","","","","","","","","","","";"Risso-Chemical","Ammonium Sulfate","kg",1,"","","China",21,"","",24,"Sulfur - Generic",0.24,"Nitrogen - Ammoniacal",0.21,"","","","","","","","","","","","","","","","";"Ravensdown","Ammonium Sulphate - Granular","kg",1,"","","",21,"","",24,"Sulphate of ammonia (SOA)",1,"","","","","","","","","","","","","","","","","","";"Impact Fertilisers","Di-Ammonium Phosphate (DAP)","kg",1,"","","",18,20,"","","Diammonium phosphate (DAP)",1,"","","","","","","","","","","","","","","","","","";"Incitec Pivot Fertilisers","Basalt BooSSta","kg",1,"","","",8,14,"",27.6,"Sulfur - Generic",0.276,"Phosphorus - Generic",0.14,"Nitrogen - Generic",0.08,"Fluoride",0.024,"","","","","","","","","","","","";"Summit Fertilizers","DAPSZC","kg",1,"","","",16.9,18.2,"",8,"Phosphorus - Generic",0.182,"Nitrogen - Generic",0.169,"Sulfur - Generic",0.08,"Zinc",0.002,"Copper",0.001,"","","","","","","","","","";"Incitec Pivot Fertilisers","Easy N","L",1.32,"","","",42.5,"","","","Urea",0.467391,"Nitrogen - Nitrate",0.105,"Nitrogen - Ammoniacal",0.105,"Biuret",0.006,"","","","","","","","","","","","";"Risso-Chemical","Calcium Ammonium nitrate","kg",1,"","","China",40.5,"","","","Nitrogen - Ammoniacal",0.27,"Nitrogen - Nitrate",0.135,"Calcium",0.12,"","","","","","","","","","","","","","";"SL Tec","CellCAL Plus","L",1.138,"","","","","","","","Calcium",0.059,"Copper",0.003,"Boron",0.001,"","","","","","","","","","","","","","";"Incitec Pivot Fertilisers","CK55","kg",1,"","","",13.5,15,6.25,1.2,"Phosphorus - Generic",0.15,"Nitrogen - Ammoniacal",0.135,"Muriate of potash (MOP)",0.125,"Fluoride",0.023,"Sulfur - Generic",0.012,"","","","","","","","","","";"Switch Ag","Crop K","L",1.25,"","","",3,"",21,"","Potassium - Generic",0.21,"Nitrogen - Generic",0.03,"","","","","","","","","","","","","","","","";"Switch Ag","Crop Starter","L",1.2,"","","",5,3,8,"","Potassium - Generic",0.08,"Nitrogen - Generic",0.05,"Phosphorus - Generic",0.03,"","","","","","","","","","","","","","";"Incitec Pivot Fertilisers","Gran-Am","kg",1,"","","",21,"","",24,"Sulphate of ammonia (SOA)",1,"","","","","","","","","","","","","","","","","",""}, _xlpm.r, _xlpm.c))))</definedName>
    <definedName name="Fertiliser_SourceData.Fertiliser_Products_Data1" localSheetId="14">_xlfn.LAMBDA(_xlfn.MAKEARRAY(30, 31, _xlfn.LAMBDA(_xlpm.r,_xlpm.c, INDEX({"Campbells fertilisers Australia","Aqua Finish","L",1.26,"","","",2.6,4,22.5,"","Potassium - Generic",0.225,"Phosphorus - Generic",0.04,"Nitrogen - Generic",0.026,"","","","","","","","","","","","","","";"Campbells fertilisers Australia","Aqua Grow","L",1.26,"","","",9.6,5,10.5,"","Potassium - Generic",0.105,"Nitrogen - Generic",0.096,"Phosphorus - Generic",0.05,"","","","","","","","","","","","","","";"Campbells fertilisers Australia","Aqua Nitro AN","L",1.24,"","","",22.3,"","","","Nitrogen - Ammoniacal",0.223,"","","","","","","","","","","","","","","","","","";"Campbells fertilisers Australia","Aqua NitroCal","L",1.5,"","","",13.2,"","","","Calcium",0.162,"Nitrogen - Nitrate",0.132,"","","","","","","","","","","","","","","","";"Campbells fertilisers Australia","Aqua NitroCal (VI)","L",1.5,"","","",13.2,"","","","Calcium",0.187,"Nitrogen - Nitrate",0.132,"","","","","","","","","","","","","","","","";"Campbells fertilisers Australia","Aqua NitroCal Ultimate","L",1.5,"","","",13.2,"","","","Calcium",0.183,"Nitrogen - Nitrate",0.132,"","","","","","","","","","","","","","","","";"Campbells fertilisers Australia","Aqua Start","L",1.25,"","","",10.3,10,3.4,"","Nitrogen - Generic",0.103,"Phosphorus - Generic",0.1,"Potassium - Generic",0.034,"","","","","","","","","","","","","","";"Campbells fertilisers Australia","Aqua Thio-Complete","L",1.43,"","","",2.5,3.8,22.5,"","Potassium - Generic",0.225,"Phosphorus - Generic",0.038,"Nitrogen - Generic",0.025,"","","","","","","","","","","","","","";"Campbells fertilisers Australia","Aqua Thio-Emerge","L",1.29,"","","",10.5,9.4,4,3,"Nitrogen - Generic",0.105,"Phosphorus - Generic",0.094,"Potassium - Generic",0.04,"Sulfur - Generic",0.03,"","","","","","","","","","","","";"Campbells fertilisers Australia","Aqua Thio-Flourish","L",1.32,"","","",9.5,4.7,10.8,8.1,"Potassium - Generic",0.108,"Nitrogen - Generic",0.095,"Sulfur - Generic",0.081,"Phosphorus - Generic",0.047,"","","","","","","","","","","","";"Campbells fertilisers Australia","Boost-It","kg",1,"","","",24,5.2,8,5.3,"Urea",0.521739,"Potassium - Generic",0.08,"Sulfur - Generic",0.053,"Phosphorus - Generic",0.052,"Magnesium",0.013,"Zinc",0.002,"Manganese",0.0035,"Iron",0.0013,"Copper",0.0007,"Boron",0.0007;"Campbells fertilisers Australia","Bronze","kg",1,"","","",17,0.04,11.6,0.5,"Muriate of potash (MOP)",0.232,"Nitrogen - Generic",0.17,"Sulfur - Generic",0.005,"Magnesium",0.0024,"Phosphorus - Generic",0.0004,"","","","","","","","","","";"Campbells fertilisers Australia","Calbit C","L",1.45,"","","","","","","","Calcium",0.107,"","","","","","","","","","","","","","","","","","";"Campbells fertilisers Australia","Compass","kg",1,"","","",15,6.5,12.5,6,"Nitrogen - Ammoniacal",0.075,"Nitrogen - Nitrate",0.075,"Potassium - Generic",0.125,"Phosphorus - Generic",0.065,"Sulfur - Generic",0.06,"","","","","","","","","","";"Campbells fertilisers Australia","CoRoN 12-0-10","L",1.215,"","","",12,"",10,"","Urea",0.195652,"Potassium - Generic",0.1,"Nitrogen - Generic",0.03,"Boron",0.005,"","","","","","","","","","","","";"Campbells fertilisers Australia","Maximum Quick-N","kg",1,"","","",21.66,"","",13.2,"Sulphate of ammonia (SOA)",0.55,"Ammonium nitrate (AN)",0.3,"","","","","","","","","","","","","","","","";"SL Tec","Crop Booster PLUS","L",1.319,"","","",5,15,2.1,"","Phosphorus - Generic",0.15,"Calcium",0.04,"Nitrogen - Ammoniacal",0.029,"Nitrogen - Nitrate",0.021,"Potassium - Generic",0.021,"Copper",0.005,"Zinc",0.004,"Manganese",0.004,"Magnesium",0.002,"","";"Risso-Chemical","Ammonium Bicarbonate","kg",1,"","","China",17.7,"","","","Nitrogen - Ammoniacal",0.177,"","","","","","","","","","","","","","","","","","";"Risso-Chemical","Ammonium Sulfate","kg",1,"","","China",21,"","",24,"Sulfur - Generic",0.24,"Nitrogen - Ammoniacal",0.21,"","","","","","","","","","","","","","","","";"Ravensdown","Ammonium Sulphate - Granular","kg",1,"","","",21,"","",24,"Sulphate of ammonia (SOA)",1,"","","","","","","","","","","","","","","","","","";"Impact Fertilisers","Di-Ammonium Phosphate (DAP)","kg",1,"","","",18,20,"","","Diammonium phosphate (DAP)",1,"","","","","","","","","","","","","","","","","","";"Incitec Pivot Fertilisers","Basalt BooSSta","kg",1,"","","",8,14,"",27.6,"Sulfur - Generic",0.276,"Phosphorus - Generic",0.14,"Nitrogen - Generic",0.08,"Fluoride",0.024,"","","","","","","","","","","","";"Summit Fertilizers","DAPSZC","kg",1,"","","",16.9,18.2,"",8,"Phosphorus - Generic",0.182,"Nitrogen - Generic",0.169,"Sulfur - Generic",0.08,"Zinc",0.002,"Copper",0.001,"","","","","","","","","","";"Incitec Pivot Fertilisers","Easy N","L",1.32,"","","",42.5,"","","","Urea",0.467391,"Nitrogen - Nitrate",0.105,"Nitrogen - Ammoniacal",0.105,"Biuret",0.006,"","","","","","","","","","","","";"Risso-Chemical","Calcium Ammonium nitrate","kg",1,"","","China",40.5,"","","","Nitrogen - Ammoniacal",0.27,"Nitrogen - Nitrate",0.135,"Calcium",0.12,"","","","","","","","","","","","","","";"SL Tec","CellCAL Plus","L",1.138,"","","","","","","","Calcium",0.059,"Copper",0.003,"Boron",0.001,"","","","","","","","","","","","","","";"Incitec Pivot Fertilisers","CK55","kg",1,"","","",13.5,15,6.25,1.2,"Phosphorus - Generic",0.15,"Nitrogen - Ammoniacal",0.135,"Muriate of potash (MOP)",0.125,"Fluoride",0.023,"Sulfur - Generic",0.012,"","","","","","","","","","";"Switch Ag","Crop K","L",1.25,"","","",3,"",21,"","Potassium - Generic",0.21,"Nitrogen - Generic",0.03,"","","","","","","","","","","","","","","","";"Switch Ag","Crop Starter","L",1.2,"","","",5,3,8,"","Potassium - Generic",0.08,"Nitrogen - Generic",0.05,"Phosphorus - Generic",0.03,"","","","","","","","","","","","","","";"Incitec Pivot Fertilisers","Gran-Am","kg",1,"","","",21,"","",24,"Sulphate of ammonia (SOA)",1,"","","","","","","","","","","","","","","","","",""}, _xlpm.r, _xlpm.c))))</definedName>
    <definedName name="Fertiliser_SourceData.Fertiliser_Products_Data1" localSheetId="10">_xlfn.LAMBDA(_xlfn.MAKEARRAY(30, 31, _xlfn.LAMBDA(_xlpm.r,_xlpm.c, INDEX({"Campbells fertilisers Australia","Aqua Finish","L",1.26,"","","",2.6,4,22.5,"","Potassium - Generic",0.225,"Phosphorus - Generic",0.04,"Nitrogen - Generic",0.026,"","","","","","","","","","","","","","";"Campbells fertilisers Australia","Aqua Grow","L",1.26,"","","",9.6,5,10.5,"","Potassium - Generic",0.105,"Nitrogen - Generic",0.096,"Phosphorus - Generic",0.05,"","","","","","","","","","","","","","";"Campbells fertilisers Australia","Aqua Nitro AN","L",1.24,"","","",22.3,"","","","Nitrogen - Ammoniacal",0.223,"","","","","","","","","","","","","","","","","","";"Campbells fertilisers Australia","Aqua NitroCal","L",1.5,"","","",13.2,"","","","Calcium",0.162,"Nitrogen - Nitrate",0.132,"","","","","","","","","","","","","","","","";"Campbells fertilisers Australia","Aqua NitroCal (VI)","L",1.5,"","","",13.2,"","","","Calcium",0.187,"Nitrogen - Nitrate",0.132,"","","","","","","","","","","","","","","","";"Campbells fertilisers Australia","Aqua NitroCal Ultimate","L",1.5,"","","",13.2,"","","","Calcium",0.183,"Nitrogen - Nitrate",0.132,"","","","","","","","","","","","","","","","";"Campbells fertilisers Australia","Aqua Start","L",1.25,"","","",10.3,10,3.4,"","Nitrogen - Generic",0.103,"Phosphorus - Generic",0.1,"Potassium - Generic",0.034,"","","","","","","","","","","","","","";"Campbells fertilisers Australia","Aqua Thio-Complete","L",1.43,"","","",2.5,3.8,22.5,"","Potassium - Generic",0.225,"Phosphorus - Generic",0.038,"Nitrogen - Generic",0.025,"","","","","","","","","","","","","","";"Campbells fertilisers Australia","Aqua Thio-Emerge","L",1.29,"","","",10.5,9.4,4,3,"Nitrogen - Generic",0.105,"Phosphorus - Generic",0.094,"Potassium - Generic",0.04,"Sulfur - Generic",0.03,"","","","","","","","","","","","";"Campbells fertilisers Australia","Aqua Thio-Flourish","L",1.32,"","","",9.5,4.7,10.8,8.1,"Potassium - Generic",0.108,"Nitrogen - Generic",0.095,"Sulfur - Generic",0.081,"Phosphorus - Generic",0.047,"","","","","","","","","","","","";"Campbells fertilisers Australia","Boost-It","kg",1,"","","",24,5.2,8,5.3,"Urea",0.521739,"Potassium - Generic",0.08,"Sulfur - Generic",0.053,"Phosphorus - Generic",0.052,"Magnesium",0.013,"Zinc",0.002,"Manganese",0.0035,"Iron",0.0013,"Copper",0.0007,"Boron",0.0007;"Campbells fertilisers Australia","Bronze","kg",1,"","","",17,0.04,11.6,0.5,"Muriate of potash (MOP)",0.232,"Nitrogen - Generic",0.17,"Sulfur - Generic",0.005,"Magnesium",0.0024,"Phosphorus - Generic",0.0004,"","","","","","","","","","";"Campbells fertilisers Australia","Calbit C","L",1.45,"","","","","","","","Calcium",0.107,"","","","","","","","","","","","","","","","","","";"Campbells fertilisers Australia","Compass","kg",1,"","","",15,6.5,12.5,6,"Nitrogen - Ammoniacal",0.075,"Nitrogen - Nitrate",0.075,"Potassium - Generic",0.125,"Phosphorus - Generic",0.065,"Sulfur - Generic",0.06,"","","","","","","","","","";"Campbells fertilisers Australia","CoRoN 12-0-10","L",1.215,"","","",12,"",10,"","Urea",0.195652,"Potassium - Generic",0.1,"Nitrogen - Generic",0.03,"Boron",0.005,"","","","","","","","","","","","";"Campbells fertilisers Australia","Maximum Quick-N","kg",1,"","","",21.66,"","",13.2,"Sulphate of ammonia (SOA)",0.55,"Ammonium nitrate (AN)",0.3,"","","","","","","","","","","","","","","","";"SL Tec","Crop Booster PLUS","L",1.319,"","","",5,15,2.1,"","Phosphorus - Generic",0.15,"Calcium",0.04,"Nitrogen - Ammoniacal",0.029,"Nitrogen - Nitrate",0.021,"Potassium - Generic",0.021,"Copper",0.005,"Zinc",0.004,"Manganese",0.004,"Magnesium",0.002,"","";"Risso-Chemical","Ammonium Bicarbonate","kg",1,"","","China",17.7,"","","","Nitrogen - Ammoniacal",0.177,"","","","","","","","","","","","","","","","","","";"Risso-Chemical","Ammonium Sulfate","kg",1,"","","China",21,"","",24,"Sulfur - Generic",0.24,"Nitrogen - Ammoniacal",0.21,"","","","","","","","","","","","","","","","";"Ravensdown","Ammonium Sulphate - Granular","kg",1,"","","",21,"","",24,"Sulphate of ammonia (SOA)",1,"","","","","","","","","","","","","","","","","","";"Impact Fertilisers","Di-Ammonium Phosphate (DAP)","kg",1,"","","",18,20,"","","Diammonium phosphate (DAP)",1,"","","","","","","","","","","","","","","","","","";"Incitec Pivot Fertilisers","Basalt BooSSta","kg",1,"","","",8,14,"",27.6,"Sulfur - Generic",0.276,"Phosphorus - Generic",0.14,"Nitrogen - Generic",0.08,"Fluoride",0.024,"","","","","","","","","","","","";"Summit Fertilizers","DAPSZC","kg",1,"","","",16.9,18.2,"",8,"Phosphorus - Generic",0.182,"Nitrogen - Generic",0.169,"Sulfur - Generic",0.08,"Zinc",0.002,"Copper",0.001,"","","","","","","","","","";"Incitec Pivot Fertilisers","Easy N","L",1.32,"","","",42.5,"","","","Urea",0.467391,"Nitrogen - Nitrate",0.105,"Nitrogen - Ammoniacal",0.105,"Biuret",0.006,"","","","","","","","","","","","";"Risso-Chemical","Calcium Ammonium nitrate","kg",1,"","","China",40.5,"","","","Nitrogen - Ammoniacal",0.27,"Nitrogen - Nitrate",0.135,"Calcium",0.12,"","","","","","","","","","","","","","";"SL Tec","CellCAL Plus","L",1.138,"","","","","","","","Calcium",0.059,"Copper",0.003,"Boron",0.001,"","","","","","","","","","","","","","";"Incitec Pivot Fertilisers","CK55","kg",1,"","","",13.5,15,6.25,1.2,"Phosphorus - Generic",0.15,"Nitrogen - Ammoniacal",0.135,"Muriate of potash (MOP)",0.125,"Fluoride",0.023,"Sulfur - Generic",0.012,"","","","","","","","","","";"Switch Ag","Crop K","L",1.25,"","","",3,"",21,"","Potassium - Generic",0.21,"Nitrogen - Generic",0.03,"","","","","","","","","","","","","","","","";"Switch Ag","Crop Starter","L",1.2,"","","",5,3,8,"","Potassium - Generic",0.08,"Nitrogen - Generic",0.05,"Phosphorus - Generic",0.03,"","","","","","","","","","","","","","";"Incitec Pivot Fertilisers","Gran-Am","kg",1,"","","",21,"","",24,"Sulphate of ammonia (SOA)",1,"","","","","","","","","","","","","","","","","",""}, _xlpm.r, _xlpm.c))))</definedName>
    <definedName name="Fertiliser_SourceData.Fertiliser_Products_Data1" localSheetId="16">_xlfn.LAMBDA(_xlfn.MAKEARRAY(30, 31, _xlfn.LAMBDA(_xlpm.r,_xlpm.c, INDEX({"Campbells fertilisers Australia","Aqua Finish","L",1.26,"","","",2.6,4,22.5,"","Potassium - Generic",0.225,"Phosphorus - Generic",0.04,"Nitrogen - Generic",0.026,"","","","","","","","","","","","","","";"Campbells fertilisers Australia","Aqua Grow","L",1.26,"","","",9.6,5,10.5,"","Potassium - Generic",0.105,"Nitrogen - Generic",0.096,"Phosphorus - Generic",0.05,"","","","","","","","","","","","","","";"Campbells fertilisers Australia","Aqua Nitro AN","L",1.24,"","","",22.3,"","","","Nitrogen - Ammoniacal",0.223,"","","","","","","","","","","","","","","","","","";"Campbells fertilisers Australia","Aqua NitroCal","L",1.5,"","","",13.2,"","","","Calcium",0.162,"Nitrogen - Nitrate",0.132,"","","","","","","","","","","","","","","","";"Campbells fertilisers Australia","Aqua NitroCal (VI)","L",1.5,"","","",13.2,"","","","Calcium",0.187,"Nitrogen - Nitrate",0.132,"","","","","","","","","","","","","","","","";"Campbells fertilisers Australia","Aqua NitroCal Ultimate","L",1.5,"","","",13.2,"","","","Calcium",0.183,"Nitrogen - Nitrate",0.132,"","","","","","","","","","","","","","","","";"Campbells fertilisers Australia","Aqua Start","L",1.25,"","","",10.3,10,3.4,"","Nitrogen - Generic",0.103,"Phosphorus - Generic",0.1,"Potassium - Generic",0.034,"","","","","","","","","","","","","","";"Campbells fertilisers Australia","Aqua Thio-Complete","L",1.43,"","","",2.5,3.8,22.5,"","Potassium - Generic",0.225,"Phosphorus - Generic",0.038,"Nitrogen - Generic",0.025,"","","","","","","","","","","","","","";"Campbells fertilisers Australia","Aqua Thio-Emerge","L",1.29,"","","",10.5,9.4,4,3,"Nitrogen - Generic",0.105,"Phosphorus - Generic",0.094,"Potassium - Generic",0.04,"Sulfur - Generic",0.03,"","","","","","","","","","","","";"Campbells fertilisers Australia","Aqua Thio-Flourish","L",1.32,"","","",9.5,4.7,10.8,8.1,"Potassium - Generic",0.108,"Nitrogen - Generic",0.095,"Sulfur - Generic",0.081,"Phosphorus - Generic",0.047,"","","","","","","","","","","","";"Campbells fertilisers Australia","Boost-It","kg",1,"","","",24,5.2,8,5.3,"Urea",0.521739,"Potassium - Generic",0.08,"Sulfur - Generic",0.053,"Phosphorus - Generic",0.052,"Magnesium",0.013,"Zinc",0.002,"Manganese",0.0035,"Iron",0.0013,"Copper",0.0007,"Boron",0.0007;"Campbells fertilisers Australia","Bronze","kg",1,"","","",17,0.04,11.6,0.5,"Muriate of potash (MOP)",0.232,"Nitrogen - Generic",0.17,"Sulfur - Generic",0.005,"Magnesium",0.0024,"Phosphorus - Generic",0.0004,"","","","","","","","","","";"Campbells fertilisers Australia","Calbit C","L",1.45,"","","","","","","","Calcium",0.107,"","","","","","","","","","","","","","","","","","";"Campbells fertilisers Australia","Compass","kg",1,"","","",15,6.5,12.5,6,"Nitrogen - Ammoniacal",0.075,"Nitrogen - Nitrate",0.075,"Potassium - Generic",0.125,"Phosphorus - Generic",0.065,"Sulfur - Generic",0.06,"","","","","","","","","","";"Campbells fertilisers Australia","CoRoN 12-0-10","L",1.215,"","","",12,"",10,"","Urea",0.195652,"Potassium - Generic",0.1,"Nitrogen - Generic",0.03,"Boron",0.005,"","","","","","","","","","","","";"Campbells fertilisers Australia","Maximum Quick-N","kg",1,"","","",21.66,"","",13.2,"Sulphate of ammonia (SOA)",0.55,"Ammonium nitrate (AN)",0.3,"","","","","","","","","","","","","","","","";"SL Tec","Crop Booster PLUS","L",1.319,"","","",5,15,2.1,"","Phosphorus - Generic",0.15,"Calcium",0.04,"Nitrogen - Ammoniacal",0.029,"Nitrogen - Nitrate",0.021,"Potassium - Generic",0.021,"Copper",0.005,"Zinc",0.004,"Manganese",0.004,"Magnesium",0.002,"","";"Risso-Chemical","Ammonium Bicarbonate","kg",1,"","","China",17.7,"","","","Nitrogen - Ammoniacal",0.177,"","","","","","","","","","","","","","","","","","";"Risso-Chemical","Ammonium Sulfate","kg",1,"","","China",21,"","",24,"Sulfur - Generic",0.24,"Nitrogen - Ammoniacal",0.21,"","","","","","","","","","","","","","","","";"Ravensdown","Ammonium Sulphate - Granular","kg",1,"","","",21,"","",24,"Sulphate of ammonia (SOA)",1,"","","","","","","","","","","","","","","","","","";"Impact Fertilisers","Di-Ammonium Phosphate (DAP)","kg",1,"","","",18,20,"","","Diammonium phosphate (DAP)",1,"","","","","","","","","","","","","","","","","","";"Incitec Pivot Fertilisers","Basalt BooSSta","kg",1,"","","",8,14,"",27.6,"Sulfur - Generic",0.276,"Phosphorus - Generic",0.14,"Nitrogen - Generic",0.08,"Fluoride",0.024,"","","","","","","","","","","","";"Summit Fertilizers","DAPSZC","kg",1,"","","",16.9,18.2,"",8,"Phosphorus - Generic",0.182,"Nitrogen - Generic",0.169,"Sulfur - Generic",0.08,"Zinc",0.002,"Copper",0.001,"","","","","","","","","","";"Incitec Pivot Fertilisers","Easy N","L",1.32,"","","",42.5,"","","","Urea",0.467391,"Nitrogen - Nitrate",0.105,"Nitrogen - Ammoniacal",0.105,"Biuret",0.006,"","","","","","","","","","","","";"Risso-Chemical","Calcium Ammonium nitrate","kg",1,"","","China",40.5,"","","","Nitrogen - Ammoniacal",0.27,"Nitrogen - Nitrate",0.135,"Calcium",0.12,"","","","","","","","","","","","","","";"SL Tec","CellCAL Plus","L",1.138,"","","","","","","","Calcium",0.059,"Copper",0.003,"Boron",0.001,"","","","","","","","","","","","","","";"Incitec Pivot Fertilisers","CK55","kg",1,"","","",13.5,15,6.25,1.2,"Phosphorus - Generic",0.15,"Nitrogen - Ammoniacal",0.135,"Muriate of potash (MOP)",0.125,"Fluoride",0.023,"Sulfur - Generic",0.012,"","","","","","","","","","";"Switch Ag","Crop K","L",1.25,"","","",3,"",21,"","Potassium - Generic",0.21,"Nitrogen - Generic",0.03,"","","","","","","","","","","","","","","","";"Switch Ag","Crop Starter","L",1.2,"","","",5,3,8,"","Potassium - Generic",0.08,"Nitrogen - Generic",0.05,"Phosphorus - Generic",0.03,"","","","","","","","","","","","","","";"Incitec Pivot Fertilisers","Gran-Am","kg",1,"","","",21,"","",24,"Sulphate of ammonia (SOA)",1,"","","","","","","","","","","","","","","","","",""}, _xlpm.r, _xlpm.c))))</definedName>
    <definedName name="Fertiliser_SourceData.Fertiliser_Products_Data1" localSheetId="15">_xlfn.LAMBDA(_xlfn.MAKEARRAY(30, 31, _xlfn.LAMBDA(_xlpm.r,_xlpm.c, INDEX({"Campbells fertilisers Australia","Aqua Finish","L",1.26,"","","",2.6,4,22.5,"","Potassium - Generic",0.225,"Phosphorus - Generic",0.04,"Nitrogen - Generic",0.026,"","","","","","","","","","","","","","";"Campbells fertilisers Australia","Aqua Grow","L",1.26,"","","",9.6,5,10.5,"","Potassium - Generic",0.105,"Nitrogen - Generic",0.096,"Phosphorus - Generic",0.05,"","","","","","","","","","","","","","";"Campbells fertilisers Australia","Aqua Nitro AN","L",1.24,"","","",22.3,"","","","Nitrogen - Ammoniacal",0.223,"","","","","","","","","","","","","","","","","","";"Campbells fertilisers Australia","Aqua NitroCal","L",1.5,"","","",13.2,"","","","Calcium",0.162,"Nitrogen - Nitrate",0.132,"","","","","","","","","","","","","","","","";"Campbells fertilisers Australia","Aqua NitroCal (VI)","L",1.5,"","","",13.2,"","","","Calcium",0.187,"Nitrogen - Nitrate",0.132,"","","","","","","","","","","","","","","","";"Campbells fertilisers Australia","Aqua NitroCal Ultimate","L",1.5,"","","",13.2,"","","","Calcium",0.183,"Nitrogen - Nitrate",0.132,"","","","","","","","","","","","","","","","";"Campbells fertilisers Australia","Aqua Start","L",1.25,"","","",10.3,10,3.4,"","Nitrogen - Generic",0.103,"Phosphorus - Generic",0.1,"Potassium - Generic",0.034,"","","","","","","","","","","","","","";"Campbells fertilisers Australia","Aqua Thio-Complete","L",1.43,"","","",2.5,3.8,22.5,"","Potassium - Generic",0.225,"Phosphorus - Generic",0.038,"Nitrogen - Generic",0.025,"","","","","","","","","","","","","","";"Campbells fertilisers Australia","Aqua Thio-Emerge","L",1.29,"","","",10.5,9.4,4,3,"Nitrogen - Generic",0.105,"Phosphorus - Generic",0.094,"Potassium - Generic",0.04,"Sulfur - Generic",0.03,"","","","","","","","","","","","";"Campbells fertilisers Australia","Aqua Thio-Flourish","L",1.32,"","","",9.5,4.7,10.8,8.1,"Potassium - Generic",0.108,"Nitrogen - Generic",0.095,"Sulfur - Generic",0.081,"Phosphorus - Generic",0.047,"","","","","","","","","","","","";"Campbells fertilisers Australia","Boost-It","kg",1,"","","",24,5.2,8,5.3,"Urea",0.521739,"Potassium - Generic",0.08,"Sulfur - Generic",0.053,"Phosphorus - Generic",0.052,"Magnesium",0.013,"Zinc",0.002,"Manganese",0.0035,"Iron",0.0013,"Copper",0.0007,"Boron",0.0007;"Campbells fertilisers Australia","Bronze","kg",1,"","","",17,0.04,11.6,0.5,"Muriate of potash (MOP)",0.232,"Nitrogen - Generic",0.17,"Sulfur - Generic",0.005,"Magnesium",0.0024,"Phosphorus - Generic",0.0004,"","","","","","","","","","";"Campbells fertilisers Australia","Calbit C","L",1.45,"","","","","","","","Calcium",0.107,"","","","","","","","","","","","","","","","","","";"Campbells fertilisers Australia","Compass","kg",1,"","","",15,6.5,12.5,6,"Nitrogen - Ammoniacal",0.075,"Nitrogen - Nitrate",0.075,"Potassium - Generic",0.125,"Phosphorus - Generic",0.065,"Sulfur - Generic",0.06,"","","","","","","","","","";"Campbells fertilisers Australia","CoRoN 12-0-10","L",1.215,"","","",12,"",10,"","Urea",0.195652,"Potassium - Generic",0.1,"Nitrogen - Generic",0.03,"Boron",0.005,"","","","","","","","","","","","";"Campbells fertilisers Australia","Maximum Quick-N","kg",1,"","","",21.66,"","",13.2,"Sulphate of ammonia (SOA)",0.55,"Ammonium nitrate (AN)",0.3,"","","","","","","","","","","","","","","","";"SL Tec","Crop Booster PLUS","L",1.319,"","","",5,15,2.1,"","Phosphorus - Generic",0.15,"Calcium",0.04,"Nitrogen - Ammoniacal",0.029,"Nitrogen - Nitrate",0.021,"Potassium - Generic",0.021,"Copper",0.005,"Zinc",0.004,"Manganese",0.004,"Magnesium",0.002,"","";"Risso-Chemical","Ammonium Bicarbonate","kg",1,"","","China",17.7,"","","","Nitrogen - Ammoniacal",0.177,"","","","","","","","","","","","","","","","","","";"Risso-Chemical","Ammonium Sulfate","kg",1,"","","China",21,"","",24,"Sulfur - Generic",0.24,"Nitrogen - Ammoniacal",0.21,"","","","","","","","","","","","","","","","";"Ravensdown","Ammonium Sulphate - Granular","kg",1,"","","",21,"","",24,"Sulphate of ammonia (SOA)",1,"","","","","","","","","","","","","","","","","","";"Impact Fertilisers","Di-Ammonium Phosphate (DAP)","kg",1,"","","",18,20,"","","Diammonium phosphate (DAP)",1,"","","","","","","","","","","","","","","","","","";"Incitec Pivot Fertilisers","Basalt BooSSta","kg",1,"","","",8,14,"",27.6,"Sulfur - Generic",0.276,"Phosphorus - Generic",0.14,"Nitrogen - Generic",0.08,"Fluoride",0.024,"","","","","","","","","","","","";"Summit Fertilizers","DAPSZC","kg",1,"","","",16.9,18.2,"",8,"Phosphorus - Generic",0.182,"Nitrogen - Generic",0.169,"Sulfur - Generic",0.08,"Zinc",0.002,"Copper",0.001,"","","","","","","","","","";"Incitec Pivot Fertilisers","Easy N","L",1.32,"","","",42.5,"","","","Urea",0.467391,"Nitrogen - Nitrate",0.105,"Nitrogen - Ammoniacal",0.105,"Biuret",0.006,"","","","","","","","","","","","";"Risso-Chemical","Calcium Ammonium nitrate","kg",1,"","","China",40.5,"","","","Nitrogen - Ammoniacal",0.27,"Nitrogen - Nitrate",0.135,"Calcium",0.12,"","","","","","","","","","","","","","";"SL Tec","CellCAL Plus","L",1.138,"","","","","","","","Calcium",0.059,"Copper",0.003,"Boron",0.001,"","","","","","","","","","","","","","";"Incitec Pivot Fertilisers","CK55","kg",1,"","","",13.5,15,6.25,1.2,"Phosphorus - Generic",0.15,"Nitrogen - Ammoniacal",0.135,"Muriate of potash (MOP)",0.125,"Fluoride",0.023,"Sulfur - Generic",0.012,"","","","","","","","","","";"Switch Ag","Crop K","L",1.25,"","","",3,"",21,"","Potassium - Generic",0.21,"Nitrogen - Generic",0.03,"","","","","","","","","","","","","","","","";"Switch Ag","Crop Starter","L",1.2,"","","",5,3,8,"","Potassium - Generic",0.08,"Nitrogen - Generic",0.05,"Phosphorus - Generic",0.03,"","","","","","","","","","","","","","";"Incitec Pivot Fertilisers","Gran-Am","kg",1,"","","",21,"","",24,"Sulphate of ammonia (SOA)",1,"","","","","","","","","","","","","","","","","",""}, _xlpm.r, _xlpm.c))))</definedName>
    <definedName name="Fertiliser_SourceData.Fertiliser_Products_Data1" localSheetId="18">_xlfn.LAMBDA(_xlfn.MAKEARRAY(30, 31, _xlfn.LAMBDA(_xlpm.r,_xlpm.c, INDEX({"Campbells fertilisers Australia","Aqua Finish","L",1.26,"","","",2.6,4,22.5,"","Potassium - Generic",0.225,"Phosphorus - Generic",0.04,"Nitrogen - Generic",0.026,"","","","","","","","","","","","","","";"Campbells fertilisers Australia","Aqua Grow","L",1.26,"","","",9.6,5,10.5,"","Potassium - Generic",0.105,"Nitrogen - Generic",0.096,"Phosphorus - Generic",0.05,"","","","","","","","","","","","","","";"Campbells fertilisers Australia","Aqua Nitro AN","L",1.24,"","","",22.3,"","","","Nitrogen - Ammoniacal",0.223,"","","","","","","","","","","","","","","","","","";"Campbells fertilisers Australia","Aqua NitroCal","L",1.5,"","","",13.2,"","","","Calcium",0.162,"Nitrogen - Nitrate",0.132,"","","","","","","","","","","","","","","","";"Campbells fertilisers Australia","Aqua NitroCal (VI)","L",1.5,"","","",13.2,"","","","Calcium",0.187,"Nitrogen - Nitrate",0.132,"","","","","","","","","","","","","","","","";"Campbells fertilisers Australia","Aqua NitroCal Ultimate","L",1.5,"","","",13.2,"","","","Calcium",0.183,"Nitrogen - Nitrate",0.132,"","","","","","","","","","","","","","","","";"Campbells fertilisers Australia","Aqua Start","L",1.25,"","","",10.3,10,3.4,"","Nitrogen - Generic",0.103,"Phosphorus - Generic",0.1,"Potassium - Generic",0.034,"","","","","","","","","","","","","","";"Campbells fertilisers Australia","Aqua Thio-Complete","L",1.43,"","","",2.5,3.8,22.5,"","Potassium - Generic",0.225,"Phosphorus - Generic",0.038,"Nitrogen - Generic",0.025,"","","","","","","","","","","","","","";"Campbells fertilisers Australia","Aqua Thio-Emerge","L",1.29,"","","",10.5,9.4,4,3,"Nitrogen - Generic",0.105,"Phosphorus - Generic",0.094,"Potassium - Generic",0.04,"Sulfur - Generic",0.03,"","","","","","","","","","","","";"Campbells fertilisers Australia","Aqua Thio-Flourish","L",1.32,"","","",9.5,4.7,10.8,8.1,"Potassium - Generic",0.108,"Nitrogen - Generic",0.095,"Sulfur - Generic",0.081,"Phosphorus - Generic",0.047,"","","","","","","","","","","","";"Campbells fertilisers Australia","Boost-It","kg",1,"","","",24,5.2,8,5.3,"Urea",0.521739,"Potassium - Generic",0.08,"Sulfur - Generic",0.053,"Phosphorus - Generic",0.052,"Magnesium",0.013,"Zinc",0.002,"Manganese",0.0035,"Iron",0.0013,"Copper",0.0007,"Boron",0.0007;"Campbells fertilisers Australia","Bronze","kg",1,"","","",17,0.04,11.6,0.5,"Muriate of potash (MOP)",0.232,"Nitrogen - Generic",0.17,"Sulfur - Generic",0.005,"Magnesium",0.0024,"Phosphorus - Generic",0.0004,"","","","","","","","","","";"Campbells fertilisers Australia","Calbit C","L",1.45,"","","","","","","","Calcium",0.107,"","","","","","","","","","","","","","","","","","";"Campbells fertilisers Australia","Compass","kg",1,"","","",15,6.5,12.5,6,"Nitrogen - Ammoniacal",0.075,"Nitrogen - Nitrate",0.075,"Potassium - Generic",0.125,"Phosphorus - Generic",0.065,"Sulfur - Generic",0.06,"","","","","","","","","","";"Campbells fertilisers Australia","CoRoN 12-0-10","L",1.215,"","","",12,"",10,"","Urea",0.195652,"Potassium - Generic",0.1,"Nitrogen - Generic",0.03,"Boron",0.005,"","","","","","","","","","","","";"Campbells fertilisers Australia","Maximum Quick-N","kg",1,"","","",21.66,"","",13.2,"Sulphate of ammonia (SOA)",0.55,"Ammonium nitrate (AN)",0.3,"","","","","","","","","","","","","","","","";"SL Tec","Crop Booster PLUS","L",1.319,"","","",5,15,2.1,"","Phosphorus - Generic",0.15,"Calcium",0.04,"Nitrogen - Ammoniacal",0.029,"Nitrogen - Nitrate",0.021,"Potassium - Generic",0.021,"Copper",0.005,"Zinc",0.004,"Manganese",0.004,"Magnesium",0.002,"","";"Risso-Chemical","Ammonium Bicarbonate","kg",1,"","","China",17.7,"","","","Nitrogen - Ammoniacal",0.177,"","","","","","","","","","","","","","","","","","";"Risso-Chemical","Ammonium Sulfate","kg",1,"","","China",21,"","",24,"Sulfur - Generic",0.24,"Nitrogen - Ammoniacal",0.21,"","","","","","","","","","","","","","","","";"Ravensdown","Ammonium Sulphate - Granular","kg",1,"","","",21,"","",24,"Sulphate of ammonia (SOA)",1,"","","","","","","","","","","","","","","","","","";"Impact Fertilisers","Di-Ammonium Phosphate (DAP)","kg",1,"","","",18,20,"","","Diammonium phosphate (DAP)",1,"","","","","","","","","","","","","","","","","","";"Incitec Pivot Fertilisers","Basalt BooSSta","kg",1,"","","",8,14,"",27.6,"Sulfur - Generic",0.276,"Phosphorus - Generic",0.14,"Nitrogen - Generic",0.08,"Fluoride",0.024,"","","","","","","","","","","","";"Summit Fertilizers","DAPSZC","kg",1,"","","",16.9,18.2,"",8,"Phosphorus - Generic",0.182,"Nitrogen - Generic",0.169,"Sulfur - Generic",0.08,"Zinc",0.002,"Copper",0.001,"","","","","","","","","","";"Incitec Pivot Fertilisers","Easy N","L",1.32,"","","",42.5,"","","","Urea",0.467391,"Nitrogen - Nitrate",0.105,"Nitrogen - Ammoniacal",0.105,"Biuret",0.006,"","","","","","","","","","","","";"Risso-Chemical","Calcium Ammonium nitrate","kg",1,"","","China",40.5,"","","","Nitrogen - Ammoniacal",0.27,"Nitrogen - Nitrate",0.135,"Calcium",0.12,"","","","","","","","","","","","","","";"SL Tec","CellCAL Plus","L",1.138,"","","","","","","","Calcium",0.059,"Copper",0.003,"Boron",0.001,"","","","","","","","","","","","","","";"Incitec Pivot Fertilisers","CK55","kg",1,"","","",13.5,15,6.25,1.2,"Phosphorus - Generic",0.15,"Nitrogen - Ammoniacal",0.135,"Muriate of potash (MOP)",0.125,"Fluoride",0.023,"Sulfur - Generic",0.012,"","","","","","","","","","";"Switch Ag","Crop K","L",1.25,"","","",3,"",21,"","Potassium - Generic",0.21,"Nitrogen - Generic",0.03,"","","","","","","","","","","","","","","","";"Switch Ag","Crop Starter","L",1.2,"","","",5,3,8,"","Potassium - Generic",0.08,"Nitrogen - Generic",0.05,"Phosphorus - Generic",0.03,"","","","","","","","","","","","","","";"Incitec Pivot Fertilisers","Gran-Am","kg",1,"","","",21,"","",24,"Sulphate of ammonia (SOA)",1,"","","","","","","","","","","","","","","","","",""}, _xlpm.r, _xlpm.c))))</definedName>
    <definedName name="Fertiliser_SourceData.Fertiliser_Products_Data1">_xlfn.LAMBDA(_xlfn.MAKEARRAY(12, 28, _xlfn.LAMBDA(_xlpm.r,_xlpm.c, INDEX({"Include or exclude","Notes","Company","Product Name","Unit","Density","Urea source","Ammonia source","Ingredient 1","Ingredient 1 percent","Ingredient 2","Ingredient 2 percent","Ingredient 3","Ingredient 3 percent","Ingredient 4","Ingredient 4 percent","Ingredient 5","Ingredient 5 percent","Ingredient 6","Ingredient 6 percent","Ingredient 7","Ingredient 7 percent","Ingredient 8","Ingredient 8 percent","Ingredient 9","Ingredient 9 percent","Ingredient 10","Ingredient 10 percent";"Include","","Campbells fertilisers Australia","Aqua Finish","L",1.26,"","","Potassium - Generic",0.225,"Phosphorus - Generic",0.04,"Nitrogen - Generic",0.026,"","","","","","","","","","","","","","";"Include","","Campbells fertilisers Australia","Aqua Grow","L",1.26,"","","Potassium - Generic",0.105,"Nitrogen - Generic",0.096,"Phosphorus - Generic",0.05,"","","","","","","","","","","","","","";"Include","","Campbells fertilisers Australia","Aqua Nitro AN","L",1.24,"","","Nitrogen - Ammoniacal",0.223,"","","","","","","","","","","","","","","","","","";"Include","","Campbells fertilisers Australia","Aqua Start","L",1.25,"","","Nitrogen - Generic",0.103,"Phosphorus - Generic",0.1,"Potassium - Generic",0.034,"","","","","","","","","","","","","","";"Include","","Campbells fertilisers Australia","Aqua Thio-Complete","L",1.43,"","","Potassium - Generic",0.225,"Phosphorus - Generic",0.038,"Nitrogen - Generic",0.025,"","","","","","","","","","","","","","";"Include","","Campbells fertilisers Australia","Aqua Thio-Emerge","L",1.29,"","","Nitrogen - Generic",0.105,"Phosphorus - Generic",0.094,"Potassium - Generic",0.04,"Sulfur - Generic",0.03,"","","","","","","","","","","","";"Include","","Campbells fertilisers Australia","Aqua Thio-Flourish","L",1.32,"","","Potassium - Generic",0.108,"Nitrogen - Generic",0.095,"Sulfur - Generic",0.081,"Phosphorus - Generic",0.047,"","","","","","","","","","","","";"Include - Absent ingredients &lt; 2%","Amount of urea calculated from urea nitrogen amount","Campbells fertilisers Australia","Boost-It","kg",1,"","","Urea",0.52173913,"Potassium - Generic",0.08,"Sulfur - Generic",0.053,"Phosphorus - Generic",0.052,"Magnesium",0.013,"Zinc",0.002,"Manganese",0.0035,"Iron",0.0013,"Copper",0.0007,"Boron",0.0007;"Include","","Campbells fertilisers Australia","Bronze","kg",1,"","","Muriate of Potash (MOP)",0.232,"Nitrogen - Generic",0.17,"Sulfur - Generic",0.005,"Magnesium",0.0024,"Phosphorus - Generic",0.0004,"","","","","","","","","","";"Include","50/50 nitrate and ammoniacal nitrogen (ammonium nitrate)","Campbells fertilisers Australia","Compass","kg",1,"","","Nitrogen - Ammoniacal",0.075,"Nitrogen - Nitrate",0.075,"Potassium - Generic",0.125,"Phosphorus-Generic",0.065,"Sulfur - Generic",0.06,"","","","","","","","","","";"Include - Absent ingredients &lt; 2%","Controlled release N treated as generic, Amount of urea calculated from urea nitrogen amount","Campbells fertilisers Australia","CoRoN 12-0-10","L",1.215,"","","Urea",0.195652174,"Potassium - Generic",0.1,"Nitrogen - Generic",0.03,"Boron",0.005,"","","","","","","","","","","",""}, _xlpm.r, _xlpm.c))))</definedName>
    <definedName name="Fertiliser_SourceData.Fertiliser_Products_Data2" localSheetId="37">_xlfn.LAMBDA(_xlfn.MAKEARRAY(30, 31, _xlfn.LAMBDA(_xlpm.r,_xlpm.c, INDEX({"Campbells fertilisers Australia","Encal","L",1.5,"","","",9,"","",13.94,"Sulphate of ammonia (SOA)",0.580645,"Magnesium",0.012,"","","","","","","","","","","","","","","","";"Incitec Pivot Fertilisers","Granulock SS","kg",1,"","","",10,17.5,"",12,"Phosphorus - Generic",0.175,"Sulfur - Generic",0.12,"Nitrogen - Ammoniacal",0.1,"Fluoride",0.03,"","","","","","","","","","","","";"Incitec Pivot Fertilisers","Granulock Z","kg",1,"","","",11,21.8,"",4,"Phosphorus - Generic",0.218,"Nitrogen - Generic",0.11,"Sulfur - Generic",0.04,"Fluoride",0.03,"Zinc",0.01,"","","","","","","","","","";"Incitec Pivot Fertilisers","Farm Ag Leichhardt","kg",1,"","","",32.5,5.4,6.25,"","Urea",0.6,"Nitrogen - Ammoniacal",0.049,"Phosphorus - Generic",0.054,"Muriate of potash (MOP)",0.125,"","","","","","","","","","","","";"Ravensdown","Flexi-N NBPT","kg",1,"Yes","","",45.54,"","","","Urea",0.99,"","","","","","","","","","","","","","","","","","";"Campbells fertilisers Australia","Gold Premium","kg",1,"","","",14.87,2.2,16.6,8,"Ammonium nitrate (AN)",0.441176,"Potassium - Generic",0.166,"Sulfur - Generic",0.08,"Phosphorus - Generic",0.022,"Magnesium",0.012,"Boron",0.0002,"Zinc",0.0001,"","","","","","";"SL Tec","High NS","L",1.299,"","","",38,"","",2,"Urea",0.46087,"Nitrogen - Ammoniacal",0.092,"Nitrogen - Nitrate",0.076,"Sulfur - Generic",0.02,"","","","","","","","","","","","";"Impact Fertilisers","Impact SSP","kg",1,"","","","",8.8,"",11,"Single superphosphate (SSP)",1,"","","","","","","","","","","","","","","","","","";"Switch Ag","In Crop","L",1.2,"","","",10,1,11,"","Potassium - Generic",0.11,"Nitrogen - Generic",0.1,"Phosphorus - Generic",0.01,"","","","","","","","","","","","","","";"Switch Ag","K20","L",1.3,"","","",3,"",22,"","Potassium - Generic",0.22,"Nitrogen - Generic",0.03,"","","","","","","","","","","","","","","","";"Loveland Agriproducts","Maximum N-Pact","L",1.185,"","","",23.8,"","","","Urea",0.517391,"","","","","","","","","","","","","","","","","","";"SL Tec","Nitro Combi TE","L",1.255,"","","","","",0.1,4.4,"Sulfur - Generic",0.044,"Zinc",0.022,"Iron",0.022,"Manganese",0.016,"Boron",0.008,"Magnesium",0.007,"Fulvic acid (organic)",0.005,"Copper",0.003,"Potassium - Generic",0.001,"Molybdenum",0.0003;"Switch Ag","PastureMAXX","L",1.23,"","","",9.71,"",3.25,2.11,"Nitrogen - Generic",0.0971,"Potassium - Generic",0.0325,"Sulfur - Generic",0.0211,"Zinc",0.015,"Iron",0.0111,"Manganese",0.0115,"Magnesium",0.0045,"Boron",0.002,"","","","";"Campbells fertilisers Australia","Platinum Nergetic","kg",1,"","","",10,10.9,10,4.34,"Monoammonium phosphate (MAP)",0.4178,"Ammonium nitrate (AN)",0.1728,"Potassium sulphate",0.240964,"Double superphosphate",0.1,"Magnesium",0.012,"Zinc",0.0036,"Boron",0.001,"Glaze Extend G3 Flexi",0.0519,"","","","";"Impact Fertilisers","Sulphate of ammonia (SOA)","kg",1,"","","",21,"","",24,"Sulphate of ammonia (SOA)",1,"","","","","","","","","","","","","","","","","","";"Impact Fertilisers","Mono-Ammonium Phosphate (MAP)","kg",1,"","","",10,21.9,"",1.5,"Monoammonium phosphate (MAP)",1,"","","","","","","","","","","","","","","","","","";"Impact Fertilisers","Urea","kg",1,"","","",46,"","","","Urea",1,"","","","","","","","","","","","","","","","","","";"Koch Fertiliser Australia","Muriate of potash (MOP)","kg",1,"","","","","",50,"","Muriate of potash (MOP)",1,"","","","","","","","","","","","","","","","","","";"Risso-Chemical","Urea Ammonium nitrate (UAN 32-0-0)","L",1.32,"","China","China",32,"","","","Urea-ammonium nitrate (UAN)",1,"","","","","","","","","","","","","","","","","","";"Risso-Chemical","Polypeptide Urea","kg",1,"","China","",46,"","","","Urea",1,"Polypeptide (amino acids)",0,"","","","","","","","","","","","","","","","";"Yara Australia","YaraTera CALCINIT","kg",1,"","","",15.5,"","","","Calcium nitrate",1,"","","","","","","","","","","","","","","","","","";"Yara Australia","YaraLiva NITRABOR","kg",1,"","","",15.4,"","","","Calcium nitrate",0.993548,"Boron",0.003,"","","","","","","","","","","","","","","","";"Yara Australia","YaraMila COMPLEX","kg",1,"","","",12,5,15,8,"Nitrogen - Nitrate",0.05,"Nitrogen - Ammoniacal",0.07,"Phosphorus - Generic",0.05,"Potassium - Generic",0.15,"Sulfur - Generic",0.08,"Magnesium",0.016,"Zinc",0.0002,"Boron",0.00015,"","","","";"Yara Australia","YaraRega 9-0-30 (14)","kg",1,"","","",9,"",30,14,"Potassium - Generic",0.3,"Sulfur - Generic",0.14,"Nitrogen - Nitrate",0.045,"Nitrogen - Ammoniacal",0.045,"","","","","","","","","","","","";"Yara Australia","YaraRega 13-2-21","kg",1,"","","",13,1.75,21,10.8,"Potassium - Generic",0.21,"Sulfur - Generic",0.108,"Nitrogen - Ammoniacal",0.077,"Nitrogen - Nitrate",0.053,"Phosphorus - Generic",0.0175,"Magnesium",0.004,"Zinc",0.0008,"Boron",0.0008,"","","","";"Yara Australia","YaraRega 15-7-13 (7S)","kg",1,"","","",15,6.5,12.5,7.2,"Nitrogen - Nitrate",0.095,"Potassium - Generic",0.125,"Sulfur - Generic",0.072,"Phosphorus - Generic",0.065,"Nitrogen - Ammoniacal",0.055,"Magnesium",0.0066,"Boron",0.001,"Zinc",0.0006,"","","","";"Yara Australia","YaraTera CALCINIT B","kg",1,"","","",15.5,"","","","Calcium nitrate",1,"Boron",0.001,"","","","","","","","","","","","","","","","";"Yara Australia","YaraTera KRISTA MAP","kg",1,"","","",10,21.9,"","","Monoammonium phosphate (MAP)",1,"","","","","","","","","","","","","","","","","","";"Yara Australia","YaraTera KRISTALON RED","kg",1,"","","",12,5.2,29.9,1,"Potassium - Generic",0.299,"Nitrogen - Nitrate",0.101,"Phosphorus - Generic",0.052,"Nitrogen - Ammoniacal",0.019,"Sulfur - Generic",0.01,"Magnesium",0.006,"Iron",0.0007,"Manganese",0.0004,"Zinc",0.00025,"Boron",0.00025;"Yara Australia","YaraTera KRISTALON SPECIAL","kg",1,"","","",18,7.9,14.9,2,"Potassium - Generic",0.149,"Urea",0.213043,"Phosphorus - Generic",0.079,"Nitrogen - Nitrate",0.049,"Nitrogen - Ammoniacal",0.033,"Sulfur - Generic",0.02,"Magnesium",0.018,"Iron",0.0007,"Manganese",0.0004,"Zinc",0.00025}, _xlpm.r, _xlpm.c))))</definedName>
    <definedName name="Fertiliser_SourceData.Fertiliser_Products_Data2" localSheetId="25">_xlfn.LAMBDA(_xlfn.MAKEARRAY(30, 31, _xlfn.LAMBDA(_xlpm.r,_xlpm.c, INDEX({"Campbells fertilisers Australia","Encal","L",1.5,"","","",9,"","",13.94,"Sulphate of ammonia (SOA)",0.580645,"Magnesium",0.012,"","","","","","","","","","","","","","","","";"Incitec Pivot Fertilisers","Granulock SS","kg",1,"","","",10,17.5,"",12,"Phosphorus - Generic",0.175,"Sulfur - Generic",0.12,"Nitrogen - Ammoniacal",0.1,"Fluoride",0.03,"","","","","","","","","","","","";"Incitec Pivot Fertilisers","Granulock Z","kg",1,"","","",11,21.8,"",4,"Phosphorus - Generic",0.218,"Nitrogen - Generic",0.11,"Sulfur - Generic",0.04,"Fluoride",0.03,"Zinc",0.01,"","","","","","","","","","";"Incitec Pivot Fertilisers","Farm Ag Leichhardt","kg",1,"","","",32.5,5.4,6.25,"","Urea",0.6,"Nitrogen - Ammoniacal",0.049,"Phosphorus - Generic",0.054,"Muriate of potash (MOP)",0.125,"","","","","","","","","","","","";"Ravensdown","Flexi-N NBPT","kg",1,"Yes","","",45.54,"","","","Urea",0.99,"","","","","","","","","","","","","","","","","","";"Campbells fertilisers Australia","Gold Premium","kg",1,"","","",14.87,2.2,16.6,8,"Ammonium nitrate (AN)",0.441176,"Potassium - Generic",0.166,"Sulfur - Generic",0.08,"Phosphorus - Generic",0.022,"Magnesium",0.012,"Boron",0.0002,"Zinc",0.0001,"","","","","","";"SL Tec","High NS","L",1.299,"","","",38,"","",2,"Urea",0.46087,"Nitrogen - Ammoniacal",0.092,"Nitrogen - Nitrate",0.076,"Sulfur - Generic",0.02,"","","","","","","","","","","","";"Impact Fertilisers","Impact SSP","kg",1,"","","","",8.8,"",11,"Single superphosphate (SSP)",1,"","","","","","","","","","","","","","","","","","";"Switch Ag","In Crop","L",1.2,"","","",10,1,11,"","Potassium - Generic",0.11,"Nitrogen - Generic",0.1,"Phosphorus - Generic",0.01,"","","","","","","","","","","","","","";"Switch Ag","K20","L",1.3,"","","",3,"",22,"","Potassium - Generic",0.22,"Nitrogen - Generic",0.03,"","","","","","","","","","","","","","","","";"Loveland Agriproducts","Maximum N-Pact","L",1.185,"","","",23.8,"","","","Urea",0.517391,"","","","","","","","","","","","","","","","","","";"SL Tec","Nitro Combi TE","L",1.255,"","","","","",0.1,4.4,"Sulfur - Generic",0.044,"Zinc",0.022,"Iron",0.022,"Manganese",0.016,"Boron",0.008,"Magnesium",0.007,"Fulvic acid (organic)",0.005,"Copper",0.003,"Potassium - Generic",0.001,"Molybdenum",0.0003;"Switch Ag","PastureMAXX","L",1.23,"","","",9.71,"",3.25,2.11,"Nitrogen - Generic",0.0971,"Potassium - Generic",0.0325,"Sulfur - Generic",0.0211,"Zinc",0.015,"Iron",0.0111,"Manganese",0.0115,"Magnesium",0.0045,"Boron",0.002,"","","","";"Campbells fertilisers Australia","Platinum Nergetic","kg",1,"","","",10,10.9,10,4.34,"Monoammonium phosphate (MAP)",0.4178,"Ammonium nitrate (AN)",0.1728,"Potassium sulphate",0.240964,"Double superphosphate",0.1,"Magnesium",0.012,"Zinc",0.0036,"Boron",0.001,"Glaze Extend G3 Flexi",0.0519,"","","","";"Impact Fertilisers","Sulphate of ammonia (SOA)","kg",1,"","","",21,"","",24,"Sulphate of ammonia (SOA)",1,"","","","","","","","","","","","","","","","","","";"Impact Fertilisers","Mono-Ammonium Phosphate (MAP)","kg",1,"","","",10,21.9,"",1.5,"Monoammonium phosphate (MAP)",1,"","","","","","","","","","","","","","","","","","";"Impact Fertilisers","Urea","kg",1,"","","",46,"","","","Urea",1,"","","","","","","","","","","","","","","","","","";"Koch Fertiliser Australia","Muriate of potash (MOP)","kg",1,"","","","","",50,"","Muriate of potash (MOP)",1,"","","","","","","","","","","","","","","","","","";"Risso-Chemical","Urea Ammonium nitrate (UAN 32-0-0)","L",1.32,"","China","China",32,"","","","Urea-ammonium nitrate (UAN)",1,"","","","","","","","","","","","","","","","","","";"Risso-Chemical","Polypeptide Urea","kg",1,"","China","",46,"","","","Urea",1,"Polypeptide (amino acids)",0,"","","","","","","","","","","","","","","","";"Yara Australia","YaraTera CALCINIT","kg",1,"","","",15.5,"","","","Calcium nitrate",1,"","","","","","","","","","","","","","","","","","";"Yara Australia","YaraLiva NITRABOR","kg",1,"","","",15.4,"","","","Calcium nitrate",0.993548,"Boron",0.003,"","","","","","","","","","","","","","","","";"Yara Australia","YaraMila COMPLEX","kg",1,"","","",12,5,15,8,"Nitrogen - Nitrate",0.05,"Nitrogen - Ammoniacal",0.07,"Phosphorus - Generic",0.05,"Potassium - Generic",0.15,"Sulfur - Generic",0.08,"Magnesium",0.016,"Zinc",0.0002,"Boron",0.00015,"","","","";"Yara Australia","YaraRega 9-0-30 (14)","kg",1,"","","",9,"",30,14,"Potassium - Generic",0.3,"Sulfur - Generic",0.14,"Nitrogen - Nitrate",0.045,"Nitrogen - Ammoniacal",0.045,"","","","","","","","","","","","";"Yara Australia","YaraRega 13-2-21","kg",1,"","","",13,1.75,21,10.8,"Potassium - Generic",0.21,"Sulfur - Generic",0.108,"Nitrogen - Ammoniacal",0.077,"Nitrogen - Nitrate",0.053,"Phosphorus - Generic",0.0175,"Magnesium",0.004,"Zinc",0.0008,"Boron",0.0008,"","","","";"Yara Australia","YaraRega 15-7-13 (7S)","kg",1,"","","",15,6.5,12.5,7.2,"Nitrogen - Nitrate",0.095,"Potassium - Generic",0.125,"Sulfur - Generic",0.072,"Phosphorus - Generic",0.065,"Nitrogen - Ammoniacal",0.055,"Magnesium",0.0066,"Boron",0.001,"Zinc",0.0006,"","","","";"Yara Australia","YaraTera CALCINIT B","kg",1,"","","",15.5,"","","","Calcium nitrate",1,"Boron",0.001,"","","","","","","","","","","","","","","","";"Yara Australia","YaraTera KRISTA MAP","kg",1,"","","",10,21.9,"","","Monoammonium phosphate (MAP)",1,"","","","","","","","","","","","","","","","","","";"Yara Australia","YaraTera KRISTALON RED","kg",1,"","","",12,5.2,29.9,1,"Potassium - Generic",0.299,"Nitrogen - Nitrate",0.101,"Phosphorus - Generic",0.052,"Nitrogen - Ammoniacal",0.019,"Sulfur - Generic",0.01,"Magnesium",0.006,"Iron",0.0007,"Manganese",0.0004,"Zinc",0.00025,"Boron",0.00025;"Yara Australia","YaraTera KRISTALON SPECIAL","kg",1,"","","",18,7.9,14.9,2,"Potassium - Generic",0.149,"Urea",0.213043,"Phosphorus - Generic",0.079,"Nitrogen - Nitrate",0.049,"Nitrogen - Ammoniacal",0.033,"Sulfur - Generic",0.02,"Magnesium",0.018,"Iron",0.0007,"Manganese",0.0004,"Zinc",0.00025}, _xlpm.r, _xlpm.c))))</definedName>
    <definedName name="Fertiliser_SourceData.Fertiliser_Products_Data2" localSheetId="26">_xlfn.LAMBDA(_xlfn.MAKEARRAY(30, 31, _xlfn.LAMBDA(_xlpm.r,_xlpm.c, INDEX({"Campbells fertilisers Australia","Encal","L",1.5,"","","",9,"","",13.94,"Sulphate of ammonia (SOA)",0.580645,"Magnesium",0.012,"","","","","","","","","","","","","","","","";"Incitec Pivot Fertilisers","Granulock SS","kg",1,"","","",10,17.5,"",12,"Phosphorus - Generic",0.175,"Sulfur - Generic",0.12,"Nitrogen - Ammoniacal",0.1,"Fluoride",0.03,"","","","","","","","","","","","";"Incitec Pivot Fertilisers","Granulock Z","kg",1,"","","",11,21.8,"",4,"Phosphorus - Generic",0.218,"Nitrogen - Generic",0.11,"Sulfur - Generic",0.04,"Fluoride",0.03,"Zinc",0.01,"","","","","","","","","","";"Incitec Pivot Fertilisers","Farm Ag Leichhardt","kg",1,"","","",32.5,5.4,6.25,"","Urea",0.6,"Nitrogen - Ammoniacal",0.049,"Phosphorus - Generic",0.054,"Muriate of potash (MOP)",0.125,"","","","","","","","","","","","";"Ravensdown","Flexi-N NBPT","kg",1,"Yes","","",45.54,"","","","Urea",0.99,"","","","","","","","","","","","","","","","","","";"Campbells fertilisers Australia","Gold Premium","kg",1,"","","",14.87,2.2,16.6,8,"Ammonium nitrate (AN)",0.441176,"Potassium - Generic",0.166,"Sulfur - Generic",0.08,"Phosphorus - Generic",0.022,"Magnesium",0.012,"Boron",0.0002,"Zinc",0.0001,"","","","","","";"SL Tec","High NS","L",1.299,"","","",38,"","",2,"Urea",0.46087,"Nitrogen - Ammoniacal",0.092,"Nitrogen - Nitrate",0.076,"Sulfur - Generic",0.02,"","","","","","","","","","","","";"Impact Fertilisers","Impact SSP","kg",1,"","","","",8.8,"",11,"Single superphosphate (SSP)",1,"","","","","","","","","","","","","","","","","","";"Switch Ag","In Crop","L",1.2,"","","",10,1,11,"","Potassium - Generic",0.11,"Nitrogen - Generic",0.1,"Phosphorus - Generic",0.01,"","","","","","","","","","","","","","";"Switch Ag","K20","L",1.3,"","","",3,"",22,"","Potassium - Generic",0.22,"Nitrogen - Generic",0.03,"","","","","","","","","","","","","","","","";"Loveland Agriproducts","Maximum N-Pact","L",1.185,"","","",23.8,"","","","Urea",0.517391,"","","","","","","","","","","","","","","","","","";"SL Tec","Nitro Combi TE","L",1.255,"","","","","",0.1,4.4,"Sulfur - Generic",0.044,"Zinc",0.022,"Iron",0.022,"Manganese",0.016,"Boron",0.008,"Magnesium",0.007,"Fulvic acid (organic)",0.005,"Copper",0.003,"Potassium - Generic",0.001,"Molybdenum",0.0003;"Switch Ag","PastureMAXX","L",1.23,"","","",9.71,"",3.25,2.11,"Nitrogen - Generic",0.0971,"Potassium - Generic",0.0325,"Sulfur - Generic",0.0211,"Zinc",0.015,"Iron",0.0111,"Manganese",0.0115,"Magnesium",0.0045,"Boron",0.002,"","","","";"Campbells fertilisers Australia","Platinum Nergetic","kg",1,"","","",10,10.9,10,4.34,"Monoammonium phosphate (MAP)",0.4178,"Ammonium nitrate (AN)",0.1728,"Potassium sulphate",0.240964,"Double superphosphate",0.1,"Magnesium",0.012,"Zinc",0.0036,"Boron",0.001,"Glaze Extend G3 Flexi",0.0519,"","","","";"Impact Fertilisers","Sulphate of ammonia (SOA)","kg",1,"","","",21,"","",24,"Sulphate of ammonia (SOA)",1,"","","","","","","","","","","","","","","","","","";"Impact Fertilisers","Mono-Ammonium Phosphate (MAP)","kg",1,"","","",10,21.9,"",1.5,"Monoammonium phosphate (MAP)",1,"","","","","","","","","","","","","","","","","","";"Impact Fertilisers","Urea","kg",1,"","","",46,"","","","Urea",1,"","","","","","","","","","","","","","","","","","";"Koch Fertiliser Australia","Muriate of potash (MOP)","kg",1,"","","","","",50,"","Muriate of potash (MOP)",1,"","","","","","","","","","","","","","","","","","";"Risso-Chemical","Urea Ammonium nitrate (UAN 32-0-0)","L",1.32,"","China","China",32,"","","","Urea-ammonium nitrate (UAN)",1,"","","","","","","","","","","","","","","","","","";"Risso-Chemical","Polypeptide Urea","kg",1,"","China","",46,"","","","Urea",1,"Polypeptide (amino acids)",0,"","","","","","","","","","","","","","","","";"Yara Australia","YaraTera CALCINIT","kg",1,"","","",15.5,"","","","Calcium nitrate",1,"","","","","","","","","","","","","","","","","","";"Yara Australia","YaraLiva NITRABOR","kg",1,"","","",15.4,"","","","Calcium nitrate",0.993548,"Boron",0.003,"","","","","","","","","","","","","","","","";"Yara Australia","YaraMila COMPLEX","kg",1,"","","",12,5,15,8,"Nitrogen - Nitrate",0.05,"Nitrogen - Ammoniacal",0.07,"Phosphorus - Generic",0.05,"Potassium - Generic",0.15,"Sulfur - Generic",0.08,"Magnesium",0.016,"Zinc",0.0002,"Boron",0.00015,"","","","";"Yara Australia","YaraRega 9-0-30 (14)","kg",1,"","","",9,"",30,14,"Potassium - Generic",0.3,"Sulfur - Generic",0.14,"Nitrogen - Nitrate",0.045,"Nitrogen - Ammoniacal",0.045,"","","","","","","","","","","","";"Yara Australia","YaraRega 13-2-21","kg",1,"","","",13,1.75,21,10.8,"Potassium - Generic",0.21,"Sulfur - Generic",0.108,"Nitrogen - Ammoniacal",0.077,"Nitrogen - Nitrate",0.053,"Phosphorus - Generic",0.0175,"Magnesium",0.004,"Zinc",0.0008,"Boron",0.0008,"","","","";"Yara Australia","YaraRega 15-7-13 (7S)","kg",1,"","","",15,6.5,12.5,7.2,"Nitrogen - Nitrate",0.095,"Potassium - Generic",0.125,"Sulfur - Generic",0.072,"Phosphorus - Generic",0.065,"Nitrogen - Ammoniacal",0.055,"Magnesium",0.0066,"Boron",0.001,"Zinc",0.0006,"","","","";"Yara Australia","YaraTera CALCINIT B","kg",1,"","","",15.5,"","","","Calcium nitrate",1,"Boron",0.001,"","","","","","","","","","","","","","","","";"Yara Australia","YaraTera KRISTA MAP","kg",1,"","","",10,21.9,"","","Monoammonium phosphate (MAP)",1,"","","","","","","","","","","","","","","","","","";"Yara Australia","YaraTera KRISTALON RED","kg",1,"","","",12,5.2,29.9,1,"Potassium - Generic",0.299,"Nitrogen - Nitrate",0.101,"Phosphorus - Generic",0.052,"Nitrogen - Ammoniacal",0.019,"Sulfur - Generic",0.01,"Magnesium",0.006,"Iron",0.0007,"Manganese",0.0004,"Zinc",0.00025,"Boron",0.00025;"Yara Australia","YaraTera KRISTALON SPECIAL","kg",1,"","","",18,7.9,14.9,2,"Potassium - Generic",0.149,"Urea",0.213043,"Phosphorus - Generic",0.079,"Nitrogen - Nitrate",0.049,"Nitrogen - Ammoniacal",0.033,"Sulfur - Generic",0.02,"Magnesium",0.018,"Iron",0.0007,"Manganese",0.0004,"Zinc",0.00025}, _xlpm.r, _xlpm.c))))</definedName>
    <definedName name="Fertiliser_SourceData.Fertiliser_Products_Data2" localSheetId="27">_xlfn.LAMBDA(_xlfn.MAKEARRAY(30, 31, _xlfn.LAMBDA(_xlpm.r,_xlpm.c, INDEX({"Campbells fertilisers Australia","Encal","L",1.5,"","","",9,"","",13.94,"Sulphate of ammonia (SOA)",0.580645,"Magnesium",0.012,"","","","","","","","","","","","","","","","";"Incitec Pivot Fertilisers","Granulock SS","kg",1,"","","",10,17.5,"",12,"Phosphorus - Generic",0.175,"Sulfur - Generic",0.12,"Nitrogen - Ammoniacal",0.1,"Fluoride",0.03,"","","","","","","","","","","","";"Incitec Pivot Fertilisers","Granulock Z","kg",1,"","","",11,21.8,"",4,"Phosphorus - Generic",0.218,"Nitrogen - Generic",0.11,"Sulfur - Generic",0.04,"Fluoride",0.03,"Zinc",0.01,"","","","","","","","","","";"Incitec Pivot Fertilisers","Farm Ag Leichhardt","kg",1,"","","",32.5,5.4,6.25,"","Urea",0.6,"Nitrogen - Ammoniacal",0.049,"Phosphorus - Generic",0.054,"Muriate of potash (MOP)",0.125,"","","","","","","","","","","","";"Ravensdown","Flexi-N NBPT","kg",1,"Yes","","",45.54,"","","","Urea",0.99,"","","","","","","","","","","","","","","","","","";"Campbells fertilisers Australia","Gold Premium","kg",1,"","","",14.87,2.2,16.6,8,"Ammonium nitrate (AN)",0.441176,"Potassium - Generic",0.166,"Sulfur - Generic",0.08,"Phosphorus - Generic",0.022,"Magnesium",0.012,"Boron",0.0002,"Zinc",0.0001,"","","","","","";"SL Tec","High NS","L",1.299,"","","",38,"","",2,"Urea",0.46087,"Nitrogen - Ammoniacal",0.092,"Nitrogen - Nitrate",0.076,"Sulfur - Generic",0.02,"","","","","","","","","","","","";"Impact Fertilisers","Impact SSP","kg",1,"","","","",8.8,"",11,"Single superphosphate (SSP)",1,"","","","","","","","","","","","","","","","","","";"Switch Ag","In Crop","L",1.2,"","","",10,1,11,"","Potassium - Generic",0.11,"Nitrogen - Generic",0.1,"Phosphorus - Generic",0.01,"","","","","","","","","","","","","","";"Switch Ag","K20","L",1.3,"","","",3,"",22,"","Potassium - Generic",0.22,"Nitrogen - Generic",0.03,"","","","","","","","","","","","","","","","";"Loveland Agriproducts","Maximum N-Pact","L",1.185,"","","",23.8,"","","","Urea",0.517391,"","","","","","","","","","","","","","","","","","";"SL Tec","Nitro Combi TE","L",1.255,"","","","","",0.1,4.4,"Sulfur - Generic",0.044,"Zinc",0.022,"Iron",0.022,"Manganese",0.016,"Boron",0.008,"Magnesium",0.007,"Fulvic acid (organic)",0.005,"Copper",0.003,"Potassium - Generic",0.001,"Molybdenum",0.0003;"Switch Ag","PastureMAXX","L",1.23,"","","",9.71,"",3.25,2.11,"Nitrogen - Generic",0.0971,"Potassium - Generic",0.0325,"Sulfur - Generic",0.0211,"Zinc",0.015,"Iron",0.0111,"Manganese",0.0115,"Magnesium",0.0045,"Boron",0.002,"","","","";"Campbells fertilisers Australia","Platinum Nergetic","kg",1,"","","",10,10.9,10,4.34,"Monoammonium phosphate (MAP)",0.4178,"Ammonium nitrate (AN)",0.1728,"Potassium sulphate",0.240964,"Double superphosphate",0.1,"Magnesium",0.012,"Zinc",0.0036,"Boron",0.001,"Glaze Extend G3 Flexi",0.0519,"","","","";"Impact Fertilisers","Sulphate of ammonia (SOA)","kg",1,"","","",21,"","",24,"Sulphate of ammonia (SOA)",1,"","","","","","","","","","","","","","","","","","";"Impact Fertilisers","Mono-Ammonium Phosphate (MAP)","kg",1,"","","",10,21.9,"",1.5,"Monoammonium phosphate (MAP)",1,"","","","","","","","","","","","","","","","","","";"Impact Fertilisers","Urea","kg",1,"","","",46,"","","","Urea",1,"","","","","","","","","","","","","","","","","","";"Koch Fertiliser Australia","Muriate of potash (MOP)","kg",1,"","","","","",50,"","Muriate of potash (MOP)",1,"","","","","","","","","","","","","","","","","","";"Risso-Chemical","Urea Ammonium nitrate (UAN 32-0-0)","L",1.32,"","China","China",32,"","","","Urea-ammonium nitrate (UAN)",1,"","","","","","","","","","","","","","","","","","";"Risso-Chemical","Polypeptide Urea","kg",1,"","China","",46,"","","","Urea",1,"Polypeptide (amino acids)",0,"","","","","","","","","","","","","","","","";"Yara Australia","YaraTera CALCINIT","kg",1,"","","",15.5,"","","","Calcium nitrate",1,"","","","","","","","","","","","","","","","","","";"Yara Australia","YaraLiva NITRABOR","kg",1,"","","",15.4,"","","","Calcium nitrate",0.993548,"Boron",0.003,"","","","","","","","","","","","","","","","";"Yara Australia","YaraMila COMPLEX","kg",1,"","","",12,5,15,8,"Nitrogen - Nitrate",0.05,"Nitrogen - Ammoniacal",0.07,"Phosphorus - Generic",0.05,"Potassium - Generic",0.15,"Sulfur - Generic",0.08,"Magnesium",0.016,"Zinc",0.0002,"Boron",0.00015,"","","","";"Yara Australia","YaraRega 9-0-30 (14)","kg",1,"","","",9,"",30,14,"Potassium - Generic",0.3,"Sulfur - Generic",0.14,"Nitrogen - Nitrate",0.045,"Nitrogen - Ammoniacal",0.045,"","","","","","","","","","","","";"Yara Australia","YaraRega 13-2-21","kg",1,"","","",13,1.75,21,10.8,"Potassium - Generic",0.21,"Sulfur - Generic",0.108,"Nitrogen - Ammoniacal",0.077,"Nitrogen - Nitrate",0.053,"Phosphorus - Generic",0.0175,"Magnesium",0.004,"Zinc",0.0008,"Boron",0.0008,"","","","";"Yara Australia","YaraRega 15-7-13 (7S)","kg",1,"","","",15,6.5,12.5,7.2,"Nitrogen - Nitrate",0.095,"Potassium - Generic",0.125,"Sulfur - Generic",0.072,"Phosphorus - Generic",0.065,"Nitrogen - Ammoniacal",0.055,"Magnesium",0.0066,"Boron",0.001,"Zinc",0.0006,"","","","";"Yara Australia","YaraTera CALCINIT B","kg",1,"","","",15.5,"","","","Calcium nitrate",1,"Boron",0.001,"","","","","","","","","","","","","","","","";"Yara Australia","YaraTera KRISTA MAP","kg",1,"","","",10,21.9,"","","Monoammonium phosphate (MAP)",1,"","","","","","","","","","","","","","","","","","";"Yara Australia","YaraTera KRISTALON RED","kg",1,"","","",12,5.2,29.9,1,"Potassium - Generic",0.299,"Nitrogen - Nitrate",0.101,"Phosphorus - Generic",0.052,"Nitrogen - Ammoniacal",0.019,"Sulfur - Generic",0.01,"Magnesium",0.006,"Iron",0.0007,"Manganese",0.0004,"Zinc",0.00025,"Boron",0.00025;"Yara Australia","YaraTera KRISTALON SPECIAL","kg",1,"","","",18,7.9,14.9,2,"Potassium - Generic",0.149,"Urea",0.213043,"Phosphorus - Generic",0.079,"Nitrogen - Nitrate",0.049,"Nitrogen - Ammoniacal",0.033,"Sulfur - Generic",0.02,"Magnesium",0.018,"Iron",0.0007,"Manganese",0.0004,"Zinc",0.00025}, _xlpm.r, _xlpm.c))))</definedName>
    <definedName name="Fertiliser_SourceData.Fertiliser_Products_Data2" localSheetId="28">_xlfn.LAMBDA(_xlfn.MAKEARRAY(30, 31, _xlfn.LAMBDA(_xlpm.r,_xlpm.c, INDEX({"Campbells fertilisers Australia","Encal","L",1.5,"","","",9,"","",13.94,"Sulphate of ammonia (SOA)",0.580645,"Magnesium",0.012,"","","","","","","","","","","","","","","","";"Incitec Pivot Fertilisers","Granulock SS","kg",1,"","","",10,17.5,"",12,"Phosphorus - Generic",0.175,"Sulfur - Generic",0.12,"Nitrogen - Ammoniacal",0.1,"Fluoride",0.03,"","","","","","","","","","","","";"Incitec Pivot Fertilisers","Granulock Z","kg",1,"","","",11,21.8,"",4,"Phosphorus - Generic",0.218,"Nitrogen - Generic",0.11,"Sulfur - Generic",0.04,"Fluoride",0.03,"Zinc",0.01,"","","","","","","","","","";"Incitec Pivot Fertilisers","Farm Ag Leichhardt","kg",1,"","","",32.5,5.4,6.25,"","Urea",0.6,"Nitrogen - Ammoniacal",0.049,"Phosphorus - Generic",0.054,"Muriate of potash (MOP)",0.125,"","","","","","","","","","","","";"Ravensdown","Flexi-N NBPT","kg",1,"Yes","","",45.54,"","","","Urea",0.99,"","","","","","","","","","","","","","","","","","";"Campbells fertilisers Australia","Gold Premium","kg",1,"","","",14.87,2.2,16.6,8,"Ammonium nitrate (AN)",0.441176,"Potassium - Generic",0.166,"Sulfur - Generic",0.08,"Phosphorus - Generic",0.022,"Magnesium",0.012,"Boron",0.0002,"Zinc",0.0001,"","","","","","";"SL Tec","High NS","L",1.299,"","","",38,"","",2,"Urea",0.46087,"Nitrogen - Ammoniacal",0.092,"Nitrogen - Nitrate",0.076,"Sulfur - Generic",0.02,"","","","","","","","","","","","";"Impact Fertilisers","Impact SSP","kg",1,"","","","",8.8,"",11,"Single superphosphate (SSP)",1,"","","","","","","","","","","","","","","","","","";"Switch Ag","In Crop","L",1.2,"","","",10,1,11,"","Potassium - Generic",0.11,"Nitrogen - Generic",0.1,"Phosphorus - Generic",0.01,"","","","","","","","","","","","","","";"Switch Ag","K20","L",1.3,"","","",3,"",22,"","Potassium - Generic",0.22,"Nitrogen - Generic",0.03,"","","","","","","","","","","","","","","","";"Loveland Agriproducts","Maximum N-Pact","L",1.185,"","","",23.8,"","","","Urea",0.517391,"","","","","","","","","","","","","","","","","","";"SL Tec","Nitro Combi TE","L",1.255,"","","","","",0.1,4.4,"Sulfur - Generic",0.044,"Zinc",0.022,"Iron",0.022,"Manganese",0.016,"Boron",0.008,"Magnesium",0.007,"Fulvic acid (organic)",0.005,"Copper",0.003,"Potassium - Generic",0.001,"Molybdenum",0.0003;"Switch Ag","PastureMAXX","L",1.23,"","","",9.71,"",3.25,2.11,"Nitrogen - Generic",0.0971,"Potassium - Generic",0.0325,"Sulfur - Generic",0.0211,"Zinc",0.015,"Iron",0.0111,"Manganese",0.0115,"Magnesium",0.0045,"Boron",0.002,"","","","";"Campbells fertilisers Australia","Platinum Nergetic","kg",1,"","","",10,10.9,10,4.34,"Monoammonium phosphate (MAP)",0.4178,"Ammonium nitrate (AN)",0.1728,"Potassium sulphate",0.240964,"Double superphosphate",0.1,"Magnesium",0.012,"Zinc",0.0036,"Boron",0.001,"Glaze Extend G3 Flexi",0.0519,"","","","";"Impact Fertilisers","Sulphate of ammonia (SOA)","kg",1,"","","",21,"","",24,"Sulphate of ammonia (SOA)",1,"","","","","","","","","","","","","","","","","","";"Impact Fertilisers","Mono-Ammonium Phosphate (MAP)","kg",1,"","","",10,21.9,"",1.5,"Monoammonium phosphate (MAP)",1,"","","","","","","","","","","","","","","","","","";"Impact Fertilisers","Urea","kg",1,"","","",46,"","","","Urea",1,"","","","","","","","","","","","","","","","","","";"Koch Fertiliser Australia","Muriate of potash (MOP)","kg",1,"","","","","",50,"","Muriate of potash (MOP)",1,"","","","","","","","","","","","","","","","","","";"Risso-Chemical","Urea Ammonium nitrate (UAN 32-0-0)","L",1.32,"","China","China",32,"","","","Urea-ammonium nitrate (UAN)",1,"","","","","","","","","","","","","","","","","","";"Risso-Chemical","Polypeptide Urea","kg",1,"","China","",46,"","","","Urea",1,"Polypeptide (amino acids)",0,"","","","","","","","","","","","","","","","";"Yara Australia","YaraTera CALCINIT","kg",1,"","","",15.5,"","","","Calcium nitrate",1,"","","","","","","","","","","","","","","","","","";"Yara Australia","YaraLiva NITRABOR","kg",1,"","","",15.4,"","","","Calcium nitrate",0.993548,"Boron",0.003,"","","","","","","","","","","","","","","","";"Yara Australia","YaraMila COMPLEX","kg",1,"","","",12,5,15,8,"Nitrogen - Nitrate",0.05,"Nitrogen - Ammoniacal",0.07,"Phosphorus - Generic",0.05,"Potassium - Generic",0.15,"Sulfur - Generic",0.08,"Magnesium",0.016,"Zinc",0.0002,"Boron",0.00015,"","","","";"Yara Australia","YaraRega 9-0-30 (14)","kg",1,"","","",9,"",30,14,"Potassium - Generic",0.3,"Sulfur - Generic",0.14,"Nitrogen - Nitrate",0.045,"Nitrogen - Ammoniacal",0.045,"","","","","","","","","","","","";"Yara Australia","YaraRega 13-2-21","kg",1,"","","",13,1.75,21,10.8,"Potassium - Generic",0.21,"Sulfur - Generic",0.108,"Nitrogen - Ammoniacal",0.077,"Nitrogen - Nitrate",0.053,"Phosphorus - Generic",0.0175,"Magnesium",0.004,"Zinc",0.0008,"Boron",0.0008,"","","","";"Yara Australia","YaraRega 15-7-13 (7S)","kg",1,"","","",15,6.5,12.5,7.2,"Nitrogen - Nitrate",0.095,"Potassium - Generic",0.125,"Sulfur - Generic",0.072,"Phosphorus - Generic",0.065,"Nitrogen - Ammoniacal",0.055,"Magnesium",0.0066,"Boron",0.001,"Zinc",0.0006,"","","","";"Yara Australia","YaraTera CALCINIT B","kg",1,"","","",15.5,"","","","Calcium nitrate",1,"Boron",0.001,"","","","","","","","","","","","","","","","";"Yara Australia","YaraTera KRISTA MAP","kg",1,"","","",10,21.9,"","","Monoammonium phosphate (MAP)",1,"","","","","","","","","","","","","","","","","","";"Yara Australia","YaraTera KRISTALON RED","kg",1,"","","",12,5.2,29.9,1,"Potassium - Generic",0.299,"Nitrogen - Nitrate",0.101,"Phosphorus - Generic",0.052,"Nitrogen - Ammoniacal",0.019,"Sulfur - Generic",0.01,"Magnesium",0.006,"Iron",0.0007,"Manganese",0.0004,"Zinc",0.00025,"Boron",0.00025;"Yara Australia","YaraTera KRISTALON SPECIAL","kg",1,"","","",18,7.9,14.9,2,"Potassium - Generic",0.149,"Urea",0.213043,"Phosphorus - Generic",0.079,"Nitrogen - Nitrate",0.049,"Nitrogen - Ammoniacal",0.033,"Sulfur - Generic",0.02,"Magnesium",0.018,"Iron",0.0007,"Manganese",0.0004,"Zinc",0.00025}, _xlpm.r, _xlpm.c))))</definedName>
    <definedName name="Fertiliser_SourceData.Fertiliser_Products_Data2" localSheetId="29">_xlfn.LAMBDA(_xlfn.MAKEARRAY(30, 31, _xlfn.LAMBDA(_xlpm.r,_xlpm.c, INDEX({"Campbells fertilisers Australia","Encal","L",1.5,"","","",9,"","",13.94,"Sulphate of ammonia (SOA)",0.580645,"Magnesium",0.012,"","","","","","","","","","","","","","","","";"Incitec Pivot Fertilisers","Granulock SS","kg",1,"","","",10,17.5,"",12,"Phosphorus - Generic",0.175,"Sulfur - Generic",0.12,"Nitrogen - Ammoniacal",0.1,"Fluoride",0.03,"","","","","","","","","","","","";"Incitec Pivot Fertilisers","Granulock Z","kg",1,"","","",11,21.8,"",4,"Phosphorus - Generic",0.218,"Nitrogen - Generic",0.11,"Sulfur - Generic",0.04,"Fluoride",0.03,"Zinc",0.01,"","","","","","","","","","";"Incitec Pivot Fertilisers","Farm Ag Leichhardt","kg",1,"","","",32.5,5.4,6.25,"","Urea",0.6,"Nitrogen - Ammoniacal",0.049,"Phosphorus - Generic",0.054,"Muriate of potash (MOP)",0.125,"","","","","","","","","","","","";"Ravensdown","Flexi-N NBPT","kg",1,"Yes","","",45.54,"","","","Urea",0.99,"","","","","","","","","","","","","","","","","","";"Campbells fertilisers Australia","Gold Premium","kg",1,"","","",14.87,2.2,16.6,8,"Ammonium nitrate (AN)",0.441176,"Potassium - Generic",0.166,"Sulfur - Generic",0.08,"Phosphorus - Generic",0.022,"Magnesium",0.012,"Boron",0.0002,"Zinc",0.0001,"","","","","","";"SL Tec","High NS","L",1.299,"","","",38,"","",2,"Urea",0.46087,"Nitrogen - Ammoniacal",0.092,"Nitrogen - Nitrate",0.076,"Sulfur - Generic",0.02,"","","","","","","","","","","","";"Impact Fertilisers","Impact SSP","kg",1,"","","","",8.8,"",11,"Single superphosphate (SSP)",1,"","","","","","","","","","","","","","","","","","";"Switch Ag","In Crop","L",1.2,"","","",10,1,11,"","Potassium - Generic",0.11,"Nitrogen - Generic",0.1,"Phosphorus - Generic",0.01,"","","","","","","","","","","","","","";"Switch Ag","K20","L",1.3,"","","",3,"",22,"","Potassium - Generic",0.22,"Nitrogen - Generic",0.03,"","","","","","","","","","","","","","","","";"Loveland Agriproducts","Maximum N-Pact","L",1.185,"","","",23.8,"","","","Urea",0.517391,"","","","","","","","","","","","","","","","","","";"SL Tec","Nitro Combi TE","L",1.255,"","","","","",0.1,4.4,"Sulfur - Generic",0.044,"Zinc",0.022,"Iron",0.022,"Manganese",0.016,"Boron",0.008,"Magnesium",0.007,"Fulvic acid (organic)",0.005,"Copper",0.003,"Potassium - Generic",0.001,"Molybdenum",0.0003;"Switch Ag","PastureMAXX","L",1.23,"","","",9.71,"",3.25,2.11,"Nitrogen - Generic",0.0971,"Potassium - Generic",0.0325,"Sulfur - Generic",0.0211,"Zinc",0.015,"Iron",0.0111,"Manganese",0.0115,"Magnesium",0.0045,"Boron",0.002,"","","","";"Campbells fertilisers Australia","Platinum Nergetic","kg",1,"","","",10,10.9,10,4.34,"Monoammonium phosphate (MAP)",0.4178,"Ammonium nitrate (AN)",0.1728,"Potassium sulphate",0.240964,"Double superphosphate",0.1,"Magnesium",0.012,"Zinc",0.0036,"Boron",0.001,"Glaze Extend G3 Flexi",0.0519,"","","","";"Impact Fertilisers","Sulphate of ammonia (SOA)","kg",1,"","","",21,"","",24,"Sulphate of ammonia (SOA)",1,"","","","","","","","","","","","","","","","","","";"Impact Fertilisers","Mono-Ammonium Phosphate (MAP)","kg",1,"","","",10,21.9,"",1.5,"Monoammonium phosphate (MAP)",1,"","","","","","","","","","","","","","","","","","";"Impact Fertilisers","Urea","kg",1,"","","",46,"","","","Urea",1,"","","","","","","","","","","","","","","","","","";"Koch Fertiliser Australia","Muriate of potash (MOP)","kg",1,"","","","","",50,"","Muriate of potash (MOP)",1,"","","","","","","","","","","","","","","","","","";"Risso-Chemical","Urea Ammonium nitrate (UAN 32-0-0)","L",1.32,"","China","China",32,"","","","Urea-ammonium nitrate (UAN)",1,"","","","","","","","","","","","","","","","","","";"Risso-Chemical","Polypeptide Urea","kg",1,"","China","",46,"","","","Urea",1,"Polypeptide (amino acids)",0,"","","","","","","","","","","","","","","","";"Yara Australia","YaraTera CALCINIT","kg",1,"","","",15.5,"","","","Calcium nitrate",1,"","","","","","","","","","","","","","","","","","";"Yara Australia","YaraLiva NITRABOR","kg",1,"","","",15.4,"","","","Calcium nitrate",0.993548,"Boron",0.003,"","","","","","","","","","","","","","","","";"Yara Australia","YaraMila COMPLEX","kg",1,"","","",12,5,15,8,"Nitrogen - Nitrate",0.05,"Nitrogen - Ammoniacal",0.07,"Phosphorus - Generic",0.05,"Potassium - Generic",0.15,"Sulfur - Generic",0.08,"Magnesium",0.016,"Zinc",0.0002,"Boron",0.00015,"","","","";"Yara Australia","YaraRega 9-0-30 (14)","kg",1,"","","",9,"",30,14,"Potassium - Generic",0.3,"Sulfur - Generic",0.14,"Nitrogen - Nitrate",0.045,"Nitrogen - Ammoniacal",0.045,"","","","","","","","","","","","";"Yara Australia","YaraRega 13-2-21","kg",1,"","","",13,1.75,21,10.8,"Potassium - Generic",0.21,"Sulfur - Generic",0.108,"Nitrogen - Ammoniacal",0.077,"Nitrogen - Nitrate",0.053,"Phosphorus - Generic",0.0175,"Magnesium",0.004,"Zinc",0.0008,"Boron",0.0008,"","","","";"Yara Australia","YaraRega 15-7-13 (7S)","kg",1,"","","",15,6.5,12.5,7.2,"Nitrogen - Nitrate",0.095,"Potassium - Generic",0.125,"Sulfur - Generic",0.072,"Phosphorus - Generic",0.065,"Nitrogen - Ammoniacal",0.055,"Magnesium",0.0066,"Boron",0.001,"Zinc",0.0006,"","","","";"Yara Australia","YaraTera CALCINIT B","kg",1,"","","",15.5,"","","","Calcium nitrate",1,"Boron",0.001,"","","","","","","","","","","","","","","","";"Yara Australia","YaraTera KRISTA MAP","kg",1,"","","",10,21.9,"","","Monoammonium phosphate (MAP)",1,"","","","","","","","","","","","","","","","","","";"Yara Australia","YaraTera KRISTALON RED","kg",1,"","","",12,5.2,29.9,1,"Potassium - Generic",0.299,"Nitrogen - Nitrate",0.101,"Phosphorus - Generic",0.052,"Nitrogen - Ammoniacal",0.019,"Sulfur - Generic",0.01,"Magnesium",0.006,"Iron",0.0007,"Manganese",0.0004,"Zinc",0.00025,"Boron",0.00025;"Yara Australia","YaraTera KRISTALON SPECIAL","kg",1,"","","",18,7.9,14.9,2,"Potassium - Generic",0.149,"Urea",0.213043,"Phosphorus - Generic",0.079,"Nitrogen - Nitrate",0.049,"Nitrogen - Ammoniacal",0.033,"Sulfur - Generic",0.02,"Magnesium",0.018,"Iron",0.0007,"Manganese",0.0004,"Zinc",0.00025}, _xlpm.r, _xlpm.c))))</definedName>
    <definedName name="Fertiliser_SourceData.Fertiliser_Products_Data2" localSheetId="30">_xlfn.LAMBDA(_xlfn.MAKEARRAY(30, 31, _xlfn.LAMBDA(_xlpm.r,_xlpm.c, INDEX({"Campbells fertilisers Australia","Encal","L",1.5,"","","",9,"","",13.94,"Sulphate of ammonia (SOA)",0.580645,"Magnesium",0.012,"","","","","","","","","","","","","","","","";"Incitec Pivot Fertilisers","Granulock SS","kg",1,"","","",10,17.5,"",12,"Phosphorus - Generic",0.175,"Sulfur - Generic",0.12,"Nitrogen - Ammoniacal",0.1,"Fluoride",0.03,"","","","","","","","","","","","";"Incitec Pivot Fertilisers","Granulock Z","kg",1,"","","",11,21.8,"",4,"Phosphorus - Generic",0.218,"Nitrogen - Generic",0.11,"Sulfur - Generic",0.04,"Fluoride",0.03,"Zinc",0.01,"","","","","","","","","","";"Incitec Pivot Fertilisers","Farm Ag Leichhardt","kg",1,"","","",32.5,5.4,6.25,"","Urea",0.6,"Nitrogen - Ammoniacal",0.049,"Phosphorus - Generic",0.054,"Muriate of potash (MOP)",0.125,"","","","","","","","","","","","";"Ravensdown","Flexi-N NBPT","kg",1,"Yes","","",45.54,"","","","Urea",0.99,"","","","","","","","","","","","","","","","","","";"Campbells fertilisers Australia","Gold Premium","kg",1,"","","",14.87,2.2,16.6,8,"Ammonium nitrate (AN)",0.441176,"Potassium - Generic",0.166,"Sulfur - Generic",0.08,"Phosphorus - Generic",0.022,"Magnesium",0.012,"Boron",0.0002,"Zinc",0.0001,"","","","","","";"SL Tec","High NS","L",1.299,"","","",38,"","",2,"Urea",0.46087,"Nitrogen - Ammoniacal",0.092,"Nitrogen - Nitrate",0.076,"Sulfur - Generic",0.02,"","","","","","","","","","","","";"Impact Fertilisers","Impact SSP","kg",1,"","","","",8.8,"",11,"Single superphosphate (SSP)",1,"","","","","","","","","","","","","","","","","","";"Switch Ag","In Crop","L",1.2,"","","",10,1,11,"","Potassium - Generic",0.11,"Nitrogen - Generic",0.1,"Phosphorus - Generic",0.01,"","","","","","","","","","","","","","";"Switch Ag","K20","L",1.3,"","","",3,"",22,"","Potassium - Generic",0.22,"Nitrogen - Generic",0.03,"","","","","","","","","","","","","","","","";"Loveland Agriproducts","Maximum N-Pact","L",1.185,"","","",23.8,"","","","Urea",0.517391,"","","","","","","","","","","","","","","","","","";"SL Tec","Nitro Combi TE","L",1.255,"","","","","",0.1,4.4,"Sulfur - Generic",0.044,"Zinc",0.022,"Iron",0.022,"Manganese",0.016,"Boron",0.008,"Magnesium",0.007,"Fulvic acid (organic)",0.005,"Copper",0.003,"Potassium - Generic",0.001,"Molybdenum",0.0003;"Switch Ag","PastureMAXX","L",1.23,"","","",9.71,"",3.25,2.11,"Nitrogen - Generic",0.0971,"Potassium - Generic",0.0325,"Sulfur - Generic",0.0211,"Zinc",0.015,"Iron",0.0111,"Manganese",0.0115,"Magnesium",0.0045,"Boron",0.002,"","","","";"Campbells fertilisers Australia","Platinum Nergetic","kg",1,"","","",10,10.9,10,4.34,"Monoammonium phosphate (MAP)",0.4178,"Ammonium nitrate (AN)",0.1728,"Potassium sulphate",0.240964,"Double superphosphate",0.1,"Magnesium",0.012,"Zinc",0.0036,"Boron",0.001,"Glaze Extend G3 Flexi",0.0519,"","","","";"Impact Fertilisers","Sulphate of ammonia (SOA)","kg",1,"","","",21,"","",24,"Sulphate of ammonia (SOA)",1,"","","","","","","","","","","","","","","","","","";"Impact Fertilisers","Mono-Ammonium Phosphate (MAP)","kg",1,"","","",10,21.9,"",1.5,"Monoammonium phosphate (MAP)",1,"","","","","","","","","","","","","","","","","","";"Impact Fertilisers","Urea","kg",1,"","","",46,"","","","Urea",1,"","","","","","","","","","","","","","","","","","";"Koch Fertiliser Australia","Muriate of potash (MOP)","kg",1,"","","","","",50,"","Muriate of potash (MOP)",1,"","","","","","","","","","","","","","","","","","";"Risso-Chemical","Urea Ammonium nitrate (UAN 32-0-0)","L",1.32,"","China","China",32,"","","","Urea-ammonium nitrate (UAN)",1,"","","","","","","","","","","","","","","","","","";"Risso-Chemical","Polypeptide Urea","kg",1,"","China","",46,"","","","Urea",1,"Polypeptide (amino acids)",0,"","","","","","","","","","","","","","","","";"Yara Australia","YaraTera CALCINIT","kg",1,"","","",15.5,"","","","Calcium nitrate",1,"","","","","","","","","","","","","","","","","","";"Yara Australia","YaraLiva NITRABOR","kg",1,"","","",15.4,"","","","Calcium nitrate",0.993548,"Boron",0.003,"","","","","","","","","","","","","","","","";"Yara Australia","YaraMila COMPLEX","kg",1,"","","",12,5,15,8,"Nitrogen - Nitrate",0.05,"Nitrogen - Ammoniacal",0.07,"Phosphorus - Generic",0.05,"Potassium - Generic",0.15,"Sulfur - Generic",0.08,"Magnesium",0.016,"Zinc",0.0002,"Boron",0.00015,"","","","";"Yara Australia","YaraRega 9-0-30 (14)","kg",1,"","","",9,"",30,14,"Potassium - Generic",0.3,"Sulfur - Generic",0.14,"Nitrogen - Nitrate",0.045,"Nitrogen - Ammoniacal",0.045,"","","","","","","","","","","","";"Yara Australia","YaraRega 13-2-21","kg",1,"","","",13,1.75,21,10.8,"Potassium - Generic",0.21,"Sulfur - Generic",0.108,"Nitrogen - Ammoniacal",0.077,"Nitrogen - Nitrate",0.053,"Phosphorus - Generic",0.0175,"Magnesium",0.004,"Zinc",0.0008,"Boron",0.0008,"","","","";"Yara Australia","YaraRega 15-7-13 (7S)","kg",1,"","","",15,6.5,12.5,7.2,"Nitrogen - Nitrate",0.095,"Potassium - Generic",0.125,"Sulfur - Generic",0.072,"Phosphorus - Generic",0.065,"Nitrogen - Ammoniacal",0.055,"Magnesium",0.0066,"Boron",0.001,"Zinc",0.0006,"","","","";"Yara Australia","YaraTera CALCINIT B","kg",1,"","","",15.5,"","","","Calcium nitrate",1,"Boron",0.001,"","","","","","","","","","","","","","","","";"Yara Australia","YaraTera KRISTA MAP","kg",1,"","","",10,21.9,"","","Monoammonium phosphate (MAP)",1,"","","","","","","","","","","","","","","","","","";"Yara Australia","YaraTera KRISTALON RED","kg",1,"","","",12,5.2,29.9,1,"Potassium - Generic",0.299,"Nitrogen - Nitrate",0.101,"Phosphorus - Generic",0.052,"Nitrogen - Ammoniacal",0.019,"Sulfur - Generic",0.01,"Magnesium",0.006,"Iron",0.0007,"Manganese",0.0004,"Zinc",0.00025,"Boron",0.00025;"Yara Australia","YaraTera KRISTALON SPECIAL","kg",1,"","","",18,7.9,14.9,2,"Potassium - Generic",0.149,"Urea",0.213043,"Phosphorus - Generic",0.079,"Nitrogen - Nitrate",0.049,"Nitrogen - Ammoniacal",0.033,"Sulfur - Generic",0.02,"Magnesium",0.018,"Iron",0.0007,"Manganese",0.0004,"Zinc",0.00025}, _xlpm.r, _xlpm.c))))</definedName>
    <definedName name="Fertiliser_SourceData.Fertiliser_Products_Data2" localSheetId="38">_xlfn.LAMBDA(_xlfn.MAKEARRAY(30, 31, _xlfn.LAMBDA(_xlpm.r,_xlpm.c, INDEX({"Campbells fertilisers Australia","Encal","L",1.5,"","","",9,"","",13.94,"Sulphate of ammonia (SOA)",0.580645,"Magnesium",0.012,"","","","","","","","","","","","","","","","";"Incitec Pivot Fertilisers","Granulock SS","kg",1,"","","",10,17.5,"",12,"Phosphorus - Generic",0.175,"Sulfur - Generic",0.12,"Nitrogen - Ammoniacal",0.1,"Fluoride",0.03,"","","","","","","","","","","","";"Incitec Pivot Fertilisers","Granulock Z","kg",1,"","","",11,21.8,"",4,"Phosphorus - Generic",0.218,"Nitrogen - Generic",0.11,"Sulfur - Generic",0.04,"Fluoride",0.03,"Zinc",0.01,"","","","","","","","","","";"Incitec Pivot Fertilisers","Farm Ag Leichhardt","kg",1,"","","",32.5,5.4,6.25,"","Urea",0.6,"Nitrogen - Ammoniacal",0.049,"Phosphorus - Generic",0.054,"Muriate of potash (MOP)",0.125,"","","","","","","","","","","","";"Ravensdown","Flexi-N NBPT","kg",1,"Yes","","",45.54,"","","","Urea",0.99,"","","","","","","","","","","","","","","","","","";"Campbells fertilisers Australia","Gold Premium","kg",1,"","","",14.87,2.2,16.6,8,"Ammonium nitrate (AN)",0.441176,"Potassium - Generic",0.166,"Sulfur - Generic",0.08,"Phosphorus - Generic",0.022,"Magnesium",0.012,"Boron",0.0002,"Zinc",0.0001,"","","","","","";"SL Tec","High NS","L",1.299,"","","",38,"","",2,"Urea",0.46087,"Nitrogen - Ammoniacal",0.092,"Nitrogen - Nitrate",0.076,"Sulfur - Generic",0.02,"","","","","","","","","","","","";"Impact Fertilisers","Impact SSP","kg",1,"","","","",8.8,"",11,"Single superphosphate (SSP)",1,"","","","","","","","","","","","","","","","","","";"Switch Ag","In Crop","L",1.2,"","","",10,1,11,"","Potassium - Generic",0.11,"Nitrogen - Generic",0.1,"Phosphorus - Generic",0.01,"","","","","","","","","","","","","","";"Switch Ag","K20","L",1.3,"","","",3,"",22,"","Potassium - Generic",0.22,"Nitrogen - Generic",0.03,"","","","","","","","","","","","","","","","";"Loveland Agriproducts","Maximum N-Pact","L",1.185,"","","",23.8,"","","","Urea",0.517391,"","","","","","","","","","","","","","","","","","";"SL Tec","Nitro Combi TE","L",1.255,"","","","","",0.1,4.4,"Sulfur - Generic",0.044,"Zinc",0.022,"Iron",0.022,"Manganese",0.016,"Boron",0.008,"Magnesium",0.007,"Fulvic acid (organic)",0.005,"Copper",0.003,"Potassium - Generic",0.001,"Molybdenum",0.0003;"Switch Ag","PastureMAXX","L",1.23,"","","",9.71,"",3.25,2.11,"Nitrogen - Generic",0.0971,"Potassium - Generic",0.0325,"Sulfur - Generic",0.0211,"Zinc",0.015,"Iron",0.0111,"Manganese",0.0115,"Magnesium",0.0045,"Boron",0.002,"","","","";"Campbells fertilisers Australia","Platinum Nergetic","kg",1,"","","",10,10.9,10,4.34,"Monoammonium phosphate (MAP)",0.4178,"Ammonium nitrate (AN)",0.1728,"Potassium sulphate",0.240964,"Double superphosphate",0.1,"Magnesium",0.012,"Zinc",0.0036,"Boron",0.001,"Glaze Extend G3 Flexi",0.0519,"","","","";"Impact Fertilisers","Sulphate of ammonia (SOA)","kg",1,"","","",21,"","",24,"Sulphate of ammonia (SOA)",1,"","","","","","","","","","","","","","","","","","";"Impact Fertilisers","Mono-Ammonium Phosphate (MAP)","kg",1,"","","",10,21.9,"",1.5,"Monoammonium phosphate (MAP)",1,"","","","","","","","","","","","","","","","","","";"Impact Fertilisers","Urea","kg",1,"","","",46,"","","","Urea",1,"","","","","","","","","","","","","","","","","","";"Koch Fertiliser Australia","Muriate of potash (MOP)","kg",1,"","","","","",50,"","Muriate of potash (MOP)",1,"","","","","","","","","","","","","","","","","","";"Risso-Chemical","Urea Ammonium nitrate (UAN 32-0-0)","L",1.32,"","China","China",32,"","","","Urea-ammonium nitrate (UAN)",1,"","","","","","","","","","","","","","","","","","";"Risso-Chemical","Polypeptide Urea","kg",1,"","China","",46,"","","","Urea",1,"Polypeptide (amino acids)",0,"","","","","","","","","","","","","","","","";"Yara Australia","YaraTera CALCINIT","kg",1,"","","",15.5,"","","","Calcium nitrate",1,"","","","","","","","","","","","","","","","","","";"Yara Australia","YaraLiva NITRABOR","kg",1,"","","",15.4,"","","","Calcium nitrate",0.993548,"Boron",0.003,"","","","","","","","","","","","","","","","";"Yara Australia","YaraMila COMPLEX","kg",1,"","","",12,5,15,8,"Nitrogen - Nitrate",0.05,"Nitrogen - Ammoniacal",0.07,"Phosphorus - Generic",0.05,"Potassium - Generic",0.15,"Sulfur - Generic",0.08,"Magnesium",0.016,"Zinc",0.0002,"Boron",0.00015,"","","","";"Yara Australia","YaraRega 9-0-30 (14)","kg",1,"","","",9,"",30,14,"Potassium - Generic",0.3,"Sulfur - Generic",0.14,"Nitrogen - Nitrate",0.045,"Nitrogen - Ammoniacal",0.045,"","","","","","","","","","","","";"Yara Australia","YaraRega 13-2-21","kg",1,"","","",13,1.75,21,10.8,"Potassium - Generic",0.21,"Sulfur - Generic",0.108,"Nitrogen - Ammoniacal",0.077,"Nitrogen - Nitrate",0.053,"Phosphorus - Generic",0.0175,"Magnesium",0.004,"Zinc",0.0008,"Boron",0.0008,"","","","";"Yara Australia","YaraRega 15-7-13 (7S)","kg",1,"","","",15,6.5,12.5,7.2,"Nitrogen - Nitrate",0.095,"Potassium - Generic",0.125,"Sulfur - Generic",0.072,"Phosphorus - Generic",0.065,"Nitrogen - Ammoniacal",0.055,"Magnesium",0.0066,"Boron",0.001,"Zinc",0.0006,"","","","";"Yara Australia","YaraTera CALCINIT B","kg",1,"","","",15.5,"","","","Calcium nitrate",1,"Boron",0.001,"","","","","","","","","","","","","","","","";"Yara Australia","YaraTera KRISTA MAP","kg",1,"","","",10,21.9,"","","Monoammonium phosphate (MAP)",1,"","","","","","","","","","","","","","","","","","";"Yara Australia","YaraTera KRISTALON RED","kg",1,"","","",12,5.2,29.9,1,"Potassium - Generic",0.299,"Nitrogen - Nitrate",0.101,"Phosphorus - Generic",0.052,"Nitrogen - Ammoniacal",0.019,"Sulfur - Generic",0.01,"Magnesium",0.006,"Iron",0.0007,"Manganese",0.0004,"Zinc",0.00025,"Boron",0.00025;"Yara Australia","YaraTera KRISTALON SPECIAL","kg",1,"","","",18,7.9,14.9,2,"Potassium - Generic",0.149,"Urea",0.213043,"Phosphorus - Generic",0.079,"Nitrogen - Nitrate",0.049,"Nitrogen - Ammoniacal",0.033,"Sulfur - Generic",0.02,"Magnesium",0.018,"Iron",0.0007,"Manganese",0.0004,"Zinc",0.00025}, _xlpm.r, _xlpm.c))))</definedName>
    <definedName name="Fertiliser_SourceData.Fertiliser_Products_Data2" localSheetId="43">_xlfn.LAMBDA(_xlfn.MAKEARRAY(30, 31, _xlfn.LAMBDA(_xlpm.r,_xlpm.c, INDEX({"Campbells fertilisers Australia","Encal","L",1.5,"","","",9,"","",13.94,"Sulphate of ammonia (SOA)",0.580645,"Magnesium",0.012,"","","","","","","","","","","","","","","","";"Incitec Pivot Fertilisers","Granulock SS","kg",1,"","","",10,17.5,"",12,"Phosphorus - Generic",0.175,"Sulfur - Generic",0.12,"Nitrogen - Ammoniacal",0.1,"Fluoride",0.03,"","","","","","","","","","","","";"Incitec Pivot Fertilisers","Granulock Z","kg",1,"","","",11,21.8,"",4,"Phosphorus - Generic",0.218,"Nitrogen - Generic",0.11,"Sulfur - Generic",0.04,"Fluoride",0.03,"Zinc",0.01,"","","","","","","","","","";"Incitec Pivot Fertilisers","Farm Ag Leichhardt","kg",1,"","","",32.5,5.4,6.25,"","Urea",0.6,"Nitrogen - Ammoniacal",0.049,"Phosphorus - Generic",0.054,"Muriate of potash (MOP)",0.125,"","","","","","","","","","","","";"Ravensdown","Flexi-N NBPT","kg",1,"Yes","","",45.54,"","","","Urea",0.99,"","","","","","","","","","","","","","","","","","";"Campbells fertilisers Australia","Gold Premium","kg",1,"","","",14.87,2.2,16.6,8,"Ammonium nitrate (AN)",0.441176,"Potassium - Generic",0.166,"Sulfur - Generic",0.08,"Phosphorus - Generic",0.022,"Magnesium",0.012,"Boron",0.0002,"Zinc",0.0001,"","","","","","";"SL Tec","High NS","L",1.299,"","","",38,"","",2,"Urea",0.46087,"Nitrogen - Ammoniacal",0.092,"Nitrogen - Nitrate",0.076,"Sulfur - Generic",0.02,"","","","","","","","","","","","";"Impact Fertilisers","Impact SSP","kg",1,"","","","",8.8,"",11,"Single superphosphate (SSP)",1,"","","","","","","","","","","","","","","","","","";"Switch Ag","In Crop","L",1.2,"","","",10,1,11,"","Potassium - Generic",0.11,"Nitrogen - Generic",0.1,"Phosphorus - Generic",0.01,"","","","","","","","","","","","","","";"Switch Ag","K20","L",1.3,"","","",3,"",22,"","Potassium - Generic",0.22,"Nitrogen - Generic",0.03,"","","","","","","","","","","","","","","","";"Loveland Agriproducts","Maximum N-Pact","L",1.185,"","","",23.8,"","","","Urea",0.517391,"","","","","","","","","","","","","","","","","","";"SL Tec","Nitro Combi TE","L",1.255,"","","","","",0.1,4.4,"Sulfur - Generic",0.044,"Zinc",0.022,"Iron",0.022,"Manganese",0.016,"Boron",0.008,"Magnesium",0.007,"Fulvic acid (organic)",0.005,"Copper",0.003,"Potassium - Generic",0.001,"Molybdenum",0.0003;"Switch Ag","PastureMAXX","L",1.23,"","","",9.71,"",3.25,2.11,"Nitrogen - Generic",0.0971,"Potassium - Generic",0.0325,"Sulfur - Generic",0.0211,"Zinc",0.015,"Iron",0.0111,"Manganese",0.0115,"Magnesium",0.0045,"Boron",0.002,"","","","";"Campbells fertilisers Australia","Platinum Nergetic","kg",1,"","","",10,10.9,10,4.34,"Monoammonium phosphate (MAP)",0.4178,"Ammonium nitrate (AN)",0.1728,"Potassium sulphate",0.240964,"Double superphosphate",0.1,"Magnesium",0.012,"Zinc",0.0036,"Boron",0.001,"Glaze Extend G3 Flexi",0.0519,"","","","";"Impact Fertilisers","Sulphate of ammonia (SOA)","kg",1,"","","",21,"","",24,"Sulphate of ammonia (SOA)",1,"","","","","","","","","","","","","","","","","","";"Impact Fertilisers","Mono-Ammonium Phosphate (MAP)","kg",1,"","","",10,21.9,"",1.5,"Monoammonium phosphate (MAP)",1,"","","","","","","","","","","","","","","","","","";"Impact Fertilisers","Urea","kg",1,"","","",46,"","","","Urea",1,"","","","","","","","","","","","","","","","","","";"Koch Fertiliser Australia","Muriate of potash (MOP)","kg",1,"","","","","",50,"","Muriate of potash (MOP)",1,"","","","","","","","","","","","","","","","","","";"Risso-Chemical","Urea Ammonium nitrate (UAN 32-0-0)","L",1.32,"","China","China",32,"","","","Urea-ammonium nitrate (UAN)",1,"","","","","","","","","","","","","","","","","","";"Risso-Chemical","Polypeptide Urea","kg",1,"","China","",46,"","","","Urea",1,"Polypeptide (amino acids)",0,"","","","","","","","","","","","","","","","";"Yara Australia","YaraTera CALCINIT","kg",1,"","","",15.5,"","","","Calcium nitrate",1,"","","","","","","","","","","","","","","","","","";"Yara Australia","YaraLiva NITRABOR","kg",1,"","","",15.4,"","","","Calcium nitrate",0.993548,"Boron",0.003,"","","","","","","","","","","","","","","","";"Yara Australia","YaraMila COMPLEX","kg",1,"","","",12,5,15,8,"Nitrogen - Nitrate",0.05,"Nitrogen - Ammoniacal",0.07,"Phosphorus - Generic",0.05,"Potassium - Generic",0.15,"Sulfur - Generic",0.08,"Magnesium",0.016,"Zinc",0.0002,"Boron",0.00015,"","","","";"Yara Australia","YaraRega 9-0-30 (14)","kg",1,"","","",9,"",30,14,"Potassium - Generic",0.3,"Sulfur - Generic",0.14,"Nitrogen - Nitrate",0.045,"Nitrogen - Ammoniacal",0.045,"","","","","","","","","","","","";"Yara Australia","YaraRega 13-2-21","kg",1,"","","",13,1.75,21,10.8,"Potassium - Generic",0.21,"Sulfur - Generic",0.108,"Nitrogen - Ammoniacal",0.077,"Nitrogen - Nitrate",0.053,"Phosphorus - Generic",0.0175,"Magnesium",0.004,"Zinc",0.0008,"Boron",0.0008,"","","","";"Yara Australia","YaraRega 15-7-13 (7S)","kg",1,"","","",15,6.5,12.5,7.2,"Nitrogen - Nitrate",0.095,"Potassium - Generic",0.125,"Sulfur - Generic",0.072,"Phosphorus - Generic",0.065,"Nitrogen - Ammoniacal",0.055,"Magnesium",0.0066,"Boron",0.001,"Zinc",0.0006,"","","","";"Yara Australia","YaraTera CALCINIT B","kg",1,"","","",15.5,"","","","Calcium nitrate",1,"Boron",0.001,"","","","","","","","","","","","","","","","";"Yara Australia","YaraTera KRISTA MAP","kg",1,"","","",10,21.9,"","","Monoammonium phosphate (MAP)",1,"","","","","","","","","","","","","","","","","","";"Yara Australia","YaraTera KRISTALON RED","kg",1,"","","",12,5.2,29.9,1,"Potassium - Generic",0.299,"Nitrogen - Nitrate",0.101,"Phosphorus - Generic",0.052,"Nitrogen - Ammoniacal",0.019,"Sulfur - Generic",0.01,"Magnesium",0.006,"Iron",0.0007,"Manganese",0.0004,"Zinc",0.00025,"Boron",0.00025;"Yara Australia","YaraTera KRISTALON SPECIAL","kg",1,"","","",18,7.9,14.9,2,"Potassium - Generic",0.149,"Urea",0.213043,"Phosphorus - Generic",0.079,"Nitrogen - Nitrate",0.049,"Nitrogen - Ammoniacal",0.033,"Sulfur - Generic",0.02,"Magnesium",0.018,"Iron",0.0007,"Manganese",0.0004,"Zinc",0.00025}, _xlpm.r, _xlpm.c))))</definedName>
    <definedName name="Fertiliser_SourceData.Fertiliser_Products_Data2" localSheetId="45">_xlfn.LAMBDA(_xlfn.MAKEARRAY(30, 31, _xlfn.LAMBDA(_xlpm.r,_xlpm.c, INDEX({"Campbells fertilisers Australia","Encal","L",1.5,"","","",9,"","",13.94,"Sulphate of ammonia (SOA)",0.580645,"Magnesium",0.012,"","","","","","","","","","","","","","","","";"Incitec Pivot Fertilisers","Granulock SS","kg",1,"","","",10,17.5,"",12,"Phosphorus - Generic",0.175,"Sulfur - Generic",0.12,"Nitrogen - Ammoniacal",0.1,"Fluoride",0.03,"","","","","","","","","","","","";"Incitec Pivot Fertilisers","Granulock Z","kg",1,"","","",11,21.8,"",4,"Phosphorus - Generic",0.218,"Nitrogen - Generic",0.11,"Sulfur - Generic",0.04,"Fluoride",0.03,"Zinc",0.01,"","","","","","","","","","";"Incitec Pivot Fertilisers","Farm Ag Leichhardt","kg",1,"","","",32.5,5.4,6.25,"","Urea",0.6,"Nitrogen - Ammoniacal",0.049,"Phosphorus - Generic",0.054,"Muriate of potash (MOP)",0.125,"","","","","","","","","","","","";"Ravensdown","Flexi-N NBPT","kg",1,"Yes","","",45.54,"","","","Urea",0.99,"","","","","","","","","","","","","","","","","","";"Campbells fertilisers Australia","Gold Premium","kg",1,"","","",14.87,2.2,16.6,8,"Ammonium nitrate (AN)",0.441176,"Potassium - Generic",0.166,"Sulfur - Generic",0.08,"Phosphorus - Generic",0.022,"Magnesium",0.012,"Boron",0.0002,"Zinc",0.0001,"","","","","","";"SL Tec","High NS","L",1.299,"","","",38,"","",2,"Urea",0.46087,"Nitrogen - Ammoniacal",0.092,"Nitrogen - Nitrate",0.076,"Sulfur - Generic",0.02,"","","","","","","","","","","","";"Impact Fertilisers","Impact SSP","kg",1,"","","","",8.8,"",11,"Single superphosphate (SSP)",1,"","","","","","","","","","","","","","","","","","";"Switch Ag","In Crop","L",1.2,"","","",10,1,11,"","Potassium - Generic",0.11,"Nitrogen - Generic",0.1,"Phosphorus - Generic",0.01,"","","","","","","","","","","","","","";"Switch Ag","K20","L",1.3,"","","",3,"",22,"","Potassium - Generic",0.22,"Nitrogen - Generic",0.03,"","","","","","","","","","","","","","","","";"Loveland Agriproducts","Maximum N-Pact","L",1.185,"","","",23.8,"","","","Urea",0.517391,"","","","","","","","","","","","","","","","","","";"SL Tec","Nitro Combi TE","L",1.255,"","","","","",0.1,4.4,"Sulfur - Generic",0.044,"Zinc",0.022,"Iron",0.022,"Manganese",0.016,"Boron",0.008,"Magnesium",0.007,"Fulvic acid (organic)",0.005,"Copper",0.003,"Potassium - Generic",0.001,"Molybdenum",0.0003;"Switch Ag","PastureMAXX","L",1.23,"","","",9.71,"",3.25,2.11,"Nitrogen - Generic",0.0971,"Potassium - Generic",0.0325,"Sulfur - Generic",0.0211,"Zinc",0.015,"Iron",0.0111,"Manganese",0.0115,"Magnesium",0.0045,"Boron",0.002,"","","","";"Campbells fertilisers Australia","Platinum Nergetic","kg",1,"","","",10,10.9,10,4.34,"Monoammonium phosphate (MAP)",0.4178,"Ammonium nitrate (AN)",0.1728,"Potassium sulphate",0.240964,"Double superphosphate",0.1,"Magnesium",0.012,"Zinc",0.0036,"Boron",0.001,"Glaze Extend G3 Flexi",0.0519,"","","","";"Impact Fertilisers","Sulphate of ammonia (SOA)","kg",1,"","","",21,"","",24,"Sulphate of ammonia (SOA)",1,"","","","","","","","","","","","","","","","","","";"Impact Fertilisers","Mono-Ammonium Phosphate (MAP)","kg",1,"","","",10,21.9,"",1.5,"Monoammonium phosphate (MAP)",1,"","","","","","","","","","","","","","","","","","";"Impact Fertilisers","Urea","kg",1,"","","",46,"","","","Urea",1,"","","","","","","","","","","","","","","","","","";"Koch Fertiliser Australia","Muriate of potash (MOP)","kg",1,"","","","","",50,"","Muriate of potash (MOP)",1,"","","","","","","","","","","","","","","","","","";"Risso-Chemical","Urea Ammonium nitrate (UAN 32-0-0)","L",1.32,"","China","China",32,"","","","Urea-ammonium nitrate (UAN)",1,"","","","","","","","","","","","","","","","","","";"Risso-Chemical","Polypeptide Urea","kg",1,"","China","",46,"","","","Urea",1,"Polypeptide (amino acids)",0,"","","","","","","","","","","","","","","","";"Yara Australia","YaraTera CALCINIT","kg",1,"","","",15.5,"","","","Calcium nitrate",1,"","","","","","","","","","","","","","","","","","";"Yara Australia","YaraLiva NITRABOR","kg",1,"","","",15.4,"","","","Calcium nitrate",0.993548,"Boron",0.003,"","","","","","","","","","","","","","","","";"Yara Australia","YaraMila COMPLEX","kg",1,"","","",12,5,15,8,"Nitrogen - Nitrate",0.05,"Nitrogen - Ammoniacal",0.07,"Phosphorus - Generic",0.05,"Potassium - Generic",0.15,"Sulfur - Generic",0.08,"Magnesium",0.016,"Zinc",0.0002,"Boron",0.00015,"","","","";"Yara Australia","YaraRega 9-0-30 (14)","kg",1,"","","",9,"",30,14,"Potassium - Generic",0.3,"Sulfur - Generic",0.14,"Nitrogen - Nitrate",0.045,"Nitrogen - Ammoniacal",0.045,"","","","","","","","","","","","";"Yara Australia","YaraRega 13-2-21","kg",1,"","","",13,1.75,21,10.8,"Potassium - Generic",0.21,"Sulfur - Generic",0.108,"Nitrogen - Ammoniacal",0.077,"Nitrogen - Nitrate",0.053,"Phosphorus - Generic",0.0175,"Magnesium",0.004,"Zinc",0.0008,"Boron",0.0008,"","","","";"Yara Australia","YaraRega 15-7-13 (7S)","kg",1,"","","",15,6.5,12.5,7.2,"Nitrogen - Nitrate",0.095,"Potassium - Generic",0.125,"Sulfur - Generic",0.072,"Phosphorus - Generic",0.065,"Nitrogen - Ammoniacal",0.055,"Magnesium",0.0066,"Boron",0.001,"Zinc",0.0006,"","","","";"Yara Australia","YaraTera CALCINIT B","kg",1,"","","",15.5,"","","","Calcium nitrate",1,"Boron",0.001,"","","","","","","","","","","","","","","","";"Yara Australia","YaraTera KRISTA MAP","kg",1,"","","",10,21.9,"","","Monoammonium phosphate (MAP)",1,"","","","","","","","","","","","","","","","","","";"Yara Australia","YaraTera KRISTALON RED","kg",1,"","","",12,5.2,29.9,1,"Potassium - Generic",0.299,"Nitrogen - Nitrate",0.101,"Phosphorus - Generic",0.052,"Nitrogen - Ammoniacal",0.019,"Sulfur - Generic",0.01,"Magnesium",0.006,"Iron",0.0007,"Manganese",0.0004,"Zinc",0.00025,"Boron",0.00025;"Yara Australia","YaraTera KRISTALON SPECIAL","kg",1,"","","",18,7.9,14.9,2,"Potassium - Generic",0.149,"Urea",0.213043,"Phosphorus - Generic",0.079,"Nitrogen - Nitrate",0.049,"Nitrogen - Ammoniacal",0.033,"Sulfur - Generic",0.02,"Magnesium",0.018,"Iron",0.0007,"Manganese",0.0004,"Zinc",0.00025}, _xlpm.r, _xlpm.c))))</definedName>
    <definedName name="Fertiliser_SourceData.Fertiliser_Products_Data2" localSheetId="7">_xlfn.LAMBDA(_xlfn.MAKEARRAY(30, 31, _xlfn.LAMBDA(_xlpm.r,_xlpm.c, INDEX({"Campbells fertilisers Australia","Encal","L",1.5,"","","",9,"","",13.94,"Sulphate of ammonia (SOA)",0.580645,"Magnesium",0.012,"","","","","","","","","","","","","","","","";"Incitec Pivot Fertilisers","Granulock SS","kg",1,"","","",10,17.5,"",12,"Phosphorus - Generic",0.175,"Sulfur - Generic",0.12,"Nitrogen - Ammoniacal",0.1,"Fluoride",0.03,"","","","","","","","","","","","";"Incitec Pivot Fertilisers","Granulock Z","kg",1,"","","",11,21.8,"",4,"Phosphorus - Generic",0.218,"Nitrogen - Generic",0.11,"Sulfur - Generic",0.04,"Fluoride",0.03,"Zinc",0.01,"","","","","","","","","","";"Incitec Pivot Fertilisers","Farm Ag Leichhardt","kg",1,"","","",32.5,5.4,6.25,"","Urea",0.6,"Nitrogen - Ammoniacal",0.049,"Phosphorus - Generic",0.054,"Muriate of potash (MOP)",0.125,"","","","","","","","","","","","";"Ravensdown","Flexi-N NBPT","kg",1,"Yes","","",45.54,"","","","Urea",0.99,"","","","","","","","","","","","","","","","","","";"Campbells fertilisers Australia","Gold Premium","kg",1,"","","",14.87,2.2,16.6,8,"Ammonium nitrate (AN)",0.441176,"Potassium - Generic",0.166,"Sulfur - Generic",0.08,"Phosphorus - Generic",0.022,"Magnesium",0.012,"Boron",0.0002,"Zinc",0.0001,"","","","","","";"SL Tec","High NS","L",1.299,"","","",38,"","",2,"Urea",0.46087,"Nitrogen - Ammoniacal",0.092,"Nitrogen - Nitrate",0.076,"Sulfur - Generic",0.02,"","","","","","","","","","","","";"Impact Fertilisers","Impact SSP","kg",1,"","","","",8.8,"",11,"Single superphosphate (SSP)",1,"","","","","","","","","","","","","","","","","","";"Switch Ag","In Crop","L",1.2,"","","",10,1,11,"","Potassium - Generic",0.11,"Nitrogen - Generic",0.1,"Phosphorus - Generic",0.01,"","","","","","","","","","","","","","";"Switch Ag","K20","L",1.3,"","","",3,"",22,"","Potassium - Generic",0.22,"Nitrogen - Generic",0.03,"","","","","","","","","","","","","","","","";"Loveland Agriproducts","Maximum N-Pact","L",1.185,"","","",23.8,"","","","Urea",0.517391,"","","","","","","","","","","","","","","","","","";"SL Tec","Nitro Combi TE","L",1.255,"","","","","",0.1,4.4,"Sulfur - Generic",0.044,"Zinc",0.022,"Iron",0.022,"Manganese",0.016,"Boron",0.008,"Magnesium",0.007,"Fulvic acid (organic)",0.005,"Copper",0.003,"Potassium - Generic",0.001,"Molybdenum",0.0003;"Switch Ag","PastureMAXX","L",1.23,"","","",9.71,"",3.25,2.11,"Nitrogen - Generic",0.0971,"Potassium - Generic",0.0325,"Sulfur - Generic",0.0211,"Zinc",0.015,"Iron",0.0111,"Manganese",0.0115,"Magnesium",0.0045,"Boron",0.002,"","","","";"Campbells fertilisers Australia","Platinum Nergetic","kg",1,"","","",10,10.9,10,4.34,"Monoammonium phosphate (MAP)",0.4178,"Ammonium nitrate (AN)",0.1728,"Potassium sulphate",0.240964,"Double superphosphate",0.1,"Magnesium",0.012,"Zinc",0.0036,"Boron",0.001,"Glaze Extend G3 Flexi",0.0519,"","","","";"Impact Fertilisers","Sulphate of ammonia (SOA)","kg",1,"","","",21,"","",24,"Sulphate of ammonia (SOA)",1,"","","","","","","","","","","","","","","","","","";"Impact Fertilisers","Mono-Ammonium Phosphate (MAP)","kg",1,"","","",10,21.9,"",1.5,"Monoammonium phosphate (MAP)",1,"","","","","","","","","","","","","","","","","","";"Impact Fertilisers","Urea","kg",1,"","","",46,"","","","Urea",1,"","","","","","","","","","","","","","","","","","";"Koch Fertiliser Australia","Muriate of potash (MOP)","kg",1,"","","","","",50,"","Muriate of potash (MOP)",1,"","","","","","","","","","","","","","","","","","";"Risso-Chemical","Urea Ammonium nitrate (UAN 32-0-0)","L",1.32,"","China","China",32,"","","","Urea-ammonium nitrate (UAN)",1,"","","","","","","","","","","","","","","","","","";"Risso-Chemical","Polypeptide Urea","kg",1,"","China","",46,"","","","Urea",1,"Polypeptide (amino acids)",0,"","","","","","","","","","","","","","","","";"Yara Australia","YaraTera CALCINIT","kg",1,"","","",15.5,"","","","Calcium nitrate",1,"","","","","","","","","","","","","","","","","","";"Yara Australia","YaraLiva NITRABOR","kg",1,"","","",15.4,"","","","Calcium nitrate",0.993548,"Boron",0.003,"","","","","","","","","","","","","","","","";"Yara Australia","YaraMila COMPLEX","kg",1,"","","",12,5,15,8,"Nitrogen - Nitrate",0.05,"Nitrogen - Ammoniacal",0.07,"Phosphorus - Generic",0.05,"Potassium - Generic",0.15,"Sulfur - Generic",0.08,"Magnesium",0.016,"Zinc",0.0002,"Boron",0.00015,"","","","";"Yara Australia","YaraRega 9-0-30 (14)","kg",1,"","","",9,"",30,14,"Potassium - Generic",0.3,"Sulfur - Generic",0.14,"Nitrogen - Nitrate",0.045,"Nitrogen - Ammoniacal",0.045,"","","","","","","","","","","","";"Yara Australia","YaraRega 13-2-21","kg",1,"","","",13,1.75,21,10.8,"Potassium - Generic",0.21,"Sulfur - Generic",0.108,"Nitrogen - Ammoniacal",0.077,"Nitrogen - Nitrate",0.053,"Phosphorus - Generic",0.0175,"Magnesium",0.004,"Zinc",0.0008,"Boron",0.0008,"","","","";"Yara Australia","YaraRega 15-7-13 (7S)","kg",1,"","","",15,6.5,12.5,7.2,"Nitrogen - Nitrate",0.095,"Potassium - Generic",0.125,"Sulfur - Generic",0.072,"Phosphorus - Generic",0.065,"Nitrogen - Ammoniacal",0.055,"Magnesium",0.0066,"Boron",0.001,"Zinc",0.0006,"","","","";"Yara Australia","YaraTera CALCINIT B","kg",1,"","","",15.5,"","","","Calcium nitrate",1,"Boron",0.001,"","","","","","","","","","","","","","","","";"Yara Australia","YaraTera KRISTA MAP","kg",1,"","","",10,21.9,"","","Monoammonium phosphate (MAP)",1,"","","","","","","","","","","","","","","","","","";"Yara Australia","YaraTera KRISTALON RED","kg",1,"","","",12,5.2,29.9,1,"Potassium - Generic",0.299,"Nitrogen - Nitrate",0.101,"Phosphorus - Generic",0.052,"Nitrogen - Ammoniacal",0.019,"Sulfur - Generic",0.01,"Magnesium",0.006,"Iron",0.0007,"Manganese",0.0004,"Zinc",0.00025,"Boron",0.00025;"Yara Australia","YaraTera KRISTALON SPECIAL","kg",1,"","","",18,7.9,14.9,2,"Potassium - Generic",0.149,"Urea",0.213043,"Phosphorus - Generic",0.079,"Nitrogen - Nitrate",0.049,"Nitrogen - Ammoniacal",0.033,"Sulfur - Generic",0.02,"Magnesium",0.018,"Iron",0.0007,"Manganese",0.0004,"Zinc",0.00025}, _xlpm.r, _xlpm.c))))</definedName>
    <definedName name="Fertiliser_SourceData.Fertiliser_Products_Data2" localSheetId="13">_xlfn.LAMBDA(_xlfn.MAKEARRAY(30, 31, _xlfn.LAMBDA(_xlpm.r,_xlpm.c, INDEX({"Campbells fertilisers Australia","Encal","L",1.5,"","","",9,"","",13.94,"Sulphate of ammonia (SOA)",0.580645,"Magnesium",0.012,"","","","","","","","","","","","","","","","";"Incitec Pivot Fertilisers","Granulock SS","kg",1,"","","",10,17.5,"",12,"Phosphorus - Generic",0.175,"Sulfur - Generic",0.12,"Nitrogen - Ammoniacal",0.1,"Fluoride",0.03,"","","","","","","","","","","","";"Incitec Pivot Fertilisers","Granulock Z","kg",1,"","","",11,21.8,"",4,"Phosphorus - Generic",0.218,"Nitrogen - Generic",0.11,"Sulfur - Generic",0.04,"Fluoride",0.03,"Zinc",0.01,"","","","","","","","","","";"Incitec Pivot Fertilisers","Farm Ag Leichhardt","kg",1,"","","",32.5,5.4,6.25,"","Urea",0.6,"Nitrogen - Ammoniacal",0.049,"Phosphorus - Generic",0.054,"Muriate of potash (MOP)",0.125,"","","","","","","","","","","","";"Ravensdown","Flexi-N NBPT","kg",1,"Yes","","",45.54,"","","","Urea",0.99,"","","","","","","","","","","","","","","","","","";"Campbells fertilisers Australia","Gold Premium","kg",1,"","","",14.87,2.2,16.6,8,"Ammonium nitrate (AN)",0.441176,"Potassium - Generic",0.166,"Sulfur - Generic",0.08,"Phosphorus - Generic",0.022,"Magnesium",0.012,"Boron",0.0002,"Zinc",0.0001,"","","","","","";"SL Tec","High NS","L",1.299,"","","",38,"","",2,"Urea",0.46087,"Nitrogen - Ammoniacal",0.092,"Nitrogen - Nitrate",0.076,"Sulfur - Generic",0.02,"","","","","","","","","","","","";"Impact Fertilisers","Impact SSP","kg",1,"","","","",8.8,"",11,"Single superphosphate (SSP)",1,"","","","","","","","","","","","","","","","","","";"Switch Ag","In Crop","L",1.2,"","","",10,1,11,"","Potassium - Generic",0.11,"Nitrogen - Generic",0.1,"Phosphorus - Generic",0.01,"","","","","","","","","","","","","","";"Switch Ag","K20","L",1.3,"","","",3,"",22,"","Potassium - Generic",0.22,"Nitrogen - Generic",0.03,"","","","","","","","","","","","","","","","";"Loveland Agriproducts","Maximum N-Pact","L",1.185,"","","",23.8,"","","","Urea",0.517391,"","","","","","","","","","","","","","","","","","";"SL Tec","Nitro Combi TE","L",1.255,"","","","","",0.1,4.4,"Sulfur - Generic",0.044,"Zinc",0.022,"Iron",0.022,"Manganese",0.016,"Boron",0.008,"Magnesium",0.007,"Fulvic acid (organic)",0.005,"Copper",0.003,"Potassium - Generic",0.001,"Molybdenum",0.0003;"Switch Ag","PastureMAXX","L",1.23,"","","",9.71,"",3.25,2.11,"Nitrogen - Generic",0.0971,"Potassium - Generic",0.0325,"Sulfur - Generic",0.0211,"Zinc",0.015,"Iron",0.0111,"Manganese",0.0115,"Magnesium",0.0045,"Boron",0.002,"","","","";"Campbells fertilisers Australia","Platinum Nergetic","kg",1,"","","",10,10.9,10,4.34,"Monoammonium phosphate (MAP)",0.4178,"Ammonium nitrate (AN)",0.1728,"Potassium sulphate",0.240964,"Double superphosphate",0.1,"Magnesium",0.012,"Zinc",0.0036,"Boron",0.001,"Glaze Extend G3 Flexi",0.0519,"","","","";"Impact Fertilisers","Sulphate of ammonia (SOA)","kg",1,"","","",21,"","",24,"Sulphate of ammonia (SOA)",1,"","","","","","","","","","","","","","","","","","";"Impact Fertilisers","Mono-Ammonium Phosphate (MAP)","kg",1,"","","",10,21.9,"",1.5,"Monoammonium phosphate (MAP)",1,"","","","","","","","","","","","","","","","","","";"Impact Fertilisers","Urea","kg",1,"","","",46,"","","","Urea",1,"","","","","","","","","","","","","","","","","","";"Koch Fertiliser Australia","Muriate of potash (MOP)","kg",1,"","","","","",50,"","Muriate of potash (MOP)",1,"","","","","","","","","","","","","","","","","","";"Risso-Chemical","Urea Ammonium nitrate (UAN 32-0-0)","L",1.32,"","China","China",32,"","","","Urea-ammonium nitrate (UAN)",1,"","","","","","","","","","","","","","","","","","";"Risso-Chemical","Polypeptide Urea","kg",1,"","China","",46,"","","","Urea",1,"Polypeptide (amino acids)",0,"","","","","","","","","","","","","","","","";"Yara Australia","YaraTera CALCINIT","kg",1,"","","",15.5,"","","","Calcium nitrate",1,"","","","","","","","","","","","","","","","","","";"Yara Australia","YaraLiva NITRABOR","kg",1,"","","",15.4,"","","","Calcium nitrate",0.993548,"Boron",0.003,"","","","","","","","","","","","","","","","";"Yara Australia","YaraMila COMPLEX","kg",1,"","","",12,5,15,8,"Nitrogen - Nitrate",0.05,"Nitrogen - Ammoniacal",0.07,"Phosphorus - Generic",0.05,"Potassium - Generic",0.15,"Sulfur - Generic",0.08,"Magnesium",0.016,"Zinc",0.0002,"Boron",0.00015,"","","","";"Yara Australia","YaraRega 9-0-30 (14)","kg",1,"","","",9,"",30,14,"Potassium - Generic",0.3,"Sulfur - Generic",0.14,"Nitrogen - Nitrate",0.045,"Nitrogen - Ammoniacal",0.045,"","","","","","","","","","","","";"Yara Australia","YaraRega 13-2-21","kg",1,"","","",13,1.75,21,10.8,"Potassium - Generic",0.21,"Sulfur - Generic",0.108,"Nitrogen - Ammoniacal",0.077,"Nitrogen - Nitrate",0.053,"Phosphorus - Generic",0.0175,"Magnesium",0.004,"Zinc",0.0008,"Boron",0.0008,"","","","";"Yara Australia","YaraRega 15-7-13 (7S)","kg",1,"","","",15,6.5,12.5,7.2,"Nitrogen - Nitrate",0.095,"Potassium - Generic",0.125,"Sulfur - Generic",0.072,"Phosphorus - Generic",0.065,"Nitrogen - Ammoniacal",0.055,"Magnesium",0.0066,"Boron",0.001,"Zinc",0.0006,"","","","";"Yara Australia","YaraTera CALCINIT B","kg",1,"","","",15.5,"","","","Calcium nitrate",1,"Boron",0.001,"","","","","","","","","","","","","","","","";"Yara Australia","YaraTera KRISTA MAP","kg",1,"","","",10,21.9,"","","Monoammonium phosphate (MAP)",1,"","","","","","","","","","","","","","","","","","";"Yara Australia","YaraTera KRISTALON RED","kg",1,"","","",12,5.2,29.9,1,"Potassium - Generic",0.299,"Nitrogen - Nitrate",0.101,"Phosphorus - Generic",0.052,"Nitrogen - Ammoniacal",0.019,"Sulfur - Generic",0.01,"Magnesium",0.006,"Iron",0.0007,"Manganese",0.0004,"Zinc",0.00025,"Boron",0.00025;"Yara Australia","YaraTera KRISTALON SPECIAL","kg",1,"","","",18,7.9,14.9,2,"Potassium - Generic",0.149,"Urea",0.213043,"Phosphorus - Generic",0.079,"Nitrogen - Nitrate",0.049,"Nitrogen - Ammoniacal",0.033,"Sulfur - Generic",0.02,"Magnesium",0.018,"Iron",0.0007,"Manganese",0.0004,"Zinc",0.00025}, _xlpm.r, _xlpm.c))))</definedName>
    <definedName name="Fertiliser_SourceData.Fertiliser_Products_Data2" localSheetId="14">_xlfn.LAMBDA(_xlfn.MAKEARRAY(30, 31, _xlfn.LAMBDA(_xlpm.r,_xlpm.c, INDEX({"Campbells fertilisers Australia","Encal","L",1.5,"","","",9,"","",13.94,"Sulphate of ammonia (SOA)",0.580645,"Magnesium",0.012,"","","","","","","","","","","","","","","","";"Incitec Pivot Fertilisers","Granulock SS","kg",1,"","","",10,17.5,"",12,"Phosphorus - Generic",0.175,"Sulfur - Generic",0.12,"Nitrogen - Ammoniacal",0.1,"Fluoride",0.03,"","","","","","","","","","","","";"Incitec Pivot Fertilisers","Granulock Z","kg",1,"","","",11,21.8,"",4,"Phosphorus - Generic",0.218,"Nitrogen - Generic",0.11,"Sulfur - Generic",0.04,"Fluoride",0.03,"Zinc",0.01,"","","","","","","","","","";"Incitec Pivot Fertilisers","Farm Ag Leichhardt","kg",1,"","","",32.5,5.4,6.25,"","Urea",0.6,"Nitrogen - Ammoniacal",0.049,"Phosphorus - Generic",0.054,"Muriate of potash (MOP)",0.125,"","","","","","","","","","","","";"Ravensdown","Flexi-N NBPT","kg",1,"Yes","","",45.54,"","","","Urea",0.99,"","","","","","","","","","","","","","","","","","";"Campbells fertilisers Australia","Gold Premium","kg",1,"","","",14.87,2.2,16.6,8,"Ammonium nitrate (AN)",0.441176,"Potassium - Generic",0.166,"Sulfur - Generic",0.08,"Phosphorus - Generic",0.022,"Magnesium",0.012,"Boron",0.0002,"Zinc",0.0001,"","","","","","";"SL Tec","High NS","L",1.299,"","","",38,"","",2,"Urea",0.46087,"Nitrogen - Ammoniacal",0.092,"Nitrogen - Nitrate",0.076,"Sulfur - Generic",0.02,"","","","","","","","","","","","";"Impact Fertilisers","Impact SSP","kg",1,"","","","",8.8,"",11,"Single superphosphate (SSP)",1,"","","","","","","","","","","","","","","","","","";"Switch Ag","In Crop","L",1.2,"","","",10,1,11,"","Potassium - Generic",0.11,"Nitrogen - Generic",0.1,"Phosphorus - Generic",0.01,"","","","","","","","","","","","","","";"Switch Ag","K20","L",1.3,"","","",3,"",22,"","Potassium - Generic",0.22,"Nitrogen - Generic",0.03,"","","","","","","","","","","","","","","","";"Loveland Agriproducts","Maximum N-Pact","L",1.185,"","","",23.8,"","","","Urea",0.517391,"","","","","","","","","","","","","","","","","","";"SL Tec","Nitro Combi TE","L",1.255,"","","","","",0.1,4.4,"Sulfur - Generic",0.044,"Zinc",0.022,"Iron",0.022,"Manganese",0.016,"Boron",0.008,"Magnesium",0.007,"Fulvic acid (organic)",0.005,"Copper",0.003,"Potassium - Generic",0.001,"Molybdenum",0.0003;"Switch Ag","PastureMAXX","L",1.23,"","","",9.71,"",3.25,2.11,"Nitrogen - Generic",0.0971,"Potassium - Generic",0.0325,"Sulfur - Generic",0.0211,"Zinc",0.015,"Iron",0.0111,"Manganese",0.0115,"Magnesium",0.0045,"Boron",0.002,"","","","";"Campbells fertilisers Australia","Platinum Nergetic","kg",1,"","","",10,10.9,10,4.34,"Monoammonium phosphate (MAP)",0.4178,"Ammonium nitrate (AN)",0.1728,"Potassium sulphate",0.240964,"Double superphosphate",0.1,"Magnesium",0.012,"Zinc",0.0036,"Boron",0.001,"Glaze Extend G3 Flexi",0.0519,"","","","";"Impact Fertilisers","Sulphate of ammonia (SOA)","kg",1,"","","",21,"","",24,"Sulphate of ammonia (SOA)",1,"","","","","","","","","","","","","","","","","","";"Impact Fertilisers","Mono-Ammonium Phosphate (MAP)","kg",1,"","","",10,21.9,"",1.5,"Monoammonium phosphate (MAP)",1,"","","","","","","","","","","","","","","","","","";"Impact Fertilisers","Urea","kg",1,"","","",46,"","","","Urea",1,"","","","","","","","","","","","","","","","","","";"Koch Fertiliser Australia","Muriate of potash (MOP)","kg",1,"","","","","",50,"","Muriate of potash (MOP)",1,"","","","","","","","","","","","","","","","","","";"Risso-Chemical","Urea Ammonium nitrate (UAN 32-0-0)","L",1.32,"","China","China",32,"","","","Urea-ammonium nitrate (UAN)",1,"","","","","","","","","","","","","","","","","","";"Risso-Chemical","Polypeptide Urea","kg",1,"","China","",46,"","","","Urea",1,"Polypeptide (amino acids)",0,"","","","","","","","","","","","","","","","";"Yara Australia","YaraTera CALCINIT","kg",1,"","","",15.5,"","","","Calcium nitrate",1,"","","","","","","","","","","","","","","","","","";"Yara Australia","YaraLiva NITRABOR","kg",1,"","","",15.4,"","","","Calcium nitrate",0.993548,"Boron",0.003,"","","","","","","","","","","","","","","","";"Yara Australia","YaraMila COMPLEX","kg",1,"","","",12,5,15,8,"Nitrogen - Nitrate",0.05,"Nitrogen - Ammoniacal",0.07,"Phosphorus - Generic",0.05,"Potassium - Generic",0.15,"Sulfur - Generic",0.08,"Magnesium",0.016,"Zinc",0.0002,"Boron",0.00015,"","","","";"Yara Australia","YaraRega 9-0-30 (14)","kg",1,"","","",9,"",30,14,"Potassium - Generic",0.3,"Sulfur - Generic",0.14,"Nitrogen - Nitrate",0.045,"Nitrogen - Ammoniacal",0.045,"","","","","","","","","","","","";"Yara Australia","YaraRega 13-2-21","kg",1,"","","",13,1.75,21,10.8,"Potassium - Generic",0.21,"Sulfur - Generic",0.108,"Nitrogen - Ammoniacal",0.077,"Nitrogen - Nitrate",0.053,"Phosphorus - Generic",0.0175,"Magnesium",0.004,"Zinc",0.0008,"Boron",0.0008,"","","","";"Yara Australia","YaraRega 15-7-13 (7S)","kg",1,"","","",15,6.5,12.5,7.2,"Nitrogen - Nitrate",0.095,"Potassium - Generic",0.125,"Sulfur - Generic",0.072,"Phosphorus - Generic",0.065,"Nitrogen - Ammoniacal",0.055,"Magnesium",0.0066,"Boron",0.001,"Zinc",0.0006,"","","","";"Yara Australia","YaraTera CALCINIT B","kg",1,"","","",15.5,"","","","Calcium nitrate",1,"Boron",0.001,"","","","","","","","","","","","","","","","";"Yara Australia","YaraTera KRISTA MAP","kg",1,"","","",10,21.9,"","","Monoammonium phosphate (MAP)",1,"","","","","","","","","","","","","","","","","","";"Yara Australia","YaraTera KRISTALON RED","kg",1,"","","",12,5.2,29.9,1,"Potassium - Generic",0.299,"Nitrogen - Nitrate",0.101,"Phosphorus - Generic",0.052,"Nitrogen - Ammoniacal",0.019,"Sulfur - Generic",0.01,"Magnesium",0.006,"Iron",0.0007,"Manganese",0.0004,"Zinc",0.00025,"Boron",0.00025;"Yara Australia","YaraTera KRISTALON SPECIAL","kg",1,"","","",18,7.9,14.9,2,"Potassium - Generic",0.149,"Urea",0.213043,"Phosphorus - Generic",0.079,"Nitrogen - Nitrate",0.049,"Nitrogen - Ammoniacal",0.033,"Sulfur - Generic",0.02,"Magnesium",0.018,"Iron",0.0007,"Manganese",0.0004,"Zinc",0.00025}, _xlpm.r, _xlpm.c))))</definedName>
    <definedName name="Fertiliser_SourceData.Fertiliser_Products_Data2" localSheetId="10">_xlfn.LAMBDA(_xlfn.MAKEARRAY(30, 31, _xlfn.LAMBDA(_xlpm.r,_xlpm.c, INDEX({"Campbells fertilisers Australia","Encal","L",1.5,"","","",9,"","",13.94,"Sulphate of ammonia (SOA)",0.580645,"Magnesium",0.012,"","","","","","","","","","","","","","","","";"Incitec Pivot Fertilisers","Granulock SS","kg",1,"","","",10,17.5,"",12,"Phosphorus - Generic",0.175,"Sulfur - Generic",0.12,"Nitrogen - Ammoniacal",0.1,"Fluoride",0.03,"","","","","","","","","","","","";"Incitec Pivot Fertilisers","Granulock Z","kg",1,"","","",11,21.8,"",4,"Phosphorus - Generic",0.218,"Nitrogen - Generic",0.11,"Sulfur - Generic",0.04,"Fluoride",0.03,"Zinc",0.01,"","","","","","","","","","";"Incitec Pivot Fertilisers","Farm Ag Leichhardt","kg",1,"","","",32.5,5.4,6.25,"","Urea",0.6,"Nitrogen - Ammoniacal",0.049,"Phosphorus - Generic",0.054,"Muriate of potash (MOP)",0.125,"","","","","","","","","","","","";"Ravensdown","Flexi-N NBPT","kg",1,"Yes","","",45.54,"","","","Urea",0.99,"","","","","","","","","","","","","","","","","","";"Campbells fertilisers Australia","Gold Premium","kg",1,"","","",14.87,2.2,16.6,8,"Ammonium nitrate (AN)",0.441176,"Potassium - Generic",0.166,"Sulfur - Generic",0.08,"Phosphorus - Generic",0.022,"Magnesium",0.012,"Boron",0.0002,"Zinc",0.0001,"","","","","","";"SL Tec","High NS","L",1.299,"","","",38,"","",2,"Urea",0.46087,"Nitrogen - Ammoniacal",0.092,"Nitrogen - Nitrate",0.076,"Sulfur - Generic",0.02,"","","","","","","","","","","","";"Impact Fertilisers","Impact SSP","kg",1,"","","","",8.8,"",11,"Single superphosphate (SSP)",1,"","","","","","","","","","","","","","","","","","";"Switch Ag","In Crop","L",1.2,"","","",10,1,11,"","Potassium - Generic",0.11,"Nitrogen - Generic",0.1,"Phosphorus - Generic",0.01,"","","","","","","","","","","","","","";"Switch Ag","K20","L",1.3,"","","",3,"",22,"","Potassium - Generic",0.22,"Nitrogen - Generic",0.03,"","","","","","","","","","","","","","","","";"Loveland Agriproducts","Maximum N-Pact","L",1.185,"","","",23.8,"","","","Urea",0.517391,"","","","","","","","","","","","","","","","","","";"SL Tec","Nitro Combi TE","L",1.255,"","","","","",0.1,4.4,"Sulfur - Generic",0.044,"Zinc",0.022,"Iron",0.022,"Manganese",0.016,"Boron",0.008,"Magnesium",0.007,"Fulvic acid (organic)",0.005,"Copper",0.003,"Potassium - Generic",0.001,"Molybdenum",0.0003;"Switch Ag","PastureMAXX","L",1.23,"","","",9.71,"",3.25,2.11,"Nitrogen - Generic",0.0971,"Potassium - Generic",0.0325,"Sulfur - Generic",0.0211,"Zinc",0.015,"Iron",0.0111,"Manganese",0.0115,"Magnesium",0.0045,"Boron",0.002,"","","","";"Campbells fertilisers Australia","Platinum Nergetic","kg",1,"","","",10,10.9,10,4.34,"Monoammonium phosphate (MAP)",0.4178,"Ammonium nitrate (AN)",0.1728,"Potassium sulphate",0.240964,"Double superphosphate",0.1,"Magnesium",0.012,"Zinc",0.0036,"Boron",0.001,"Glaze Extend G3 Flexi",0.0519,"","","","";"Impact Fertilisers","Sulphate of ammonia (SOA)","kg",1,"","","",21,"","",24,"Sulphate of ammonia (SOA)",1,"","","","","","","","","","","","","","","","","","";"Impact Fertilisers","Mono-Ammonium Phosphate (MAP)","kg",1,"","","",10,21.9,"",1.5,"Monoammonium phosphate (MAP)",1,"","","","","","","","","","","","","","","","","","";"Impact Fertilisers","Urea","kg",1,"","","",46,"","","","Urea",1,"","","","","","","","","","","","","","","","","","";"Koch Fertiliser Australia","Muriate of potash (MOP)","kg",1,"","","","","",50,"","Muriate of potash (MOP)",1,"","","","","","","","","","","","","","","","","","";"Risso-Chemical","Urea Ammonium nitrate (UAN 32-0-0)","L",1.32,"","China","China",32,"","","","Urea-ammonium nitrate (UAN)",1,"","","","","","","","","","","","","","","","","","";"Risso-Chemical","Polypeptide Urea","kg",1,"","China","",46,"","","","Urea",1,"Polypeptide (amino acids)",0,"","","","","","","","","","","","","","","","";"Yara Australia","YaraTera CALCINIT","kg",1,"","","",15.5,"","","","Calcium nitrate",1,"","","","","","","","","","","","","","","","","","";"Yara Australia","YaraLiva NITRABOR","kg",1,"","","",15.4,"","","","Calcium nitrate",0.993548,"Boron",0.003,"","","","","","","","","","","","","","","","";"Yara Australia","YaraMila COMPLEX","kg",1,"","","",12,5,15,8,"Nitrogen - Nitrate",0.05,"Nitrogen - Ammoniacal",0.07,"Phosphorus - Generic",0.05,"Potassium - Generic",0.15,"Sulfur - Generic",0.08,"Magnesium",0.016,"Zinc",0.0002,"Boron",0.00015,"","","","";"Yara Australia","YaraRega 9-0-30 (14)","kg",1,"","","",9,"",30,14,"Potassium - Generic",0.3,"Sulfur - Generic",0.14,"Nitrogen - Nitrate",0.045,"Nitrogen - Ammoniacal",0.045,"","","","","","","","","","","","";"Yara Australia","YaraRega 13-2-21","kg",1,"","","",13,1.75,21,10.8,"Potassium - Generic",0.21,"Sulfur - Generic",0.108,"Nitrogen - Ammoniacal",0.077,"Nitrogen - Nitrate",0.053,"Phosphorus - Generic",0.0175,"Magnesium",0.004,"Zinc",0.0008,"Boron",0.0008,"","","","";"Yara Australia","YaraRega 15-7-13 (7S)","kg",1,"","","",15,6.5,12.5,7.2,"Nitrogen - Nitrate",0.095,"Potassium - Generic",0.125,"Sulfur - Generic",0.072,"Phosphorus - Generic",0.065,"Nitrogen - Ammoniacal",0.055,"Magnesium",0.0066,"Boron",0.001,"Zinc",0.0006,"","","","";"Yara Australia","YaraTera CALCINIT B","kg",1,"","","",15.5,"","","","Calcium nitrate",1,"Boron",0.001,"","","","","","","","","","","","","","","","";"Yara Australia","YaraTera KRISTA MAP","kg",1,"","","",10,21.9,"","","Monoammonium phosphate (MAP)",1,"","","","","","","","","","","","","","","","","","";"Yara Australia","YaraTera KRISTALON RED","kg",1,"","","",12,5.2,29.9,1,"Potassium - Generic",0.299,"Nitrogen - Nitrate",0.101,"Phosphorus - Generic",0.052,"Nitrogen - Ammoniacal",0.019,"Sulfur - Generic",0.01,"Magnesium",0.006,"Iron",0.0007,"Manganese",0.0004,"Zinc",0.00025,"Boron",0.00025;"Yara Australia","YaraTera KRISTALON SPECIAL","kg",1,"","","",18,7.9,14.9,2,"Potassium - Generic",0.149,"Urea",0.213043,"Phosphorus - Generic",0.079,"Nitrogen - Nitrate",0.049,"Nitrogen - Ammoniacal",0.033,"Sulfur - Generic",0.02,"Magnesium",0.018,"Iron",0.0007,"Manganese",0.0004,"Zinc",0.00025}, _xlpm.r, _xlpm.c))))</definedName>
    <definedName name="Fertiliser_SourceData.Fertiliser_Products_Data2" localSheetId="16">_xlfn.LAMBDA(_xlfn.MAKEARRAY(30, 31, _xlfn.LAMBDA(_xlpm.r,_xlpm.c, INDEX({"Campbells fertilisers Australia","Encal","L",1.5,"","","",9,"","",13.94,"Sulphate of ammonia (SOA)",0.580645,"Magnesium",0.012,"","","","","","","","","","","","","","","","";"Incitec Pivot Fertilisers","Granulock SS","kg",1,"","","",10,17.5,"",12,"Phosphorus - Generic",0.175,"Sulfur - Generic",0.12,"Nitrogen - Ammoniacal",0.1,"Fluoride",0.03,"","","","","","","","","","","","";"Incitec Pivot Fertilisers","Granulock Z","kg",1,"","","",11,21.8,"",4,"Phosphorus - Generic",0.218,"Nitrogen - Generic",0.11,"Sulfur - Generic",0.04,"Fluoride",0.03,"Zinc",0.01,"","","","","","","","","","";"Incitec Pivot Fertilisers","Farm Ag Leichhardt","kg",1,"","","",32.5,5.4,6.25,"","Urea",0.6,"Nitrogen - Ammoniacal",0.049,"Phosphorus - Generic",0.054,"Muriate of potash (MOP)",0.125,"","","","","","","","","","","","";"Ravensdown","Flexi-N NBPT","kg",1,"Yes","","",45.54,"","","","Urea",0.99,"","","","","","","","","","","","","","","","","","";"Campbells fertilisers Australia","Gold Premium","kg",1,"","","",14.87,2.2,16.6,8,"Ammonium nitrate (AN)",0.441176,"Potassium - Generic",0.166,"Sulfur - Generic",0.08,"Phosphorus - Generic",0.022,"Magnesium",0.012,"Boron",0.0002,"Zinc",0.0001,"","","","","","";"SL Tec","High NS","L",1.299,"","","",38,"","",2,"Urea",0.46087,"Nitrogen - Ammoniacal",0.092,"Nitrogen - Nitrate",0.076,"Sulfur - Generic",0.02,"","","","","","","","","","","","";"Impact Fertilisers","Impact SSP","kg",1,"","","","",8.8,"",11,"Single superphosphate (SSP)",1,"","","","","","","","","","","","","","","","","","";"Switch Ag","In Crop","L",1.2,"","","",10,1,11,"","Potassium - Generic",0.11,"Nitrogen - Generic",0.1,"Phosphorus - Generic",0.01,"","","","","","","","","","","","","","";"Switch Ag","K20","L",1.3,"","","",3,"",22,"","Potassium - Generic",0.22,"Nitrogen - Generic",0.03,"","","","","","","","","","","","","","","","";"Loveland Agriproducts","Maximum N-Pact","L",1.185,"","","",23.8,"","","","Urea",0.517391,"","","","","","","","","","","","","","","","","","";"SL Tec","Nitro Combi TE","L",1.255,"","","","","",0.1,4.4,"Sulfur - Generic",0.044,"Zinc",0.022,"Iron",0.022,"Manganese",0.016,"Boron",0.008,"Magnesium",0.007,"Fulvic acid (organic)",0.005,"Copper",0.003,"Potassium - Generic",0.001,"Molybdenum",0.0003;"Switch Ag","PastureMAXX","L",1.23,"","","",9.71,"",3.25,2.11,"Nitrogen - Generic",0.0971,"Potassium - Generic",0.0325,"Sulfur - Generic",0.0211,"Zinc",0.015,"Iron",0.0111,"Manganese",0.0115,"Magnesium",0.0045,"Boron",0.002,"","","","";"Campbells fertilisers Australia","Platinum Nergetic","kg",1,"","","",10,10.9,10,4.34,"Monoammonium phosphate (MAP)",0.4178,"Ammonium nitrate (AN)",0.1728,"Potassium sulphate",0.240964,"Double superphosphate",0.1,"Magnesium",0.012,"Zinc",0.0036,"Boron",0.001,"Glaze Extend G3 Flexi",0.0519,"","","","";"Impact Fertilisers","Sulphate of ammonia (SOA)","kg",1,"","","",21,"","",24,"Sulphate of ammonia (SOA)",1,"","","","","","","","","","","","","","","","","","";"Impact Fertilisers","Mono-Ammonium Phosphate (MAP)","kg",1,"","","",10,21.9,"",1.5,"Monoammonium phosphate (MAP)",1,"","","","","","","","","","","","","","","","","","";"Impact Fertilisers","Urea","kg",1,"","","",46,"","","","Urea",1,"","","","","","","","","","","","","","","","","","";"Koch Fertiliser Australia","Muriate of potash (MOP)","kg",1,"","","","","",50,"","Muriate of potash (MOP)",1,"","","","","","","","","","","","","","","","","","";"Risso-Chemical","Urea Ammonium nitrate (UAN 32-0-0)","L",1.32,"","China","China",32,"","","","Urea-ammonium nitrate (UAN)",1,"","","","","","","","","","","","","","","","","","";"Risso-Chemical","Polypeptide Urea","kg",1,"","China","",46,"","","","Urea",1,"Polypeptide (amino acids)",0,"","","","","","","","","","","","","","","","";"Yara Australia","YaraTera CALCINIT","kg",1,"","","",15.5,"","","","Calcium nitrate",1,"","","","","","","","","","","","","","","","","","";"Yara Australia","YaraLiva NITRABOR","kg",1,"","","",15.4,"","","","Calcium nitrate",0.993548,"Boron",0.003,"","","","","","","","","","","","","","","","";"Yara Australia","YaraMila COMPLEX","kg",1,"","","",12,5,15,8,"Nitrogen - Nitrate",0.05,"Nitrogen - Ammoniacal",0.07,"Phosphorus - Generic",0.05,"Potassium - Generic",0.15,"Sulfur - Generic",0.08,"Magnesium",0.016,"Zinc",0.0002,"Boron",0.00015,"","","","";"Yara Australia","YaraRega 9-0-30 (14)","kg",1,"","","",9,"",30,14,"Potassium - Generic",0.3,"Sulfur - Generic",0.14,"Nitrogen - Nitrate",0.045,"Nitrogen - Ammoniacal",0.045,"","","","","","","","","","","","";"Yara Australia","YaraRega 13-2-21","kg",1,"","","",13,1.75,21,10.8,"Potassium - Generic",0.21,"Sulfur - Generic",0.108,"Nitrogen - Ammoniacal",0.077,"Nitrogen - Nitrate",0.053,"Phosphorus - Generic",0.0175,"Magnesium",0.004,"Zinc",0.0008,"Boron",0.0008,"","","","";"Yara Australia","YaraRega 15-7-13 (7S)","kg",1,"","","",15,6.5,12.5,7.2,"Nitrogen - Nitrate",0.095,"Potassium - Generic",0.125,"Sulfur - Generic",0.072,"Phosphorus - Generic",0.065,"Nitrogen - Ammoniacal",0.055,"Magnesium",0.0066,"Boron",0.001,"Zinc",0.0006,"","","","";"Yara Australia","YaraTera CALCINIT B","kg",1,"","","",15.5,"","","","Calcium nitrate",1,"Boron",0.001,"","","","","","","","","","","","","","","","";"Yara Australia","YaraTera KRISTA MAP","kg",1,"","","",10,21.9,"","","Monoammonium phosphate (MAP)",1,"","","","","","","","","","","","","","","","","","";"Yara Australia","YaraTera KRISTALON RED","kg",1,"","","",12,5.2,29.9,1,"Potassium - Generic",0.299,"Nitrogen - Nitrate",0.101,"Phosphorus - Generic",0.052,"Nitrogen - Ammoniacal",0.019,"Sulfur - Generic",0.01,"Magnesium",0.006,"Iron",0.0007,"Manganese",0.0004,"Zinc",0.00025,"Boron",0.00025;"Yara Australia","YaraTera KRISTALON SPECIAL","kg",1,"","","",18,7.9,14.9,2,"Potassium - Generic",0.149,"Urea",0.213043,"Phosphorus - Generic",0.079,"Nitrogen - Nitrate",0.049,"Nitrogen - Ammoniacal",0.033,"Sulfur - Generic",0.02,"Magnesium",0.018,"Iron",0.0007,"Manganese",0.0004,"Zinc",0.00025}, _xlpm.r, _xlpm.c))))</definedName>
    <definedName name="Fertiliser_SourceData.Fertiliser_Products_Data2" localSheetId="15">_xlfn.LAMBDA(_xlfn.MAKEARRAY(30, 31, _xlfn.LAMBDA(_xlpm.r,_xlpm.c, INDEX({"Campbells fertilisers Australia","Encal","L",1.5,"","","",9,"","",13.94,"Sulphate of ammonia (SOA)",0.580645,"Magnesium",0.012,"","","","","","","","","","","","","","","","";"Incitec Pivot Fertilisers","Granulock SS","kg",1,"","","",10,17.5,"",12,"Phosphorus - Generic",0.175,"Sulfur - Generic",0.12,"Nitrogen - Ammoniacal",0.1,"Fluoride",0.03,"","","","","","","","","","","","";"Incitec Pivot Fertilisers","Granulock Z","kg",1,"","","",11,21.8,"",4,"Phosphorus - Generic",0.218,"Nitrogen - Generic",0.11,"Sulfur - Generic",0.04,"Fluoride",0.03,"Zinc",0.01,"","","","","","","","","","";"Incitec Pivot Fertilisers","Farm Ag Leichhardt","kg",1,"","","",32.5,5.4,6.25,"","Urea",0.6,"Nitrogen - Ammoniacal",0.049,"Phosphorus - Generic",0.054,"Muriate of potash (MOP)",0.125,"","","","","","","","","","","","";"Ravensdown","Flexi-N NBPT","kg",1,"Yes","","",45.54,"","","","Urea",0.99,"","","","","","","","","","","","","","","","","","";"Campbells fertilisers Australia","Gold Premium","kg",1,"","","",14.87,2.2,16.6,8,"Ammonium nitrate (AN)",0.441176,"Potassium - Generic",0.166,"Sulfur - Generic",0.08,"Phosphorus - Generic",0.022,"Magnesium",0.012,"Boron",0.0002,"Zinc",0.0001,"","","","","","";"SL Tec","High NS","L",1.299,"","","",38,"","",2,"Urea",0.46087,"Nitrogen - Ammoniacal",0.092,"Nitrogen - Nitrate",0.076,"Sulfur - Generic",0.02,"","","","","","","","","","","","";"Impact Fertilisers","Impact SSP","kg",1,"","","","",8.8,"",11,"Single superphosphate (SSP)",1,"","","","","","","","","","","","","","","","","","";"Switch Ag","In Crop","L",1.2,"","","",10,1,11,"","Potassium - Generic",0.11,"Nitrogen - Generic",0.1,"Phosphorus - Generic",0.01,"","","","","","","","","","","","","","";"Switch Ag","K20","L",1.3,"","","",3,"",22,"","Potassium - Generic",0.22,"Nitrogen - Generic",0.03,"","","","","","","","","","","","","","","","";"Loveland Agriproducts","Maximum N-Pact","L",1.185,"","","",23.8,"","","","Urea",0.517391,"","","","","","","","","","","","","","","","","","";"SL Tec","Nitro Combi TE","L",1.255,"","","","","",0.1,4.4,"Sulfur - Generic",0.044,"Zinc",0.022,"Iron",0.022,"Manganese",0.016,"Boron",0.008,"Magnesium",0.007,"Fulvic acid (organic)",0.005,"Copper",0.003,"Potassium - Generic",0.001,"Molybdenum",0.0003;"Switch Ag","PastureMAXX","L",1.23,"","","",9.71,"",3.25,2.11,"Nitrogen - Generic",0.0971,"Potassium - Generic",0.0325,"Sulfur - Generic",0.0211,"Zinc",0.015,"Iron",0.0111,"Manganese",0.0115,"Magnesium",0.0045,"Boron",0.002,"","","","";"Campbells fertilisers Australia","Platinum Nergetic","kg",1,"","","",10,10.9,10,4.34,"Monoammonium phosphate (MAP)",0.4178,"Ammonium nitrate (AN)",0.1728,"Potassium sulphate",0.240964,"Double superphosphate",0.1,"Magnesium",0.012,"Zinc",0.0036,"Boron",0.001,"Glaze Extend G3 Flexi",0.0519,"","","","";"Impact Fertilisers","Sulphate of ammonia (SOA)","kg",1,"","","",21,"","",24,"Sulphate of ammonia (SOA)",1,"","","","","","","","","","","","","","","","","","";"Impact Fertilisers","Mono-Ammonium Phosphate (MAP)","kg",1,"","","",10,21.9,"",1.5,"Monoammonium phosphate (MAP)",1,"","","","","","","","","","","","","","","","","","";"Impact Fertilisers","Urea","kg",1,"","","",46,"","","","Urea",1,"","","","","","","","","","","","","","","","","","";"Koch Fertiliser Australia","Muriate of potash (MOP)","kg",1,"","","","","",50,"","Muriate of potash (MOP)",1,"","","","","","","","","","","","","","","","","","";"Risso-Chemical","Urea Ammonium nitrate (UAN 32-0-0)","L",1.32,"","China","China",32,"","","","Urea-ammonium nitrate (UAN)",1,"","","","","","","","","","","","","","","","","","";"Risso-Chemical","Polypeptide Urea","kg",1,"","China","",46,"","","","Urea",1,"Polypeptide (amino acids)",0,"","","","","","","","","","","","","","","","";"Yara Australia","YaraTera CALCINIT","kg",1,"","","",15.5,"","","","Calcium nitrate",1,"","","","","","","","","","","","","","","","","","";"Yara Australia","YaraLiva NITRABOR","kg",1,"","","",15.4,"","","","Calcium nitrate",0.993548,"Boron",0.003,"","","","","","","","","","","","","","","","";"Yara Australia","YaraMila COMPLEX","kg",1,"","","",12,5,15,8,"Nitrogen - Nitrate",0.05,"Nitrogen - Ammoniacal",0.07,"Phosphorus - Generic",0.05,"Potassium - Generic",0.15,"Sulfur - Generic",0.08,"Magnesium",0.016,"Zinc",0.0002,"Boron",0.00015,"","","","";"Yara Australia","YaraRega 9-0-30 (14)","kg",1,"","","",9,"",30,14,"Potassium - Generic",0.3,"Sulfur - Generic",0.14,"Nitrogen - Nitrate",0.045,"Nitrogen - Ammoniacal",0.045,"","","","","","","","","","","","";"Yara Australia","YaraRega 13-2-21","kg",1,"","","",13,1.75,21,10.8,"Potassium - Generic",0.21,"Sulfur - Generic",0.108,"Nitrogen - Ammoniacal",0.077,"Nitrogen - Nitrate",0.053,"Phosphorus - Generic",0.0175,"Magnesium",0.004,"Zinc",0.0008,"Boron",0.0008,"","","","";"Yara Australia","YaraRega 15-7-13 (7S)","kg",1,"","","",15,6.5,12.5,7.2,"Nitrogen - Nitrate",0.095,"Potassium - Generic",0.125,"Sulfur - Generic",0.072,"Phosphorus - Generic",0.065,"Nitrogen - Ammoniacal",0.055,"Magnesium",0.0066,"Boron",0.001,"Zinc",0.0006,"","","","";"Yara Australia","YaraTera CALCINIT B","kg",1,"","","",15.5,"","","","Calcium nitrate",1,"Boron",0.001,"","","","","","","","","","","","","","","","";"Yara Australia","YaraTera KRISTA MAP","kg",1,"","","",10,21.9,"","","Monoammonium phosphate (MAP)",1,"","","","","","","","","","","","","","","","","","";"Yara Australia","YaraTera KRISTALON RED","kg",1,"","","",12,5.2,29.9,1,"Potassium - Generic",0.299,"Nitrogen - Nitrate",0.101,"Phosphorus - Generic",0.052,"Nitrogen - Ammoniacal",0.019,"Sulfur - Generic",0.01,"Magnesium",0.006,"Iron",0.0007,"Manganese",0.0004,"Zinc",0.00025,"Boron",0.00025;"Yara Australia","YaraTera KRISTALON SPECIAL","kg",1,"","","",18,7.9,14.9,2,"Potassium - Generic",0.149,"Urea",0.213043,"Phosphorus - Generic",0.079,"Nitrogen - Nitrate",0.049,"Nitrogen - Ammoniacal",0.033,"Sulfur - Generic",0.02,"Magnesium",0.018,"Iron",0.0007,"Manganese",0.0004,"Zinc",0.00025}, _xlpm.r, _xlpm.c))))</definedName>
    <definedName name="Fertiliser_SourceData.Fertiliser_Products_Data2" localSheetId="18">_xlfn.LAMBDA(_xlfn.MAKEARRAY(30, 31, _xlfn.LAMBDA(_xlpm.r,_xlpm.c, INDEX({"Campbells fertilisers Australia","Encal","L",1.5,"","","",9,"","",13.94,"Sulphate of ammonia (SOA)",0.580645,"Magnesium",0.012,"","","","","","","","","","","","","","","","";"Incitec Pivot Fertilisers","Granulock SS","kg",1,"","","",10,17.5,"",12,"Phosphorus - Generic",0.175,"Sulfur - Generic",0.12,"Nitrogen - Ammoniacal",0.1,"Fluoride",0.03,"","","","","","","","","","","","";"Incitec Pivot Fertilisers","Granulock Z","kg",1,"","","",11,21.8,"",4,"Phosphorus - Generic",0.218,"Nitrogen - Generic",0.11,"Sulfur - Generic",0.04,"Fluoride",0.03,"Zinc",0.01,"","","","","","","","","","";"Incitec Pivot Fertilisers","Farm Ag Leichhardt","kg",1,"","","",32.5,5.4,6.25,"","Urea",0.6,"Nitrogen - Ammoniacal",0.049,"Phosphorus - Generic",0.054,"Muriate of potash (MOP)",0.125,"","","","","","","","","","","","";"Ravensdown","Flexi-N NBPT","kg",1,"Yes","","",45.54,"","","","Urea",0.99,"","","","","","","","","","","","","","","","","","";"Campbells fertilisers Australia","Gold Premium","kg",1,"","","",14.87,2.2,16.6,8,"Ammonium nitrate (AN)",0.441176,"Potassium - Generic",0.166,"Sulfur - Generic",0.08,"Phosphorus - Generic",0.022,"Magnesium",0.012,"Boron",0.0002,"Zinc",0.0001,"","","","","","";"SL Tec","High NS","L",1.299,"","","",38,"","",2,"Urea",0.46087,"Nitrogen - Ammoniacal",0.092,"Nitrogen - Nitrate",0.076,"Sulfur - Generic",0.02,"","","","","","","","","","","","";"Impact Fertilisers","Impact SSP","kg",1,"","","","",8.8,"",11,"Single superphosphate (SSP)",1,"","","","","","","","","","","","","","","","","","";"Switch Ag","In Crop","L",1.2,"","","",10,1,11,"","Potassium - Generic",0.11,"Nitrogen - Generic",0.1,"Phosphorus - Generic",0.01,"","","","","","","","","","","","","","";"Switch Ag","K20","L",1.3,"","","",3,"",22,"","Potassium - Generic",0.22,"Nitrogen - Generic",0.03,"","","","","","","","","","","","","","","","";"Loveland Agriproducts","Maximum N-Pact","L",1.185,"","","",23.8,"","","","Urea",0.517391,"","","","","","","","","","","","","","","","","","";"SL Tec","Nitro Combi TE","L",1.255,"","","","","",0.1,4.4,"Sulfur - Generic",0.044,"Zinc",0.022,"Iron",0.022,"Manganese",0.016,"Boron",0.008,"Magnesium",0.007,"Fulvic acid (organic)",0.005,"Copper",0.003,"Potassium - Generic",0.001,"Molybdenum",0.0003;"Switch Ag","PastureMAXX","L",1.23,"","","",9.71,"",3.25,2.11,"Nitrogen - Generic",0.0971,"Potassium - Generic",0.0325,"Sulfur - Generic",0.0211,"Zinc",0.015,"Iron",0.0111,"Manganese",0.0115,"Magnesium",0.0045,"Boron",0.002,"","","","";"Campbells fertilisers Australia","Platinum Nergetic","kg",1,"","","",10,10.9,10,4.34,"Monoammonium phosphate (MAP)",0.4178,"Ammonium nitrate (AN)",0.1728,"Potassium sulphate",0.240964,"Double superphosphate",0.1,"Magnesium",0.012,"Zinc",0.0036,"Boron",0.001,"Glaze Extend G3 Flexi",0.0519,"","","","";"Impact Fertilisers","Sulphate of ammonia (SOA)","kg",1,"","","",21,"","",24,"Sulphate of ammonia (SOA)",1,"","","","","","","","","","","","","","","","","","";"Impact Fertilisers","Mono-Ammonium Phosphate (MAP)","kg",1,"","","",10,21.9,"",1.5,"Monoammonium phosphate (MAP)",1,"","","","","","","","","","","","","","","","","","";"Impact Fertilisers","Urea","kg",1,"","","",46,"","","","Urea",1,"","","","","","","","","","","","","","","","","","";"Koch Fertiliser Australia","Muriate of potash (MOP)","kg",1,"","","","","",50,"","Muriate of potash (MOP)",1,"","","","","","","","","","","","","","","","","","";"Risso-Chemical","Urea Ammonium nitrate (UAN 32-0-0)","L",1.32,"","China","China",32,"","","","Urea-ammonium nitrate (UAN)",1,"","","","","","","","","","","","","","","","","","";"Risso-Chemical","Polypeptide Urea","kg",1,"","China","",46,"","","","Urea",1,"Polypeptide (amino acids)",0,"","","","","","","","","","","","","","","","";"Yara Australia","YaraTera CALCINIT","kg",1,"","","",15.5,"","","","Calcium nitrate",1,"","","","","","","","","","","","","","","","","","";"Yara Australia","YaraLiva NITRABOR","kg",1,"","","",15.4,"","","","Calcium nitrate",0.993548,"Boron",0.003,"","","","","","","","","","","","","","","","";"Yara Australia","YaraMila COMPLEX","kg",1,"","","",12,5,15,8,"Nitrogen - Nitrate",0.05,"Nitrogen - Ammoniacal",0.07,"Phosphorus - Generic",0.05,"Potassium - Generic",0.15,"Sulfur - Generic",0.08,"Magnesium",0.016,"Zinc",0.0002,"Boron",0.00015,"","","","";"Yara Australia","YaraRega 9-0-30 (14)","kg",1,"","","",9,"",30,14,"Potassium - Generic",0.3,"Sulfur - Generic",0.14,"Nitrogen - Nitrate",0.045,"Nitrogen - Ammoniacal",0.045,"","","","","","","","","","","","";"Yara Australia","YaraRega 13-2-21","kg",1,"","","",13,1.75,21,10.8,"Potassium - Generic",0.21,"Sulfur - Generic",0.108,"Nitrogen - Ammoniacal",0.077,"Nitrogen - Nitrate",0.053,"Phosphorus - Generic",0.0175,"Magnesium",0.004,"Zinc",0.0008,"Boron",0.0008,"","","","";"Yara Australia","YaraRega 15-7-13 (7S)","kg",1,"","","",15,6.5,12.5,7.2,"Nitrogen - Nitrate",0.095,"Potassium - Generic",0.125,"Sulfur - Generic",0.072,"Phosphorus - Generic",0.065,"Nitrogen - Ammoniacal",0.055,"Magnesium",0.0066,"Boron",0.001,"Zinc",0.0006,"","","","";"Yara Australia","YaraTera CALCINIT B","kg",1,"","","",15.5,"","","","Calcium nitrate",1,"Boron",0.001,"","","","","","","","","","","","","","","","";"Yara Australia","YaraTera KRISTA MAP","kg",1,"","","",10,21.9,"","","Monoammonium phosphate (MAP)",1,"","","","","","","","","","","","","","","","","","";"Yara Australia","YaraTera KRISTALON RED","kg",1,"","","",12,5.2,29.9,1,"Potassium - Generic",0.299,"Nitrogen - Nitrate",0.101,"Phosphorus - Generic",0.052,"Nitrogen - Ammoniacal",0.019,"Sulfur - Generic",0.01,"Magnesium",0.006,"Iron",0.0007,"Manganese",0.0004,"Zinc",0.00025,"Boron",0.00025;"Yara Australia","YaraTera KRISTALON SPECIAL","kg",1,"","","",18,7.9,14.9,2,"Potassium - Generic",0.149,"Urea",0.213043,"Phosphorus - Generic",0.079,"Nitrogen - Nitrate",0.049,"Nitrogen - Ammoniacal",0.033,"Sulfur - Generic",0.02,"Magnesium",0.018,"Iron",0.0007,"Manganese",0.0004,"Zinc",0.00025}, _xlpm.r, _xlpm.c))))</definedName>
    <definedName name="Fertiliser_SourceData.Fertiliser_Products_Data2">_xlfn.LAMBDA(_xlfn.MAKEARRAY(31, 20, _xlfn.LAMBDA(_xlpm.r,_xlpm.c, INDEX({"Product","Ingredient 1","Ingredient 1 percent","Ingredient 1 source","Ingredient 2","Ingredient 2 percent","Ingredient 2 source","Ingredient 3","Ingredient 3 percent","Ingredient 3 source","Ingredient 4","Ingredient 4 percent","Ingredient 4 source","Ingredient 5","Ingredient 5 percent","Ingredient 5 source","Ingredient 6","Ingredient 6 percent","Ingredient 6 source","Product info link";"Manganese Sulphate","","","","","","","","","","","","","","","","","","","Incitec Pivot Fertilisers";"MAP","","","","","","","","","","","","","","","","","","","Incitec Pivot Fertilisers";"MAP Impact","","","","","","","","","","","","","","","","","","","Impact fertilisers";"MAPSZC","","","","","","","","","","","","","","","","","","","Summit Fertilizers";"Maximum N-Pact 29-0-0","","","","","","","","","","","","","","","","","","","Maximum N-Pact | Loveland (lovelandagriproducts.com.au)";"Microsol 12-6-44","","","","","","","","","","","","","","","","","","","Rigbytaylor Microsol Range";"Microsol 16-32-16","","","","","","","","","","","","","","","","","","","Rigbytaylor Microsol Range";"Microsol 25-5-10","","","","","","","","","","","","","","","","","","","Rigbytaylor Microsol Range";"Microsol 28-0-14","","","","","","","","","","","","","","","","","","","Rigbytaylor Microsol Range";"Mono Potassium Phosphate MKP","","","","","","","","","","","","","","","","","","","Swancrop";"Muriate Of Potash MOP","","","","","","","","","","","","","","","","","","","MountCompass Fertilisers Blends";"NitroPlus","","","","","","","","","","","","","","","","","","","AgroStock Group Nitro Plus";"NutraGold","","","","","","","","","","","","","","","","","","","Swancrop";"Pro Performance 18-3-6","","","","","","","","","","","","","","","","","","","Pro Turf Formula";"SOA","","","","","","","","","","","","","","","","","","","MountCompass Fertilisers Blends";"SSP","","","","","","","","","","","","","","","","","","","Impact fertilisers";"Super Phos","","","","","","","","","","","","","","","","","","","CSBP Super PHOS";"Super SR Extra","","","","","","","","","","","","","","","","","","","CSBP Super Potash";"SuPerfect","","","","","","","","","","","","","","","","","","","Incitec Pivot Fertilisers";"SuperPasture Potash 5:1","","","","","","","","","","","","","","","","","","","CSBP Super Potash";"Trace-it Mn","","","","","","","","","","","","","","","","","","","Campbells fertilisers Australia";"UniSZon","","","","","","","","","","","","","","","","","","","WengfuAustralia uniSZon";"Urea","","","","","","","","","","","","","","","","","","","ProductCard_Adelaide_web.pdf (incitecpivotfertilisers.com.au)";"Wengfu Slam Granular","","","","","","","","","","","","","","","","","","","Straights (wengfu.com.au)";"Yara FlowPhos 10","","","","","","","","","","","","","","","","","","","Crop Nutrition Solutions (Yara Australia)";"Yara FlowPhos 13Z","","","","","","","","","","","","","","","","","","","Crop Nutrition Solutions (Yara Australia)";"Yara FlowPhos 15","","","","","","","","","","","","","","","","","","","Crop Nutrition Solutions (Yara Australia)";"Yara FlowPhos KZ","","","","","","","","","","","","","","","","","","","Crop Nutrition Solutions (Yara Australia)";"Yara KeyPro Trace","","","","","","","","","","","","","","","","","","","Crop Nutrition Solutions (Yara Australia)";"Yara KeyPro Zinc","","","","","","","","","","","","","","","","","","","Crop Nutrition Solutions (Yara Australia)"}, _xlpm.r, _xlpm.c))))</definedName>
    <definedName name="Fertiliser_SourceData.Fertiliser_Products_Data3" localSheetId="37">_xlfn.LAMBDA(_xlfn.MAKEARRAY(30, 31, _xlfn.LAMBDA(_xlpm.r,_xlpm.c, INDEX({"Yara Australia","YaraMila 21-7-3(4)","kg",1,"","","",21,7.4,2.5,4,"Nitrogen - Nitrate",0.105,"Nitrogen - Ammoniacal",0.105,"Phosphorus - Generic",0.074,"Sulfur - Generic",0.04,"Potassium - Generic",0.025,"Magnesium",0.004,"Zinc",0.0015,"","","","","","";"Yara Australia","YaraTera KRISTALON SCARLET","kg",1,"","","",7.5,"",29.9,4,"Potassium - Generic",0.299,"Nitrogen - Nitrate",0.052,"Sulfur - Generic",0.04,"Magnesium",0.027,"Nitrogen - Ammoniacal",0.023,"","","","","","","","","","";"Campbells fertilisers Australia","Solu-MAP","kg",1,"","","",10,21.9,"","","Monoammonium phosphate (MAP)",1,"","","","","","","","","","","","","","","","","","";"Campbells fertilisers Australia","Solu-Sam","kg",1,"","","",21,"","",24,"Sulphate of ammonia (SOA)",1,"","","","","","","","","","","","","","","","","","";"Campbells fertilisers Australia","Rustica Plus","kg",1,"","","",12,5,14,9.7,"Potassium - Generic",0.14,"Sulfur - Generic",0.097,"Nitrogen - Nitrate",0.06,"Nitrogen - Ammoniacal",0.06,"Phosphorus - Generic",0.05,"Calcium",0.031,"Magnesium",0.012,"Zinc",0.001,"Boron",0.0002,"","";"Campbells fertilisers Australia","Platinum Plus","kg",1,"","","",10,11,10,6,"Phosphorus - Generic",0.11,"Potassium - Generic",0.1,"Sulfur - Generic",0.06,"Nitrogen - Nitrate",0.05,"Nitrogen - Ammoniacal",0.05,"Calcium",0.043,"Magnesium",0.012,"Zinc",0.0036,"Boron",0.001,"","";"Campbells fertilisers Australia","Tropika","kg",1,"","","",11,2.6,20.8,4,"Nitrogen - Nitrate",0.055,"Nitrogen - Ammoniacal",0.055,"Phosphorus - Generic",0.026,"Potassium - Generic",0.208,"Sulfur - Generic",0.04,"Magnesium",0.024,"","","","","","","","";"Campbells fertilisers Australia","Rustica Nergetic","kg",1,"","","",12,5.2,14.1,9.6,"Potassium - Generic",0.141,"Sulfur - Generic",0.096,"Nitrogen - Nitrate",0.06,"Nitrogen - Ammoniacal",0.06,"Phosphorus - Generic",0.052,"Magnesium",0.012,"Zinc",0.0008,"Iron",0.0007,"Manganese",0.0006,"Boron",0.0002;"Campbells fertilisers Australia","Quick-N Nergetic","kg",1,"","","",25,"","",12.8,"Sulphate of ammonia (SOA)",0.533333,"Ammonium nitrate (AN)",0.409496,"Zinc",0.001,"Manganese",0.001,"Boron",0.0001,"Molybdenum",0.00001,"","","","","","","","";"FertPro Manufacturing Pty. Ltd.","(SSP) Single Super Fertiliser","kg",1,"","","","",8.8,"",11,"Single superphosphate (SSP)",1,"","","","","","","","","","","","","","","","","","";"Impact Fertilisers","ZincStar","kg",1,"","","",10,21.9,0,2,"Monoammonium phosphate (MAP)",1,"Zinc",0.01,"","","","","","","","","","","","","","","","";"Baileys (Simplot) [listed as Impact]","Apex GaIXe Low P 21-1-6","kg",1,"","","",21,0.86,5.8,4.2,"Nitrogen - Generic",0.21,"Potassium - Generic",0.058,"Sulfur - Generic",0.042,"Phosphorus - Generic",0.0086,"","","","","","","","","","","","";"Incitec Pivot Fertilisers","SuPerfect","kg",1,"","","","",8.8,"",11,"Single superphosphate (SSP)",1,"","","","","","","","","","","","","","","","","","";"Incitec Pivot Fertilisers [listed as Summit]","Big N","kg",1,"","","",82.35,"","","","Ammonia",1,"","","","","","","","","","","","","","","","","","";"Incitec Pivot Fertilisers","Entec Urea","kg",1,"Yes","","",46,"","","","Urea",1,"","","","","","","","","","","","","","","","","","";"Incitec Pivot Fertilisers (or Ravensdown - see note)","Flexi-N NI only","kg",1,"Yes","","",45.54,"","","","Urea",0.99,"Urease/nitrification inhibitor",0.01,"","","","","","","","","","","","","","","","";"Nutri-Tech Solutions (NTS)","Muriate Of Potash MOP","kg",1,"","","","","",50,"","Muriate of potash (MOP)",1,"","","","","","","","","","","","","","","","","","";"Nuturf","MAP NUTURF","kg",1,"","","",10,21.9,"","","Monoammonium phosphate (MAP)",1,"","","","","","","","","","","","","","","","","","";"Campbells fertilisers Australia","Quick-N","kg",1,"","","",26,"","",13,"Sulphate of ammonia (SOA)",0.541667,"Ammonium nitrate (AN)",0.433976,"","","","","","","","","","","","","","","","";"SLTEC Fertilizers","UAS","L",1.235,"","","",26.6,"","",6.7,"Urea",0.450815,"Sulphate of ammonia (SOA)",0.279167,"","","","","","","","","","","","","","","","";"SLTEC Fertilizers","Triazone Urea","L",1.28,"","","",0,"","","","Urea",0.652174,"","","","","","","","","","","","","","","","","","";"Marnco [listed as SLTEC]","Ammo 36N","kg",1,"","","",36,"","",9.6,"Nitrogen - Generic",0.36,"Sulfur - Generic",0.096,"","","","","","","","","","","","","","","","";"Risso-Chemical","Risso Liquid NPK (200-200-200)","L",1.3,"","","",20,8.73,16.6,"","Nitrogen - Generic",0.2,"Phosphorus - Generic",0.08728,"Potassium - Generic",0.16602,"","","","","","","","","","","","","","";"Turf Group Australia (Simplot)","Super Cal 15-0-12","kg",1,"","","",15,"",9.96,"","Nitrogen - Nitrate",0.084737,"Potassium - Generic",0.099612,"Calcium nitrate",0.421053,"Magnesium",0.005,"Boron",0.0002,"","","","","","","","","","";"Incitec Pivot Fertilisers","CK 88","kg",1,"","","",15.1,4.4,11.5,13.6,"Nitrogen - Generic",0.151,"Phosphorus - Generic",0.044,"Potassium - Generic",0.115,"Sulfur - Generic",0.136,"","","","","","","","","","","","";"Incitec Pivot Fertilisers","CropLift 15","kg",1,"","","",14.6,12.1,"",11.6,"Nitrogen - Generic",0.146,"Phosphorus - Generic",0.121,"Sulfur - Generic",0.116,"","","","","","","","","","","","","","";"Incitec Pivot Fertilisers","NPKS 19-13-0-9","kg",1,"","","",19,13,0,9,"Nitrogen - Generic",0.19,"Phosphorus - Generic",0.13,"Sulfur - Generic",0.09,"","","","","","","","","","","","","","";"Incitec Pivot Fertilisers","PastureBoosta","kg",1,"","","",23.8,3.7,13,4.1,"Nitrogen - Generic",0.238,"Phosphorus - Generic",0.037,"Potassium - Generic",0.13,"Sulfur - Generic",0.041,"","","","","","","","","","","","";"Incitec Pivot Fertilisers","Greentop K","kg",1,"","","",32.8,"",11,2.9,"Urea",0.66087,"Nitrogen - Ammoniacal",0.024,"Potassium - Generic",0.11,"Sulfur - Generic",0.029,"","","","","","","","","","","","";"Incitec Pivot Fertilisers","HayBoosta","kg",1,"","","",11.7,4.7,23.9,4.6,"Nitrogen - Generic",0.117,"Phosphorus - Generic",0.047,"Potassium - Generic",0.239,"Sulfur - Generic",0.046,"","","","","","","","","","","",""}, _xlpm.r, _xlpm.c))))</definedName>
    <definedName name="Fertiliser_SourceData.Fertiliser_Products_Data3" localSheetId="25">_xlfn.LAMBDA(_xlfn.MAKEARRAY(30, 31, _xlfn.LAMBDA(_xlpm.r,_xlpm.c, INDEX({"Yara Australia","YaraMila 21-7-3(4)","kg",1,"","","",21,7.4,2.5,4,"Nitrogen - Nitrate",0.105,"Nitrogen - Ammoniacal",0.105,"Phosphorus - Generic",0.074,"Sulfur - Generic",0.04,"Potassium - Generic",0.025,"Magnesium",0.004,"Zinc",0.0015,"","","","","","";"Yara Australia","YaraTera KRISTALON SCARLET","kg",1,"","","",7.5,"",29.9,4,"Potassium - Generic",0.299,"Nitrogen - Nitrate",0.052,"Sulfur - Generic",0.04,"Magnesium",0.027,"Nitrogen - Ammoniacal",0.023,"","","","","","","","","","";"Campbells fertilisers Australia","Solu-MAP","kg",1,"","","",10,21.9,"","","Monoammonium phosphate (MAP)",1,"","","","","","","","","","","","","","","","","","";"Campbells fertilisers Australia","Solu-Sam","kg",1,"","","",21,"","",24,"Sulphate of ammonia (SOA)",1,"","","","","","","","","","","","","","","","","","";"Campbells fertilisers Australia","Rustica Plus","kg",1,"","","",12,5,14,9.7,"Potassium - Generic",0.14,"Sulfur - Generic",0.097,"Nitrogen - Nitrate",0.06,"Nitrogen - Ammoniacal",0.06,"Phosphorus - Generic",0.05,"Calcium",0.031,"Magnesium",0.012,"Zinc",0.001,"Boron",0.0002,"","";"Campbells fertilisers Australia","Platinum Plus","kg",1,"","","",10,11,10,6,"Phosphorus - Generic",0.11,"Potassium - Generic",0.1,"Sulfur - Generic",0.06,"Nitrogen - Nitrate",0.05,"Nitrogen - Ammoniacal",0.05,"Calcium",0.043,"Magnesium",0.012,"Zinc",0.0036,"Boron",0.001,"","";"Campbells fertilisers Australia","Tropika","kg",1,"","","",11,2.6,20.8,4,"Nitrogen - Nitrate",0.055,"Nitrogen - Ammoniacal",0.055,"Phosphorus - Generic",0.026,"Potassium - Generic",0.208,"Sulfur - Generic",0.04,"Magnesium",0.024,"","","","","","","","";"Campbells fertilisers Australia","Rustica Nergetic","kg",1,"","","",12,5.2,14.1,9.6,"Potassium - Generic",0.141,"Sulfur - Generic",0.096,"Nitrogen - Nitrate",0.06,"Nitrogen - Ammoniacal",0.06,"Phosphorus - Generic",0.052,"Magnesium",0.012,"Zinc",0.0008,"Iron",0.0007,"Manganese",0.0006,"Boron",0.0002;"Campbells fertilisers Australia","Quick-N Nergetic","kg",1,"","","",25,"","",12.8,"Sulphate of ammonia (SOA)",0.533333,"Ammonium nitrate (AN)",0.409496,"Zinc",0.001,"Manganese",0.001,"Boron",0.0001,"Molybdenum",0.00001,"","","","","","","","";"FertPro Manufacturing Pty. Ltd.","(SSP) Single Super Fertiliser","kg",1,"","","","",8.8,"",11,"Single superphosphate (SSP)",1,"","","","","","","","","","","","","","","","","","";"Impact Fertilisers","ZincStar","kg",1,"","","",10,21.9,0,2,"Monoammonium phosphate (MAP)",1,"Zinc",0.01,"","","","","","","","","","","","","","","","";"Baileys (Simplot) [listed as Impact]","Apex GaIXe Low P 21-1-6","kg",1,"","","",21,0.86,5.8,4.2,"Nitrogen - Generic",0.21,"Potassium - Generic",0.058,"Sulfur - Generic",0.042,"Phosphorus - Generic",0.0086,"","","","","","","","","","","","";"Incitec Pivot Fertilisers","SuPerfect","kg",1,"","","","",8.8,"",11,"Single superphosphate (SSP)",1,"","","","","","","","","","","","","","","","","","";"Incitec Pivot Fertilisers [listed as Summit]","Big N","kg",1,"","","",82.35,"","","","Ammonia",1,"","","","","","","","","","","","","","","","","","";"Incitec Pivot Fertilisers","Entec Urea","kg",1,"Yes","","",46,"","","","Urea",1,"","","","","","","","","","","","","","","","","","";"Incitec Pivot Fertilisers (or Ravensdown - see note)","Flexi-N NI only","kg",1,"Yes","","",45.54,"","","","Urea",0.99,"Urease/nitrification inhibitor",0.01,"","","","","","","","","","","","","","","","";"Nutri-Tech Solutions (NTS)","Muriate Of Potash MOP","kg",1,"","","","","",50,"","Muriate of potash (MOP)",1,"","","","","","","","","","","","","","","","","","";"Nuturf","MAP NUTURF","kg",1,"","","",10,21.9,"","","Monoammonium phosphate (MAP)",1,"","","","","","","","","","","","","","","","","","";"Campbells fertilisers Australia","Quick-N","kg",1,"","","",26,"","",13,"Sulphate of ammonia (SOA)",0.541667,"Ammonium nitrate (AN)",0.433976,"","","","","","","","","","","","","","","","";"SLTEC Fertilizers","UAS","L",1.235,"","","",26.6,"","",6.7,"Urea",0.450815,"Sulphate of ammonia (SOA)",0.279167,"","","","","","","","","","","","","","","","";"SLTEC Fertilizers","Triazone Urea","L",1.28,"","","",0,"","","","Urea",0.652174,"","","","","","","","","","","","","","","","","","";"Marnco [listed as SLTEC]","Ammo 36N","kg",1,"","","",36,"","",9.6,"Nitrogen - Generic",0.36,"Sulfur - Generic",0.096,"","","","","","","","","","","","","","","","";"Risso-Chemical","Risso Liquid NPK (200-200-200)","L",1.3,"","","",20,8.73,16.6,"","Nitrogen - Generic",0.2,"Phosphorus - Generic",0.08728,"Potassium - Generic",0.16602,"","","","","","","","","","","","","","";"Turf Group Australia (Simplot)","Super Cal 15-0-12","kg",1,"","","",15,"",9.96,"","Nitrogen - Nitrate",0.084737,"Potassium - Generic",0.099612,"Calcium nitrate",0.421053,"Magnesium",0.005,"Boron",0.0002,"","","","","","","","","","";"Incitec Pivot Fertilisers","CK 88","kg",1,"","","",15.1,4.4,11.5,13.6,"Nitrogen - Generic",0.151,"Phosphorus - Generic",0.044,"Potassium - Generic",0.115,"Sulfur - Generic",0.136,"","","","","","","","","","","","";"Incitec Pivot Fertilisers","CropLift 15","kg",1,"","","",14.6,12.1,"",11.6,"Nitrogen - Generic",0.146,"Phosphorus - Generic",0.121,"Sulfur - Generic",0.116,"","","","","","","","","","","","","","";"Incitec Pivot Fertilisers","NPKS 19-13-0-9","kg",1,"","","",19,13,0,9,"Nitrogen - Generic",0.19,"Phosphorus - Generic",0.13,"Sulfur - Generic",0.09,"","","","","","","","","","","","","","";"Incitec Pivot Fertilisers","PastureBoosta","kg",1,"","","",23.8,3.7,13,4.1,"Nitrogen - Generic",0.238,"Phosphorus - Generic",0.037,"Potassium - Generic",0.13,"Sulfur - Generic",0.041,"","","","","","","","","","","","";"Incitec Pivot Fertilisers","Greentop K","kg",1,"","","",32.8,"",11,2.9,"Urea",0.66087,"Nitrogen - Ammoniacal",0.024,"Potassium - Generic",0.11,"Sulfur - Generic",0.029,"","","","","","","","","","","","";"Incitec Pivot Fertilisers","HayBoosta","kg",1,"","","",11.7,4.7,23.9,4.6,"Nitrogen - Generic",0.117,"Phosphorus - Generic",0.047,"Potassium - Generic",0.239,"Sulfur - Generic",0.046,"","","","","","","","","","","",""}, _xlpm.r, _xlpm.c))))</definedName>
    <definedName name="Fertiliser_SourceData.Fertiliser_Products_Data3" localSheetId="26">_xlfn.LAMBDA(_xlfn.MAKEARRAY(30, 31, _xlfn.LAMBDA(_xlpm.r,_xlpm.c, INDEX({"Yara Australia","YaraMila 21-7-3(4)","kg",1,"","","",21,7.4,2.5,4,"Nitrogen - Nitrate",0.105,"Nitrogen - Ammoniacal",0.105,"Phosphorus - Generic",0.074,"Sulfur - Generic",0.04,"Potassium - Generic",0.025,"Magnesium",0.004,"Zinc",0.0015,"","","","","","";"Yara Australia","YaraTera KRISTALON SCARLET","kg",1,"","","",7.5,"",29.9,4,"Potassium - Generic",0.299,"Nitrogen - Nitrate",0.052,"Sulfur - Generic",0.04,"Magnesium",0.027,"Nitrogen - Ammoniacal",0.023,"","","","","","","","","","";"Campbells fertilisers Australia","Solu-MAP","kg",1,"","","",10,21.9,"","","Monoammonium phosphate (MAP)",1,"","","","","","","","","","","","","","","","","","";"Campbells fertilisers Australia","Solu-Sam","kg",1,"","","",21,"","",24,"Sulphate of ammonia (SOA)",1,"","","","","","","","","","","","","","","","","","";"Campbells fertilisers Australia","Rustica Plus","kg",1,"","","",12,5,14,9.7,"Potassium - Generic",0.14,"Sulfur - Generic",0.097,"Nitrogen - Nitrate",0.06,"Nitrogen - Ammoniacal",0.06,"Phosphorus - Generic",0.05,"Calcium",0.031,"Magnesium",0.012,"Zinc",0.001,"Boron",0.0002,"","";"Campbells fertilisers Australia","Platinum Plus","kg",1,"","","",10,11,10,6,"Phosphorus - Generic",0.11,"Potassium - Generic",0.1,"Sulfur - Generic",0.06,"Nitrogen - Nitrate",0.05,"Nitrogen - Ammoniacal",0.05,"Calcium",0.043,"Magnesium",0.012,"Zinc",0.0036,"Boron",0.001,"","";"Campbells fertilisers Australia","Tropika","kg",1,"","","",11,2.6,20.8,4,"Nitrogen - Nitrate",0.055,"Nitrogen - Ammoniacal",0.055,"Phosphorus - Generic",0.026,"Potassium - Generic",0.208,"Sulfur - Generic",0.04,"Magnesium",0.024,"","","","","","","","";"Campbells fertilisers Australia","Rustica Nergetic","kg",1,"","","",12,5.2,14.1,9.6,"Potassium - Generic",0.141,"Sulfur - Generic",0.096,"Nitrogen - Nitrate",0.06,"Nitrogen - Ammoniacal",0.06,"Phosphorus - Generic",0.052,"Magnesium",0.012,"Zinc",0.0008,"Iron",0.0007,"Manganese",0.0006,"Boron",0.0002;"Campbells fertilisers Australia","Quick-N Nergetic","kg",1,"","","",25,"","",12.8,"Sulphate of ammonia (SOA)",0.533333,"Ammonium nitrate (AN)",0.409496,"Zinc",0.001,"Manganese",0.001,"Boron",0.0001,"Molybdenum",0.00001,"","","","","","","","";"FertPro Manufacturing Pty. Ltd.","(SSP) Single Super Fertiliser","kg",1,"","","","",8.8,"",11,"Single superphosphate (SSP)",1,"","","","","","","","","","","","","","","","","","";"Impact Fertilisers","ZincStar","kg",1,"","","",10,21.9,0,2,"Monoammonium phosphate (MAP)",1,"Zinc",0.01,"","","","","","","","","","","","","","","","";"Baileys (Simplot) [listed as Impact]","Apex GaIXe Low P 21-1-6","kg",1,"","","",21,0.86,5.8,4.2,"Nitrogen - Generic",0.21,"Potassium - Generic",0.058,"Sulfur - Generic",0.042,"Phosphorus - Generic",0.0086,"","","","","","","","","","","","";"Incitec Pivot Fertilisers","SuPerfect","kg",1,"","","","",8.8,"",11,"Single superphosphate (SSP)",1,"","","","","","","","","","","","","","","","","","";"Incitec Pivot Fertilisers [listed as Summit]","Big N","kg",1,"","","",82.35,"","","","Ammonia",1,"","","","","","","","","","","","","","","","","","";"Incitec Pivot Fertilisers","Entec Urea","kg",1,"Yes","","",46,"","","","Urea",1,"","","","","","","","","","","","","","","","","","";"Incitec Pivot Fertilisers (or Ravensdown - see note)","Flexi-N NI only","kg",1,"Yes","","",45.54,"","","","Urea",0.99,"Urease/nitrification inhibitor",0.01,"","","","","","","","","","","","","","","","";"Nutri-Tech Solutions (NTS)","Muriate Of Potash MOP","kg",1,"","","","","",50,"","Muriate of potash (MOP)",1,"","","","","","","","","","","","","","","","","","";"Nuturf","MAP NUTURF","kg",1,"","","",10,21.9,"","","Monoammonium phosphate (MAP)",1,"","","","","","","","","","","","","","","","","","";"Campbells fertilisers Australia","Quick-N","kg",1,"","","",26,"","",13,"Sulphate of ammonia (SOA)",0.541667,"Ammonium nitrate (AN)",0.433976,"","","","","","","","","","","","","","","","";"SLTEC Fertilizers","UAS","L",1.235,"","","",26.6,"","",6.7,"Urea",0.450815,"Sulphate of ammonia (SOA)",0.279167,"","","","","","","","","","","","","","","","";"SLTEC Fertilizers","Triazone Urea","L",1.28,"","","",0,"","","","Urea",0.652174,"","","","","","","","","","","","","","","","","","";"Marnco [listed as SLTEC]","Ammo 36N","kg",1,"","","",36,"","",9.6,"Nitrogen - Generic",0.36,"Sulfur - Generic",0.096,"","","","","","","","","","","","","","","","";"Risso-Chemical","Risso Liquid NPK (200-200-200)","L",1.3,"","","",20,8.73,16.6,"","Nitrogen - Generic",0.2,"Phosphorus - Generic",0.08728,"Potassium - Generic",0.16602,"","","","","","","","","","","","","","";"Turf Group Australia (Simplot)","Super Cal 15-0-12","kg",1,"","","",15,"",9.96,"","Nitrogen - Nitrate",0.084737,"Potassium - Generic",0.099612,"Calcium nitrate",0.421053,"Magnesium",0.005,"Boron",0.0002,"","","","","","","","","","";"Incitec Pivot Fertilisers","CK 88","kg",1,"","","",15.1,4.4,11.5,13.6,"Nitrogen - Generic",0.151,"Phosphorus - Generic",0.044,"Potassium - Generic",0.115,"Sulfur - Generic",0.136,"","","","","","","","","","","","";"Incitec Pivot Fertilisers","CropLift 15","kg",1,"","","",14.6,12.1,"",11.6,"Nitrogen - Generic",0.146,"Phosphorus - Generic",0.121,"Sulfur - Generic",0.116,"","","","","","","","","","","","","","";"Incitec Pivot Fertilisers","NPKS 19-13-0-9","kg",1,"","","",19,13,0,9,"Nitrogen - Generic",0.19,"Phosphorus - Generic",0.13,"Sulfur - Generic",0.09,"","","","","","","","","","","","","","";"Incitec Pivot Fertilisers","PastureBoosta","kg",1,"","","",23.8,3.7,13,4.1,"Nitrogen - Generic",0.238,"Phosphorus - Generic",0.037,"Potassium - Generic",0.13,"Sulfur - Generic",0.041,"","","","","","","","","","","","";"Incitec Pivot Fertilisers","Greentop K","kg",1,"","","",32.8,"",11,2.9,"Urea",0.66087,"Nitrogen - Ammoniacal",0.024,"Potassium - Generic",0.11,"Sulfur - Generic",0.029,"","","","","","","","","","","","";"Incitec Pivot Fertilisers","HayBoosta","kg",1,"","","",11.7,4.7,23.9,4.6,"Nitrogen - Generic",0.117,"Phosphorus - Generic",0.047,"Potassium - Generic",0.239,"Sulfur - Generic",0.046,"","","","","","","","","","","",""}, _xlpm.r, _xlpm.c))))</definedName>
    <definedName name="Fertiliser_SourceData.Fertiliser_Products_Data3" localSheetId="27">_xlfn.LAMBDA(_xlfn.MAKEARRAY(30, 31, _xlfn.LAMBDA(_xlpm.r,_xlpm.c, INDEX({"Yara Australia","YaraMila 21-7-3(4)","kg",1,"","","",21,7.4,2.5,4,"Nitrogen - Nitrate",0.105,"Nitrogen - Ammoniacal",0.105,"Phosphorus - Generic",0.074,"Sulfur - Generic",0.04,"Potassium - Generic",0.025,"Magnesium",0.004,"Zinc",0.0015,"","","","","","";"Yara Australia","YaraTera KRISTALON SCARLET","kg",1,"","","",7.5,"",29.9,4,"Potassium - Generic",0.299,"Nitrogen - Nitrate",0.052,"Sulfur - Generic",0.04,"Magnesium",0.027,"Nitrogen - Ammoniacal",0.023,"","","","","","","","","","";"Campbells fertilisers Australia","Solu-MAP","kg",1,"","","",10,21.9,"","","Monoammonium phosphate (MAP)",1,"","","","","","","","","","","","","","","","","","";"Campbells fertilisers Australia","Solu-Sam","kg",1,"","","",21,"","",24,"Sulphate of ammonia (SOA)",1,"","","","","","","","","","","","","","","","","","";"Campbells fertilisers Australia","Rustica Plus","kg",1,"","","",12,5,14,9.7,"Potassium - Generic",0.14,"Sulfur - Generic",0.097,"Nitrogen - Nitrate",0.06,"Nitrogen - Ammoniacal",0.06,"Phosphorus - Generic",0.05,"Calcium",0.031,"Magnesium",0.012,"Zinc",0.001,"Boron",0.0002,"","";"Campbells fertilisers Australia","Platinum Plus","kg",1,"","","",10,11,10,6,"Phosphorus - Generic",0.11,"Potassium - Generic",0.1,"Sulfur - Generic",0.06,"Nitrogen - Nitrate",0.05,"Nitrogen - Ammoniacal",0.05,"Calcium",0.043,"Magnesium",0.012,"Zinc",0.0036,"Boron",0.001,"","";"Campbells fertilisers Australia","Tropika","kg",1,"","","",11,2.6,20.8,4,"Nitrogen - Nitrate",0.055,"Nitrogen - Ammoniacal",0.055,"Phosphorus - Generic",0.026,"Potassium - Generic",0.208,"Sulfur - Generic",0.04,"Magnesium",0.024,"","","","","","","","";"Campbells fertilisers Australia","Rustica Nergetic","kg",1,"","","",12,5.2,14.1,9.6,"Potassium - Generic",0.141,"Sulfur - Generic",0.096,"Nitrogen - Nitrate",0.06,"Nitrogen - Ammoniacal",0.06,"Phosphorus - Generic",0.052,"Magnesium",0.012,"Zinc",0.0008,"Iron",0.0007,"Manganese",0.0006,"Boron",0.0002;"Campbells fertilisers Australia","Quick-N Nergetic","kg",1,"","","",25,"","",12.8,"Sulphate of ammonia (SOA)",0.533333,"Ammonium nitrate (AN)",0.409496,"Zinc",0.001,"Manganese",0.001,"Boron",0.0001,"Molybdenum",0.00001,"","","","","","","","";"FertPro Manufacturing Pty. Ltd.","(SSP) Single Super Fertiliser","kg",1,"","","","",8.8,"",11,"Single superphosphate (SSP)",1,"","","","","","","","","","","","","","","","","","";"Impact Fertilisers","ZincStar","kg",1,"","","",10,21.9,0,2,"Monoammonium phosphate (MAP)",1,"Zinc",0.01,"","","","","","","","","","","","","","","","";"Baileys (Simplot) [listed as Impact]","Apex GaIXe Low P 21-1-6","kg",1,"","","",21,0.86,5.8,4.2,"Nitrogen - Generic",0.21,"Potassium - Generic",0.058,"Sulfur - Generic",0.042,"Phosphorus - Generic",0.0086,"","","","","","","","","","","","";"Incitec Pivot Fertilisers","SuPerfect","kg",1,"","","","",8.8,"",11,"Single superphosphate (SSP)",1,"","","","","","","","","","","","","","","","","","";"Incitec Pivot Fertilisers [listed as Summit]","Big N","kg",1,"","","",82.35,"","","","Ammonia",1,"","","","","","","","","","","","","","","","","","";"Incitec Pivot Fertilisers","Entec Urea","kg",1,"Yes","","",46,"","","","Urea",1,"","","","","","","","","","","","","","","","","","";"Incitec Pivot Fertilisers (or Ravensdown - see note)","Flexi-N NI only","kg",1,"Yes","","",45.54,"","","","Urea",0.99,"Urease/nitrification inhibitor",0.01,"","","","","","","","","","","","","","","","";"Nutri-Tech Solutions (NTS)","Muriate Of Potash MOP","kg",1,"","","","","",50,"","Muriate of potash (MOP)",1,"","","","","","","","","","","","","","","","","","";"Nuturf","MAP NUTURF","kg",1,"","","",10,21.9,"","","Monoammonium phosphate (MAP)",1,"","","","","","","","","","","","","","","","","","";"Campbells fertilisers Australia","Quick-N","kg",1,"","","",26,"","",13,"Sulphate of ammonia (SOA)",0.541667,"Ammonium nitrate (AN)",0.433976,"","","","","","","","","","","","","","","","";"SLTEC Fertilizers","UAS","L",1.235,"","","",26.6,"","",6.7,"Urea",0.450815,"Sulphate of ammonia (SOA)",0.279167,"","","","","","","","","","","","","","","","";"SLTEC Fertilizers","Triazone Urea","L",1.28,"","","",0,"","","","Urea",0.652174,"","","","","","","","","","","","","","","","","","";"Marnco [listed as SLTEC]","Ammo 36N","kg",1,"","","",36,"","",9.6,"Nitrogen - Generic",0.36,"Sulfur - Generic",0.096,"","","","","","","","","","","","","","","","";"Risso-Chemical","Risso Liquid NPK (200-200-200)","L",1.3,"","","",20,8.73,16.6,"","Nitrogen - Generic",0.2,"Phosphorus - Generic",0.08728,"Potassium - Generic",0.16602,"","","","","","","","","","","","","","";"Turf Group Australia (Simplot)","Super Cal 15-0-12","kg",1,"","","",15,"",9.96,"","Nitrogen - Nitrate",0.084737,"Potassium - Generic",0.099612,"Calcium nitrate",0.421053,"Magnesium",0.005,"Boron",0.0002,"","","","","","","","","","";"Incitec Pivot Fertilisers","CK 88","kg",1,"","","",15.1,4.4,11.5,13.6,"Nitrogen - Generic",0.151,"Phosphorus - Generic",0.044,"Potassium - Generic",0.115,"Sulfur - Generic",0.136,"","","","","","","","","","","","";"Incitec Pivot Fertilisers","CropLift 15","kg",1,"","","",14.6,12.1,"",11.6,"Nitrogen - Generic",0.146,"Phosphorus - Generic",0.121,"Sulfur - Generic",0.116,"","","","","","","","","","","","","","";"Incitec Pivot Fertilisers","NPKS 19-13-0-9","kg",1,"","","",19,13,0,9,"Nitrogen - Generic",0.19,"Phosphorus - Generic",0.13,"Sulfur - Generic",0.09,"","","","","","","","","","","","","","";"Incitec Pivot Fertilisers","PastureBoosta","kg",1,"","","",23.8,3.7,13,4.1,"Nitrogen - Generic",0.238,"Phosphorus - Generic",0.037,"Potassium - Generic",0.13,"Sulfur - Generic",0.041,"","","","","","","","","","","","";"Incitec Pivot Fertilisers","Greentop K","kg",1,"","","",32.8,"",11,2.9,"Urea",0.66087,"Nitrogen - Ammoniacal",0.024,"Potassium - Generic",0.11,"Sulfur - Generic",0.029,"","","","","","","","","","","","";"Incitec Pivot Fertilisers","HayBoosta","kg",1,"","","",11.7,4.7,23.9,4.6,"Nitrogen - Generic",0.117,"Phosphorus - Generic",0.047,"Potassium - Generic",0.239,"Sulfur - Generic",0.046,"","","","","","","","","","","",""}, _xlpm.r, _xlpm.c))))</definedName>
    <definedName name="Fertiliser_SourceData.Fertiliser_Products_Data3" localSheetId="28">_xlfn.LAMBDA(_xlfn.MAKEARRAY(30, 31, _xlfn.LAMBDA(_xlpm.r,_xlpm.c, INDEX({"Yara Australia","YaraMila 21-7-3(4)","kg",1,"","","",21,7.4,2.5,4,"Nitrogen - Nitrate",0.105,"Nitrogen - Ammoniacal",0.105,"Phosphorus - Generic",0.074,"Sulfur - Generic",0.04,"Potassium - Generic",0.025,"Magnesium",0.004,"Zinc",0.0015,"","","","","","";"Yara Australia","YaraTera KRISTALON SCARLET","kg",1,"","","",7.5,"",29.9,4,"Potassium - Generic",0.299,"Nitrogen - Nitrate",0.052,"Sulfur - Generic",0.04,"Magnesium",0.027,"Nitrogen - Ammoniacal",0.023,"","","","","","","","","","";"Campbells fertilisers Australia","Solu-MAP","kg",1,"","","",10,21.9,"","","Monoammonium phosphate (MAP)",1,"","","","","","","","","","","","","","","","","","";"Campbells fertilisers Australia","Solu-Sam","kg",1,"","","",21,"","",24,"Sulphate of ammonia (SOA)",1,"","","","","","","","","","","","","","","","","","";"Campbells fertilisers Australia","Rustica Plus","kg",1,"","","",12,5,14,9.7,"Potassium - Generic",0.14,"Sulfur - Generic",0.097,"Nitrogen - Nitrate",0.06,"Nitrogen - Ammoniacal",0.06,"Phosphorus - Generic",0.05,"Calcium",0.031,"Magnesium",0.012,"Zinc",0.001,"Boron",0.0002,"","";"Campbells fertilisers Australia","Platinum Plus","kg",1,"","","",10,11,10,6,"Phosphorus - Generic",0.11,"Potassium - Generic",0.1,"Sulfur - Generic",0.06,"Nitrogen - Nitrate",0.05,"Nitrogen - Ammoniacal",0.05,"Calcium",0.043,"Magnesium",0.012,"Zinc",0.0036,"Boron",0.001,"","";"Campbells fertilisers Australia","Tropika","kg",1,"","","",11,2.6,20.8,4,"Nitrogen - Nitrate",0.055,"Nitrogen - Ammoniacal",0.055,"Phosphorus - Generic",0.026,"Potassium - Generic",0.208,"Sulfur - Generic",0.04,"Magnesium",0.024,"","","","","","","","";"Campbells fertilisers Australia","Rustica Nergetic","kg",1,"","","",12,5.2,14.1,9.6,"Potassium - Generic",0.141,"Sulfur - Generic",0.096,"Nitrogen - Nitrate",0.06,"Nitrogen - Ammoniacal",0.06,"Phosphorus - Generic",0.052,"Magnesium",0.012,"Zinc",0.0008,"Iron",0.0007,"Manganese",0.0006,"Boron",0.0002;"Campbells fertilisers Australia","Quick-N Nergetic","kg",1,"","","",25,"","",12.8,"Sulphate of ammonia (SOA)",0.533333,"Ammonium nitrate (AN)",0.409496,"Zinc",0.001,"Manganese",0.001,"Boron",0.0001,"Molybdenum",0.00001,"","","","","","","","";"FertPro Manufacturing Pty. Ltd.","(SSP) Single Super Fertiliser","kg",1,"","","","",8.8,"",11,"Single superphosphate (SSP)",1,"","","","","","","","","","","","","","","","","","";"Impact Fertilisers","ZincStar","kg",1,"","","",10,21.9,0,2,"Monoammonium phosphate (MAP)",1,"Zinc",0.01,"","","","","","","","","","","","","","","","";"Baileys (Simplot) [listed as Impact]","Apex GaIXe Low P 21-1-6","kg",1,"","","",21,0.86,5.8,4.2,"Nitrogen - Generic",0.21,"Potassium - Generic",0.058,"Sulfur - Generic",0.042,"Phosphorus - Generic",0.0086,"","","","","","","","","","","","";"Incitec Pivot Fertilisers","SuPerfect","kg",1,"","","","",8.8,"",11,"Single superphosphate (SSP)",1,"","","","","","","","","","","","","","","","","","";"Incitec Pivot Fertilisers [listed as Summit]","Big N","kg",1,"","","",82.35,"","","","Ammonia",1,"","","","","","","","","","","","","","","","","","";"Incitec Pivot Fertilisers","Entec Urea","kg",1,"Yes","","",46,"","","","Urea",1,"","","","","","","","","","","","","","","","","","";"Incitec Pivot Fertilisers (or Ravensdown - see note)","Flexi-N NI only","kg",1,"Yes","","",45.54,"","","","Urea",0.99,"Urease/nitrification inhibitor",0.01,"","","","","","","","","","","","","","","","";"Nutri-Tech Solutions (NTS)","Muriate Of Potash MOP","kg",1,"","","","","",50,"","Muriate of potash (MOP)",1,"","","","","","","","","","","","","","","","","","";"Nuturf","MAP NUTURF","kg",1,"","","",10,21.9,"","","Monoammonium phosphate (MAP)",1,"","","","","","","","","","","","","","","","","","";"Campbells fertilisers Australia","Quick-N","kg",1,"","","",26,"","",13,"Sulphate of ammonia (SOA)",0.541667,"Ammonium nitrate (AN)",0.433976,"","","","","","","","","","","","","","","","";"SLTEC Fertilizers","UAS","L",1.235,"","","",26.6,"","",6.7,"Urea",0.450815,"Sulphate of ammonia (SOA)",0.279167,"","","","","","","","","","","","","","","","";"SLTEC Fertilizers","Triazone Urea","L",1.28,"","","",0,"","","","Urea",0.652174,"","","","","","","","","","","","","","","","","","";"Marnco [listed as SLTEC]","Ammo 36N","kg",1,"","","",36,"","",9.6,"Nitrogen - Generic",0.36,"Sulfur - Generic",0.096,"","","","","","","","","","","","","","","","";"Risso-Chemical","Risso Liquid NPK (200-200-200)","L",1.3,"","","",20,8.73,16.6,"","Nitrogen - Generic",0.2,"Phosphorus - Generic",0.08728,"Potassium - Generic",0.16602,"","","","","","","","","","","","","","";"Turf Group Australia (Simplot)","Super Cal 15-0-12","kg",1,"","","",15,"",9.96,"","Nitrogen - Nitrate",0.084737,"Potassium - Generic",0.099612,"Calcium nitrate",0.421053,"Magnesium",0.005,"Boron",0.0002,"","","","","","","","","","";"Incitec Pivot Fertilisers","CK 88","kg",1,"","","",15.1,4.4,11.5,13.6,"Nitrogen - Generic",0.151,"Phosphorus - Generic",0.044,"Potassium - Generic",0.115,"Sulfur - Generic",0.136,"","","","","","","","","","","","";"Incitec Pivot Fertilisers","CropLift 15","kg",1,"","","",14.6,12.1,"",11.6,"Nitrogen - Generic",0.146,"Phosphorus - Generic",0.121,"Sulfur - Generic",0.116,"","","","","","","","","","","","","","";"Incitec Pivot Fertilisers","NPKS 19-13-0-9","kg",1,"","","",19,13,0,9,"Nitrogen - Generic",0.19,"Phosphorus - Generic",0.13,"Sulfur - Generic",0.09,"","","","","","","","","","","","","","";"Incitec Pivot Fertilisers","PastureBoosta","kg",1,"","","",23.8,3.7,13,4.1,"Nitrogen - Generic",0.238,"Phosphorus - Generic",0.037,"Potassium - Generic",0.13,"Sulfur - Generic",0.041,"","","","","","","","","","","","";"Incitec Pivot Fertilisers","Greentop K","kg",1,"","","",32.8,"",11,2.9,"Urea",0.66087,"Nitrogen - Ammoniacal",0.024,"Potassium - Generic",0.11,"Sulfur - Generic",0.029,"","","","","","","","","","","","";"Incitec Pivot Fertilisers","HayBoosta","kg",1,"","","",11.7,4.7,23.9,4.6,"Nitrogen - Generic",0.117,"Phosphorus - Generic",0.047,"Potassium - Generic",0.239,"Sulfur - Generic",0.046,"","","","","","","","","","","",""}, _xlpm.r, _xlpm.c))))</definedName>
    <definedName name="Fertiliser_SourceData.Fertiliser_Products_Data3" localSheetId="29">_xlfn.LAMBDA(_xlfn.MAKEARRAY(30, 31, _xlfn.LAMBDA(_xlpm.r,_xlpm.c, INDEX({"Yara Australia","YaraMila 21-7-3(4)","kg",1,"","","",21,7.4,2.5,4,"Nitrogen - Nitrate",0.105,"Nitrogen - Ammoniacal",0.105,"Phosphorus - Generic",0.074,"Sulfur - Generic",0.04,"Potassium - Generic",0.025,"Magnesium",0.004,"Zinc",0.0015,"","","","","","";"Yara Australia","YaraTera KRISTALON SCARLET","kg",1,"","","",7.5,"",29.9,4,"Potassium - Generic",0.299,"Nitrogen - Nitrate",0.052,"Sulfur - Generic",0.04,"Magnesium",0.027,"Nitrogen - Ammoniacal",0.023,"","","","","","","","","","";"Campbells fertilisers Australia","Solu-MAP","kg",1,"","","",10,21.9,"","","Monoammonium phosphate (MAP)",1,"","","","","","","","","","","","","","","","","","";"Campbells fertilisers Australia","Solu-Sam","kg",1,"","","",21,"","",24,"Sulphate of ammonia (SOA)",1,"","","","","","","","","","","","","","","","","","";"Campbells fertilisers Australia","Rustica Plus","kg",1,"","","",12,5,14,9.7,"Potassium - Generic",0.14,"Sulfur - Generic",0.097,"Nitrogen - Nitrate",0.06,"Nitrogen - Ammoniacal",0.06,"Phosphorus - Generic",0.05,"Calcium",0.031,"Magnesium",0.012,"Zinc",0.001,"Boron",0.0002,"","";"Campbells fertilisers Australia","Platinum Plus","kg",1,"","","",10,11,10,6,"Phosphorus - Generic",0.11,"Potassium - Generic",0.1,"Sulfur - Generic",0.06,"Nitrogen - Nitrate",0.05,"Nitrogen - Ammoniacal",0.05,"Calcium",0.043,"Magnesium",0.012,"Zinc",0.0036,"Boron",0.001,"","";"Campbells fertilisers Australia","Tropika","kg",1,"","","",11,2.6,20.8,4,"Nitrogen - Nitrate",0.055,"Nitrogen - Ammoniacal",0.055,"Phosphorus - Generic",0.026,"Potassium - Generic",0.208,"Sulfur - Generic",0.04,"Magnesium",0.024,"","","","","","","","";"Campbells fertilisers Australia","Rustica Nergetic","kg",1,"","","",12,5.2,14.1,9.6,"Potassium - Generic",0.141,"Sulfur - Generic",0.096,"Nitrogen - Nitrate",0.06,"Nitrogen - Ammoniacal",0.06,"Phosphorus - Generic",0.052,"Magnesium",0.012,"Zinc",0.0008,"Iron",0.0007,"Manganese",0.0006,"Boron",0.0002;"Campbells fertilisers Australia","Quick-N Nergetic","kg",1,"","","",25,"","",12.8,"Sulphate of ammonia (SOA)",0.533333,"Ammonium nitrate (AN)",0.409496,"Zinc",0.001,"Manganese",0.001,"Boron",0.0001,"Molybdenum",0.00001,"","","","","","","","";"FertPro Manufacturing Pty. Ltd.","(SSP) Single Super Fertiliser","kg",1,"","","","",8.8,"",11,"Single superphosphate (SSP)",1,"","","","","","","","","","","","","","","","","","";"Impact Fertilisers","ZincStar","kg",1,"","","",10,21.9,0,2,"Monoammonium phosphate (MAP)",1,"Zinc",0.01,"","","","","","","","","","","","","","","","";"Baileys (Simplot) [listed as Impact]","Apex GaIXe Low P 21-1-6","kg",1,"","","",21,0.86,5.8,4.2,"Nitrogen - Generic",0.21,"Potassium - Generic",0.058,"Sulfur - Generic",0.042,"Phosphorus - Generic",0.0086,"","","","","","","","","","","","";"Incitec Pivot Fertilisers","SuPerfect","kg",1,"","","","",8.8,"",11,"Single superphosphate (SSP)",1,"","","","","","","","","","","","","","","","","","";"Incitec Pivot Fertilisers [listed as Summit]","Big N","kg",1,"","","",82.35,"","","","Ammonia",1,"","","","","","","","","","","","","","","","","","";"Incitec Pivot Fertilisers","Entec Urea","kg",1,"Yes","","",46,"","","","Urea",1,"","","","","","","","","","","","","","","","","","";"Incitec Pivot Fertilisers (or Ravensdown - see note)","Flexi-N NI only","kg",1,"Yes","","",45.54,"","","","Urea",0.99,"Urease/nitrification inhibitor",0.01,"","","","","","","","","","","","","","","","";"Nutri-Tech Solutions (NTS)","Muriate Of Potash MOP","kg",1,"","","","","",50,"","Muriate of potash (MOP)",1,"","","","","","","","","","","","","","","","","","";"Nuturf","MAP NUTURF","kg",1,"","","",10,21.9,"","","Monoammonium phosphate (MAP)",1,"","","","","","","","","","","","","","","","","","";"Campbells fertilisers Australia","Quick-N","kg",1,"","","",26,"","",13,"Sulphate of ammonia (SOA)",0.541667,"Ammonium nitrate (AN)",0.433976,"","","","","","","","","","","","","","","","";"SLTEC Fertilizers","UAS","L",1.235,"","","",26.6,"","",6.7,"Urea",0.450815,"Sulphate of ammonia (SOA)",0.279167,"","","","","","","","","","","","","","","","";"SLTEC Fertilizers","Triazone Urea","L",1.28,"","","",0,"","","","Urea",0.652174,"","","","","","","","","","","","","","","","","","";"Marnco [listed as SLTEC]","Ammo 36N","kg",1,"","","",36,"","",9.6,"Nitrogen - Generic",0.36,"Sulfur - Generic",0.096,"","","","","","","","","","","","","","","","";"Risso-Chemical","Risso Liquid NPK (200-200-200)","L",1.3,"","","",20,8.73,16.6,"","Nitrogen - Generic",0.2,"Phosphorus - Generic",0.08728,"Potassium - Generic",0.16602,"","","","","","","","","","","","","","";"Turf Group Australia (Simplot)","Super Cal 15-0-12","kg",1,"","","",15,"",9.96,"","Nitrogen - Nitrate",0.084737,"Potassium - Generic",0.099612,"Calcium nitrate",0.421053,"Magnesium",0.005,"Boron",0.0002,"","","","","","","","","","";"Incitec Pivot Fertilisers","CK 88","kg",1,"","","",15.1,4.4,11.5,13.6,"Nitrogen - Generic",0.151,"Phosphorus - Generic",0.044,"Potassium - Generic",0.115,"Sulfur - Generic",0.136,"","","","","","","","","","","","";"Incitec Pivot Fertilisers","CropLift 15","kg",1,"","","",14.6,12.1,"",11.6,"Nitrogen - Generic",0.146,"Phosphorus - Generic",0.121,"Sulfur - Generic",0.116,"","","","","","","","","","","","","","";"Incitec Pivot Fertilisers","NPKS 19-13-0-9","kg",1,"","","",19,13,0,9,"Nitrogen - Generic",0.19,"Phosphorus - Generic",0.13,"Sulfur - Generic",0.09,"","","","","","","","","","","","","","";"Incitec Pivot Fertilisers","PastureBoosta","kg",1,"","","",23.8,3.7,13,4.1,"Nitrogen - Generic",0.238,"Phosphorus - Generic",0.037,"Potassium - Generic",0.13,"Sulfur - Generic",0.041,"","","","","","","","","","","","";"Incitec Pivot Fertilisers","Greentop K","kg",1,"","","",32.8,"",11,2.9,"Urea",0.66087,"Nitrogen - Ammoniacal",0.024,"Potassium - Generic",0.11,"Sulfur - Generic",0.029,"","","","","","","","","","","","";"Incitec Pivot Fertilisers","HayBoosta","kg",1,"","","",11.7,4.7,23.9,4.6,"Nitrogen - Generic",0.117,"Phosphorus - Generic",0.047,"Potassium - Generic",0.239,"Sulfur - Generic",0.046,"","","","","","","","","","","",""}, _xlpm.r, _xlpm.c))))</definedName>
    <definedName name="Fertiliser_SourceData.Fertiliser_Products_Data3" localSheetId="30">_xlfn.LAMBDA(_xlfn.MAKEARRAY(30, 31, _xlfn.LAMBDA(_xlpm.r,_xlpm.c, INDEX({"Yara Australia","YaraMila 21-7-3(4)","kg",1,"","","",21,7.4,2.5,4,"Nitrogen - Nitrate",0.105,"Nitrogen - Ammoniacal",0.105,"Phosphorus - Generic",0.074,"Sulfur - Generic",0.04,"Potassium - Generic",0.025,"Magnesium",0.004,"Zinc",0.0015,"","","","","","";"Yara Australia","YaraTera KRISTALON SCARLET","kg",1,"","","",7.5,"",29.9,4,"Potassium - Generic",0.299,"Nitrogen - Nitrate",0.052,"Sulfur - Generic",0.04,"Magnesium",0.027,"Nitrogen - Ammoniacal",0.023,"","","","","","","","","","";"Campbells fertilisers Australia","Solu-MAP","kg",1,"","","",10,21.9,"","","Monoammonium phosphate (MAP)",1,"","","","","","","","","","","","","","","","","","";"Campbells fertilisers Australia","Solu-Sam","kg",1,"","","",21,"","",24,"Sulphate of ammonia (SOA)",1,"","","","","","","","","","","","","","","","","","";"Campbells fertilisers Australia","Rustica Plus","kg",1,"","","",12,5,14,9.7,"Potassium - Generic",0.14,"Sulfur - Generic",0.097,"Nitrogen - Nitrate",0.06,"Nitrogen - Ammoniacal",0.06,"Phosphorus - Generic",0.05,"Calcium",0.031,"Magnesium",0.012,"Zinc",0.001,"Boron",0.0002,"","";"Campbells fertilisers Australia","Platinum Plus","kg",1,"","","",10,11,10,6,"Phosphorus - Generic",0.11,"Potassium - Generic",0.1,"Sulfur - Generic",0.06,"Nitrogen - Nitrate",0.05,"Nitrogen - Ammoniacal",0.05,"Calcium",0.043,"Magnesium",0.012,"Zinc",0.0036,"Boron",0.001,"","";"Campbells fertilisers Australia","Tropika","kg",1,"","","",11,2.6,20.8,4,"Nitrogen - Nitrate",0.055,"Nitrogen - Ammoniacal",0.055,"Phosphorus - Generic",0.026,"Potassium - Generic",0.208,"Sulfur - Generic",0.04,"Magnesium",0.024,"","","","","","","","";"Campbells fertilisers Australia","Rustica Nergetic","kg",1,"","","",12,5.2,14.1,9.6,"Potassium - Generic",0.141,"Sulfur - Generic",0.096,"Nitrogen - Nitrate",0.06,"Nitrogen - Ammoniacal",0.06,"Phosphorus - Generic",0.052,"Magnesium",0.012,"Zinc",0.0008,"Iron",0.0007,"Manganese",0.0006,"Boron",0.0002;"Campbells fertilisers Australia","Quick-N Nergetic","kg",1,"","","",25,"","",12.8,"Sulphate of ammonia (SOA)",0.533333,"Ammonium nitrate (AN)",0.409496,"Zinc",0.001,"Manganese",0.001,"Boron",0.0001,"Molybdenum",0.00001,"","","","","","","","";"FertPro Manufacturing Pty. Ltd.","(SSP) Single Super Fertiliser","kg",1,"","","","",8.8,"",11,"Single superphosphate (SSP)",1,"","","","","","","","","","","","","","","","","","";"Impact Fertilisers","ZincStar","kg",1,"","","",10,21.9,0,2,"Monoammonium phosphate (MAP)",1,"Zinc",0.01,"","","","","","","","","","","","","","","","";"Baileys (Simplot) [listed as Impact]","Apex GaIXe Low P 21-1-6","kg",1,"","","",21,0.86,5.8,4.2,"Nitrogen - Generic",0.21,"Potassium - Generic",0.058,"Sulfur - Generic",0.042,"Phosphorus - Generic",0.0086,"","","","","","","","","","","","";"Incitec Pivot Fertilisers","SuPerfect","kg",1,"","","","",8.8,"",11,"Single superphosphate (SSP)",1,"","","","","","","","","","","","","","","","","","";"Incitec Pivot Fertilisers [listed as Summit]","Big N","kg",1,"","","",82.35,"","","","Ammonia",1,"","","","","","","","","","","","","","","","","","";"Incitec Pivot Fertilisers","Entec Urea","kg",1,"Yes","","",46,"","","","Urea",1,"","","","","","","","","","","","","","","","","","";"Incitec Pivot Fertilisers (or Ravensdown - see note)","Flexi-N NI only","kg",1,"Yes","","",45.54,"","","","Urea",0.99,"Urease/nitrification inhibitor",0.01,"","","","","","","","","","","","","","","","";"Nutri-Tech Solutions (NTS)","Muriate Of Potash MOP","kg",1,"","","","","",50,"","Muriate of potash (MOP)",1,"","","","","","","","","","","","","","","","","","";"Nuturf","MAP NUTURF","kg",1,"","","",10,21.9,"","","Monoammonium phosphate (MAP)",1,"","","","","","","","","","","","","","","","","","";"Campbells fertilisers Australia","Quick-N","kg",1,"","","",26,"","",13,"Sulphate of ammonia (SOA)",0.541667,"Ammonium nitrate (AN)",0.433976,"","","","","","","","","","","","","","","","";"SLTEC Fertilizers","UAS","L",1.235,"","","",26.6,"","",6.7,"Urea",0.450815,"Sulphate of ammonia (SOA)",0.279167,"","","","","","","","","","","","","","","","";"SLTEC Fertilizers","Triazone Urea","L",1.28,"","","",0,"","","","Urea",0.652174,"","","","","","","","","","","","","","","","","","";"Marnco [listed as SLTEC]","Ammo 36N","kg",1,"","","",36,"","",9.6,"Nitrogen - Generic",0.36,"Sulfur - Generic",0.096,"","","","","","","","","","","","","","","","";"Risso-Chemical","Risso Liquid NPK (200-200-200)","L",1.3,"","","",20,8.73,16.6,"","Nitrogen - Generic",0.2,"Phosphorus - Generic",0.08728,"Potassium - Generic",0.16602,"","","","","","","","","","","","","","";"Turf Group Australia (Simplot)","Super Cal 15-0-12","kg",1,"","","",15,"",9.96,"","Nitrogen - Nitrate",0.084737,"Potassium - Generic",0.099612,"Calcium nitrate",0.421053,"Magnesium",0.005,"Boron",0.0002,"","","","","","","","","","";"Incitec Pivot Fertilisers","CK 88","kg",1,"","","",15.1,4.4,11.5,13.6,"Nitrogen - Generic",0.151,"Phosphorus - Generic",0.044,"Potassium - Generic",0.115,"Sulfur - Generic",0.136,"","","","","","","","","","","","";"Incitec Pivot Fertilisers","CropLift 15","kg",1,"","","",14.6,12.1,"",11.6,"Nitrogen - Generic",0.146,"Phosphorus - Generic",0.121,"Sulfur - Generic",0.116,"","","","","","","","","","","","","","";"Incitec Pivot Fertilisers","NPKS 19-13-0-9","kg",1,"","","",19,13,0,9,"Nitrogen - Generic",0.19,"Phosphorus - Generic",0.13,"Sulfur - Generic",0.09,"","","","","","","","","","","","","","";"Incitec Pivot Fertilisers","PastureBoosta","kg",1,"","","",23.8,3.7,13,4.1,"Nitrogen - Generic",0.238,"Phosphorus - Generic",0.037,"Potassium - Generic",0.13,"Sulfur - Generic",0.041,"","","","","","","","","","","","";"Incitec Pivot Fertilisers","Greentop K","kg",1,"","","",32.8,"",11,2.9,"Urea",0.66087,"Nitrogen - Ammoniacal",0.024,"Potassium - Generic",0.11,"Sulfur - Generic",0.029,"","","","","","","","","","","","";"Incitec Pivot Fertilisers","HayBoosta","kg",1,"","","",11.7,4.7,23.9,4.6,"Nitrogen - Generic",0.117,"Phosphorus - Generic",0.047,"Potassium - Generic",0.239,"Sulfur - Generic",0.046,"","","","","","","","","","","",""}, _xlpm.r, _xlpm.c))))</definedName>
    <definedName name="Fertiliser_SourceData.Fertiliser_Products_Data3" localSheetId="38">_xlfn.LAMBDA(_xlfn.MAKEARRAY(30, 31, _xlfn.LAMBDA(_xlpm.r,_xlpm.c, INDEX({"Yara Australia","YaraMila 21-7-3(4)","kg",1,"","","",21,7.4,2.5,4,"Nitrogen - Nitrate",0.105,"Nitrogen - Ammoniacal",0.105,"Phosphorus - Generic",0.074,"Sulfur - Generic",0.04,"Potassium - Generic",0.025,"Magnesium",0.004,"Zinc",0.0015,"","","","","","";"Yara Australia","YaraTera KRISTALON SCARLET","kg",1,"","","",7.5,"",29.9,4,"Potassium - Generic",0.299,"Nitrogen - Nitrate",0.052,"Sulfur - Generic",0.04,"Magnesium",0.027,"Nitrogen - Ammoniacal",0.023,"","","","","","","","","","";"Campbells fertilisers Australia","Solu-MAP","kg",1,"","","",10,21.9,"","","Monoammonium phosphate (MAP)",1,"","","","","","","","","","","","","","","","","","";"Campbells fertilisers Australia","Solu-Sam","kg",1,"","","",21,"","",24,"Sulphate of ammonia (SOA)",1,"","","","","","","","","","","","","","","","","","";"Campbells fertilisers Australia","Rustica Plus","kg",1,"","","",12,5,14,9.7,"Potassium - Generic",0.14,"Sulfur - Generic",0.097,"Nitrogen - Nitrate",0.06,"Nitrogen - Ammoniacal",0.06,"Phosphorus - Generic",0.05,"Calcium",0.031,"Magnesium",0.012,"Zinc",0.001,"Boron",0.0002,"","";"Campbells fertilisers Australia","Platinum Plus","kg",1,"","","",10,11,10,6,"Phosphorus - Generic",0.11,"Potassium - Generic",0.1,"Sulfur - Generic",0.06,"Nitrogen - Nitrate",0.05,"Nitrogen - Ammoniacal",0.05,"Calcium",0.043,"Magnesium",0.012,"Zinc",0.0036,"Boron",0.001,"","";"Campbells fertilisers Australia","Tropika","kg",1,"","","",11,2.6,20.8,4,"Nitrogen - Nitrate",0.055,"Nitrogen - Ammoniacal",0.055,"Phosphorus - Generic",0.026,"Potassium - Generic",0.208,"Sulfur - Generic",0.04,"Magnesium",0.024,"","","","","","","","";"Campbells fertilisers Australia","Rustica Nergetic","kg",1,"","","",12,5.2,14.1,9.6,"Potassium - Generic",0.141,"Sulfur - Generic",0.096,"Nitrogen - Nitrate",0.06,"Nitrogen - Ammoniacal",0.06,"Phosphorus - Generic",0.052,"Magnesium",0.012,"Zinc",0.0008,"Iron",0.0007,"Manganese",0.0006,"Boron",0.0002;"Campbells fertilisers Australia","Quick-N Nergetic","kg",1,"","","",25,"","",12.8,"Sulphate of ammonia (SOA)",0.533333,"Ammonium nitrate (AN)",0.409496,"Zinc",0.001,"Manganese",0.001,"Boron",0.0001,"Molybdenum",0.00001,"","","","","","","","";"FertPro Manufacturing Pty. Ltd.","(SSP) Single Super Fertiliser","kg",1,"","","","",8.8,"",11,"Single superphosphate (SSP)",1,"","","","","","","","","","","","","","","","","","";"Impact Fertilisers","ZincStar","kg",1,"","","",10,21.9,0,2,"Monoammonium phosphate (MAP)",1,"Zinc",0.01,"","","","","","","","","","","","","","","","";"Baileys (Simplot) [listed as Impact]","Apex GaIXe Low P 21-1-6","kg",1,"","","",21,0.86,5.8,4.2,"Nitrogen - Generic",0.21,"Potassium - Generic",0.058,"Sulfur - Generic",0.042,"Phosphorus - Generic",0.0086,"","","","","","","","","","","","";"Incitec Pivot Fertilisers","SuPerfect","kg",1,"","","","",8.8,"",11,"Single superphosphate (SSP)",1,"","","","","","","","","","","","","","","","","","";"Incitec Pivot Fertilisers [listed as Summit]","Big N","kg",1,"","","",82.35,"","","","Ammonia",1,"","","","","","","","","","","","","","","","","","";"Incitec Pivot Fertilisers","Entec Urea","kg",1,"Yes","","",46,"","","","Urea",1,"","","","","","","","","","","","","","","","","","";"Incitec Pivot Fertilisers (or Ravensdown - see note)","Flexi-N NI only","kg",1,"Yes","","",45.54,"","","","Urea",0.99,"Urease/nitrification inhibitor",0.01,"","","","","","","","","","","","","","","","";"Nutri-Tech Solutions (NTS)","Muriate Of Potash MOP","kg",1,"","","","","",50,"","Muriate of potash (MOP)",1,"","","","","","","","","","","","","","","","","","";"Nuturf","MAP NUTURF","kg",1,"","","",10,21.9,"","","Monoammonium phosphate (MAP)",1,"","","","","","","","","","","","","","","","","","";"Campbells fertilisers Australia","Quick-N","kg",1,"","","",26,"","",13,"Sulphate of ammonia (SOA)",0.541667,"Ammonium nitrate (AN)",0.433976,"","","","","","","","","","","","","","","","";"SLTEC Fertilizers","UAS","L",1.235,"","","",26.6,"","",6.7,"Urea",0.450815,"Sulphate of ammonia (SOA)",0.279167,"","","","","","","","","","","","","","","","";"SLTEC Fertilizers","Triazone Urea","L",1.28,"","","",0,"","","","Urea",0.652174,"","","","","","","","","","","","","","","","","","";"Marnco [listed as SLTEC]","Ammo 36N","kg",1,"","","",36,"","",9.6,"Nitrogen - Generic",0.36,"Sulfur - Generic",0.096,"","","","","","","","","","","","","","","","";"Risso-Chemical","Risso Liquid NPK (200-200-200)","L",1.3,"","","",20,8.73,16.6,"","Nitrogen - Generic",0.2,"Phosphorus - Generic",0.08728,"Potassium - Generic",0.16602,"","","","","","","","","","","","","","";"Turf Group Australia (Simplot)","Super Cal 15-0-12","kg",1,"","","",15,"",9.96,"","Nitrogen - Nitrate",0.084737,"Potassium - Generic",0.099612,"Calcium nitrate",0.421053,"Magnesium",0.005,"Boron",0.0002,"","","","","","","","","","";"Incitec Pivot Fertilisers","CK 88","kg",1,"","","",15.1,4.4,11.5,13.6,"Nitrogen - Generic",0.151,"Phosphorus - Generic",0.044,"Potassium - Generic",0.115,"Sulfur - Generic",0.136,"","","","","","","","","","","","";"Incitec Pivot Fertilisers","CropLift 15","kg",1,"","","",14.6,12.1,"",11.6,"Nitrogen - Generic",0.146,"Phosphorus - Generic",0.121,"Sulfur - Generic",0.116,"","","","","","","","","","","","","","";"Incitec Pivot Fertilisers","NPKS 19-13-0-9","kg",1,"","","",19,13,0,9,"Nitrogen - Generic",0.19,"Phosphorus - Generic",0.13,"Sulfur - Generic",0.09,"","","","","","","","","","","","","","";"Incitec Pivot Fertilisers","PastureBoosta","kg",1,"","","",23.8,3.7,13,4.1,"Nitrogen - Generic",0.238,"Phosphorus - Generic",0.037,"Potassium - Generic",0.13,"Sulfur - Generic",0.041,"","","","","","","","","","","","";"Incitec Pivot Fertilisers","Greentop K","kg",1,"","","",32.8,"",11,2.9,"Urea",0.66087,"Nitrogen - Ammoniacal",0.024,"Potassium - Generic",0.11,"Sulfur - Generic",0.029,"","","","","","","","","","","","";"Incitec Pivot Fertilisers","HayBoosta","kg",1,"","","",11.7,4.7,23.9,4.6,"Nitrogen - Generic",0.117,"Phosphorus - Generic",0.047,"Potassium - Generic",0.239,"Sulfur - Generic",0.046,"","","","","","","","","","","",""}, _xlpm.r, _xlpm.c))))</definedName>
    <definedName name="Fertiliser_SourceData.Fertiliser_Products_Data3" localSheetId="43">_xlfn.LAMBDA(_xlfn.MAKEARRAY(30, 31, _xlfn.LAMBDA(_xlpm.r,_xlpm.c, INDEX({"Yara Australia","YaraMila 21-7-3(4)","kg",1,"","","",21,7.4,2.5,4,"Nitrogen - Nitrate",0.105,"Nitrogen - Ammoniacal",0.105,"Phosphorus - Generic",0.074,"Sulfur - Generic",0.04,"Potassium - Generic",0.025,"Magnesium",0.004,"Zinc",0.0015,"","","","","","";"Yara Australia","YaraTera KRISTALON SCARLET","kg",1,"","","",7.5,"",29.9,4,"Potassium - Generic",0.299,"Nitrogen - Nitrate",0.052,"Sulfur - Generic",0.04,"Magnesium",0.027,"Nitrogen - Ammoniacal",0.023,"","","","","","","","","","";"Campbells fertilisers Australia","Solu-MAP","kg",1,"","","",10,21.9,"","","Monoammonium phosphate (MAP)",1,"","","","","","","","","","","","","","","","","","";"Campbells fertilisers Australia","Solu-Sam","kg",1,"","","",21,"","",24,"Sulphate of ammonia (SOA)",1,"","","","","","","","","","","","","","","","","","";"Campbells fertilisers Australia","Rustica Plus","kg",1,"","","",12,5,14,9.7,"Potassium - Generic",0.14,"Sulfur - Generic",0.097,"Nitrogen - Nitrate",0.06,"Nitrogen - Ammoniacal",0.06,"Phosphorus - Generic",0.05,"Calcium",0.031,"Magnesium",0.012,"Zinc",0.001,"Boron",0.0002,"","";"Campbells fertilisers Australia","Platinum Plus","kg",1,"","","",10,11,10,6,"Phosphorus - Generic",0.11,"Potassium - Generic",0.1,"Sulfur - Generic",0.06,"Nitrogen - Nitrate",0.05,"Nitrogen - Ammoniacal",0.05,"Calcium",0.043,"Magnesium",0.012,"Zinc",0.0036,"Boron",0.001,"","";"Campbells fertilisers Australia","Tropika","kg",1,"","","",11,2.6,20.8,4,"Nitrogen - Nitrate",0.055,"Nitrogen - Ammoniacal",0.055,"Phosphorus - Generic",0.026,"Potassium - Generic",0.208,"Sulfur - Generic",0.04,"Magnesium",0.024,"","","","","","","","";"Campbells fertilisers Australia","Rustica Nergetic","kg",1,"","","",12,5.2,14.1,9.6,"Potassium - Generic",0.141,"Sulfur - Generic",0.096,"Nitrogen - Nitrate",0.06,"Nitrogen - Ammoniacal",0.06,"Phosphorus - Generic",0.052,"Magnesium",0.012,"Zinc",0.0008,"Iron",0.0007,"Manganese",0.0006,"Boron",0.0002;"Campbells fertilisers Australia","Quick-N Nergetic","kg",1,"","","",25,"","",12.8,"Sulphate of ammonia (SOA)",0.533333,"Ammonium nitrate (AN)",0.409496,"Zinc",0.001,"Manganese",0.001,"Boron",0.0001,"Molybdenum",0.00001,"","","","","","","","";"FertPro Manufacturing Pty. Ltd.","(SSP) Single Super Fertiliser","kg",1,"","","","",8.8,"",11,"Single superphosphate (SSP)",1,"","","","","","","","","","","","","","","","","","";"Impact Fertilisers","ZincStar","kg",1,"","","",10,21.9,0,2,"Monoammonium phosphate (MAP)",1,"Zinc",0.01,"","","","","","","","","","","","","","","","";"Baileys (Simplot) [listed as Impact]","Apex GaIXe Low P 21-1-6","kg",1,"","","",21,0.86,5.8,4.2,"Nitrogen - Generic",0.21,"Potassium - Generic",0.058,"Sulfur - Generic",0.042,"Phosphorus - Generic",0.0086,"","","","","","","","","","","","";"Incitec Pivot Fertilisers","SuPerfect","kg",1,"","","","",8.8,"",11,"Single superphosphate (SSP)",1,"","","","","","","","","","","","","","","","","","";"Incitec Pivot Fertilisers [listed as Summit]","Big N","kg",1,"","","",82.35,"","","","Ammonia",1,"","","","","","","","","","","","","","","","","","";"Incitec Pivot Fertilisers","Entec Urea","kg",1,"Yes","","",46,"","","","Urea",1,"","","","","","","","","","","","","","","","","","";"Incitec Pivot Fertilisers (or Ravensdown - see note)","Flexi-N NI only","kg",1,"Yes","","",45.54,"","","","Urea",0.99,"Urease/nitrification inhibitor",0.01,"","","","","","","","","","","","","","","","";"Nutri-Tech Solutions (NTS)","Muriate Of Potash MOP","kg",1,"","","","","",50,"","Muriate of potash (MOP)",1,"","","","","","","","","","","","","","","","","","";"Nuturf","MAP NUTURF","kg",1,"","","",10,21.9,"","","Monoammonium phosphate (MAP)",1,"","","","","","","","","","","","","","","","","","";"Campbells fertilisers Australia","Quick-N","kg",1,"","","",26,"","",13,"Sulphate of ammonia (SOA)",0.541667,"Ammonium nitrate (AN)",0.433976,"","","","","","","","","","","","","","","","";"SLTEC Fertilizers","UAS","L",1.235,"","","",26.6,"","",6.7,"Urea",0.450815,"Sulphate of ammonia (SOA)",0.279167,"","","","","","","","","","","","","","","","";"SLTEC Fertilizers","Triazone Urea","L",1.28,"","","",0,"","","","Urea",0.652174,"","","","","","","","","","","","","","","","","","";"Marnco [listed as SLTEC]","Ammo 36N","kg",1,"","","",36,"","",9.6,"Nitrogen - Generic",0.36,"Sulfur - Generic",0.096,"","","","","","","","","","","","","","","","";"Risso-Chemical","Risso Liquid NPK (200-200-200)","L",1.3,"","","",20,8.73,16.6,"","Nitrogen - Generic",0.2,"Phosphorus - Generic",0.08728,"Potassium - Generic",0.16602,"","","","","","","","","","","","","","";"Turf Group Australia (Simplot)","Super Cal 15-0-12","kg",1,"","","",15,"",9.96,"","Nitrogen - Nitrate",0.084737,"Potassium - Generic",0.099612,"Calcium nitrate",0.421053,"Magnesium",0.005,"Boron",0.0002,"","","","","","","","","","";"Incitec Pivot Fertilisers","CK 88","kg",1,"","","",15.1,4.4,11.5,13.6,"Nitrogen - Generic",0.151,"Phosphorus - Generic",0.044,"Potassium - Generic",0.115,"Sulfur - Generic",0.136,"","","","","","","","","","","","";"Incitec Pivot Fertilisers","CropLift 15","kg",1,"","","",14.6,12.1,"",11.6,"Nitrogen - Generic",0.146,"Phosphorus - Generic",0.121,"Sulfur - Generic",0.116,"","","","","","","","","","","","","","";"Incitec Pivot Fertilisers","NPKS 19-13-0-9","kg",1,"","","",19,13,0,9,"Nitrogen - Generic",0.19,"Phosphorus - Generic",0.13,"Sulfur - Generic",0.09,"","","","","","","","","","","","","","";"Incitec Pivot Fertilisers","PastureBoosta","kg",1,"","","",23.8,3.7,13,4.1,"Nitrogen - Generic",0.238,"Phosphorus - Generic",0.037,"Potassium - Generic",0.13,"Sulfur - Generic",0.041,"","","","","","","","","","","","";"Incitec Pivot Fertilisers","Greentop K","kg",1,"","","",32.8,"",11,2.9,"Urea",0.66087,"Nitrogen - Ammoniacal",0.024,"Potassium - Generic",0.11,"Sulfur - Generic",0.029,"","","","","","","","","","","","";"Incitec Pivot Fertilisers","HayBoosta","kg",1,"","","",11.7,4.7,23.9,4.6,"Nitrogen - Generic",0.117,"Phosphorus - Generic",0.047,"Potassium - Generic",0.239,"Sulfur - Generic",0.046,"","","","","","","","","","","",""}, _xlpm.r, _xlpm.c))))</definedName>
    <definedName name="Fertiliser_SourceData.Fertiliser_Products_Data3" localSheetId="45">_xlfn.LAMBDA(_xlfn.MAKEARRAY(30, 31, _xlfn.LAMBDA(_xlpm.r,_xlpm.c, INDEX({"Yara Australia","YaraMila 21-7-3(4)","kg",1,"","","",21,7.4,2.5,4,"Nitrogen - Nitrate",0.105,"Nitrogen - Ammoniacal",0.105,"Phosphorus - Generic",0.074,"Sulfur - Generic",0.04,"Potassium - Generic",0.025,"Magnesium",0.004,"Zinc",0.0015,"","","","","","";"Yara Australia","YaraTera KRISTALON SCARLET","kg",1,"","","",7.5,"",29.9,4,"Potassium - Generic",0.299,"Nitrogen - Nitrate",0.052,"Sulfur - Generic",0.04,"Magnesium",0.027,"Nitrogen - Ammoniacal",0.023,"","","","","","","","","","";"Campbells fertilisers Australia","Solu-MAP","kg",1,"","","",10,21.9,"","","Monoammonium phosphate (MAP)",1,"","","","","","","","","","","","","","","","","","";"Campbells fertilisers Australia","Solu-Sam","kg",1,"","","",21,"","",24,"Sulphate of ammonia (SOA)",1,"","","","","","","","","","","","","","","","","","";"Campbells fertilisers Australia","Rustica Plus","kg",1,"","","",12,5,14,9.7,"Potassium - Generic",0.14,"Sulfur - Generic",0.097,"Nitrogen - Nitrate",0.06,"Nitrogen - Ammoniacal",0.06,"Phosphorus - Generic",0.05,"Calcium",0.031,"Magnesium",0.012,"Zinc",0.001,"Boron",0.0002,"","";"Campbells fertilisers Australia","Platinum Plus","kg",1,"","","",10,11,10,6,"Phosphorus - Generic",0.11,"Potassium - Generic",0.1,"Sulfur - Generic",0.06,"Nitrogen - Nitrate",0.05,"Nitrogen - Ammoniacal",0.05,"Calcium",0.043,"Magnesium",0.012,"Zinc",0.0036,"Boron",0.001,"","";"Campbells fertilisers Australia","Tropika","kg",1,"","","",11,2.6,20.8,4,"Nitrogen - Nitrate",0.055,"Nitrogen - Ammoniacal",0.055,"Phosphorus - Generic",0.026,"Potassium - Generic",0.208,"Sulfur - Generic",0.04,"Magnesium",0.024,"","","","","","","","";"Campbells fertilisers Australia","Rustica Nergetic","kg",1,"","","",12,5.2,14.1,9.6,"Potassium - Generic",0.141,"Sulfur - Generic",0.096,"Nitrogen - Nitrate",0.06,"Nitrogen - Ammoniacal",0.06,"Phosphorus - Generic",0.052,"Magnesium",0.012,"Zinc",0.0008,"Iron",0.0007,"Manganese",0.0006,"Boron",0.0002;"Campbells fertilisers Australia","Quick-N Nergetic","kg",1,"","","",25,"","",12.8,"Sulphate of ammonia (SOA)",0.533333,"Ammonium nitrate (AN)",0.409496,"Zinc",0.001,"Manganese",0.001,"Boron",0.0001,"Molybdenum",0.00001,"","","","","","","","";"FertPro Manufacturing Pty. Ltd.","(SSP) Single Super Fertiliser","kg",1,"","","","",8.8,"",11,"Single superphosphate (SSP)",1,"","","","","","","","","","","","","","","","","","";"Impact Fertilisers","ZincStar","kg",1,"","","",10,21.9,0,2,"Monoammonium phosphate (MAP)",1,"Zinc",0.01,"","","","","","","","","","","","","","","","";"Baileys (Simplot) [listed as Impact]","Apex GaIXe Low P 21-1-6","kg",1,"","","",21,0.86,5.8,4.2,"Nitrogen - Generic",0.21,"Potassium - Generic",0.058,"Sulfur - Generic",0.042,"Phosphorus - Generic",0.0086,"","","","","","","","","","","","";"Incitec Pivot Fertilisers","SuPerfect","kg",1,"","","","",8.8,"",11,"Single superphosphate (SSP)",1,"","","","","","","","","","","","","","","","","","";"Incitec Pivot Fertilisers [listed as Summit]","Big N","kg",1,"","","",82.35,"","","","Ammonia",1,"","","","","","","","","","","","","","","","","","";"Incitec Pivot Fertilisers","Entec Urea","kg",1,"Yes","","",46,"","","","Urea",1,"","","","","","","","","","","","","","","","","","";"Incitec Pivot Fertilisers (or Ravensdown - see note)","Flexi-N NI only","kg",1,"Yes","","",45.54,"","","","Urea",0.99,"Urease/nitrification inhibitor",0.01,"","","","","","","","","","","","","","","","";"Nutri-Tech Solutions (NTS)","Muriate Of Potash MOP","kg",1,"","","","","",50,"","Muriate of potash (MOP)",1,"","","","","","","","","","","","","","","","","","";"Nuturf","MAP NUTURF","kg",1,"","","",10,21.9,"","","Monoammonium phosphate (MAP)",1,"","","","","","","","","","","","","","","","","","";"Campbells fertilisers Australia","Quick-N","kg",1,"","","",26,"","",13,"Sulphate of ammonia (SOA)",0.541667,"Ammonium nitrate (AN)",0.433976,"","","","","","","","","","","","","","","","";"SLTEC Fertilizers","UAS","L",1.235,"","","",26.6,"","",6.7,"Urea",0.450815,"Sulphate of ammonia (SOA)",0.279167,"","","","","","","","","","","","","","","","";"SLTEC Fertilizers","Triazone Urea","L",1.28,"","","",0,"","","","Urea",0.652174,"","","","","","","","","","","","","","","","","","";"Marnco [listed as SLTEC]","Ammo 36N","kg",1,"","","",36,"","",9.6,"Nitrogen - Generic",0.36,"Sulfur - Generic",0.096,"","","","","","","","","","","","","","","","";"Risso-Chemical","Risso Liquid NPK (200-200-200)","L",1.3,"","","",20,8.73,16.6,"","Nitrogen - Generic",0.2,"Phosphorus - Generic",0.08728,"Potassium - Generic",0.16602,"","","","","","","","","","","","","","";"Turf Group Australia (Simplot)","Super Cal 15-0-12","kg",1,"","","",15,"",9.96,"","Nitrogen - Nitrate",0.084737,"Potassium - Generic",0.099612,"Calcium nitrate",0.421053,"Magnesium",0.005,"Boron",0.0002,"","","","","","","","","","";"Incitec Pivot Fertilisers","CK 88","kg",1,"","","",15.1,4.4,11.5,13.6,"Nitrogen - Generic",0.151,"Phosphorus - Generic",0.044,"Potassium - Generic",0.115,"Sulfur - Generic",0.136,"","","","","","","","","","","","";"Incitec Pivot Fertilisers","CropLift 15","kg",1,"","","",14.6,12.1,"",11.6,"Nitrogen - Generic",0.146,"Phosphorus - Generic",0.121,"Sulfur - Generic",0.116,"","","","","","","","","","","","","","";"Incitec Pivot Fertilisers","NPKS 19-13-0-9","kg",1,"","","",19,13,0,9,"Nitrogen - Generic",0.19,"Phosphorus - Generic",0.13,"Sulfur - Generic",0.09,"","","","","","","","","","","","","","";"Incitec Pivot Fertilisers","PastureBoosta","kg",1,"","","",23.8,3.7,13,4.1,"Nitrogen - Generic",0.238,"Phosphorus - Generic",0.037,"Potassium - Generic",0.13,"Sulfur - Generic",0.041,"","","","","","","","","","","","";"Incitec Pivot Fertilisers","Greentop K","kg",1,"","","",32.8,"",11,2.9,"Urea",0.66087,"Nitrogen - Ammoniacal",0.024,"Potassium - Generic",0.11,"Sulfur - Generic",0.029,"","","","","","","","","","","","";"Incitec Pivot Fertilisers","HayBoosta","kg",1,"","","",11.7,4.7,23.9,4.6,"Nitrogen - Generic",0.117,"Phosphorus - Generic",0.047,"Potassium - Generic",0.239,"Sulfur - Generic",0.046,"","","","","","","","","","","",""}, _xlpm.r, _xlpm.c))))</definedName>
    <definedName name="Fertiliser_SourceData.Fertiliser_Products_Data3" localSheetId="7">_xlfn.LAMBDA(_xlfn.MAKEARRAY(30, 31, _xlfn.LAMBDA(_xlpm.r,_xlpm.c, INDEX({"Yara Australia","YaraMila 21-7-3(4)","kg",1,"","","",21,7.4,2.5,4,"Nitrogen - Nitrate",0.105,"Nitrogen - Ammoniacal",0.105,"Phosphorus - Generic",0.074,"Sulfur - Generic",0.04,"Potassium - Generic",0.025,"Magnesium",0.004,"Zinc",0.0015,"","","","","","";"Yara Australia","YaraTera KRISTALON SCARLET","kg",1,"","","",7.5,"",29.9,4,"Potassium - Generic",0.299,"Nitrogen - Nitrate",0.052,"Sulfur - Generic",0.04,"Magnesium",0.027,"Nitrogen - Ammoniacal",0.023,"","","","","","","","","","";"Campbells fertilisers Australia","Solu-MAP","kg",1,"","","",10,21.9,"","","Monoammonium phosphate (MAP)",1,"","","","","","","","","","","","","","","","","","";"Campbells fertilisers Australia","Solu-Sam","kg",1,"","","",21,"","",24,"Sulphate of ammonia (SOA)",1,"","","","","","","","","","","","","","","","","","";"Campbells fertilisers Australia","Rustica Plus","kg",1,"","","",12,5,14,9.7,"Potassium - Generic",0.14,"Sulfur - Generic",0.097,"Nitrogen - Nitrate",0.06,"Nitrogen - Ammoniacal",0.06,"Phosphorus - Generic",0.05,"Calcium",0.031,"Magnesium",0.012,"Zinc",0.001,"Boron",0.0002,"","";"Campbells fertilisers Australia","Platinum Plus","kg",1,"","","",10,11,10,6,"Phosphorus - Generic",0.11,"Potassium - Generic",0.1,"Sulfur - Generic",0.06,"Nitrogen - Nitrate",0.05,"Nitrogen - Ammoniacal",0.05,"Calcium",0.043,"Magnesium",0.012,"Zinc",0.0036,"Boron",0.001,"","";"Campbells fertilisers Australia","Tropika","kg",1,"","","",11,2.6,20.8,4,"Nitrogen - Nitrate",0.055,"Nitrogen - Ammoniacal",0.055,"Phosphorus - Generic",0.026,"Potassium - Generic",0.208,"Sulfur - Generic",0.04,"Magnesium",0.024,"","","","","","","","";"Campbells fertilisers Australia","Rustica Nergetic","kg",1,"","","",12,5.2,14.1,9.6,"Potassium - Generic",0.141,"Sulfur - Generic",0.096,"Nitrogen - Nitrate",0.06,"Nitrogen - Ammoniacal",0.06,"Phosphorus - Generic",0.052,"Magnesium",0.012,"Zinc",0.0008,"Iron",0.0007,"Manganese",0.0006,"Boron",0.0002;"Campbells fertilisers Australia","Quick-N Nergetic","kg",1,"","","",25,"","",12.8,"Sulphate of ammonia (SOA)",0.533333,"Ammonium nitrate (AN)",0.409496,"Zinc",0.001,"Manganese",0.001,"Boron",0.0001,"Molybdenum",0.00001,"","","","","","","","";"FertPro Manufacturing Pty. Ltd.","(SSP) Single Super Fertiliser","kg",1,"","","","",8.8,"",11,"Single superphosphate (SSP)",1,"","","","","","","","","","","","","","","","","","";"Impact Fertilisers","ZincStar","kg",1,"","","",10,21.9,0,2,"Monoammonium phosphate (MAP)",1,"Zinc",0.01,"","","","","","","","","","","","","","","","";"Baileys (Simplot) [listed as Impact]","Apex GaIXe Low P 21-1-6","kg",1,"","","",21,0.86,5.8,4.2,"Nitrogen - Generic",0.21,"Potassium - Generic",0.058,"Sulfur - Generic",0.042,"Phosphorus - Generic",0.0086,"","","","","","","","","","","","";"Incitec Pivot Fertilisers","SuPerfect","kg",1,"","","","",8.8,"",11,"Single superphosphate (SSP)",1,"","","","","","","","","","","","","","","","","","";"Incitec Pivot Fertilisers [listed as Summit]","Big N","kg",1,"","","",82.35,"","","","Ammonia",1,"","","","","","","","","","","","","","","","","","";"Incitec Pivot Fertilisers","Entec Urea","kg",1,"Yes","","",46,"","","","Urea",1,"","","","","","","","","","","","","","","","","","";"Incitec Pivot Fertilisers (or Ravensdown - see note)","Flexi-N NI only","kg",1,"Yes","","",45.54,"","","","Urea",0.99,"Urease/nitrification inhibitor",0.01,"","","","","","","","","","","","","","","","";"Nutri-Tech Solutions (NTS)","Muriate Of Potash MOP","kg",1,"","","","","",50,"","Muriate of potash (MOP)",1,"","","","","","","","","","","","","","","","","","";"Nuturf","MAP NUTURF","kg",1,"","","",10,21.9,"","","Monoammonium phosphate (MAP)",1,"","","","","","","","","","","","","","","","","","";"Campbells fertilisers Australia","Quick-N","kg",1,"","","",26,"","",13,"Sulphate of ammonia (SOA)",0.541667,"Ammonium nitrate (AN)",0.433976,"","","","","","","","","","","","","","","","";"SLTEC Fertilizers","UAS","L",1.235,"","","",26.6,"","",6.7,"Urea",0.450815,"Sulphate of ammonia (SOA)",0.279167,"","","","","","","","","","","","","","","","";"SLTEC Fertilizers","Triazone Urea","L",1.28,"","","",0,"","","","Urea",0.652174,"","","","","","","","","","","","","","","","","","";"Marnco [listed as SLTEC]","Ammo 36N","kg",1,"","","",36,"","",9.6,"Nitrogen - Generic",0.36,"Sulfur - Generic",0.096,"","","","","","","","","","","","","","","","";"Risso-Chemical","Risso Liquid NPK (200-200-200)","L",1.3,"","","",20,8.73,16.6,"","Nitrogen - Generic",0.2,"Phosphorus - Generic",0.08728,"Potassium - Generic",0.16602,"","","","","","","","","","","","","","";"Turf Group Australia (Simplot)","Super Cal 15-0-12","kg",1,"","","",15,"",9.96,"","Nitrogen - Nitrate",0.084737,"Potassium - Generic",0.099612,"Calcium nitrate",0.421053,"Magnesium",0.005,"Boron",0.0002,"","","","","","","","","","";"Incitec Pivot Fertilisers","CK 88","kg",1,"","","",15.1,4.4,11.5,13.6,"Nitrogen - Generic",0.151,"Phosphorus - Generic",0.044,"Potassium - Generic",0.115,"Sulfur - Generic",0.136,"","","","","","","","","","","","";"Incitec Pivot Fertilisers","CropLift 15","kg",1,"","","",14.6,12.1,"",11.6,"Nitrogen - Generic",0.146,"Phosphorus - Generic",0.121,"Sulfur - Generic",0.116,"","","","","","","","","","","","","","";"Incitec Pivot Fertilisers","NPKS 19-13-0-9","kg",1,"","","",19,13,0,9,"Nitrogen - Generic",0.19,"Phosphorus - Generic",0.13,"Sulfur - Generic",0.09,"","","","","","","","","","","","","","";"Incitec Pivot Fertilisers","PastureBoosta","kg",1,"","","",23.8,3.7,13,4.1,"Nitrogen - Generic",0.238,"Phosphorus - Generic",0.037,"Potassium - Generic",0.13,"Sulfur - Generic",0.041,"","","","","","","","","","","","";"Incitec Pivot Fertilisers","Greentop K","kg",1,"","","",32.8,"",11,2.9,"Urea",0.66087,"Nitrogen - Ammoniacal",0.024,"Potassium - Generic",0.11,"Sulfur - Generic",0.029,"","","","","","","","","","","","";"Incitec Pivot Fertilisers","HayBoosta","kg",1,"","","",11.7,4.7,23.9,4.6,"Nitrogen - Generic",0.117,"Phosphorus - Generic",0.047,"Potassium - Generic",0.239,"Sulfur - Generic",0.046,"","","","","","","","","","","",""}, _xlpm.r, _xlpm.c))))</definedName>
    <definedName name="Fertiliser_SourceData.Fertiliser_Products_Data3" localSheetId="13">_xlfn.LAMBDA(_xlfn.MAKEARRAY(30, 31, _xlfn.LAMBDA(_xlpm.r,_xlpm.c, INDEX({"Yara Australia","YaraMila 21-7-3(4)","kg",1,"","","",21,7.4,2.5,4,"Nitrogen - Nitrate",0.105,"Nitrogen - Ammoniacal",0.105,"Phosphorus - Generic",0.074,"Sulfur - Generic",0.04,"Potassium - Generic",0.025,"Magnesium",0.004,"Zinc",0.0015,"","","","","","";"Yara Australia","YaraTera KRISTALON SCARLET","kg",1,"","","",7.5,"",29.9,4,"Potassium - Generic",0.299,"Nitrogen - Nitrate",0.052,"Sulfur - Generic",0.04,"Magnesium",0.027,"Nitrogen - Ammoniacal",0.023,"","","","","","","","","","";"Campbells fertilisers Australia","Solu-MAP","kg",1,"","","",10,21.9,"","","Monoammonium phosphate (MAP)",1,"","","","","","","","","","","","","","","","","","";"Campbells fertilisers Australia","Solu-Sam","kg",1,"","","",21,"","",24,"Sulphate of ammonia (SOA)",1,"","","","","","","","","","","","","","","","","","";"Campbells fertilisers Australia","Rustica Plus","kg",1,"","","",12,5,14,9.7,"Potassium - Generic",0.14,"Sulfur - Generic",0.097,"Nitrogen - Nitrate",0.06,"Nitrogen - Ammoniacal",0.06,"Phosphorus - Generic",0.05,"Calcium",0.031,"Magnesium",0.012,"Zinc",0.001,"Boron",0.0002,"","";"Campbells fertilisers Australia","Platinum Plus","kg",1,"","","",10,11,10,6,"Phosphorus - Generic",0.11,"Potassium - Generic",0.1,"Sulfur - Generic",0.06,"Nitrogen - Nitrate",0.05,"Nitrogen - Ammoniacal",0.05,"Calcium",0.043,"Magnesium",0.012,"Zinc",0.0036,"Boron",0.001,"","";"Campbells fertilisers Australia","Tropika","kg",1,"","","",11,2.6,20.8,4,"Nitrogen - Nitrate",0.055,"Nitrogen - Ammoniacal",0.055,"Phosphorus - Generic",0.026,"Potassium - Generic",0.208,"Sulfur - Generic",0.04,"Magnesium",0.024,"","","","","","","","";"Campbells fertilisers Australia","Rustica Nergetic","kg",1,"","","",12,5.2,14.1,9.6,"Potassium - Generic",0.141,"Sulfur - Generic",0.096,"Nitrogen - Nitrate",0.06,"Nitrogen - Ammoniacal",0.06,"Phosphorus - Generic",0.052,"Magnesium",0.012,"Zinc",0.0008,"Iron",0.0007,"Manganese",0.0006,"Boron",0.0002;"Campbells fertilisers Australia","Quick-N Nergetic","kg",1,"","","",25,"","",12.8,"Sulphate of ammonia (SOA)",0.533333,"Ammonium nitrate (AN)",0.409496,"Zinc",0.001,"Manganese",0.001,"Boron",0.0001,"Molybdenum",0.00001,"","","","","","","","";"FertPro Manufacturing Pty. Ltd.","(SSP) Single Super Fertiliser","kg",1,"","","","",8.8,"",11,"Single superphosphate (SSP)",1,"","","","","","","","","","","","","","","","","","";"Impact Fertilisers","ZincStar","kg",1,"","","",10,21.9,0,2,"Monoammonium phosphate (MAP)",1,"Zinc",0.01,"","","","","","","","","","","","","","","","";"Baileys (Simplot) [listed as Impact]","Apex GaIXe Low P 21-1-6","kg",1,"","","",21,0.86,5.8,4.2,"Nitrogen - Generic",0.21,"Potassium - Generic",0.058,"Sulfur - Generic",0.042,"Phosphorus - Generic",0.0086,"","","","","","","","","","","","";"Incitec Pivot Fertilisers","SuPerfect","kg",1,"","","","",8.8,"",11,"Single superphosphate (SSP)",1,"","","","","","","","","","","","","","","","","","";"Incitec Pivot Fertilisers [listed as Summit]","Big N","kg",1,"","","",82.35,"","","","Ammonia",1,"","","","","","","","","","","","","","","","","","";"Incitec Pivot Fertilisers","Entec Urea","kg",1,"Yes","","",46,"","","","Urea",1,"","","","","","","","","","","","","","","","","","";"Incitec Pivot Fertilisers (or Ravensdown - see note)","Flexi-N NI only","kg",1,"Yes","","",45.54,"","","","Urea",0.99,"Urease/nitrification inhibitor",0.01,"","","","","","","","","","","","","","","","";"Nutri-Tech Solutions (NTS)","Muriate Of Potash MOP","kg",1,"","","","","",50,"","Muriate of potash (MOP)",1,"","","","","","","","","","","","","","","","","","";"Nuturf","MAP NUTURF","kg",1,"","","",10,21.9,"","","Monoammonium phosphate (MAP)",1,"","","","","","","","","","","","","","","","","","";"Campbells fertilisers Australia","Quick-N","kg",1,"","","",26,"","",13,"Sulphate of ammonia (SOA)",0.541667,"Ammonium nitrate (AN)",0.433976,"","","","","","","","","","","","","","","","";"SLTEC Fertilizers","UAS","L",1.235,"","","",26.6,"","",6.7,"Urea",0.450815,"Sulphate of ammonia (SOA)",0.279167,"","","","","","","","","","","","","","","","";"SLTEC Fertilizers","Triazone Urea","L",1.28,"","","",0,"","","","Urea",0.652174,"","","","","","","","","","","","","","","","","","";"Marnco [listed as SLTEC]","Ammo 36N","kg",1,"","","",36,"","",9.6,"Nitrogen - Generic",0.36,"Sulfur - Generic",0.096,"","","","","","","","","","","","","","","","";"Risso-Chemical","Risso Liquid NPK (200-200-200)","L",1.3,"","","",20,8.73,16.6,"","Nitrogen - Generic",0.2,"Phosphorus - Generic",0.08728,"Potassium - Generic",0.16602,"","","","","","","","","","","","","","";"Turf Group Australia (Simplot)","Super Cal 15-0-12","kg",1,"","","",15,"",9.96,"","Nitrogen - Nitrate",0.084737,"Potassium - Generic",0.099612,"Calcium nitrate",0.421053,"Magnesium",0.005,"Boron",0.0002,"","","","","","","","","","";"Incitec Pivot Fertilisers","CK 88","kg",1,"","","",15.1,4.4,11.5,13.6,"Nitrogen - Generic",0.151,"Phosphorus - Generic",0.044,"Potassium - Generic",0.115,"Sulfur - Generic",0.136,"","","","","","","","","","","","";"Incitec Pivot Fertilisers","CropLift 15","kg",1,"","","",14.6,12.1,"",11.6,"Nitrogen - Generic",0.146,"Phosphorus - Generic",0.121,"Sulfur - Generic",0.116,"","","","","","","","","","","","","","";"Incitec Pivot Fertilisers","NPKS 19-13-0-9","kg",1,"","","",19,13,0,9,"Nitrogen - Generic",0.19,"Phosphorus - Generic",0.13,"Sulfur - Generic",0.09,"","","","","","","","","","","","","","";"Incitec Pivot Fertilisers","PastureBoosta","kg",1,"","","",23.8,3.7,13,4.1,"Nitrogen - Generic",0.238,"Phosphorus - Generic",0.037,"Potassium - Generic",0.13,"Sulfur - Generic",0.041,"","","","","","","","","","","","";"Incitec Pivot Fertilisers","Greentop K","kg",1,"","","",32.8,"",11,2.9,"Urea",0.66087,"Nitrogen - Ammoniacal",0.024,"Potassium - Generic",0.11,"Sulfur - Generic",0.029,"","","","","","","","","","","","";"Incitec Pivot Fertilisers","HayBoosta","kg",1,"","","",11.7,4.7,23.9,4.6,"Nitrogen - Generic",0.117,"Phosphorus - Generic",0.047,"Potassium - Generic",0.239,"Sulfur - Generic",0.046,"","","","","","","","","","","",""}, _xlpm.r, _xlpm.c))))</definedName>
    <definedName name="Fertiliser_SourceData.Fertiliser_Products_Data3" localSheetId="14">_xlfn.LAMBDA(_xlfn.MAKEARRAY(30, 31, _xlfn.LAMBDA(_xlpm.r,_xlpm.c, INDEX({"Yara Australia","YaraMila 21-7-3(4)","kg",1,"","","",21,7.4,2.5,4,"Nitrogen - Nitrate",0.105,"Nitrogen - Ammoniacal",0.105,"Phosphorus - Generic",0.074,"Sulfur - Generic",0.04,"Potassium - Generic",0.025,"Magnesium",0.004,"Zinc",0.0015,"","","","","","";"Yara Australia","YaraTera KRISTALON SCARLET","kg",1,"","","",7.5,"",29.9,4,"Potassium - Generic",0.299,"Nitrogen - Nitrate",0.052,"Sulfur - Generic",0.04,"Magnesium",0.027,"Nitrogen - Ammoniacal",0.023,"","","","","","","","","","";"Campbells fertilisers Australia","Solu-MAP","kg",1,"","","",10,21.9,"","","Monoammonium phosphate (MAP)",1,"","","","","","","","","","","","","","","","","","";"Campbells fertilisers Australia","Solu-Sam","kg",1,"","","",21,"","",24,"Sulphate of ammonia (SOA)",1,"","","","","","","","","","","","","","","","","","";"Campbells fertilisers Australia","Rustica Plus","kg",1,"","","",12,5,14,9.7,"Potassium - Generic",0.14,"Sulfur - Generic",0.097,"Nitrogen - Nitrate",0.06,"Nitrogen - Ammoniacal",0.06,"Phosphorus - Generic",0.05,"Calcium",0.031,"Magnesium",0.012,"Zinc",0.001,"Boron",0.0002,"","";"Campbells fertilisers Australia","Platinum Plus","kg",1,"","","",10,11,10,6,"Phosphorus - Generic",0.11,"Potassium - Generic",0.1,"Sulfur - Generic",0.06,"Nitrogen - Nitrate",0.05,"Nitrogen - Ammoniacal",0.05,"Calcium",0.043,"Magnesium",0.012,"Zinc",0.0036,"Boron",0.001,"","";"Campbells fertilisers Australia","Tropika","kg",1,"","","",11,2.6,20.8,4,"Nitrogen - Nitrate",0.055,"Nitrogen - Ammoniacal",0.055,"Phosphorus - Generic",0.026,"Potassium - Generic",0.208,"Sulfur - Generic",0.04,"Magnesium",0.024,"","","","","","","","";"Campbells fertilisers Australia","Rustica Nergetic","kg",1,"","","",12,5.2,14.1,9.6,"Potassium - Generic",0.141,"Sulfur - Generic",0.096,"Nitrogen - Nitrate",0.06,"Nitrogen - Ammoniacal",0.06,"Phosphorus - Generic",0.052,"Magnesium",0.012,"Zinc",0.0008,"Iron",0.0007,"Manganese",0.0006,"Boron",0.0002;"Campbells fertilisers Australia","Quick-N Nergetic","kg",1,"","","",25,"","",12.8,"Sulphate of ammonia (SOA)",0.533333,"Ammonium nitrate (AN)",0.409496,"Zinc",0.001,"Manganese",0.001,"Boron",0.0001,"Molybdenum",0.00001,"","","","","","","","";"FertPro Manufacturing Pty. Ltd.","(SSP) Single Super Fertiliser","kg",1,"","","","",8.8,"",11,"Single superphosphate (SSP)",1,"","","","","","","","","","","","","","","","","","";"Impact Fertilisers","ZincStar","kg",1,"","","",10,21.9,0,2,"Monoammonium phosphate (MAP)",1,"Zinc",0.01,"","","","","","","","","","","","","","","","";"Baileys (Simplot) [listed as Impact]","Apex GaIXe Low P 21-1-6","kg",1,"","","",21,0.86,5.8,4.2,"Nitrogen - Generic",0.21,"Potassium - Generic",0.058,"Sulfur - Generic",0.042,"Phosphorus - Generic",0.0086,"","","","","","","","","","","","";"Incitec Pivot Fertilisers","SuPerfect","kg",1,"","","","",8.8,"",11,"Single superphosphate (SSP)",1,"","","","","","","","","","","","","","","","","","";"Incitec Pivot Fertilisers [listed as Summit]","Big N","kg",1,"","","",82.35,"","","","Ammonia",1,"","","","","","","","","","","","","","","","","","";"Incitec Pivot Fertilisers","Entec Urea","kg",1,"Yes","","",46,"","","","Urea",1,"","","","","","","","","","","","","","","","","","";"Incitec Pivot Fertilisers (or Ravensdown - see note)","Flexi-N NI only","kg",1,"Yes","","",45.54,"","","","Urea",0.99,"Urease/nitrification inhibitor",0.01,"","","","","","","","","","","","","","","","";"Nutri-Tech Solutions (NTS)","Muriate Of Potash MOP","kg",1,"","","","","",50,"","Muriate of potash (MOP)",1,"","","","","","","","","","","","","","","","","","";"Nuturf","MAP NUTURF","kg",1,"","","",10,21.9,"","","Monoammonium phosphate (MAP)",1,"","","","","","","","","","","","","","","","","","";"Campbells fertilisers Australia","Quick-N","kg",1,"","","",26,"","",13,"Sulphate of ammonia (SOA)",0.541667,"Ammonium nitrate (AN)",0.433976,"","","","","","","","","","","","","","","","";"SLTEC Fertilizers","UAS","L",1.235,"","","",26.6,"","",6.7,"Urea",0.450815,"Sulphate of ammonia (SOA)",0.279167,"","","","","","","","","","","","","","","","";"SLTEC Fertilizers","Triazone Urea","L",1.28,"","","",0,"","","","Urea",0.652174,"","","","","","","","","","","","","","","","","","";"Marnco [listed as SLTEC]","Ammo 36N","kg",1,"","","",36,"","",9.6,"Nitrogen - Generic",0.36,"Sulfur - Generic",0.096,"","","","","","","","","","","","","","","","";"Risso-Chemical","Risso Liquid NPK (200-200-200)","L",1.3,"","","",20,8.73,16.6,"","Nitrogen - Generic",0.2,"Phosphorus - Generic",0.08728,"Potassium - Generic",0.16602,"","","","","","","","","","","","","","";"Turf Group Australia (Simplot)","Super Cal 15-0-12","kg",1,"","","",15,"",9.96,"","Nitrogen - Nitrate",0.084737,"Potassium - Generic",0.099612,"Calcium nitrate",0.421053,"Magnesium",0.005,"Boron",0.0002,"","","","","","","","","","";"Incitec Pivot Fertilisers","CK 88","kg",1,"","","",15.1,4.4,11.5,13.6,"Nitrogen - Generic",0.151,"Phosphorus - Generic",0.044,"Potassium - Generic",0.115,"Sulfur - Generic",0.136,"","","","","","","","","","","","";"Incitec Pivot Fertilisers","CropLift 15","kg",1,"","","",14.6,12.1,"",11.6,"Nitrogen - Generic",0.146,"Phosphorus - Generic",0.121,"Sulfur - Generic",0.116,"","","","","","","","","","","","","","";"Incitec Pivot Fertilisers","NPKS 19-13-0-9","kg",1,"","","",19,13,0,9,"Nitrogen - Generic",0.19,"Phosphorus - Generic",0.13,"Sulfur - Generic",0.09,"","","","","","","","","","","","","","";"Incitec Pivot Fertilisers","PastureBoosta","kg",1,"","","",23.8,3.7,13,4.1,"Nitrogen - Generic",0.238,"Phosphorus - Generic",0.037,"Potassium - Generic",0.13,"Sulfur - Generic",0.041,"","","","","","","","","","","","";"Incitec Pivot Fertilisers","Greentop K","kg",1,"","","",32.8,"",11,2.9,"Urea",0.66087,"Nitrogen - Ammoniacal",0.024,"Potassium - Generic",0.11,"Sulfur - Generic",0.029,"","","","","","","","","","","","";"Incitec Pivot Fertilisers","HayBoosta","kg",1,"","","",11.7,4.7,23.9,4.6,"Nitrogen - Generic",0.117,"Phosphorus - Generic",0.047,"Potassium - Generic",0.239,"Sulfur - Generic",0.046,"","","","","","","","","","","",""}, _xlpm.r, _xlpm.c))))</definedName>
    <definedName name="Fertiliser_SourceData.Fertiliser_Products_Data3" localSheetId="10">_xlfn.LAMBDA(_xlfn.MAKEARRAY(30, 31, _xlfn.LAMBDA(_xlpm.r,_xlpm.c, INDEX({"Yara Australia","YaraMila 21-7-3(4)","kg",1,"","","",21,7.4,2.5,4,"Nitrogen - Nitrate",0.105,"Nitrogen - Ammoniacal",0.105,"Phosphorus - Generic",0.074,"Sulfur - Generic",0.04,"Potassium - Generic",0.025,"Magnesium",0.004,"Zinc",0.0015,"","","","","","";"Yara Australia","YaraTera KRISTALON SCARLET","kg",1,"","","",7.5,"",29.9,4,"Potassium - Generic",0.299,"Nitrogen - Nitrate",0.052,"Sulfur - Generic",0.04,"Magnesium",0.027,"Nitrogen - Ammoniacal",0.023,"","","","","","","","","","";"Campbells fertilisers Australia","Solu-MAP","kg",1,"","","",10,21.9,"","","Monoammonium phosphate (MAP)",1,"","","","","","","","","","","","","","","","","","";"Campbells fertilisers Australia","Solu-Sam","kg",1,"","","",21,"","",24,"Sulphate of ammonia (SOA)",1,"","","","","","","","","","","","","","","","","","";"Campbells fertilisers Australia","Rustica Plus","kg",1,"","","",12,5,14,9.7,"Potassium - Generic",0.14,"Sulfur - Generic",0.097,"Nitrogen - Nitrate",0.06,"Nitrogen - Ammoniacal",0.06,"Phosphorus - Generic",0.05,"Calcium",0.031,"Magnesium",0.012,"Zinc",0.001,"Boron",0.0002,"","";"Campbells fertilisers Australia","Platinum Plus","kg",1,"","","",10,11,10,6,"Phosphorus - Generic",0.11,"Potassium - Generic",0.1,"Sulfur - Generic",0.06,"Nitrogen - Nitrate",0.05,"Nitrogen - Ammoniacal",0.05,"Calcium",0.043,"Magnesium",0.012,"Zinc",0.0036,"Boron",0.001,"","";"Campbells fertilisers Australia","Tropika","kg",1,"","","",11,2.6,20.8,4,"Nitrogen - Nitrate",0.055,"Nitrogen - Ammoniacal",0.055,"Phosphorus - Generic",0.026,"Potassium - Generic",0.208,"Sulfur - Generic",0.04,"Magnesium",0.024,"","","","","","","","";"Campbells fertilisers Australia","Rustica Nergetic","kg",1,"","","",12,5.2,14.1,9.6,"Potassium - Generic",0.141,"Sulfur - Generic",0.096,"Nitrogen - Nitrate",0.06,"Nitrogen - Ammoniacal",0.06,"Phosphorus - Generic",0.052,"Magnesium",0.012,"Zinc",0.0008,"Iron",0.0007,"Manganese",0.0006,"Boron",0.0002;"Campbells fertilisers Australia","Quick-N Nergetic","kg",1,"","","",25,"","",12.8,"Sulphate of ammonia (SOA)",0.533333,"Ammonium nitrate (AN)",0.409496,"Zinc",0.001,"Manganese",0.001,"Boron",0.0001,"Molybdenum",0.00001,"","","","","","","","";"FertPro Manufacturing Pty. Ltd.","(SSP) Single Super Fertiliser","kg",1,"","","","",8.8,"",11,"Single superphosphate (SSP)",1,"","","","","","","","","","","","","","","","","","";"Impact Fertilisers","ZincStar","kg",1,"","","",10,21.9,0,2,"Monoammonium phosphate (MAP)",1,"Zinc",0.01,"","","","","","","","","","","","","","","","";"Baileys (Simplot) [listed as Impact]","Apex GaIXe Low P 21-1-6","kg",1,"","","",21,0.86,5.8,4.2,"Nitrogen - Generic",0.21,"Potassium - Generic",0.058,"Sulfur - Generic",0.042,"Phosphorus - Generic",0.0086,"","","","","","","","","","","","";"Incitec Pivot Fertilisers","SuPerfect","kg",1,"","","","",8.8,"",11,"Single superphosphate (SSP)",1,"","","","","","","","","","","","","","","","","","";"Incitec Pivot Fertilisers [listed as Summit]","Big N","kg",1,"","","",82.35,"","","","Ammonia",1,"","","","","","","","","","","","","","","","","","";"Incitec Pivot Fertilisers","Entec Urea","kg",1,"Yes","","",46,"","","","Urea",1,"","","","","","","","","","","","","","","","","","";"Incitec Pivot Fertilisers (or Ravensdown - see note)","Flexi-N NI only","kg",1,"Yes","","",45.54,"","","","Urea",0.99,"Urease/nitrification inhibitor",0.01,"","","","","","","","","","","","","","","","";"Nutri-Tech Solutions (NTS)","Muriate Of Potash MOP","kg",1,"","","","","",50,"","Muriate of potash (MOP)",1,"","","","","","","","","","","","","","","","","","";"Nuturf","MAP NUTURF","kg",1,"","","",10,21.9,"","","Monoammonium phosphate (MAP)",1,"","","","","","","","","","","","","","","","","","";"Campbells fertilisers Australia","Quick-N","kg",1,"","","",26,"","",13,"Sulphate of ammonia (SOA)",0.541667,"Ammonium nitrate (AN)",0.433976,"","","","","","","","","","","","","","","","";"SLTEC Fertilizers","UAS","L",1.235,"","","",26.6,"","",6.7,"Urea",0.450815,"Sulphate of ammonia (SOA)",0.279167,"","","","","","","","","","","","","","","","";"SLTEC Fertilizers","Triazone Urea","L",1.28,"","","",0,"","","","Urea",0.652174,"","","","","","","","","","","","","","","","","","";"Marnco [listed as SLTEC]","Ammo 36N","kg",1,"","","",36,"","",9.6,"Nitrogen - Generic",0.36,"Sulfur - Generic",0.096,"","","","","","","","","","","","","","","","";"Risso-Chemical","Risso Liquid NPK (200-200-200)","L",1.3,"","","",20,8.73,16.6,"","Nitrogen - Generic",0.2,"Phosphorus - Generic",0.08728,"Potassium - Generic",0.16602,"","","","","","","","","","","","","","";"Turf Group Australia (Simplot)","Super Cal 15-0-12","kg",1,"","","",15,"",9.96,"","Nitrogen - Nitrate",0.084737,"Potassium - Generic",0.099612,"Calcium nitrate",0.421053,"Magnesium",0.005,"Boron",0.0002,"","","","","","","","","","";"Incitec Pivot Fertilisers","CK 88","kg",1,"","","",15.1,4.4,11.5,13.6,"Nitrogen - Generic",0.151,"Phosphorus - Generic",0.044,"Potassium - Generic",0.115,"Sulfur - Generic",0.136,"","","","","","","","","","","","";"Incitec Pivot Fertilisers","CropLift 15","kg",1,"","","",14.6,12.1,"",11.6,"Nitrogen - Generic",0.146,"Phosphorus - Generic",0.121,"Sulfur - Generic",0.116,"","","","","","","","","","","","","","";"Incitec Pivot Fertilisers","NPKS 19-13-0-9","kg",1,"","","",19,13,0,9,"Nitrogen - Generic",0.19,"Phosphorus - Generic",0.13,"Sulfur - Generic",0.09,"","","","","","","","","","","","","","";"Incitec Pivot Fertilisers","PastureBoosta","kg",1,"","","",23.8,3.7,13,4.1,"Nitrogen - Generic",0.238,"Phosphorus - Generic",0.037,"Potassium - Generic",0.13,"Sulfur - Generic",0.041,"","","","","","","","","","","","";"Incitec Pivot Fertilisers","Greentop K","kg",1,"","","",32.8,"",11,2.9,"Urea",0.66087,"Nitrogen - Ammoniacal",0.024,"Potassium - Generic",0.11,"Sulfur - Generic",0.029,"","","","","","","","","","","","";"Incitec Pivot Fertilisers","HayBoosta","kg",1,"","","",11.7,4.7,23.9,4.6,"Nitrogen - Generic",0.117,"Phosphorus - Generic",0.047,"Potassium - Generic",0.239,"Sulfur - Generic",0.046,"","","","","","","","","","","",""}, _xlpm.r, _xlpm.c))))</definedName>
    <definedName name="Fertiliser_SourceData.Fertiliser_Products_Data3" localSheetId="16">_xlfn.LAMBDA(_xlfn.MAKEARRAY(30, 31, _xlfn.LAMBDA(_xlpm.r,_xlpm.c, INDEX({"Yara Australia","YaraMila 21-7-3(4)","kg",1,"","","",21,7.4,2.5,4,"Nitrogen - Nitrate",0.105,"Nitrogen - Ammoniacal",0.105,"Phosphorus - Generic",0.074,"Sulfur - Generic",0.04,"Potassium - Generic",0.025,"Magnesium",0.004,"Zinc",0.0015,"","","","","","";"Yara Australia","YaraTera KRISTALON SCARLET","kg",1,"","","",7.5,"",29.9,4,"Potassium - Generic",0.299,"Nitrogen - Nitrate",0.052,"Sulfur - Generic",0.04,"Magnesium",0.027,"Nitrogen - Ammoniacal",0.023,"","","","","","","","","","";"Campbells fertilisers Australia","Solu-MAP","kg",1,"","","",10,21.9,"","","Monoammonium phosphate (MAP)",1,"","","","","","","","","","","","","","","","","","";"Campbells fertilisers Australia","Solu-Sam","kg",1,"","","",21,"","",24,"Sulphate of ammonia (SOA)",1,"","","","","","","","","","","","","","","","","","";"Campbells fertilisers Australia","Rustica Plus","kg",1,"","","",12,5,14,9.7,"Potassium - Generic",0.14,"Sulfur - Generic",0.097,"Nitrogen - Nitrate",0.06,"Nitrogen - Ammoniacal",0.06,"Phosphorus - Generic",0.05,"Calcium",0.031,"Magnesium",0.012,"Zinc",0.001,"Boron",0.0002,"","";"Campbells fertilisers Australia","Platinum Plus","kg",1,"","","",10,11,10,6,"Phosphorus - Generic",0.11,"Potassium - Generic",0.1,"Sulfur - Generic",0.06,"Nitrogen - Nitrate",0.05,"Nitrogen - Ammoniacal",0.05,"Calcium",0.043,"Magnesium",0.012,"Zinc",0.0036,"Boron",0.001,"","";"Campbells fertilisers Australia","Tropika","kg",1,"","","",11,2.6,20.8,4,"Nitrogen - Nitrate",0.055,"Nitrogen - Ammoniacal",0.055,"Phosphorus - Generic",0.026,"Potassium - Generic",0.208,"Sulfur - Generic",0.04,"Magnesium",0.024,"","","","","","","","";"Campbells fertilisers Australia","Rustica Nergetic","kg",1,"","","",12,5.2,14.1,9.6,"Potassium - Generic",0.141,"Sulfur - Generic",0.096,"Nitrogen - Nitrate",0.06,"Nitrogen - Ammoniacal",0.06,"Phosphorus - Generic",0.052,"Magnesium",0.012,"Zinc",0.0008,"Iron",0.0007,"Manganese",0.0006,"Boron",0.0002;"Campbells fertilisers Australia","Quick-N Nergetic","kg",1,"","","",25,"","",12.8,"Sulphate of ammonia (SOA)",0.533333,"Ammonium nitrate (AN)",0.409496,"Zinc",0.001,"Manganese",0.001,"Boron",0.0001,"Molybdenum",0.00001,"","","","","","","","";"FertPro Manufacturing Pty. Ltd.","(SSP) Single Super Fertiliser","kg",1,"","","","",8.8,"",11,"Single superphosphate (SSP)",1,"","","","","","","","","","","","","","","","","","";"Impact Fertilisers","ZincStar","kg",1,"","","",10,21.9,0,2,"Monoammonium phosphate (MAP)",1,"Zinc",0.01,"","","","","","","","","","","","","","","","";"Baileys (Simplot) [listed as Impact]","Apex GaIXe Low P 21-1-6","kg",1,"","","",21,0.86,5.8,4.2,"Nitrogen - Generic",0.21,"Potassium - Generic",0.058,"Sulfur - Generic",0.042,"Phosphorus - Generic",0.0086,"","","","","","","","","","","","";"Incitec Pivot Fertilisers","SuPerfect","kg",1,"","","","",8.8,"",11,"Single superphosphate (SSP)",1,"","","","","","","","","","","","","","","","","","";"Incitec Pivot Fertilisers [listed as Summit]","Big N","kg",1,"","","",82.35,"","","","Ammonia",1,"","","","","","","","","","","","","","","","","","";"Incitec Pivot Fertilisers","Entec Urea","kg",1,"Yes","","",46,"","","","Urea",1,"","","","","","","","","","","","","","","","","","";"Incitec Pivot Fertilisers (or Ravensdown - see note)","Flexi-N NI only","kg",1,"Yes","","",45.54,"","","","Urea",0.99,"Urease/nitrification inhibitor",0.01,"","","","","","","","","","","","","","","","";"Nutri-Tech Solutions (NTS)","Muriate Of Potash MOP","kg",1,"","","","","",50,"","Muriate of potash (MOP)",1,"","","","","","","","","","","","","","","","","","";"Nuturf","MAP NUTURF","kg",1,"","","",10,21.9,"","","Monoammonium phosphate (MAP)",1,"","","","","","","","","","","","","","","","","","";"Campbells fertilisers Australia","Quick-N","kg",1,"","","",26,"","",13,"Sulphate of ammonia (SOA)",0.541667,"Ammonium nitrate (AN)",0.433976,"","","","","","","","","","","","","","","","";"SLTEC Fertilizers","UAS","L",1.235,"","","",26.6,"","",6.7,"Urea",0.450815,"Sulphate of ammonia (SOA)",0.279167,"","","","","","","","","","","","","","","","";"SLTEC Fertilizers","Triazone Urea","L",1.28,"","","",0,"","","","Urea",0.652174,"","","","","","","","","","","","","","","","","","";"Marnco [listed as SLTEC]","Ammo 36N","kg",1,"","","",36,"","",9.6,"Nitrogen - Generic",0.36,"Sulfur - Generic",0.096,"","","","","","","","","","","","","","","","";"Risso-Chemical","Risso Liquid NPK (200-200-200)","L",1.3,"","","",20,8.73,16.6,"","Nitrogen - Generic",0.2,"Phosphorus - Generic",0.08728,"Potassium - Generic",0.16602,"","","","","","","","","","","","","","";"Turf Group Australia (Simplot)","Super Cal 15-0-12","kg",1,"","","",15,"",9.96,"","Nitrogen - Nitrate",0.084737,"Potassium - Generic",0.099612,"Calcium nitrate",0.421053,"Magnesium",0.005,"Boron",0.0002,"","","","","","","","","","";"Incitec Pivot Fertilisers","CK 88","kg",1,"","","",15.1,4.4,11.5,13.6,"Nitrogen - Generic",0.151,"Phosphorus - Generic",0.044,"Potassium - Generic",0.115,"Sulfur - Generic",0.136,"","","","","","","","","","","","";"Incitec Pivot Fertilisers","CropLift 15","kg",1,"","","",14.6,12.1,"",11.6,"Nitrogen - Generic",0.146,"Phosphorus - Generic",0.121,"Sulfur - Generic",0.116,"","","","","","","","","","","","","","";"Incitec Pivot Fertilisers","NPKS 19-13-0-9","kg",1,"","","",19,13,0,9,"Nitrogen - Generic",0.19,"Phosphorus - Generic",0.13,"Sulfur - Generic",0.09,"","","","","","","","","","","","","","";"Incitec Pivot Fertilisers","PastureBoosta","kg",1,"","","",23.8,3.7,13,4.1,"Nitrogen - Generic",0.238,"Phosphorus - Generic",0.037,"Potassium - Generic",0.13,"Sulfur - Generic",0.041,"","","","","","","","","","","","";"Incitec Pivot Fertilisers","Greentop K","kg",1,"","","",32.8,"",11,2.9,"Urea",0.66087,"Nitrogen - Ammoniacal",0.024,"Potassium - Generic",0.11,"Sulfur - Generic",0.029,"","","","","","","","","","","","";"Incitec Pivot Fertilisers","HayBoosta","kg",1,"","","",11.7,4.7,23.9,4.6,"Nitrogen - Generic",0.117,"Phosphorus - Generic",0.047,"Potassium - Generic",0.239,"Sulfur - Generic",0.046,"","","","","","","","","","","",""}, _xlpm.r, _xlpm.c))))</definedName>
    <definedName name="Fertiliser_SourceData.Fertiliser_Products_Data3" localSheetId="15">_xlfn.LAMBDA(_xlfn.MAKEARRAY(30, 31, _xlfn.LAMBDA(_xlpm.r,_xlpm.c, INDEX({"Yara Australia","YaraMila 21-7-3(4)","kg",1,"","","",21,7.4,2.5,4,"Nitrogen - Nitrate",0.105,"Nitrogen - Ammoniacal",0.105,"Phosphorus - Generic",0.074,"Sulfur - Generic",0.04,"Potassium - Generic",0.025,"Magnesium",0.004,"Zinc",0.0015,"","","","","","";"Yara Australia","YaraTera KRISTALON SCARLET","kg",1,"","","",7.5,"",29.9,4,"Potassium - Generic",0.299,"Nitrogen - Nitrate",0.052,"Sulfur - Generic",0.04,"Magnesium",0.027,"Nitrogen - Ammoniacal",0.023,"","","","","","","","","","";"Campbells fertilisers Australia","Solu-MAP","kg",1,"","","",10,21.9,"","","Monoammonium phosphate (MAP)",1,"","","","","","","","","","","","","","","","","","";"Campbells fertilisers Australia","Solu-Sam","kg",1,"","","",21,"","",24,"Sulphate of ammonia (SOA)",1,"","","","","","","","","","","","","","","","","","";"Campbells fertilisers Australia","Rustica Plus","kg",1,"","","",12,5,14,9.7,"Potassium - Generic",0.14,"Sulfur - Generic",0.097,"Nitrogen - Nitrate",0.06,"Nitrogen - Ammoniacal",0.06,"Phosphorus - Generic",0.05,"Calcium",0.031,"Magnesium",0.012,"Zinc",0.001,"Boron",0.0002,"","";"Campbells fertilisers Australia","Platinum Plus","kg",1,"","","",10,11,10,6,"Phosphorus - Generic",0.11,"Potassium - Generic",0.1,"Sulfur - Generic",0.06,"Nitrogen - Nitrate",0.05,"Nitrogen - Ammoniacal",0.05,"Calcium",0.043,"Magnesium",0.012,"Zinc",0.0036,"Boron",0.001,"","";"Campbells fertilisers Australia","Tropika","kg",1,"","","",11,2.6,20.8,4,"Nitrogen - Nitrate",0.055,"Nitrogen - Ammoniacal",0.055,"Phosphorus - Generic",0.026,"Potassium - Generic",0.208,"Sulfur - Generic",0.04,"Magnesium",0.024,"","","","","","","","";"Campbells fertilisers Australia","Rustica Nergetic","kg",1,"","","",12,5.2,14.1,9.6,"Potassium - Generic",0.141,"Sulfur - Generic",0.096,"Nitrogen - Nitrate",0.06,"Nitrogen - Ammoniacal",0.06,"Phosphorus - Generic",0.052,"Magnesium",0.012,"Zinc",0.0008,"Iron",0.0007,"Manganese",0.0006,"Boron",0.0002;"Campbells fertilisers Australia","Quick-N Nergetic","kg",1,"","","",25,"","",12.8,"Sulphate of ammonia (SOA)",0.533333,"Ammonium nitrate (AN)",0.409496,"Zinc",0.001,"Manganese",0.001,"Boron",0.0001,"Molybdenum",0.00001,"","","","","","","","";"FertPro Manufacturing Pty. Ltd.","(SSP) Single Super Fertiliser","kg",1,"","","","",8.8,"",11,"Single superphosphate (SSP)",1,"","","","","","","","","","","","","","","","","","";"Impact Fertilisers","ZincStar","kg",1,"","","",10,21.9,0,2,"Monoammonium phosphate (MAP)",1,"Zinc",0.01,"","","","","","","","","","","","","","","","";"Baileys (Simplot) [listed as Impact]","Apex GaIXe Low P 21-1-6","kg",1,"","","",21,0.86,5.8,4.2,"Nitrogen - Generic",0.21,"Potassium - Generic",0.058,"Sulfur - Generic",0.042,"Phosphorus - Generic",0.0086,"","","","","","","","","","","","";"Incitec Pivot Fertilisers","SuPerfect","kg",1,"","","","",8.8,"",11,"Single superphosphate (SSP)",1,"","","","","","","","","","","","","","","","","","";"Incitec Pivot Fertilisers [listed as Summit]","Big N","kg",1,"","","",82.35,"","","","Ammonia",1,"","","","","","","","","","","","","","","","","","";"Incitec Pivot Fertilisers","Entec Urea","kg",1,"Yes","","",46,"","","","Urea",1,"","","","","","","","","","","","","","","","","","";"Incitec Pivot Fertilisers (or Ravensdown - see note)","Flexi-N NI only","kg",1,"Yes","","",45.54,"","","","Urea",0.99,"Urease/nitrification inhibitor",0.01,"","","","","","","","","","","","","","","","";"Nutri-Tech Solutions (NTS)","Muriate Of Potash MOP","kg",1,"","","","","",50,"","Muriate of potash (MOP)",1,"","","","","","","","","","","","","","","","","","";"Nuturf","MAP NUTURF","kg",1,"","","",10,21.9,"","","Monoammonium phosphate (MAP)",1,"","","","","","","","","","","","","","","","","","";"Campbells fertilisers Australia","Quick-N","kg",1,"","","",26,"","",13,"Sulphate of ammonia (SOA)",0.541667,"Ammonium nitrate (AN)",0.433976,"","","","","","","","","","","","","","","","";"SLTEC Fertilizers","UAS","L",1.235,"","","",26.6,"","",6.7,"Urea",0.450815,"Sulphate of ammonia (SOA)",0.279167,"","","","","","","","","","","","","","","","";"SLTEC Fertilizers","Triazone Urea","L",1.28,"","","",0,"","","","Urea",0.652174,"","","","","","","","","","","","","","","","","","";"Marnco [listed as SLTEC]","Ammo 36N","kg",1,"","","",36,"","",9.6,"Nitrogen - Generic",0.36,"Sulfur - Generic",0.096,"","","","","","","","","","","","","","","","";"Risso-Chemical","Risso Liquid NPK (200-200-200)","L",1.3,"","","",20,8.73,16.6,"","Nitrogen - Generic",0.2,"Phosphorus - Generic",0.08728,"Potassium - Generic",0.16602,"","","","","","","","","","","","","","";"Turf Group Australia (Simplot)","Super Cal 15-0-12","kg",1,"","","",15,"",9.96,"","Nitrogen - Nitrate",0.084737,"Potassium - Generic",0.099612,"Calcium nitrate",0.421053,"Magnesium",0.005,"Boron",0.0002,"","","","","","","","","","";"Incitec Pivot Fertilisers","CK 88","kg",1,"","","",15.1,4.4,11.5,13.6,"Nitrogen - Generic",0.151,"Phosphorus - Generic",0.044,"Potassium - Generic",0.115,"Sulfur - Generic",0.136,"","","","","","","","","","","","";"Incitec Pivot Fertilisers","CropLift 15","kg",1,"","","",14.6,12.1,"",11.6,"Nitrogen - Generic",0.146,"Phosphorus - Generic",0.121,"Sulfur - Generic",0.116,"","","","","","","","","","","","","","";"Incitec Pivot Fertilisers","NPKS 19-13-0-9","kg",1,"","","",19,13,0,9,"Nitrogen - Generic",0.19,"Phosphorus - Generic",0.13,"Sulfur - Generic",0.09,"","","","","","","","","","","","","","";"Incitec Pivot Fertilisers","PastureBoosta","kg",1,"","","",23.8,3.7,13,4.1,"Nitrogen - Generic",0.238,"Phosphorus - Generic",0.037,"Potassium - Generic",0.13,"Sulfur - Generic",0.041,"","","","","","","","","","","","";"Incitec Pivot Fertilisers","Greentop K","kg",1,"","","",32.8,"",11,2.9,"Urea",0.66087,"Nitrogen - Ammoniacal",0.024,"Potassium - Generic",0.11,"Sulfur - Generic",0.029,"","","","","","","","","","","","";"Incitec Pivot Fertilisers","HayBoosta","kg",1,"","","",11.7,4.7,23.9,4.6,"Nitrogen - Generic",0.117,"Phosphorus - Generic",0.047,"Potassium - Generic",0.239,"Sulfur - Generic",0.046,"","","","","","","","","","","",""}, _xlpm.r, _xlpm.c))))</definedName>
    <definedName name="Fertiliser_SourceData.Fertiliser_Products_Data3" localSheetId="18">_xlfn.LAMBDA(_xlfn.MAKEARRAY(30, 31, _xlfn.LAMBDA(_xlpm.r,_xlpm.c, INDEX({"Yara Australia","YaraMila 21-7-3(4)","kg",1,"","","",21,7.4,2.5,4,"Nitrogen - Nitrate",0.105,"Nitrogen - Ammoniacal",0.105,"Phosphorus - Generic",0.074,"Sulfur - Generic",0.04,"Potassium - Generic",0.025,"Magnesium",0.004,"Zinc",0.0015,"","","","","","";"Yara Australia","YaraTera KRISTALON SCARLET","kg",1,"","","",7.5,"",29.9,4,"Potassium - Generic",0.299,"Nitrogen - Nitrate",0.052,"Sulfur - Generic",0.04,"Magnesium",0.027,"Nitrogen - Ammoniacal",0.023,"","","","","","","","","","";"Campbells fertilisers Australia","Solu-MAP","kg",1,"","","",10,21.9,"","","Monoammonium phosphate (MAP)",1,"","","","","","","","","","","","","","","","","","";"Campbells fertilisers Australia","Solu-Sam","kg",1,"","","",21,"","",24,"Sulphate of ammonia (SOA)",1,"","","","","","","","","","","","","","","","","","";"Campbells fertilisers Australia","Rustica Plus","kg",1,"","","",12,5,14,9.7,"Potassium - Generic",0.14,"Sulfur - Generic",0.097,"Nitrogen - Nitrate",0.06,"Nitrogen - Ammoniacal",0.06,"Phosphorus - Generic",0.05,"Calcium",0.031,"Magnesium",0.012,"Zinc",0.001,"Boron",0.0002,"","";"Campbells fertilisers Australia","Platinum Plus","kg",1,"","","",10,11,10,6,"Phosphorus - Generic",0.11,"Potassium - Generic",0.1,"Sulfur - Generic",0.06,"Nitrogen - Nitrate",0.05,"Nitrogen - Ammoniacal",0.05,"Calcium",0.043,"Magnesium",0.012,"Zinc",0.0036,"Boron",0.001,"","";"Campbells fertilisers Australia","Tropika","kg",1,"","","",11,2.6,20.8,4,"Nitrogen - Nitrate",0.055,"Nitrogen - Ammoniacal",0.055,"Phosphorus - Generic",0.026,"Potassium - Generic",0.208,"Sulfur - Generic",0.04,"Magnesium",0.024,"","","","","","","","";"Campbells fertilisers Australia","Rustica Nergetic","kg",1,"","","",12,5.2,14.1,9.6,"Potassium - Generic",0.141,"Sulfur - Generic",0.096,"Nitrogen - Nitrate",0.06,"Nitrogen - Ammoniacal",0.06,"Phosphorus - Generic",0.052,"Magnesium",0.012,"Zinc",0.0008,"Iron",0.0007,"Manganese",0.0006,"Boron",0.0002;"Campbells fertilisers Australia","Quick-N Nergetic","kg",1,"","","",25,"","",12.8,"Sulphate of ammonia (SOA)",0.533333,"Ammonium nitrate (AN)",0.409496,"Zinc",0.001,"Manganese",0.001,"Boron",0.0001,"Molybdenum",0.00001,"","","","","","","","";"FertPro Manufacturing Pty. Ltd.","(SSP) Single Super Fertiliser","kg",1,"","","","",8.8,"",11,"Single superphosphate (SSP)",1,"","","","","","","","","","","","","","","","","","";"Impact Fertilisers","ZincStar","kg",1,"","","",10,21.9,0,2,"Monoammonium phosphate (MAP)",1,"Zinc",0.01,"","","","","","","","","","","","","","","","";"Baileys (Simplot) [listed as Impact]","Apex GaIXe Low P 21-1-6","kg",1,"","","",21,0.86,5.8,4.2,"Nitrogen - Generic",0.21,"Potassium - Generic",0.058,"Sulfur - Generic",0.042,"Phosphorus - Generic",0.0086,"","","","","","","","","","","","";"Incitec Pivot Fertilisers","SuPerfect","kg",1,"","","","",8.8,"",11,"Single superphosphate (SSP)",1,"","","","","","","","","","","","","","","","","","";"Incitec Pivot Fertilisers [listed as Summit]","Big N","kg",1,"","","",82.35,"","","","Ammonia",1,"","","","","","","","","","","","","","","","","","";"Incitec Pivot Fertilisers","Entec Urea","kg",1,"Yes","","",46,"","","","Urea",1,"","","","","","","","","","","","","","","","","","";"Incitec Pivot Fertilisers (or Ravensdown - see note)","Flexi-N NI only","kg",1,"Yes","","",45.54,"","","","Urea",0.99,"Urease/nitrification inhibitor",0.01,"","","","","","","","","","","","","","","","";"Nutri-Tech Solutions (NTS)","Muriate Of Potash MOP","kg",1,"","","","","",50,"","Muriate of potash (MOP)",1,"","","","","","","","","","","","","","","","","","";"Nuturf","MAP NUTURF","kg",1,"","","",10,21.9,"","","Monoammonium phosphate (MAP)",1,"","","","","","","","","","","","","","","","","","";"Campbells fertilisers Australia","Quick-N","kg",1,"","","",26,"","",13,"Sulphate of ammonia (SOA)",0.541667,"Ammonium nitrate (AN)",0.433976,"","","","","","","","","","","","","","","","";"SLTEC Fertilizers","UAS","L",1.235,"","","",26.6,"","",6.7,"Urea",0.450815,"Sulphate of ammonia (SOA)",0.279167,"","","","","","","","","","","","","","","","";"SLTEC Fertilizers","Triazone Urea","L",1.28,"","","",0,"","","","Urea",0.652174,"","","","","","","","","","","","","","","","","","";"Marnco [listed as SLTEC]","Ammo 36N","kg",1,"","","",36,"","",9.6,"Nitrogen - Generic",0.36,"Sulfur - Generic",0.096,"","","","","","","","","","","","","","","","";"Risso-Chemical","Risso Liquid NPK (200-200-200)","L",1.3,"","","",20,8.73,16.6,"","Nitrogen - Generic",0.2,"Phosphorus - Generic",0.08728,"Potassium - Generic",0.16602,"","","","","","","","","","","","","","";"Turf Group Australia (Simplot)","Super Cal 15-0-12","kg",1,"","","",15,"",9.96,"","Nitrogen - Nitrate",0.084737,"Potassium - Generic",0.099612,"Calcium nitrate",0.421053,"Magnesium",0.005,"Boron",0.0002,"","","","","","","","","","";"Incitec Pivot Fertilisers","CK 88","kg",1,"","","",15.1,4.4,11.5,13.6,"Nitrogen - Generic",0.151,"Phosphorus - Generic",0.044,"Potassium - Generic",0.115,"Sulfur - Generic",0.136,"","","","","","","","","","","","";"Incitec Pivot Fertilisers","CropLift 15","kg",1,"","","",14.6,12.1,"",11.6,"Nitrogen - Generic",0.146,"Phosphorus - Generic",0.121,"Sulfur - Generic",0.116,"","","","","","","","","","","","","","";"Incitec Pivot Fertilisers","NPKS 19-13-0-9","kg",1,"","","",19,13,0,9,"Nitrogen - Generic",0.19,"Phosphorus - Generic",0.13,"Sulfur - Generic",0.09,"","","","","","","","","","","","","","";"Incitec Pivot Fertilisers","PastureBoosta","kg",1,"","","",23.8,3.7,13,4.1,"Nitrogen - Generic",0.238,"Phosphorus - Generic",0.037,"Potassium - Generic",0.13,"Sulfur - Generic",0.041,"","","","","","","","","","","","";"Incitec Pivot Fertilisers","Greentop K","kg",1,"","","",32.8,"",11,2.9,"Urea",0.66087,"Nitrogen - Ammoniacal",0.024,"Potassium - Generic",0.11,"Sulfur - Generic",0.029,"","","","","","","","","","","","";"Incitec Pivot Fertilisers","HayBoosta","kg",1,"","","",11.7,4.7,23.9,4.6,"Nitrogen - Generic",0.117,"Phosphorus - Generic",0.047,"Potassium - Generic",0.239,"Sulfur - Generic",0.046,"","","","","","","","","","","",""}, _xlpm.r, _xlpm.c))))</definedName>
    <definedName name="Fertiliser_SourceData.Fertiliser_Products_Data3">_xlfn.LAMBDA(_xlfn.MAKEARRAY(31, 20, _xlfn.LAMBDA(_xlpm.r,_xlpm.c, INDEX({"Product","Ingredient 1","Ingredient 1 percent","Ingredient 1 source","Ingredient 2","Ingredient 2 percent","Ingredient 2 source","Ingredient 3","Ingredient 3 percent","Ingredient 3 source","Ingredient 4","Ingredient 4 percent","Ingredient 4 source","Ingredient 5","Ingredient 5 percent","Ingredient 5 source","Ingredient 6","Ingredient 6 percent","Ingredient 6 source","Product info link";"Yara K-Flow 0-0-15","","","","","","","","","","","","","","","","","","","Crop Nutrition Solutions (Yara Australia)";"Yara K-Flow 0-14-30","","","","","","","","","","","","","","","","","","","Crop Nutrition Solutions (Yara Australia)";"Yara K-Flow 0-7-36","","","","","","","","","","","","","","","","","","","Crop Nutrition Solutions (Yara Australia)";"Yara K-Flow 13-0-7","","","","","","","","","","","","","","","","","","","Crop Nutrition Solutions (Yara Australia)";"Yara K-Flow 4-0-12","","","","","","","","","","","","","","","","","","","Crop Nutrition Solutions (Yara Australia)";"Yara Liquids MICRO-SUL","","","","","","","","","","","","","","","","","","","Crop Nutrition Solutions (Yara Australia)";"Yara Liquids N24","","","","","","","","","","","","","","","","","","","Crop Nutrition Solutions (Yara Australia)";"Yara Liquids N25","","","","","","","","","","","","","","","","","","","Crop Nutrition Solutions (Yara Australia)";"Yara Liquids N26","","","","","","","","","","","","","","","","","","","Crop Nutrition Solutions (Yara Australia)";"Yara Liquids N42","","","","","","","","","","","","","","","","","","","Crop Nutrition Solutions (Yara Australia)";"Yara Liquids N-CAL 15+18Ca","","","","","","","","","","","","","","","","","","","Crop Nutrition Solutions (Yara Australia)";"Yara Liquids N-CAL 20+10Ca+B","","","","","","","","","","","","","","","","","","","Crop Nutrition Solutions (Yara Australia)";"Yara Liquids N-CAL 35+6Ca","","","","","","","","","","","","","","","","","","","Crop Nutrition Solutions (Yara Australia)";"Yara Liquids N-FOL 24","","","","","","","","","","","","","","","","","","","Crop Nutrition Solutions (Yara Australia)";"Yara Liquids N-FOL 24+TE","","","","","","","","","","","","","","","","","","","Crop Nutrition Solutions (Yara Australia)";"Yara Liquids P-FOL Zinc","","","","","","","","","","","","","","","","","","","Crop Nutrition Solutions (Yara Australia)";"Yara Liquids SULSA 11-0-0+12S","","","","","","","","","","","","","","","","","","","Crop Nutrition Solutions (Yara Australia)";"Yara Liquids SULSA 24-3-0+6S","","","","","","","","","","","","","","","","","","","Crop Nutrition Solutions (Yara Australia)";"Yara Liquids SULSA 27-0-0+7S","","","","","","","","","","","","","","","","","","","Crop Nutrition Solutions (Yara Australia)";"Yara Liquids SULSA 36-0-0+3S","","","","","","","","","","","","","","","","","","","Crop Nutrition Solutions (Yara Australia)";"YaraLiva CALCINIT B","","","","","","","","","","","","","","","","","","","Crop Nutrition Solutions (Yara Australia)";"YaraLiva NITRABOR","","","","","","","","","","","","","","","","","","","YaraLiva NITRABOR | Yara Australia";"YaraLiva TROPICOTE","","","","","","","","","","","","","","","","","","","Crop Nutrition Solutions (Yara Australia)";"YaraMila Complex","","","","","","","","","","","","","","","","","","","Crop Nutrition Solutions (Yara Australia)";"YaraMila Complex 17-5-10(4)","","","","","","","","","","","","","","","","","","","Crop Nutrition Solutions (Yara Australia)";"YaraMila Complex 21-7-3(4)","","","","","","","","","","","","","","","","","","","Crop Nutrition Solutions (Yara Australia)";"YaraMila UNIVERSAL","","","","","","","","","","","","","","","","","","","Crop Nutrition Solutions (Yara Australia)";"YaraRega 13-2-21","","","","","","","","","","","","","","","","","","","Crop Nutrition Solutions (Yara Australia)";"YaraVita BORTRAC","","","","","","","","","","","","","","","","","","","Crop Nutrition Solutions (Yara Australia)";"YaraVita BRASSITREL DF","","","","","","","","","","","","","","","","","","","Crop Nutrition Solutions (Yara Australia)"}, _xlpm.r, _xlpm.c))))</definedName>
    <definedName name="Fertiliser_SourceData.Fertiliser_Products_Data4" localSheetId="37">_xlfn.LAMBDA(_xlfn.MAKEARRAY(30, 31, _xlfn.LAMBDA(_xlpm.r,_xlpm.c, INDEX({"Impact Fertilisers","Impact Super Potash 1&amp;1","kg",1,"","","","",4.4,25,5.5,"Single superphosphate (SSP)",0.5,"Muriate of potash (MOP)",0.5,"","","","","","","","","","","","","","","","";"Impact Fertilisers","Impact Super Potash 2&amp;1","kg",1,"","","","",5.84,16.8,7.29,"Single superphosphate (SSP)",0.663158,"Muriate of potash (MOP)",0.336,"","","","","","","","","","","","","","","","";"Impact Fertilisers","Impact Super Potash 3&amp;1","kg",1,"","","","",6.58,12.5,8.22,"Single superphosphate (SSP)",0.747368,"Muriate of potash (MOP)",0.25,"","","","","","","","","","","","","","","","";"Impact Fertilisers","Impact Super Potash 4&amp;1","kg",1,"","","","",7.04,10,8.8,"Single superphosphate (SSP)",0.8,"Muriate of potash (MOP)",0.2,"","","","","","","","","","","","","","","","";"Impact Fertilisers","Impact Super Potash 5&amp;1","kg",1,"","","","",7.32,8.4,9.15,"Single superphosphate (SSP)",0.831579,"Muriate of potash (MOP)",0.168,"","","","","","","","","","","","","","","","";"Pacific Fertiliser / Incitec Pivot Fertilisers","Cal-Gran","kg",1,"","","",23.9,"","",10.8,"Nitrogen - Nitrate",0.074,"Nitrogen - Ammoniacal",0.165,"Sulfur - Generic",0.108,"Calcium",0.044,"","","","","","","","","","","","";"Pacific Fertiliser / Incitec Pivot Fertilisers","Cal-Gran 50/50","kg",1,"","","",17.9,"",15,3.6,"Nitrogen - Nitrate",0.055,"Nitrogen - Ammoniacal",0.124,"Potassium - Generic",0.15,"Sulfur - Generic",0.036,"Calcium",0.044,"","","","","","","","","","";"Pacific Fertiliser / Incitec Pivot Fertilisers","Cal-Gran 50/50 (S)","kg",1,"","","",16.9,"",14.4,8.7,"Nitrogen - Nitrate",0.052,"Nitrogen - Ammoniacal",0.117,"Potassium - Generic",0.144,"Sulfur - Generic",0.087,"Calcium",0.044,"","","","","","","","","","";"Pacific Fertiliser / Incitec Pivot Fertilisers","Cal-Gran 130","kg",1,"","","",18.8,1,12.5,3.7,"Nitrogen - Nitrate",0.058,"Nitrogen - Ammoniacal",0.13,"Phosphorus - Generic",0.01,"Potassium - Generic",0.125,"Sulfur - Generic",0.037,"Calcium",0.044,"","","","","","","","";"Pacific Fertiliser / Incitec Pivot Fertilisers","Cal-Gran 150","kg",1,"","","",18.6,3,12.5,1.4,"Nitrogen - Nitrate",0.058,"Nitrogen - Ammoniacal",0.128,"Phosphorus - Generic",0.03,"Potassium - Generic",0.125,"Sulfur - Generic",0.014,"Calcium",0.044,"","","","","","","","";"Pacific Fertiliser / Incitec Pivot Fertilisers","Cal-Gran Extra K","kg",1,"","","",15.8,"",19,3.2,"Nitrogen - Nitrate",0.049,"Nitrogen - Ammoniacal",0.109,"Potassium - Generic",0.19,"Sulfur - Generic",0.032,"Calcium",0.039,"","","","","","","","","","";"Incitec Pivot Fertilisers","Dairy Pro","kg",1,"","","",25.9,3.9,15.9,0.3,"Nitrogen - Generic",0.259,"Phosphorus - Generic",0.039,"Potassium - Generic",0.159,"Sulfur - Generic",0.003,"","","","","","","","","","","","";"Yara Australia","YaraMila ACTYVA S","kg",1,"","","",15.6,6.37,12.45,2.6,"Nitrogen - Nitrate",0.058,"Nitrogen - Ammoniacal",0.098,"Phosphorus - Generic",0.063714,"Potassium - Generic",0.124515,"Sulfur - Generic",0.026,"","","","","","","","","","";"CSBP","Agflow Extra","kg",1,"","","",11.15,17.52,"",3.6,"Monoammonium phosphate (MAP)",0.8,"Sulphate of ammonia (SOA)",0.15,"Copper","No data","Molybdenum","No data","Zinc","No data","","","","","","","","","","";"CSBP","Super &amp; Potash 3:1","kg",1,"","","","",5.5,15,6.88,"Single superphosphate (SSP)",0.625,"Muriate of potash (MOP)",0.3,"","","","","","","","","","","","","","","","";"Yara","YaraBela CAN-27","kg",1,"","","",27,"","","","Calcium ammonium nitrate (CAN)",1,"","","","","","","","","","","","","","","","","","";"Incitec Pivot Fertilisers","Cal-Gran Aftergraze","kg",1,"","","",20.6,3,7.5,3.8,"Nitrogen - Nitrate",0.064,"Nitrogen - Ammoniacal",0.142,"Phosphorus - Generic",0.03,"Potassium - Generic",0.075,"Sulfur - Generic",0.038,"Calcium",0.044,"","","","","","","","";"Incitec Pivot Fertilisers","Cal-Gran Prodress","kg",1,"","","",17.8,1,15,2.5,"Nitrogen - Nitrate",0.055,"Nitrogen - Ammoniacal",0.123,"Phosphorus - Generic",0.01,"Potassium - Generic",0.15,"Sulfur - Generic",0.025,"Calcium",0.044,"","","","","","","","";"Wengfu Australia","Wengfu PrimeZinc 10","kg",1,"","","",10,22,"",1.5,"Nitrogen - Generic",0.1,"Phosphorus - Generic",0.22,"Sulfur - Generic",0.015,"Zinc",0.01,"","","","","","","","","","","","";"Wengfu Australia","Wengfu Pasture King","kg",1,"","","","",15.7,"",4.6,"Phosphorus - Generic",0.157,"Sulfur - Generic",0.046,"Calcium",0.14,"","","","","","","","","","","","","","";"Wengfu Australia","Wengfu SuStain","kg",1,"","","","","","",90,"Sulfur - Generic",0.9,"","","","","","","","","","","","","","","","","","";"Wengfu Australia","Wengfu Slam","kg",1,"","","",19.5,0.7,"",23,"Nitrogen - Generic",0.195,"Phosphorus - Generic",0.007,"Sulfur - Generic",0.23,"","","","","","","","","","","","","","";"Wengfu Australia","Wengfu Prime MSZ","kg",1,"","","",10,18,"",8,"Nitrogen - Generic",0.1,"Phosphorus - Generic",0.18,"Sulfur - Generic",0.08,"Zinc",0.005,"","","","","","","","","","","","";"Wengfu Australia","Wengfu 9-20-0-10 MAP SuStain","kg",1,"","","",9,19.8,0,10.4,"Nitrogen - Generic",0.09,"Phosphorus - Generic",0.198,"Sulfur - Generic",0.104,"","","","","","","","","","","","","","";"Wengfu Australia","Wengfu 15-17-0-15 DAP SuStain","kg",1,"","","",15.2,16.9,0,15.2,"Nitrogen - Generic",0.152,"Phosphorus - Generic",0.169,"Sulfur - Generic",0.152,"","","","","","","","","","","","","","";"Wengfu Australia","Wengfu 16-18-0-10 DAP SuStain","kg",1,"","","",16.2,18,0,10.4,"Nitrogen - Generic",0.162,"Phosphorus - Generic",0.18,"Sulfur - Generic",0.104,"","","","","","","","","","","","","","";"Wengfu Australia","Wengfu 5-15-0-6 Fast Start Legume","kg",1,"","","",5,15.4,0,6.3,"Nitrogen - Generic",0.05,"Phosphorus - Generic",0.154,"Sulfur - Generic",0.063,"","","","","","","","","","","","","","";"Wengfu Australia","Wengfu 9-20-0-10 PrimeZinc","kg",1,"","","",9,19.8,0,10.4,"Nitrogen - Generic",0.09,"Phosphorus - Generic",0.198,"Sulfur - Generic",0.104,"Zinc",0.009,"","","","","","","","","","","","";"Wengfu Australia","Wengfu 12-18-0-6 PrimeZinc","kg",1,"","","",11.9,17.6,0,5.9,"Nitrogen - Generic",0.119,"Phosphorus - Generic",0.176,"Sulfur - Generic",0.059,"Zinc",0.008,"","","","","","","","","","","","";"Wengfu Australia","Wengfu 14-13-0-11 PrimeZinc","kg",1,"","","",14.1,12.8,0,10.7,"Nitrogen - Generic",0.141,"Phosphorus - Generic",0.128,"Sulfur - Generic",0.107,"Zinc",0.006,"","","","","","","","","","","",""}, _xlpm.r, _xlpm.c))))</definedName>
    <definedName name="Fertiliser_SourceData.Fertiliser_Products_Data4" localSheetId="25">_xlfn.LAMBDA(_xlfn.MAKEARRAY(30, 31, _xlfn.LAMBDA(_xlpm.r,_xlpm.c, INDEX({"Impact Fertilisers","Impact Super Potash 1&amp;1","kg",1,"","","","",4.4,25,5.5,"Single superphosphate (SSP)",0.5,"Muriate of potash (MOP)",0.5,"","","","","","","","","","","","","","","","";"Impact Fertilisers","Impact Super Potash 2&amp;1","kg",1,"","","","",5.84,16.8,7.29,"Single superphosphate (SSP)",0.663158,"Muriate of potash (MOP)",0.336,"","","","","","","","","","","","","","","","";"Impact Fertilisers","Impact Super Potash 3&amp;1","kg",1,"","","","",6.58,12.5,8.22,"Single superphosphate (SSP)",0.747368,"Muriate of potash (MOP)",0.25,"","","","","","","","","","","","","","","","";"Impact Fertilisers","Impact Super Potash 4&amp;1","kg",1,"","","","",7.04,10,8.8,"Single superphosphate (SSP)",0.8,"Muriate of potash (MOP)",0.2,"","","","","","","","","","","","","","","","";"Impact Fertilisers","Impact Super Potash 5&amp;1","kg",1,"","","","",7.32,8.4,9.15,"Single superphosphate (SSP)",0.831579,"Muriate of potash (MOP)",0.168,"","","","","","","","","","","","","","","","";"Pacific Fertiliser / Incitec Pivot Fertilisers","Cal-Gran","kg",1,"","","",23.9,"","",10.8,"Nitrogen - Nitrate",0.074,"Nitrogen - Ammoniacal",0.165,"Sulfur - Generic",0.108,"Calcium",0.044,"","","","","","","","","","","","";"Pacific Fertiliser / Incitec Pivot Fertilisers","Cal-Gran 50/50","kg",1,"","","",17.9,"",15,3.6,"Nitrogen - Nitrate",0.055,"Nitrogen - Ammoniacal",0.124,"Potassium - Generic",0.15,"Sulfur - Generic",0.036,"Calcium",0.044,"","","","","","","","","","";"Pacific Fertiliser / Incitec Pivot Fertilisers","Cal-Gran 50/50 (S)","kg",1,"","","",16.9,"",14.4,8.7,"Nitrogen - Nitrate",0.052,"Nitrogen - Ammoniacal",0.117,"Potassium - Generic",0.144,"Sulfur - Generic",0.087,"Calcium",0.044,"","","","","","","","","","";"Pacific Fertiliser / Incitec Pivot Fertilisers","Cal-Gran 130","kg",1,"","","",18.8,1,12.5,3.7,"Nitrogen - Nitrate",0.058,"Nitrogen - Ammoniacal",0.13,"Phosphorus - Generic",0.01,"Potassium - Generic",0.125,"Sulfur - Generic",0.037,"Calcium",0.044,"","","","","","","","";"Pacific Fertiliser / Incitec Pivot Fertilisers","Cal-Gran 150","kg",1,"","","",18.6,3,12.5,1.4,"Nitrogen - Nitrate",0.058,"Nitrogen - Ammoniacal",0.128,"Phosphorus - Generic",0.03,"Potassium - Generic",0.125,"Sulfur - Generic",0.014,"Calcium",0.044,"","","","","","","","";"Pacific Fertiliser / Incitec Pivot Fertilisers","Cal-Gran Extra K","kg",1,"","","",15.8,"",19,3.2,"Nitrogen - Nitrate",0.049,"Nitrogen - Ammoniacal",0.109,"Potassium - Generic",0.19,"Sulfur - Generic",0.032,"Calcium",0.039,"","","","","","","","","","";"Incitec Pivot Fertilisers","Dairy Pro","kg",1,"","","",25.9,3.9,15.9,0.3,"Nitrogen - Generic",0.259,"Phosphorus - Generic",0.039,"Potassium - Generic",0.159,"Sulfur - Generic",0.003,"","","","","","","","","","","","";"Yara Australia","YaraMila ACTYVA S","kg",1,"","","",15.6,6.37,12.45,2.6,"Nitrogen - Nitrate",0.058,"Nitrogen - Ammoniacal",0.098,"Phosphorus - Generic",0.063714,"Potassium - Generic",0.124515,"Sulfur - Generic",0.026,"","","","","","","","","","";"CSBP","Agflow Extra","kg",1,"","","",11.15,17.52,"",3.6,"Monoammonium phosphate (MAP)",0.8,"Sulphate of ammonia (SOA)",0.15,"Copper","No data","Molybdenum","No data","Zinc","No data","","","","","","","","","","";"CSBP","Super &amp; Potash 3:1","kg",1,"","","","",5.5,15,6.88,"Single superphosphate (SSP)",0.625,"Muriate of potash (MOP)",0.3,"","","","","","","","","","","","","","","","";"Yara","YaraBela CAN-27","kg",1,"","","",27,"","","","Calcium ammonium nitrate (CAN)",1,"","","","","","","","","","","","","","","","","","";"Incitec Pivot Fertilisers","Cal-Gran Aftergraze","kg",1,"","","",20.6,3,7.5,3.8,"Nitrogen - Nitrate",0.064,"Nitrogen - Ammoniacal",0.142,"Phosphorus - Generic",0.03,"Potassium - Generic",0.075,"Sulfur - Generic",0.038,"Calcium",0.044,"","","","","","","","";"Incitec Pivot Fertilisers","Cal-Gran Prodress","kg",1,"","","",17.8,1,15,2.5,"Nitrogen - Nitrate",0.055,"Nitrogen - Ammoniacal",0.123,"Phosphorus - Generic",0.01,"Potassium - Generic",0.15,"Sulfur - Generic",0.025,"Calcium",0.044,"","","","","","","","";"Wengfu Australia","Wengfu PrimeZinc 10","kg",1,"","","",10,22,"",1.5,"Nitrogen - Generic",0.1,"Phosphorus - Generic",0.22,"Sulfur - Generic",0.015,"Zinc",0.01,"","","","","","","","","","","","";"Wengfu Australia","Wengfu Pasture King","kg",1,"","","","",15.7,"",4.6,"Phosphorus - Generic",0.157,"Sulfur - Generic",0.046,"Calcium",0.14,"","","","","","","","","","","","","","";"Wengfu Australia","Wengfu SuStain","kg",1,"","","","","","",90,"Sulfur - Generic",0.9,"","","","","","","","","","","","","","","","","","";"Wengfu Australia","Wengfu Slam","kg",1,"","","",19.5,0.7,"",23,"Nitrogen - Generic",0.195,"Phosphorus - Generic",0.007,"Sulfur - Generic",0.23,"","","","","","","","","","","","","","";"Wengfu Australia","Wengfu Prime MSZ","kg",1,"","","",10,18,"",8,"Nitrogen - Generic",0.1,"Phosphorus - Generic",0.18,"Sulfur - Generic",0.08,"Zinc",0.005,"","","","","","","","","","","","";"Wengfu Australia","Wengfu 9-20-0-10 MAP SuStain","kg",1,"","","",9,19.8,0,10.4,"Nitrogen - Generic",0.09,"Phosphorus - Generic",0.198,"Sulfur - Generic",0.104,"","","","","","","","","","","","","","";"Wengfu Australia","Wengfu 15-17-0-15 DAP SuStain","kg",1,"","","",15.2,16.9,0,15.2,"Nitrogen - Generic",0.152,"Phosphorus - Generic",0.169,"Sulfur - Generic",0.152,"","","","","","","","","","","","","","";"Wengfu Australia","Wengfu 16-18-0-10 DAP SuStain","kg",1,"","","",16.2,18,0,10.4,"Nitrogen - Generic",0.162,"Phosphorus - Generic",0.18,"Sulfur - Generic",0.104,"","","","","","","","","","","","","","";"Wengfu Australia","Wengfu 5-15-0-6 Fast Start Legume","kg",1,"","","",5,15.4,0,6.3,"Nitrogen - Generic",0.05,"Phosphorus - Generic",0.154,"Sulfur - Generic",0.063,"","","","","","","","","","","","","","";"Wengfu Australia","Wengfu 9-20-0-10 PrimeZinc","kg",1,"","","",9,19.8,0,10.4,"Nitrogen - Generic",0.09,"Phosphorus - Generic",0.198,"Sulfur - Generic",0.104,"Zinc",0.009,"","","","","","","","","","","","";"Wengfu Australia","Wengfu 12-18-0-6 PrimeZinc","kg",1,"","","",11.9,17.6,0,5.9,"Nitrogen - Generic",0.119,"Phosphorus - Generic",0.176,"Sulfur - Generic",0.059,"Zinc",0.008,"","","","","","","","","","","","";"Wengfu Australia","Wengfu 14-13-0-11 PrimeZinc","kg",1,"","","",14.1,12.8,0,10.7,"Nitrogen - Generic",0.141,"Phosphorus - Generic",0.128,"Sulfur - Generic",0.107,"Zinc",0.006,"","","","","","","","","","","",""}, _xlpm.r, _xlpm.c))))</definedName>
    <definedName name="Fertiliser_SourceData.Fertiliser_Products_Data4" localSheetId="26">_xlfn.LAMBDA(_xlfn.MAKEARRAY(30, 31, _xlfn.LAMBDA(_xlpm.r,_xlpm.c, INDEX({"Impact Fertilisers","Impact Super Potash 1&amp;1","kg",1,"","","","",4.4,25,5.5,"Single superphosphate (SSP)",0.5,"Muriate of potash (MOP)",0.5,"","","","","","","","","","","","","","","","";"Impact Fertilisers","Impact Super Potash 2&amp;1","kg",1,"","","","",5.84,16.8,7.29,"Single superphosphate (SSP)",0.663158,"Muriate of potash (MOP)",0.336,"","","","","","","","","","","","","","","","";"Impact Fertilisers","Impact Super Potash 3&amp;1","kg",1,"","","","",6.58,12.5,8.22,"Single superphosphate (SSP)",0.747368,"Muriate of potash (MOP)",0.25,"","","","","","","","","","","","","","","","";"Impact Fertilisers","Impact Super Potash 4&amp;1","kg",1,"","","","",7.04,10,8.8,"Single superphosphate (SSP)",0.8,"Muriate of potash (MOP)",0.2,"","","","","","","","","","","","","","","","";"Impact Fertilisers","Impact Super Potash 5&amp;1","kg",1,"","","","",7.32,8.4,9.15,"Single superphosphate (SSP)",0.831579,"Muriate of potash (MOP)",0.168,"","","","","","","","","","","","","","","","";"Pacific Fertiliser / Incitec Pivot Fertilisers","Cal-Gran","kg",1,"","","",23.9,"","",10.8,"Nitrogen - Nitrate",0.074,"Nitrogen - Ammoniacal",0.165,"Sulfur - Generic",0.108,"Calcium",0.044,"","","","","","","","","","","","";"Pacific Fertiliser / Incitec Pivot Fertilisers","Cal-Gran 50/50","kg",1,"","","",17.9,"",15,3.6,"Nitrogen - Nitrate",0.055,"Nitrogen - Ammoniacal",0.124,"Potassium - Generic",0.15,"Sulfur - Generic",0.036,"Calcium",0.044,"","","","","","","","","","";"Pacific Fertiliser / Incitec Pivot Fertilisers","Cal-Gran 50/50 (S)","kg",1,"","","",16.9,"",14.4,8.7,"Nitrogen - Nitrate",0.052,"Nitrogen - Ammoniacal",0.117,"Potassium - Generic",0.144,"Sulfur - Generic",0.087,"Calcium",0.044,"","","","","","","","","","";"Pacific Fertiliser / Incitec Pivot Fertilisers","Cal-Gran 130","kg",1,"","","",18.8,1,12.5,3.7,"Nitrogen - Nitrate",0.058,"Nitrogen - Ammoniacal",0.13,"Phosphorus - Generic",0.01,"Potassium - Generic",0.125,"Sulfur - Generic",0.037,"Calcium",0.044,"","","","","","","","";"Pacific Fertiliser / Incitec Pivot Fertilisers","Cal-Gran 150","kg",1,"","","",18.6,3,12.5,1.4,"Nitrogen - Nitrate",0.058,"Nitrogen - Ammoniacal",0.128,"Phosphorus - Generic",0.03,"Potassium - Generic",0.125,"Sulfur - Generic",0.014,"Calcium",0.044,"","","","","","","","";"Pacific Fertiliser / Incitec Pivot Fertilisers","Cal-Gran Extra K","kg",1,"","","",15.8,"",19,3.2,"Nitrogen - Nitrate",0.049,"Nitrogen - Ammoniacal",0.109,"Potassium - Generic",0.19,"Sulfur - Generic",0.032,"Calcium",0.039,"","","","","","","","","","";"Incitec Pivot Fertilisers","Dairy Pro","kg",1,"","","",25.9,3.9,15.9,0.3,"Nitrogen - Generic",0.259,"Phosphorus - Generic",0.039,"Potassium - Generic",0.159,"Sulfur - Generic",0.003,"","","","","","","","","","","","";"Yara Australia","YaraMila ACTYVA S","kg",1,"","","",15.6,6.37,12.45,2.6,"Nitrogen - Nitrate",0.058,"Nitrogen - Ammoniacal",0.098,"Phosphorus - Generic",0.063714,"Potassium - Generic",0.124515,"Sulfur - Generic",0.026,"","","","","","","","","","";"CSBP","Agflow Extra","kg",1,"","","",11.15,17.52,"",3.6,"Monoammonium phosphate (MAP)",0.8,"Sulphate of ammonia (SOA)",0.15,"Copper","No data","Molybdenum","No data","Zinc","No data","","","","","","","","","","";"CSBP","Super &amp; Potash 3:1","kg",1,"","","","",5.5,15,6.88,"Single superphosphate (SSP)",0.625,"Muriate of potash (MOP)",0.3,"","","","","","","","","","","","","","","","";"Yara","YaraBela CAN-27","kg",1,"","","",27,"","","","Calcium ammonium nitrate (CAN)",1,"","","","","","","","","","","","","","","","","","";"Incitec Pivot Fertilisers","Cal-Gran Aftergraze","kg",1,"","","",20.6,3,7.5,3.8,"Nitrogen - Nitrate",0.064,"Nitrogen - Ammoniacal",0.142,"Phosphorus - Generic",0.03,"Potassium - Generic",0.075,"Sulfur - Generic",0.038,"Calcium",0.044,"","","","","","","","";"Incitec Pivot Fertilisers","Cal-Gran Prodress","kg",1,"","","",17.8,1,15,2.5,"Nitrogen - Nitrate",0.055,"Nitrogen - Ammoniacal",0.123,"Phosphorus - Generic",0.01,"Potassium - Generic",0.15,"Sulfur - Generic",0.025,"Calcium",0.044,"","","","","","","","";"Wengfu Australia","Wengfu PrimeZinc 10","kg",1,"","","",10,22,"",1.5,"Nitrogen - Generic",0.1,"Phosphorus - Generic",0.22,"Sulfur - Generic",0.015,"Zinc",0.01,"","","","","","","","","","","","";"Wengfu Australia","Wengfu Pasture King","kg",1,"","","","",15.7,"",4.6,"Phosphorus - Generic",0.157,"Sulfur - Generic",0.046,"Calcium",0.14,"","","","","","","","","","","","","","";"Wengfu Australia","Wengfu SuStain","kg",1,"","","","","","",90,"Sulfur - Generic",0.9,"","","","","","","","","","","","","","","","","","";"Wengfu Australia","Wengfu Slam","kg",1,"","","",19.5,0.7,"",23,"Nitrogen - Generic",0.195,"Phosphorus - Generic",0.007,"Sulfur - Generic",0.23,"","","","","","","","","","","","","","";"Wengfu Australia","Wengfu Prime MSZ","kg",1,"","","",10,18,"",8,"Nitrogen - Generic",0.1,"Phosphorus - Generic",0.18,"Sulfur - Generic",0.08,"Zinc",0.005,"","","","","","","","","","","","";"Wengfu Australia","Wengfu 9-20-0-10 MAP SuStain","kg",1,"","","",9,19.8,0,10.4,"Nitrogen - Generic",0.09,"Phosphorus - Generic",0.198,"Sulfur - Generic",0.104,"","","","","","","","","","","","","","";"Wengfu Australia","Wengfu 15-17-0-15 DAP SuStain","kg",1,"","","",15.2,16.9,0,15.2,"Nitrogen - Generic",0.152,"Phosphorus - Generic",0.169,"Sulfur - Generic",0.152,"","","","","","","","","","","","","","";"Wengfu Australia","Wengfu 16-18-0-10 DAP SuStain","kg",1,"","","",16.2,18,0,10.4,"Nitrogen - Generic",0.162,"Phosphorus - Generic",0.18,"Sulfur - Generic",0.104,"","","","","","","","","","","","","","";"Wengfu Australia","Wengfu 5-15-0-6 Fast Start Legume","kg",1,"","","",5,15.4,0,6.3,"Nitrogen - Generic",0.05,"Phosphorus - Generic",0.154,"Sulfur - Generic",0.063,"","","","","","","","","","","","","","";"Wengfu Australia","Wengfu 9-20-0-10 PrimeZinc","kg",1,"","","",9,19.8,0,10.4,"Nitrogen - Generic",0.09,"Phosphorus - Generic",0.198,"Sulfur - Generic",0.104,"Zinc",0.009,"","","","","","","","","","","","";"Wengfu Australia","Wengfu 12-18-0-6 PrimeZinc","kg",1,"","","",11.9,17.6,0,5.9,"Nitrogen - Generic",0.119,"Phosphorus - Generic",0.176,"Sulfur - Generic",0.059,"Zinc",0.008,"","","","","","","","","","","","";"Wengfu Australia","Wengfu 14-13-0-11 PrimeZinc","kg",1,"","","",14.1,12.8,0,10.7,"Nitrogen - Generic",0.141,"Phosphorus - Generic",0.128,"Sulfur - Generic",0.107,"Zinc",0.006,"","","","","","","","","","","",""}, _xlpm.r, _xlpm.c))))</definedName>
    <definedName name="Fertiliser_SourceData.Fertiliser_Products_Data4" localSheetId="27">_xlfn.LAMBDA(_xlfn.MAKEARRAY(30, 31, _xlfn.LAMBDA(_xlpm.r,_xlpm.c, INDEX({"Impact Fertilisers","Impact Super Potash 1&amp;1","kg",1,"","","","",4.4,25,5.5,"Single superphosphate (SSP)",0.5,"Muriate of potash (MOP)",0.5,"","","","","","","","","","","","","","","","";"Impact Fertilisers","Impact Super Potash 2&amp;1","kg",1,"","","","",5.84,16.8,7.29,"Single superphosphate (SSP)",0.663158,"Muriate of potash (MOP)",0.336,"","","","","","","","","","","","","","","","";"Impact Fertilisers","Impact Super Potash 3&amp;1","kg",1,"","","","",6.58,12.5,8.22,"Single superphosphate (SSP)",0.747368,"Muriate of potash (MOP)",0.25,"","","","","","","","","","","","","","","","";"Impact Fertilisers","Impact Super Potash 4&amp;1","kg",1,"","","","",7.04,10,8.8,"Single superphosphate (SSP)",0.8,"Muriate of potash (MOP)",0.2,"","","","","","","","","","","","","","","","";"Impact Fertilisers","Impact Super Potash 5&amp;1","kg",1,"","","","",7.32,8.4,9.15,"Single superphosphate (SSP)",0.831579,"Muriate of potash (MOP)",0.168,"","","","","","","","","","","","","","","","";"Pacific Fertiliser / Incitec Pivot Fertilisers","Cal-Gran","kg",1,"","","",23.9,"","",10.8,"Nitrogen - Nitrate",0.074,"Nitrogen - Ammoniacal",0.165,"Sulfur - Generic",0.108,"Calcium",0.044,"","","","","","","","","","","","";"Pacific Fertiliser / Incitec Pivot Fertilisers","Cal-Gran 50/50","kg",1,"","","",17.9,"",15,3.6,"Nitrogen - Nitrate",0.055,"Nitrogen - Ammoniacal",0.124,"Potassium - Generic",0.15,"Sulfur - Generic",0.036,"Calcium",0.044,"","","","","","","","","","";"Pacific Fertiliser / Incitec Pivot Fertilisers","Cal-Gran 50/50 (S)","kg",1,"","","",16.9,"",14.4,8.7,"Nitrogen - Nitrate",0.052,"Nitrogen - Ammoniacal",0.117,"Potassium - Generic",0.144,"Sulfur - Generic",0.087,"Calcium",0.044,"","","","","","","","","","";"Pacific Fertiliser / Incitec Pivot Fertilisers","Cal-Gran 130","kg",1,"","","",18.8,1,12.5,3.7,"Nitrogen - Nitrate",0.058,"Nitrogen - Ammoniacal",0.13,"Phosphorus - Generic",0.01,"Potassium - Generic",0.125,"Sulfur - Generic",0.037,"Calcium",0.044,"","","","","","","","";"Pacific Fertiliser / Incitec Pivot Fertilisers","Cal-Gran 150","kg",1,"","","",18.6,3,12.5,1.4,"Nitrogen - Nitrate",0.058,"Nitrogen - Ammoniacal",0.128,"Phosphorus - Generic",0.03,"Potassium - Generic",0.125,"Sulfur - Generic",0.014,"Calcium",0.044,"","","","","","","","";"Pacific Fertiliser / Incitec Pivot Fertilisers","Cal-Gran Extra K","kg",1,"","","",15.8,"",19,3.2,"Nitrogen - Nitrate",0.049,"Nitrogen - Ammoniacal",0.109,"Potassium - Generic",0.19,"Sulfur - Generic",0.032,"Calcium",0.039,"","","","","","","","","","";"Incitec Pivot Fertilisers","Dairy Pro","kg",1,"","","",25.9,3.9,15.9,0.3,"Nitrogen - Generic",0.259,"Phosphorus - Generic",0.039,"Potassium - Generic",0.159,"Sulfur - Generic",0.003,"","","","","","","","","","","","";"Yara Australia","YaraMila ACTYVA S","kg",1,"","","",15.6,6.37,12.45,2.6,"Nitrogen - Nitrate",0.058,"Nitrogen - Ammoniacal",0.098,"Phosphorus - Generic",0.063714,"Potassium - Generic",0.124515,"Sulfur - Generic",0.026,"","","","","","","","","","";"CSBP","Agflow Extra","kg",1,"","","",11.15,17.52,"",3.6,"Monoammonium phosphate (MAP)",0.8,"Sulphate of ammonia (SOA)",0.15,"Copper","No data","Molybdenum","No data","Zinc","No data","","","","","","","","","","";"CSBP","Super &amp; Potash 3:1","kg",1,"","","","",5.5,15,6.88,"Single superphosphate (SSP)",0.625,"Muriate of potash (MOP)",0.3,"","","","","","","","","","","","","","","","";"Yara","YaraBela CAN-27","kg",1,"","","",27,"","","","Calcium ammonium nitrate (CAN)",1,"","","","","","","","","","","","","","","","","","";"Incitec Pivot Fertilisers","Cal-Gran Aftergraze","kg",1,"","","",20.6,3,7.5,3.8,"Nitrogen - Nitrate",0.064,"Nitrogen - Ammoniacal",0.142,"Phosphorus - Generic",0.03,"Potassium - Generic",0.075,"Sulfur - Generic",0.038,"Calcium",0.044,"","","","","","","","";"Incitec Pivot Fertilisers","Cal-Gran Prodress","kg",1,"","","",17.8,1,15,2.5,"Nitrogen - Nitrate",0.055,"Nitrogen - Ammoniacal",0.123,"Phosphorus - Generic",0.01,"Potassium - Generic",0.15,"Sulfur - Generic",0.025,"Calcium",0.044,"","","","","","","","";"Wengfu Australia","Wengfu PrimeZinc 10","kg",1,"","","",10,22,"",1.5,"Nitrogen - Generic",0.1,"Phosphorus - Generic",0.22,"Sulfur - Generic",0.015,"Zinc",0.01,"","","","","","","","","","","","";"Wengfu Australia","Wengfu Pasture King","kg",1,"","","","",15.7,"",4.6,"Phosphorus - Generic",0.157,"Sulfur - Generic",0.046,"Calcium",0.14,"","","","","","","","","","","","","","";"Wengfu Australia","Wengfu SuStain","kg",1,"","","","","","",90,"Sulfur - Generic",0.9,"","","","","","","","","","","","","","","","","","";"Wengfu Australia","Wengfu Slam","kg",1,"","","",19.5,0.7,"",23,"Nitrogen - Generic",0.195,"Phosphorus - Generic",0.007,"Sulfur - Generic",0.23,"","","","","","","","","","","","","","";"Wengfu Australia","Wengfu Prime MSZ","kg",1,"","","",10,18,"",8,"Nitrogen - Generic",0.1,"Phosphorus - Generic",0.18,"Sulfur - Generic",0.08,"Zinc",0.005,"","","","","","","","","","","","";"Wengfu Australia","Wengfu 9-20-0-10 MAP SuStain","kg",1,"","","",9,19.8,0,10.4,"Nitrogen - Generic",0.09,"Phosphorus - Generic",0.198,"Sulfur - Generic",0.104,"","","","","","","","","","","","","","";"Wengfu Australia","Wengfu 15-17-0-15 DAP SuStain","kg",1,"","","",15.2,16.9,0,15.2,"Nitrogen - Generic",0.152,"Phosphorus - Generic",0.169,"Sulfur - Generic",0.152,"","","","","","","","","","","","","","";"Wengfu Australia","Wengfu 16-18-0-10 DAP SuStain","kg",1,"","","",16.2,18,0,10.4,"Nitrogen - Generic",0.162,"Phosphorus - Generic",0.18,"Sulfur - Generic",0.104,"","","","","","","","","","","","","","";"Wengfu Australia","Wengfu 5-15-0-6 Fast Start Legume","kg",1,"","","",5,15.4,0,6.3,"Nitrogen - Generic",0.05,"Phosphorus - Generic",0.154,"Sulfur - Generic",0.063,"","","","","","","","","","","","","","";"Wengfu Australia","Wengfu 9-20-0-10 PrimeZinc","kg",1,"","","",9,19.8,0,10.4,"Nitrogen - Generic",0.09,"Phosphorus - Generic",0.198,"Sulfur - Generic",0.104,"Zinc",0.009,"","","","","","","","","","","","";"Wengfu Australia","Wengfu 12-18-0-6 PrimeZinc","kg",1,"","","",11.9,17.6,0,5.9,"Nitrogen - Generic",0.119,"Phosphorus - Generic",0.176,"Sulfur - Generic",0.059,"Zinc",0.008,"","","","","","","","","","","","";"Wengfu Australia","Wengfu 14-13-0-11 PrimeZinc","kg",1,"","","",14.1,12.8,0,10.7,"Nitrogen - Generic",0.141,"Phosphorus - Generic",0.128,"Sulfur - Generic",0.107,"Zinc",0.006,"","","","","","","","","","","",""}, _xlpm.r, _xlpm.c))))</definedName>
    <definedName name="Fertiliser_SourceData.Fertiliser_Products_Data4" localSheetId="28">_xlfn.LAMBDA(_xlfn.MAKEARRAY(30, 31, _xlfn.LAMBDA(_xlpm.r,_xlpm.c, INDEX({"Impact Fertilisers","Impact Super Potash 1&amp;1","kg",1,"","","","",4.4,25,5.5,"Single superphosphate (SSP)",0.5,"Muriate of potash (MOP)",0.5,"","","","","","","","","","","","","","","","";"Impact Fertilisers","Impact Super Potash 2&amp;1","kg",1,"","","","",5.84,16.8,7.29,"Single superphosphate (SSP)",0.663158,"Muriate of potash (MOP)",0.336,"","","","","","","","","","","","","","","","";"Impact Fertilisers","Impact Super Potash 3&amp;1","kg",1,"","","","",6.58,12.5,8.22,"Single superphosphate (SSP)",0.747368,"Muriate of potash (MOP)",0.25,"","","","","","","","","","","","","","","","";"Impact Fertilisers","Impact Super Potash 4&amp;1","kg",1,"","","","",7.04,10,8.8,"Single superphosphate (SSP)",0.8,"Muriate of potash (MOP)",0.2,"","","","","","","","","","","","","","","","";"Impact Fertilisers","Impact Super Potash 5&amp;1","kg",1,"","","","",7.32,8.4,9.15,"Single superphosphate (SSP)",0.831579,"Muriate of potash (MOP)",0.168,"","","","","","","","","","","","","","","","";"Pacific Fertiliser / Incitec Pivot Fertilisers","Cal-Gran","kg",1,"","","",23.9,"","",10.8,"Nitrogen - Nitrate",0.074,"Nitrogen - Ammoniacal",0.165,"Sulfur - Generic",0.108,"Calcium",0.044,"","","","","","","","","","","","";"Pacific Fertiliser / Incitec Pivot Fertilisers","Cal-Gran 50/50","kg",1,"","","",17.9,"",15,3.6,"Nitrogen - Nitrate",0.055,"Nitrogen - Ammoniacal",0.124,"Potassium - Generic",0.15,"Sulfur - Generic",0.036,"Calcium",0.044,"","","","","","","","","","";"Pacific Fertiliser / Incitec Pivot Fertilisers","Cal-Gran 50/50 (S)","kg",1,"","","",16.9,"",14.4,8.7,"Nitrogen - Nitrate",0.052,"Nitrogen - Ammoniacal",0.117,"Potassium - Generic",0.144,"Sulfur - Generic",0.087,"Calcium",0.044,"","","","","","","","","","";"Pacific Fertiliser / Incitec Pivot Fertilisers","Cal-Gran 130","kg",1,"","","",18.8,1,12.5,3.7,"Nitrogen - Nitrate",0.058,"Nitrogen - Ammoniacal",0.13,"Phosphorus - Generic",0.01,"Potassium - Generic",0.125,"Sulfur - Generic",0.037,"Calcium",0.044,"","","","","","","","";"Pacific Fertiliser / Incitec Pivot Fertilisers","Cal-Gran 150","kg",1,"","","",18.6,3,12.5,1.4,"Nitrogen - Nitrate",0.058,"Nitrogen - Ammoniacal",0.128,"Phosphorus - Generic",0.03,"Potassium - Generic",0.125,"Sulfur - Generic",0.014,"Calcium",0.044,"","","","","","","","";"Pacific Fertiliser / Incitec Pivot Fertilisers","Cal-Gran Extra K","kg",1,"","","",15.8,"",19,3.2,"Nitrogen - Nitrate",0.049,"Nitrogen - Ammoniacal",0.109,"Potassium - Generic",0.19,"Sulfur - Generic",0.032,"Calcium",0.039,"","","","","","","","","","";"Incitec Pivot Fertilisers","Dairy Pro","kg",1,"","","",25.9,3.9,15.9,0.3,"Nitrogen - Generic",0.259,"Phosphorus - Generic",0.039,"Potassium - Generic",0.159,"Sulfur - Generic",0.003,"","","","","","","","","","","","";"Yara Australia","YaraMila ACTYVA S","kg",1,"","","",15.6,6.37,12.45,2.6,"Nitrogen - Nitrate",0.058,"Nitrogen - Ammoniacal",0.098,"Phosphorus - Generic",0.063714,"Potassium - Generic",0.124515,"Sulfur - Generic",0.026,"","","","","","","","","","";"CSBP","Agflow Extra","kg",1,"","","",11.15,17.52,"",3.6,"Monoammonium phosphate (MAP)",0.8,"Sulphate of ammonia (SOA)",0.15,"Copper","No data","Molybdenum","No data","Zinc","No data","","","","","","","","","","";"CSBP","Super &amp; Potash 3:1","kg",1,"","","","",5.5,15,6.88,"Single superphosphate (SSP)",0.625,"Muriate of potash (MOP)",0.3,"","","","","","","","","","","","","","","","";"Yara","YaraBela CAN-27","kg",1,"","","",27,"","","","Calcium ammonium nitrate (CAN)",1,"","","","","","","","","","","","","","","","","","";"Incitec Pivot Fertilisers","Cal-Gran Aftergraze","kg",1,"","","",20.6,3,7.5,3.8,"Nitrogen - Nitrate",0.064,"Nitrogen - Ammoniacal",0.142,"Phosphorus - Generic",0.03,"Potassium - Generic",0.075,"Sulfur - Generic",0.038,"Calcium",0.044,"","","","","","","","";"Incitec Pivot Fertilisers","Cal-Gran Prodress","kg",1,"","","",17.8,1,15,2.5,"Nitrogen - Nitrate",0.055,"Nitrogen - Ammoniacal",0.123,"Phosphorus - Generic",0.01,"Potassium - Generic",0.15,"Sulfur - Generic",0.025,"Calcium",0.044,"","","","","","","","";"Wengfu Australia","Wengfu PrimeZinc 10","kg",1,"","","",10,22,"",1.5,"Nitrogen - Generic",0.1,"Phosphorus - Generic",0.22,"Sulfur - Generic",0.015,"Zinc",0.01,"","","","","","","","","","","","";"Wengfu Australia","Wengfu Pasture King","kg",1,"","","","",15.7,"",4.6,"Phosphorus - Generic",0.157,"Sulfur - Generic",0.046,"Calcium",0.14,"","","","","","","","","","","","","","";"Wengfu Australia","Wengfu SuStain","kg",1,"","","","","","",90,"Sulfur - Generic",0.9,"","","","","","","","","","","","","","","","","","";"Wengfu Australia","Wengfu Slam","kg",1,"","","",19.5,0.7,"",23,"Nitrogen - Generic",0.195,"Phosphorus - Generic",0.007,"Sulfur - Generic",0.23,"","","","","","","","","","","","","","";"Wengfu Australia","Wengfu Prime MSZ","kg",1,"","","",10,18,"",8,"Nitrogen - Generic",0.1,"Phosphorus - Generic",0.18,"Sulfur - Generic",0.08,"Zinc",0.005,"","","","","","","","","","","","";"Wengfu Australia","Wengfu 9-20-0-10 MAP SuStain","kg",1,"","","",9,19.8,0,10.4,"Nitrogen - Generic",0.09,"Phosphorus - Generic",0.198,"Sulfur - Generic",0.104,"","","","","","","","","","","","","","";"Wengfu Australia","Wengfu 15-17-0-15 DAP SuStain","kg",1,"","","",15.2,16.9,0,15.2,"Nitrogen - Generic",0.152,"Phosphorus - Generic",0.169,"Sulfur - Generic",0.152,"","","","","","","","","","","","","","";"Wengfu Australia","Wengfu 16-18-0-10 DAP SuStain","kg",1,"","","",16.2,18,0,10.4,"Nitrogen - Generic",0.162,"Phosphorus - Generic",0.18,"Sulfur - Generic",0.104,"","","","","","","","","","","","","","";"Wengfu Australia","Wengfu 5-15-0-6 Fast Start Legume","kg",1,"","","",5,15.4,0,6.3,"Nitrogen - Generic",0.05,"Phosphorus - Generic",0.154,"Sulfur - Generic",0.063,"","","","","","","","","","","","","","";"Wengfu Australia","Wengfu 9-20-0-10 PrimeZinc","kg",1,"","","",9,19.8,0,10.4,"Nitrogen - Generic",0.09,"Phosphorus - Generic",0.198,"Sulfur - Generic",0.104,"Zinc",0.009,"","","","","","","","","","","","";"Wengfu Australia","Wengfu 12-18-0-6 PrimeZinc","kg",1,"","","",11.9,17.6,0,5.9,"Nitrogen - Generic",0.119,"Phosphorus - Generic",0.176,"Sulfur - Generic",0.059,"Zinc",0.008,"","","","","","","","","","","","";"Wengfu Australia","Wengfu 14-13-0-11 PrimeZinc","kg",1,"","","",14.1,12.8,0,10.7,"Nitrogen - Generic",0.141,"Phosphorus - Generic",0.128,"Sulfur - Generic",0.107,"Zinc",0.006,"","","","","","","","","","","",""}, _xlpm.r, _xlpm.c))))</definedName>
    <definedName name="Fertiliser_SourceData.Fertiliser_Products_Data4" localSheetId="29">_xlfn.LAMBDA(_xlfn.MAKEARRAY(30, 31, _xlfn.LAMBDA(_xlpm.r,_xlpm.c, INDEX({"Impact Fertilisers","Impact Super Potash 1&amp;1","kg",1,"","","","",4.4,25,5.5,"Single superphosphate (SSP)",0.5,"Muriate of potash (MOP)",0.5,"","","","","","","","","","","","","","","","";"Impact Fertilisers","Impact Super Potash 2&amp;1","kg",1,"","","","",5.84,16.8,7.29,"Single superphosphate (SSP)",0.663158,"Muriate of potash (MOP)",0.336,"","","","","","","","","","","","","","","","";"Impact Fertilisers","Impact Super Potash 3&amp;1","kg",1,"","","","",6.58,12.5,8.22,"Single superphosphate (SSP)",0.747368,"Muriate of potash (MOP)",0.25,"","","","","","","","","","","","","","","","";"Impact Fertilisers","Impact Super Potash 4&amp;1","kg",1,"","","","",7.04,10,8.8,"Single superphosphate (SSP)",0.8,"Muriate of potash (MOP)",0.2,"","","","","","","","","","","","","","","","";"Impact Fertilisers","Impact Super Potash 5&amp;1","kg",1,"","","","",7.32,8.4,9.15,"Single superphosphate (SSP)",0.831579,"Muriate of potash (MOP)",0.168,"","","","","","","","","","","","","","","","";"Pacific Fertiliser / Incitec Pivot Fertilisers","Cal-Gran","kg",1,"","","",23.9,"","",10.8,"Nitrogen - Nitrate",0.074,"Nitrogen - Ammoniacal",0.165,"Sulfur - Generic",0.108,"Calcium",0.044,"","","","","","","","","","","","";"Pacific Fertiliser / Incitec Pivot Fertilisers","Cal-Gran 50/50","kg",1,"","","",17.9,"",15,3.6,"Nitrogen - Nitrate",0.055,"Nitrogen - Ammoniacal",0.124,"Potassium - Generic",0.15,"Sulfur - Generic",0.036,"Calcium",0.044,"","","","","","","","","","";"Pacific Fertiliser / Incitec Pivot Fertilisers","Cal-Gran 50/50 (S)","kg",1,"","","",16.9,"",14.4,8.7,"Nitrogen - Nitrate",0.052,"Nitrogen - Ammoniacal",0.117,"Potassium - Generic",0.144,"Sulfur - Generic",0.087,"Calcium",0.044,"","","","","","","","","","";"Pacific Fertiliser / Incitec Pivot Fertilisers","Cal-Gran 130","kg",1,"","","",18.8,1,12.5,3.7,"Nitrogen - Nitrate",0.058,"Nitrogen - Ammoniacal",0.13,"Phosphorus - Generic",0.01,"Potassium - Generic",0.125,"Sulfur - Generic",0.037,"Calcium",0.044,"","","","","","","","";"Pacific Fertiliser / Incitec Pivot Fertilisers","Cal-Gran 150","kg",1,"","","",18.6,3,12.5,1.4,"Nitrogen - Nitrate",0.058,"Nitrogen - Ammoniacal",0.128,"Phosphorus - Generic",0.03,"Potassium - Generic",0.125,"Sulfur - Generic",0.014,"Calcium",0.044,"","","","","","","","";"Pacific Fertiliser / Incitec Pivot Fertilisers","Cal-Gran Extra K","kg",1,"","","",15.8,"",19,3.2,"Nitrogen - Nitrate",0.049,"Nitrogen - Ammoniacal",0.109,"Potassium - Generic",0.19,"Sulfur - Generic",0.032,"Calcium",0.039,"","","","","","","","","","";"Incitec Pivot Fertilisers","Dairy Pro","kg",1,"","","",25.9,3.9,15.9,0.3,"Nitrogen - Generic",0.259,"Phosphorus - Generic",0.039,"Potassium - Generic",0.159,"Sulfur - Generic",0.003,"","","","","","","","","","","","";"Yara Australia","YaraMila ACTYVA S","kg",1,"","","",15.6,6.37,12.45,2.6,"Nitrogen - Nitrate",0.058,"Nitrogen - Ammoniacal",0.098,"Phosphorus - Generic",0.063714,"Potassium - Generic",0.124515,"Sulfur - Generic",0.026,"","","","","","","","","","";"CSBP","Agflow Extra","kg",1,"","","",11.15,17.52,"",3.6,"Monoammonium phosphate (MAP)",0.8,"Sulphate of ammonia (SOA)",0.15,"Copper","No data","Molybdenum","No data","Zinc","No data","","","","","","","","","","";"CSBP","Super &amp; Potash 3:1","kg",1,"","","","",5.5,15,6.88,"Single superphosphate (SSP)",0.625,"Muriate of potash (MOP)",0.3,"","","","","","","","","","","","","","","","";"Yara","YaraBela CAN-27","kg",1,"","","",27,"","","","Calcium ammonium nitrate (CAN)",1,"","","","","","","","","","","","","","","","","","";"Incitec Pivot Fertilisers","Cal-Gran Aftergraze","kg",1,"","","",20.6,3,7.5,3.8,"Nitrogen - Nitrate",0.064,"Nitrogen - Ammoniacal",0.142,"Phosphorus - Generic",0.03,"Potassium - Generic",0.075,"Sulfur - Generic",0.038,"Calcium",0.044,"","","","","","","","";"Incitec Pivot Fertilisers","Cal-Gran Prodress","kg",1,"","","",17.8,1,15,2.5,"Nitrogen - Nitrate",0.055,"Nitrogen - Ammoniacal",0.123,"Phosphorus - Generic",0.01,"Potassium - Generic",0.15,"Sulfur - Generic",0.025,"Calcium",0.044,"","","","","","","","";"Wengfu Australia","Wengfu PrimeZinc 10","kg",1,"","","",10,22,"",1.5,"Nitrogen - Generic",0.1,"Phosphorus - Generic",0.22,"Sulfur - Generic",0.015,"Zinc",0.01,"","","","","","","","","","","","";"Wengfu Australia","Wengfu Pasture King","kg",1,"","","","",15.7,"",4.6,"Phosphorus - Generic",0.157,"Sulfur - Generic",0.046,"Calcium",0.14,"","","","","","","","","","","","","","";"Wengfu Australia","Wengfu SuStain","kg",1,"","","","","","",90,"Sulfur - Generic",0.9,"","","","","","","","","","","","","","","","","","";"Wengfu Australia","Wengfu Slam","kg",1,"","","",19.5,0.7,"",23,"Nitrogen - Generic",0.195,"Phosphorus - Generic",0.007,"Sulfur - Generic",0.23,"","","","","","","","","","","","","","";"Wengfu Australia","Wengfu Prime MSZ","kg",1,"","","",10,18,"",8,"Nitrogen - Generic",0.1,"Phosphorus - Generic",0.18,"Sulfur - Generic",0.08,"Zinc",0.005,"","","","","","","","","","","","";"Wengfu Australia","Wengfu 9-20-0-10 MAP SuStain","kg",1,"","","",9,19.8,0,10.4,"Nitrogen - Generic",0.09,"Phosphorus - Generic",0.198,"Sulfur - Generic",0.104,"","","","","","","","","","","","","","";"Wengfu Australia","Wengfu 15-17-0-15 DAP SuStain","kg",1,"","","",15.2,16.9,0,15.2,"Nitrogen - Generic",0.152,"Phosphorus - Generic",0.169,"Sulfur - Generic",0.152,"","","","","","","","","","","","","","";"Wengfu Australia","Wengfu 16-18-0-10 DAP SuStain","kg",1,"","","",16.2,18,0,10.4,"Nitrogen - Generic",0.162,"Phosphorus - Generic",0.18,"Sulfur - Generic",0.104,"","","","","","","","","","","","","","";"Wengfu Australia","Wengfu 5-15-0-6 Fast Start Legume","kg",1,"","","",5,15.4,0,6.3,"Nitrogen - Generic",0.05,"Phosphorus - Generic",0.154,"Sulfur - Generic",0.063,"","","","","","","","","","","","","","";"Wengfu Australia","Wengfu 9-20-0-10 PrimeZinc","kg",1,"","","",9,19.8,0,10.4,"Nitrogen - Generic",0.09,"Phosphorus - Generic",0.198,"Sulfur - Generic",0.104,"Zinc",0.009,"","","","","","","","","","","","";"Wengfu Australia","Wengfu 12-18-0-6 PrimeZinc","kg",1,"","","",11.9,17.6,0,5.9,"Nitrogen - Generic",0.119,"Phosphorus - Generic",0.176,"Sulfur - Generic",0.059,"Zinc",0.008,"","","","","","","","","","","","";"Wengfu Australia","Wengfu 14-13-0-11 PrimeZinc","kg",1,"","","",14.1,12.8,0,10.7,"Nitrogen - Generic",0.141,"Phosphorus - Generic",0.128,"Sulfur - Generic",0.107,"Zinc",0.006,"","","","","","","","","","","",""}, _xlpm.r, _xlpm.c))))</definedName>
    <definedName name="Fertiliser_SourceData.Fertiliser_Products_Data4" localSheetId="30">_xlfn.LAMBDA(_xlfn.MAKEARRAY(30, 31, _xlfn.LAMBDA(_xlpm.r,_xlpm.c, INDEX({"Impact Fertilisers","Impact Super Potash 1&amp;1","kg",1,"","","","",4.4,25,5.5,"Single superphosphate (SSP)",0.5,"Muriate of potash (MOP)",0.5,"","","","","","","","","","","","","","","","";"Impact Fertilisers","Impact Super Potash 2&amp;1","kg",1,"","","","",5.84,16.8,7.29,"Single superphosphate (SSP)",0.663158,"Muriate of potash (MOP)",0.336,"","","","","","","","","","","","","","","","";"Impact Fertilisers","Impact Super Potash 3&amp;1","kg",1,"","","","",6.58,12.5,8.22,"Single superphosphate (SSP)",0.747368,"Muriate of potash (MOP)",0.25,"","","","","","","","","","","","","","","","";"Impact Fertilisers","Impact Super Potash 4&amp;1","kg",1,"","","","",7.04,10,8.8,"Single superphosphate (SSP)",0.8,"Muriate of potash (MOP)",0.2,"","","","","","","","","","","","","","","","";"Impact Fertilisers","Impact Super Potash 5&amp;1","kg",1,"","","","",7.32,8.4,9.15,"Single superphosphate (SSP)",0.831579,"Muriate of potash (MOP)",0.168,"","","","","","","","","","","","","","","","";"Pacific Fertiliser / Incitec Pivot Fertilisers","Cal-Gran","kg",1,"","","",23.9,"","",10.8,"Nitrogen - Nitrate",0.074,"Nitrogen - Ammoniacal",0.165,"Sulfur - Generic",0.108,"Calcium",0.044,"","","","","","","","","","","","";"Pacific Fertiliser / Incitec Pivot Fertilisers","Cal-Gran 50/50","kg",1,"","","",17.9,"",15,3.6,"Nitrogen - Nitrate",0.055,"Nitrogen - Ammoniacal",0.124,"Potassium - Generic",0.15,"Sulfur - Generic",0.036,"Calcium",0.044,"","","","","","","","","","";"Pacific Fertiliser / Incitec Pivot Fertilisers","Cal-Gran 50/50 (S)","kg",1,"","","",16.9,"",14.4,8.7,"Nitrogen - Nitrate",0.052,"Nitrogen - Ammoniacal",0.117,"Potassium - Generic",0.144,"Sulfur - Generic",0.087,"Calcium",0.044,"","","","","","","","","","";"Pacific Fertiliser / Incitec Pivot Fertilisers","Cal-Gran 130","kg",1,"","","",18.8,1,12.5,3.7,"Nitrogen - Nitrate",0.058,"Nitrogen - Ammoniacal",0.13,"Phosphorus - Generic",0.01,"Potassium - Generic",0.125,"Sulfur - Generic",0.037,"Calcium",0.044,"","","","","","","","";"Pacific Fertiliser / Incitec Pivot Fertilisers","Cal-Gran 150","kg",1,"","","",18.6,3,12.5,1.4,"Nitrogen - Nitrate",0.058,"Nitrogen - Ammoniacal",0.128,"Phosphorus - Generic",0.03,"Potassium - Generic",0.125,"Sulfur - Generic",0.014,"Calcium",0.044,"","","","","","","","";"Pacific Fertiliser / Incitec Pivot Fertilisers","Cal-Gran Extra K","kg",1,"","","",15.8,"",19,3.2,"Nitrogen - Nitrate",0.049,"Nitrogen - Ammoniacal",0.109,"Potassium - Generic",0.19,"Sulfur - Generic",0.032,"Calcium",0.039,"","","","","","","","","","";"Incitec Pivot Fertilisers","Dairy Pro","kg",1,"","","",25.9,3.9,15.9,0.3,"Nitrogen - Generic",0.259,"Phosphorus - Generic",0.039,"Potassium - Generic",0.159,"Sulfur - Generic",0.003,"","","","","","","","","","","","";"Yara Australia","YaraMila ACTYVA S","kg",1,"","","",15.6,6.37,12.45,2.6,"Nitrogen - Nitrate",0.058,"Nitrogen - Ammoniacal",0.098,"Phosphorus - Generic",0.063714,"Potassium - Generic",0.124515,"Sulfur - Generic",0.026,"","","","","","","","","","";"CSBP","Agflow Extra","kg",1,"","","",11.15,17.52,"",3.6,"Monoammonium phosphate (MAP)",0.8,"Sulphate of ammonia (SOA)",0.15,"Copper","No data","Molybdenum","No data","Zinc","No data","","","","","","","","","","";"CSBP","Super &amp; Potash 3:1","kg",1,"","","","",5.5,15,6.88,"Single superphosphate (SSP)",0.625,"Muriate of potash (MOP)",0.3,"","","","","","","","","","","","","","","","";"Yara","YaraBela CAN-27","kg",1,"","","",27,"","","","Calcium ammonium nitrate (CAN)",1,"","","","","","","","","","","","","","","","","","";"Incitec Pivot Fertilisers","Cal-Gran Aftergraze","kg",1,"","","",20.6,3,7.5,3.8,"Nitrogen - Nitrate",0.064,"Nitrogen - Ammoniacal",0.142,"Phosphorus - Generic",0.03,"Potassium - Generic",0.075,"Sulfur - Generic",0.038,"Calcium",0.044,"","","","","","","","";"Incitec Pivot Fertilisers","Cal-Gran Prodress","kg",1,"","","",17.8,1,15,2.5,"Nitrogen - Nitrate",0.055,"Nitrogen - Ammoniacal",0.123,"Phosphorus - Generic",0.01,"Potassium - Generic",0.15,"Sulfur - Generic",0.025,"Calcium",0.044,"","","","","","","","";"Wengfu Australia","Wengfu PrimeZinc 10","kg",1,"","","",10,22,"",1.5,"Nitrogen - Generic",0.1,"Phosphorus - Generic",0.22,"Sulfur - Generic",0.015,"Zinc",0.01,"","","","","","","","","","","","";"Wengfu Australia","Wengfu Pasture King","kg",1,"","","","",15.7,"",4.6,"Phosphorus - Generic",0.157,"Sulfur - Generic",0.046,"Calcium",0.14,"","","","","","","","","","","","","","";"Wengfu Australia","Wengfu SuStain","kg",1,"","","","","","",90,"Sulfur - Generic",0.9,"","","","","","","","","","","","","","","","","","";"Wengfu Australia","Wengfu Slam","kg",1,"","","",19.5,0.7,"",23,"Nitrogen - Generic",0.195,"Phosphorus - Generic",0.007,"Sulfur - Generic",0.23,"","","","","","","","","","","","","","";"Wengfu Australia","Wengfu Prime MSZ","kg",1,"","","",10,18,"",8,"Nitrogen - Generic",0.1,"Phosphorus - Generic",0.18,"Sulfur - Generic",0.08,"Zinc",0.005,"","","","","","","","","","","","";"Wengfu Australia","Wengfu 9-20-0-10 MAP SuStain","kg",1,"","","",9,19.8,0,10.4,"Nitrogen - Generic",0.09,"Phosphorus - Generic",0.198,"Sulfur - Generic",0.104,"","","","","","","","","","","","","","";"Wengfu Australia","Wengfu 15-17-0-15 DAP SuStain","kg",1,"","","",15.2,16.9,0,15.2,"Nitrogen - Generic",0.152,"Phosphorus - Generic",0.169,"Sulfur - Generic",0.152,"","","","","","","","","","","","","","";"Wengfu Australia","Wengfu 16-18-0-10 DAP SuStain","kg",1,"","","",16.2,18,0,10.4,"Nitrogen - Generic",0.162,"Phosphorus - Generic",0.18,"Sulfur - Generic",0.104,"","","","","","","","","","","","","","";"Wengfu Australia","Wengfu 5-15-0-6 Fast Start Legume","kg",1,"","","",5,15.4,0,6.3,"Nitrogen - Generic",0.05,"Phosphorus - Generic",0.154,"Sulfur - Generic",0.063,"","","","","","","","","","","","","","";"Wengfu Australia","Wengfu 9-20-0-10 PrimeZinc","kg",1,"","","",9,19.8,0,10.4,"Nitrogen - Generic",0.09,"Phosphorus - Generic",0.198,"Sulfur - Generic",0.104,"Zinc",0.009,"","","","","","","","","","","","";"Wengfu Australia","Wengfu 12-18-0-6 PrimeZinc","kg",1,"","","",11.9,17.6,0,5.9,"Nitrogen - Generic",0.119,"Phosphorus - Generic",0.176,"Sulfur - Generic",0.059,"Zinc",0.008,"","","","","","","","","","","","";"Wengfu Australia","Wengfu 14-13-0-11 PrimeZinc","kg",1,"","","",14.1,12.8,0,10.7,"Nitrogen - Generic",0.141,"Phosphorus - Generic",0.128,"Sulfur - Generic",0.107,"Zinc",0.006,"","","","","","","","","","","",""}, _xlpm.r, _xlpm.c))))</definedName>
    <definedName name="Fertiliser_SourceData.Fertiliser_Products_Data4" localSheetId="38">_xlfn.LAMBDA(_xlfn.MAKEARRAY(30, 31, _xlfn.LAMBDA(_xlpm.r,_xlpm.c, INDEX({"Impact Fertilisers","Impact Super Potash 1&amp;1","kg",1,"","","","",4.4,25,5.5,"Single superphosphate (SSP)",0.5,"Muriate of potash (MOP)",0.5,"","","","","","","","","","","","","","","","";"Impact Fertilisers","Impact Super Potash 2&amp;1","kg",1,"","","","",5.84,16.8,7.29,"Single superphosphate (SSP)",0.663158,"Muriate of potash (MOP)",0.336,"","","","","","","","","","","","","","","","";"Impact Fertilisers","Impact Super Potash 3&amp;1","kg",1,"","","","",6.58,12.5,8.22,"Single superphosphate (SSP)",0.747368,"Muriate of potash (MOP)",0.25,"","","","","","","","","","","","","","","","";"Impact Fertilisers","Impact Super Potash 4&amp;1","kg",1,"","","","",7.04,10,8.8,"Single superphosphate (SSP)",0.8,"Muriate of potash (MOP)",0.2,"","","","","","","","","","","","","","","","";"Impact Fertilisers","Impact Super Potash 5&amp;1","kg",1,"","","","",7.32,8.4,9.15,"Single superphosphate (SSP)",0.831579,"Muriate of potash (MOP)",0.168,"","","","","","","","","","","","","","","","";"Pacific Fertiliser / Incitec Pivot Fertilisers","Cal-Gran","kg",1,"","","",23.9,"","",10.8,"Nitrogen - Nitrate",0.074,"Nitrogen - Ammoniacal",0.165,"Sulfur - Generic",0.108,"Calcium",0.044,"","","","","","","","","","","","";"Pacific Fertiliser / Incitec Pivot Fertilisers","Cal-Gran 50/50","kg",1,"","","",17.9,"",15,3.6,"Nitrogen - Nitrate",0.055,"Nitrogen - Ammoniacal",0.124,"Potassium - Generic",0.15,"Sulfur - Generic",0.036,"Calcium",0.044,"","","","","","","","","","";"Pacific Fertiliser / Incitec Pivot Fertilisers","Cal-Gran 50/50 (S)","kg",1,"","","",16.9,"",14.4,8.7,"Nitrogen - Nitrate",0.052,"Nitrogen - Ammoniacal",0.117,"Potassium - Generic",0.144,"Sulfur - Generic",0.087,"Calcium",0.044,"","","","","","","","","","";"Pacific Fertiliser / Incitec Pivot Fertilisers","Cal-Gran 130","kg",1,"","","",18.8,1,12.5,3.7,"Nitrogen - Nitrate",0.058,"Nitrogen - Ammoniacal",0.13,"Phosphorus - Generic",0.01,"Potassium - Generic",0.125,"Sulfur - Generic",0.037,"Calcium",0.044,"","","","","","","","";"Pacific Fertiliser / Incitec Pivot Fertilisers","Cal-Gran 150","kg",1,"","","",18.6,3,12.5,1.4,"Nitrogen - Nitrate",0.058,"Nitrogen - Ammoniacal",0.128,"Phosphorus - Generic",0.03,"Potassium - Generic",0.125,"Sulfur - Generic",0.014,"Calcium",0.044,"","","","","","","","";"Pacific Fertiliser / Incitec Pivot Fertilisers","Cal-Gran Extra K","kg",1,"","","",15.8,"",19,3.2,"Nitrogen - Nitrate",0.049,"Nitrogen - Ammoniacal",0.109,"Potassium - Generic",0.19,"Sulfur - Generic",0.032,"Calcium",0.039,"","","","","","","","","","";"Incitec Pivot Fertilisers","Dairy Pro","kg",1,"","","",25.9,3.9,15.9,0.3,"Nitrogen - Generic",0.259,"Phosphorus - Generic",0.039,"Potassium - Generic",0.159,"Sulfur - Generic",0.003,"","","","","","","","","","","","";"Yara Australia","YaraMila ACTYVA S","kg",1,"","","",15.6,6.37,12.45,2.6,"Nitrogen - Nitrate",0.058,"Nitrogen - Ammoniacal",0.098,"Phosphorus - Generic",0.063714,"Potassium - Generic",0.124515,"Sulfur - Generic",0.026,"","","","","","","","","","";"CSBP","Agflow Extra","kg",1,"","","",11.15,17.52,"",3.6,"Monoammonium phosphate (MAP)",0.8,"Sulphate of ammonia (SOA)",0.15,"Copper","No data","Molybdenum","No data","Zinc","No data","","","","","","","","","","";"CSBP","Super &amp; Potash 3:1","kg",1,"","","","",5.5,15,6.88,"Single superphosphate (SSP)",0.625,"Muriate of potash (MOP)",0.3,"","","","","","","","","","","","","","","","";"Yara","YaraBela CAN-27","kg",1,"","","",27,"","","","Calcium ammonium nitrate (CAN)",1,"","","","","","","","","","","","","","","","","","";"Incitec Pivot Fertilisers","Cal-Gran Aftergraze","kg",1,"","","",20.6,3,7.5,3.8,"Nitrogen - Nitrate",0.064,"Nitrogen - Ammoniacal",0.142,"Phosphorus - Generic",0.03,"Potassium - Generic",0.075,"Sulfur - Generic",0.038,"Calcium",0.044,"","","","","","","","";"Incitec Pivot Fertilisers","Cal-Gran Prodress","kg",1,"","","",17.8,1,15,2.5,"Nitrogen - Nitrate",0.055,"Nitrogen - Ammoniacal",0.123,"Phosphorus - Generic",0.01,"Potassium - Generic",0.15,"Sulfur - Generic",0.025,"Calcium",0.044,"","","","","","","","";"Wengfu Australia","Wengfu PrimeZinc 10","kg",1,"","","",10,22,"",1.5,"Nitrogen - Generic",0.1,"Phosphorus - Generic",0.22,"Sulfur - Generic",0.015,"Zinc",0.01,"","","","","","","","","","","","";"Wengfu Australia","Wengfu Pasture King","kg",1,"","","","",15.7,"",4.6,"Phosphorus - Generic",0.157,"Sulfur - Generic",0.046,"Calcium",0.14,"","","","","","","","","","","","","","";"Wengfu Australia","Wengfu SuStain","kg",1,"","","","","","",90,"Sulfur - Generic",0.9,"","","","","","","","","","","","","","","","","","";"Wengfu Australia","Wengfu Slam","kg",1,"","","",19.5,0.7,"",23,"Nitrogen - Generic",0.195,"Phosphorus - Generic",0.007,"Sulfur - Generic",0.23,"","","","","","","","","","","","","","";"Wengfu Australia","Wengfu Prime MSZ","kg",1,"","","",10,18,"",8,"Nitrogen - Generic",0.1,"Phosphorus - Generic",0.18,"Sulfur - Generic",0.08,"Zinc",0.005,"","","","","","","","","","","","";"Wengfu Australia","Wengfu 9-20-0-10 MAP SuStain","kg",1,"","","",9,19.8,0,10.4,"Nitrogen - Generic",0.09,"Phosphorus - Generic",0.198,"Sulfur - Generic",0.104,"","","","","","","","","","","","","","";"Wengfu Australia","Wengfu 15-17-0-15 DAP SuStain","kg",1,"","","",15.2,16.9,0,15.2,"Nitrogen - Generic",0.152,"Phosphorus - Generic",0.169,"Sulfur - Generic",0.152,"","","","","","","","","","","","","","";"Wengfu Australia","Wengfu 16-18-0-10 DAP SuStain","kg",1,"","","",16.2,18,0,10.4,"Nitrogen - Generic",0.162,"Phosphorus - Generic",0.18,"Sulfur - Generic",0.104,"","","","","","","","","","","","","","";"Wengfu Australia","Wengfu 5-15-0-6 Fast Start Legume","kg",1,"","","",5,15.4,0,6.3,"Nitrogen - Generic",0.05,"Phosphorus - Generic",0.154,"Sulfur - Generic",0.063,"","","","","","","","","","","","","","";"Wengfu Australia","Wengfu 9-20-0-10 PrimeZinc","kg",1,"","","",9,19.8,0,10.4,"Nitrogen - Generic",0.09,"Phosphorus - Generic",0.198,"Sulfur - Generic",0.104,"Zinc",0.009,"","","","","","","","","","","","";"Wengfu Australia","Wengfu 12-18-0-6 PrimeZinc","kg",1,"","","",11.9,17.6,0,5.9,"Nitrogen - Generic",0.119,"Phosphorus - Generic",0.176,"Sulfur - Generic",0.059,"Zinc",0.008,"","","","","","","","","","","","";"Wengfu Australia","Wengfu 14-13-0-11 PrimeZinc","kg",1,"","","",14.1,12.8,0,10.7,"Nitrogen - Generic",0.141,"Phosphorus - Generic",0.128,"Sulfur - Generic",0.107,"Zinc",0.006,"","","","","","","","","","","",""}, _xlpm.r, _xlpm.c))))</definedName>
    <definedName name="Fertiliser_SourceData.Fertiliser_Products_Data4" localSheetId="43">_xlfn.LAMBDA(_xlfn.MAKEARRAY(30, 31, _xlfn.LAMBDA(_xlpm.r,_xlpm.c, INDEX({"Impact Fertilisers","Impact Super Potash 1&amp;1","kg",1,"","","","",4.4,25,5.5,"Single superphosphate (SSP)",0.5,"Muriate of potash (MOP)",0.5,"","","","","","","","","","","","","","","","";"Impact Fertilisers","Impact Super Potash 2&amp;1","kg",1,"","","","",5.84,16.8,7.29,"Single superphosphate (SSP)",0.663158,"Muriate of potash (MOP)",0.336,"","","","","","","","","","","","","","","","";"Impact Fertilisers","Impact Super Potash 3&amp;1","kg",1,"","","","",6.58,12.5,8.22,"Single superphosphate (SSP)",0.747368,"Muriate of potash (MOP)",0.25,"","","","","","","","","","","","","","","","";"Impact Fertilisers","Impact Super Potash 4&amp;1","kg",1,"","","","",7.04,10,8.8,"Single superphosphate (SSP)",0.8,"Muriate of potash (MOP)",0.2,"","","","","","","","","","","","","","","","";"Impact Fertilisers","Impact Super Potash 5&amp;1","kg",1,"","","","",7.32,8.4,9.15,"Single superphosphate (SSP)",0.831579,"Muriate of potash (MOP)",0.168,"","","","","","","","","","","","","","","","";"Pacific Fertiliser / Incitec Pivot Fertilisers","Cal-Gran","kg",1,"","","",23.9,"","",10.8,"Nitrogen - Nitrate",0.074,"Nitrogen - Ammoniacal",0.165,"Sulfur - Generic",0.108,"Calcium",0.044,"","","","","","","","","","","","";"Pacific Fertiliser / Incitec Pivot Fertilisers","Cal-Gran 50/50","kg",1,"","","",17.9,"",15,3.6,"Nitrogen - Nitrate",0.055,"Nitrogen - Ammoniacal",0.124,"Potassium - Generic",0.15,"Sulfur - Generic",0.036,"Calcium",0.044,"","","","","","","","","","";"Pacific Fertiliser / Incitec Pivot Fertilisers","Cal-Gran 50/50 (S)","kg",1,"","","",16.9,"",14.4,8.7,"Nitrogen - Nitrate",0.052,"Nitrogen - Ammoniacal",0.117,"Potassium - Generic",0.144,"Sulfur - Generic",0.087,"Calcium",0.044,"","","","","","","","","","";"Pacific Fertiliser / Incitec Pivot Fertilisers","Cal-Gran 130","kg",1,"","","",18.8,1,12.5,3.7,"Nitrogen - Nitrate",0.058,"Nitrogen - Ammoniacal",0.13,"Phosphorus - Generic",0.01,"Potassium - Generic",0.125,"Sulfur - Generic",0.037,"Calcium",0.044,"","","","","","","","";"Pacific Fertiliser / Incitec Pivot Fertilisers","Cal-Gran 150","kg",1,"","","",18.6,3,12.5,1.4,"Nitrogen - Nitrate",0.058,"Nitrogen - Ammoniacal",0.128,"Phosphorus - Generic",0.03,"Potassium - Generic",0.125,"Sulfur - Generic",0.014,"Calcium",0.044,"","","","","","","","";"Pacific Fertiliser / Incitec Pivot Fertilisers","Cal-Gran Extra K","kg",1,"","","",15.8,"",19,3.2,"Nitrogen - Nitrate",0.049,"Nitrogen - Ammoniacal",0.109,"Potassium - Generic",0.19,"Sulfur - Generic",0.032,"Calcium",0.039,"","","","","","","","","","";"Incitec Pivot Fertilisers","Dairy Pro","kg",1,"","","",25.9,3.9,15.9,0.3,"Nitrogen - Generic",0.259,"Phosphorus - Generic",0.039,"Potassium - Generic",0.159,"Sulfur - Generic",0.003,"","","","","","","","","","","","";"Yara Australia","YaraMila ACTYVA S","kg",1,"","","",15.6,6.37,12.45,2.6,"Nitrogen - Nitrate",0.058,"Nitrogen - Ammoniacal",0.098,"Phosphorus - Generic",0.063714,"Potassium - Generic",0.124515,"Sulfur - Generic",0.026,"","","","","","","","","","";"CSBP","Agflow Extra","kg",1,"","","",11.15,17.52,"",3.6,"Monoammonium phosphate (MAP)",0.8,"Sulphate of ammonia (SOA)",0.15,"Copper","No data","Molybdenum","No data","Zinc","No data","","","","","","","","","","";"CSBP","Super &amp; Potash 3:1","kg",1,"","","","",5.5,15,6.88,"Single superphosphate (SSP)",0.625,"Muriate of potash (MOP)",0.3,"","","","","","","","","","","","","","","","";"Yara","YaraBela CAN-27","kg",1,"","","",27,"","","","Calcium ammonium nitrate (CAN)",1,"","","","","","","","","","","","","","","","","","";"Incitec Pivot Fertilisers","Cal-Gran Aftergraze","kg",1,"","","",20.6,3,7.5,3.8,"Nitrogen - Nitrate",0.064,"Nitrogen - Ammoniacal",0.142,"Phosphorus - Generic",0.03,"Potassium - Generic",0.075,"Sulfur - Generic",0.038,"Calcium",0.044,"","","","","","","","";"Incitec Pivot Fertilisers","Cal-Gran Prodress","kg",1,"","","",17.8,1,15,2.5,"Nitrogen - Nitrate",0.055,"Nitrogen - Ammoniacal",0.123,"Phosphorus - Generic",0.01,"Potassium - Generic",0.15,"Sulfur - Generic",0.025,"Calcium",0.044,"","","","","","","","";"Wengfu Australia","Wengfu PrimeZinc 10","kg",1,"","","",10,22,"",1.5,"Nitrogen - Generic",0.1,"Phosphorus - Generic",0.22,"Sulfur - Generic",0.015,"Zinc",0.01,"","","","","","","","","","","","";"Wengfu Australia","Wengfu Pasture King","kg",1,"","","","",15.7,"",4.6,"Phosphorus - Generic",0.157,"Sulfur - Generic",0.046,"Calcium",0.14,"","","","","","","","","","","","","","";"Wengfu Australia","Wengfu SuStain","kg",1,"","","","","","",90,"Sulfur - Generic",0.9,"","","","","","","","","","","","","","","","","","";"Wengfu Australia","Wengfu Slam","kg",1,"","","",19.5,0.7,"",23,"Nitrogen - Generic",0.195,"Phosphorus - Generic",0.007,"Sulfur - Generic",0.23,"","","","","","","","","","","","","","";"Wengfu Australia","Wengfu Prime MSZ","kg",1,"","","",10,18,"",8,"Nitrogen - Generic",0.1,"Phosphorus - Generic",0.18,"Sulfur - Generic",0.08,"Zinc",0.005,"","","","","","","","","","","","";"Wengfu Australia","Wengfu 9-20-0-10 MAP SuStain","kg",1,"","","",9,19.8,0,10.4,"Nitrogen - Generic",0.09,"Phosphorus - Generic",0.198,"Sulfur - Generic",0.104,"","","","","","","","","","","","","","";"Wengfu Australia","Wengfu 15-17-0-15 DAP SuStain","kg",1,"","","",15.2,16.9,0,15.2,"Nitrogen - Generic",0.152,"Phosphorus - Generic",0.169,"Sulfur - Generic",0.152,"","","","","","","","","","","","","","";"Wengfu Australia","Wengfu 16-18-0-10 DAP SuStain","kg",1,"","","",16.2,18,0,10.4,"Nitrogen - Generic",0.162,"Phosphorus - Generic",0.18,"Sulfur - Generic",0.104,"","","","","","","","","","","","","","";"Wengfu Australia","Wengfu 5-15-0-6 Fast Start Legume","kg",1,"","","",5,15.4,0,6.3,"Nitrogen - Generic",0.05,"Phosphorus - Generic",0.154,"Sulfur - Generic",0.063,"","","","","","","","","","","","","","";"Wengfu Australia","Wengfu 9-20-0-10 PrimeZinc","kg",1,"","","",9,19.8,0,10.4,"Nitrogen - Generic",0.09,"Phosphorus - Generic",0.198,"Sulfur - Generic",0.104,"Zinc",0.009,"","","","","","","","","","","","";"Wengfu Australia","Wengfu 12-18-0-6 PrimeZinc","kg",1,"","","",11.9,17.6,0,5.9,"Nitrogen - Generic",0.119,"Phosphorus - Generic",0.176,"Sulfur - Generic",0.059,"Zinc",0.008,"","","","","","","","","","","","";"Wengfu Australia","Wengfu 14-13-0-11 PrimeZinc","kg",1,"","","",14.1,12.8,0,10.7,"Nitrogen - Generic",0.141,"Phosphorus - Generic",0.128,"Sulfur - Generic",0.107,"Zinc",0.006,"","","","","","","","","","","",""}, _xlpm.r, _xlpm.c))))</definedName>
    <definedName name="Fertiliser_SourceData.Fertiliser_Products_Data4" localSheetId="45">_xlfn.LAMBDA(_xlfn.MAKEARRAY(30, 31, _xlfn.LAMBDA(_xlpm.r,_xlpm.c, INDEX({"Impact Fertilisers","Impact Super Potash 1&amp;1","kg",1,"","","","",4.4,25,5.5,"Single superphosphate (SSP)",0.5,"Muriate of potash (MOP)",0.5,"","","","","","","","","","","","","","","","";"Impact Fertilisers","Impact Super Potash 2&amp;1","kg",1,"","","","",5.84,16.8,7.29,"Single superphosphate (SSP)",0.663158,"Muriate of potash (MOP)",0.336,"","","","","","","","","","","","","","","","";"Impact Fertilisers","Impact Super Potash 3&amp;1","kg",1,"","","","",6.58,12.5,8.22,"Single superphosphate (SSP)",0.747368,"Muriate of potash (MOP)",0.25,"","","","","","","","","","","","","","","","";"Impact Fertilisers","Impact Super Potash 4&amp;1","kg",1,"","","","",7.04,10,8.8,"Single superphosphate (SSP)",0.8,"Muriate of potash (MOP)",0.2,"","","","","","","","","","","","","","","","";"Impact Fertilisers","Impact Super Potash 5&amp;1","kg",1,"","","","",7.32,8.4,9.15,"Single superphosphate (SSP)",0.831579,"Muriate of potash (MOP)",0.168,"","","","","","","","","","","","","","","","";"Pacific Fertiliser / Incitec Pivot Fertilisers","Cal-Gran","kg",1,"","","",23.9,"","",10.8,"Nitrogen - Nitrate",0.074,"Nitrogen - Ammoniacal",0.165,"Sulfur - Generic",0.108,"Calcium",0.044,"","","","","","","","","","","","";"Pacific Fertiliser / Incitec Pivot Fertilisers","Cal-Gran 50/50","kg",1,"","","",17.9,"",15,3.6,"Nitrogen - Nitrate",0.055,"Nitrogen - Ammoniacal",0.124,"Potassium - Generic",0.15,"Sulfur - Generic",0.036,"Calcium",0.044,"","","","","","","","","","";"Pacific Fertiliser / Incitec Pivot Fertilisers","Cal-Gran 50/50 (S)","kg",1,"","","",16.9,"",14.4,8.7,"Nitrogen - Nitrate",0.052,"Nitrogen - Ammoniacal",0.117,"Potassium - Generic",0.144,"Sulfur - Generic",0.087,"Calcium",0.044,"","","","","","","","","","";"Pacific Fertiliser / Incitec Pivot Fertilisers","Cal-Gran 130","kg",1,"","","",18.8,1,12.5,3.7,"Nitrogen - Nitrate",0.058,"Nitrogen - Ammoniacal",0.13,"Phosphorus - Generic",0.01,"Potassium - Generic",0.125,"Sulfur - Generic",0.037,"Calcium",0.044,"","","","","","","","";"Pacific Fertiliser / Incitec Pivot Fertilisers","Cal-Gran 150","kg",1,"","","",18.6,3,12.5,1.4,"Nitrogen - Nitrate",0.058,"Nitrogen - Ammoniacal",0.128,"Phosphorus - Generic",0.03,"Potassium - Generic",0.125,"Sulfur - Generic",0.014,"Calcium",0.044,"","","","","","","","";"Pacific Fertiliser / Incitec Pivot Fertilisers","Cal-Gran Extra K","kg",1,"","","",15.8,"",19,3.2,"Nitrogen - Nitrate",0.049,"Nitrogen - Ammoniacal",0.109,"Potassium - Generic",0.19,"Sulfur - Generic",0.032,"Calcium",0.039,"","","","","","","","","","";"Incitec Pivot Fertilisers","Dairy Pro","kg",1,"","","",25.9,3.9,15.9,0.3,"Nitrogen - Generic",0.259,"Phosphorus - Generic",0.039,"Potassium - Generic",0.159,"Sulfur - Generic",0.003,"","","","","","","","","","","","";"Yara Australia","YaraMila ACTYVA S","kg",1,"","","",15.6,6.37,12.45,2.6,"Nitrogen - Nitrate",0.058,"Nitrogen - Ammoniacal",0.098,"Phosphorus - Generic",0.063714,"Potassium - Generic",0.124515,"Sulfur - Generic",0.026,"","","","","","","","","","";"CSBP","Agflow Extra","kg",1,"","","",11.15,17.52,"",3.6,"Monoammonium phosphate (MAP)",0.8,"Sulphate of ammonia (SOA)",0.15,"Copper","No data","Molybdenum","No data","Zinc","No data","","","","","","","","","","";"CSBP","Super &amp; Potash 3:1","kg",1,"","","","",5.5,15,6.88,"Single superphosphate (SSP)",0.625,"Muriate of potash (MOP)",0.3,"","","","","","","","","","","","","","","","";"Yara","YaraBela CAN-27","kg",1,"","","",27,"","","","Calcium ammonium nitrate (CAN)",1,"","","","","","","","","","","","","","","","","","";"Incitec Pivot Fertilisers","Cal-Gran Aftergraze","kg",1,"","","",20.6,3,7.5,3.8,"Nitrogen - Nitrate",0.064,"Nitrogen - Ammoniacal",0.142,"Phosphorus - Generic",0.03,"Potassium - Generic",0.075,"Sulfur - Generic",0.038,"Calcium",0.044,"","","","","","","","";"Incitec Pivot Fertilisers","Cal-Gran Prodress","kg",1,"","","",17.8,1,15,2.5,"Nitrogen - Nitrate",0.055,"Nitrogen - Ammoniacal",0.123,"Phosphorus - Generic",0.01,"Potassium - Generic",0.15,"Sulfur - Generic",0.025,"Calcium",0.044,"","","","","","","","";"Wengfu Australia","Wengfu PrimeZinc 10","kg",1,"","","",10,22,"",1.5,"Nitrogen - Generic",0.1,"Phosphorus - Generic",0.22,"Sulfur - Generic",0.015,"Zinc",0.01,"","","","","","","","","","","","";"Wengfu Australia","Wengfu Pasture King","kg",1,"","","","",15.7,"",4.6,"Phosphorus - Generic",0.157,"Sulfur - Generic",0.046,"Calcium",0.14,"","","","","","","","","","","","","","";"Wengfu Australia","Wengfu SuStain","kg",1,"","","","","","",90,"Sulfur - Generic",0.9,"","","","","","","","","","","","","","","","","","";"Wengfu Australia","Wengfu Slam","kg",1,"","","",19.5,0.7,"",23,"Nitrogen - Generic",0.195,"Phosphorus - Generic",0.007,"Sulfur - Generic",0.23,"","","","","","","","","","","","","","";"Wengfu Australia","Wengfu Prime MSZ","kg",1,"","","",10,18,"",8,"Nitrogen - Generic",0.1,"Phosphorus - Generic",0.18,"Sulfur - Generic",0.08,"Zinc",0.005,"","","","","","","","","","","","";"Wengfu Australia","Wengfu 9-20-0-10 MAP SuStain","kg",1,"","","",9,19.8,0,10.4,"Nitrogen - Generic",0.09,"Phosphorus - Generic",0.198,"Sulfur - Generic",0.104,"","","","","","","","","","","","","","";"Wengfu Australia","Wengfu 15-17-0-15 DAP SuStain","kg",1,"","","",15.2,16.9,0,15.2,"Nitrogen - Generic",0.152,"Phosphorus - Generic",0.169,"Sulfur - Generic",0.152,"","","","","","","","","","","","","","";"Wengfu Australia","Wengfu 16-18-0-10 DAP SuStain","kg",1,"","","",16.2,18,0,10.4,"Nitrogen - Generic",0.162,"Phosphorus - Generic",0.18,"Sulfur - Generic",0.104,"","","","","","","","","","","","","","";"Wengfu Australia","Wengfu 5-15-0-6 Fast Start Legume","kg",1,"","","",5,15.4,0,6.3,"Nitrogen - Generic",0.05,"Phosphorus - Generic",0.154,"Sulfur - Generic",0.063,"","","","","","","","","","","","","","";"Wengfu Australia","Wengfu 9-20-0-10 PrimeZinc","kg",1,"","","",9,19.8,0,10.4,"Nitrogen - Generic",0.09,"Phosphorus - Generic",0.198,"Sulfur - Generic",0.104,"Zinc",0.009,"","","","","","","","","","","","";"Wengfu Australia","Wengfu 12-18-0-6 PrimeZinc","kg",1,"","","",11.9,17.6,0,5.9,"Nitrogen - Generic",0.119,"Phosphorus - Generic",0.176,"Sulfur - Generic",0.059,"Zinc",0.008,"","","","","","","","","","","","";"Wengfu Australia","Wengfu 14-13-0-11 PrimeZinc","kg",1,"","","",14.1,12.8,0,10.7,"Nitrogen - Generic",0.141,"Phosphorus - Generic",0.128,"Sulfur - Generic",0.107,"Zinc",0.006,"","","","","","","","","","","",""}, _xlpm.r, _xlpm.c))))</definedName>
    <definedName name="Fertiliser_SourceData.Fertiliser_Products_Data4" localSheetId="7">_xlfn.LAMBDA(_xlfn.MAKEARRAY(30, 31, _xlfn.LAMBDA(_xlpm.r,_xlpm.c, INDEX({"Impact Fertilisers","Impact Super Potash 1&amp;1","kg",1,"","","","",4.4,25,5.5,"Single superphosphate (SSP)",0.5,"Muriate of potash (MOP)",0.5,"","","","","","","","","","","","","","","","";"Impact Fertilisers","Impact Super Potash 2&amp;1","kg",1,"","","","",5.84,16.8,7.29,"Single superphosphate (SSP)",0.663158,"Muriate of potash (MOP)",0.336,"","","","","","","","","","","","","","","","";"Impact Fertilisers","Impact Super Potash 3&amp;1","kg",1,"","","","",6.58,12.5,8.22,"Single superphosphate (SSP)",0.747368,"Muriate of potash (MOP)",0.25,"","","","","","","","","","","","","","","","";"Impact Fertilisers","Impact Super Potash 4&amp;1","kg",1,"","","","",7.04,10,8.8,"Single superphosphate (SSP)",0.8,"Muriate of potash (MOP)",0.2,"","","","","","","","","","","","","","","","";"Impact Fertilisers","Impact Super Potash 5&amp;1","kg",1,"","","","",7.32,8.4,9.15,"Single superphosphate (SSP)",0.831579,"Muriate of potash (MOP)",0.168,"","","","","","","","","","","","","","","","";"Pacific Fertiliser / Incitec Pivot Fertilisers","Cal-Gran","kg",1,"","","",23.9,"","",10.8,"Nitrogen - Nitrate",0.074,"Nitrogen - Ammoniacal",0.165,"Sulfur - Generic",0.108,"Calcium",0.044,"","","","","","","","","","","","";"Pacific Fertiliser / Incitec Pivot Fertilisers","Cal-Gran 50/50","kg",1,"","","",17.9,"",15,3.6,"Nitrogen - Nitrate",0.055,"Nitrogen - Ammoniacal",0.124,"Potassium - Generic",0.15,"Sulfur - Generic",0.036,"Calcium",0.044,"","","","","","","","","","";"Pacific Fertiliser / Incitec Pivot Fertilisers","Cal-Gran 50/50 (S)","kg",1,"","","",16.9,"",14.4,8.7,"Nitrogen - Nitrate",0.052,"Nitrogen - Ammoniacal",0.117,"Potassium - Generic",0.144,"Sulfur - Generic",0.087,"Calcium",0.044,"","","","","","","","","","";"Pacific Fertiliser / Incitec Pivot Fertilisers","Cal-Gran 130","kg",1,"","","",18.8,1,12.5,3.7,"Nitrogen - Nitrate",0.058,"Nitrogen - Ammoniacal",0.13,"Phosphorus - Generic",0.01,"Potassium - Generic",0.125,"Sulfur - Generic",0.037,"Calcium",0.044,"","","","","","","","";"Pacific Fertiliser / Incitec Pivot Fertilisers","Cal-Gran 150","kg",1,"","","",18.6,3,12.5,1.4,"Nitrogen - Nitrate",0.058,"Nitrogen - Ammoniacal",0.128,"Phosphorus - Generic",0.03,"Potassium - Generic",0.125,"Sulfur - Generic",0.014,"Calcium",0.044,"","","","","","","","";"Pacific Fertiliser / Incitec Pivot Fertilisers","Cal-Gran Extra K","kg",1,"","","",15.8,"",19,3.2,"Nitrogen - Nitrate",0.049,"Nitrogen - Ammoniacal",0.109,"Potassium - Generic",0.19,"Sulfur - Generic",0.032,"Calcium",0.039,"","","","","","","","","","";"Incitec Pivot Fertilisers","Dairy Pro","kg",1,"","","",25.9,3.9,15.9,0.3,"Nitrogen - Generic",0.259,"Phosphorus - Generic",0.039,"Potassium - Generic",0.159,"Sulfur - Generic",0.003,"","","","","","","","","","","","";"Yara Australia","YaraMila ACTYVA S","kg",1,"","","",15.6,6.37,12.45,2.6,"Nitrogen - Nitrate",0.058,"Nitrogen - Ammoniacal",0.098,"Phosphorus - Generic",0.063714,"Potassium - Generic",0.124515,"Sulfur - Generic",0.026,"","","","","","","","","","";"CSBP","Agflow Extra","kg",1,"","","",11.15,17.52,"",3.6,"Monoammonium phosphate (MAP)",0.8,"Sulphate of ammonia (SOA)",0.15,"Copper","No data","Molybdenum","No data","Zinc","No data","","","","","","","","","","";"CSBP","Super &amp; Potash 3:1","kg",1,"","","","",5.5,15,6.88,"Single superphosphate (SSP)",0.625,"Muriate of potash (MOP)",0.3,"","","","","","","","","","","","","","","","";"Yara","YaraBela CAN-27","kg",1,"","","",27,"","","","Calcium ammonium nitrate (CAN)",1,"","","","","","","","","","","","","","","","","","";"Incitec Pivot Fertilisers","Cal-Gran Aftergraze","kg",1,"","","",20.6,3,7.5,3.8,"Nitrogen - Nitrate",0.064,"Nitrogen - Ammoniacal",0.142,"Phosphorus - Generic",0.03,"Potassium - Generic",0.075,"Sulfur - Generic",0.038,"Calcium",0.044,"","","","","","","","";"Incitec Pivot Fertilisers","Cal-Gran Prodress","kg",1,"","","",17.8,1,15,2.5,"Nitrogen - Nitrate",0.055,"Nitrogen - Ammoniacal",0.123,"Phosphorus - Generic",0.01,"Potassium - Generic",0.15,"Sulfur - Generic",0.025,"Calcium",0.044,"","","","","","","","";"Wengfu Australia","Wengfu PrimeZinc 10","kg",1,"","","",10,22,"",1.5,"Nitrogen - Generic",0.1,"Phosphorus - Generic",0.22,"Sulfur - Generic",0.015,"Zinc",0.01,"","","","","","","","","","","","";"Wengfu Australia","Wengfu Pasture King","kg",1,"","","","",15.7,"",4.6,"Phosphorus - Generic",0.157,"Sulfur - Generic",0.046,"Calcium",0.14,"","","","","","","","","","","","","","";"Wengfu Australia","Wengfu SuStain","kg",1,"","","","","","",90,"Sulfur - Generic",0.9,"","","","","","","","","","","","","","","","","","";"Wengfu Australia","Wengfu Slam","kg",1,"","","",19.5,0.7,"",23,"Nitrogen - Generic",0.195,"Phosphorus - Generic",0.007,"Sulfur - Generic",0.23,"","","","","","","","","","","","","","";"Wengfu Australia","Wengfu Prime MSZ","kg",1,"","","",10,18,"",8,"Nitrogen - Generic",0.1,"Phosphorus - Generic",0.18,"Sulfur - Generic",0.08,"Zinc",0.005,"","","","","","","","","","","","";"Wengfu Australia","Wengfu 9-20-0-10 MAP SuStain","kg",1,"","","",9,19.8,0,10.4,"Nitrogen - Generic",0.09,"Phosphorus - Generic",0.198,"Sulfur - Generic",0.104,"","","","","","","","","","","","","","";"Wengfu Australia","Wengfu 15-17-0-15 DAP SuStain","kg",1,"","","",15.2,16.9,0,15.2,"Nitrogen - Generic",0.152,"Phosphorus - Generic",0.169,"Sulfur - Generic",0.152,"","","","","","","","","","","","","","";"Wengfu Australia","Wengfu 16-18-0-10 DAP SuStain","kg",1,"","","",16.2,18,0,10.4,"Nitrogen - Generic",0.162,"Phosphorus - Generic",0.18,"Sulfur - Generic",0.104,"","","","","","","","","","","","","","";"Wengfu Australia","Wengfu 5-15-0-6 Fast Start Legume","kg",1,"","","",5,15.4,0,6.3,"Nitrogen - Generic",0.05,"Phosphorus - Generic",0.154,"Sulfur - Generic",0.063,"","","","","","","","","","","","","","";"Wengfu Australia","Wengfu 9-20-0-10 PrimeZinc","kg",1,"","","",9,19.8,0,10.4,"Nitrogen - Generic",0.09,"Phosphorus - Generic",0.198,"Sulfur - Generic",0.104,"Zinc",0.009,"","","","","","","","","","","","";"Wengfu Australia","Wengfu 12-18-0-6 PrimeZinc","kg",1,"","","",11.9,17.6,0,5.9,"Nitrogen - Generic",0.119,"Phosphorus - Generic",0.176,"Sulfur - Generic",0.059,"Zinc",0.008,"","","","","","","","","","","","";"Wengfu Australia","Wengfu 14-13-0-11 PrimeZinc","kg",1,"","","",14.1,12.8,0,10.7,"Nitrogen - Generic",0.141,"Phosphorus - Generic",0.128,"Sulfur - Generic",0.107,"Zinc",0.006,"","","","","","","","","","","",""}, _xlpm.r, _xlpm.c))))</definedName>
    <definedName name="Fertiliser_SourceData.Fertiliser_Products_Data4" localSheetId="13">_xlfn.LAMBDA(_xlfn.MAKEARRAY(30, 31, _xlfn.LAMBDA(_xlpm.r,_xlpm.c, INDEX({"Impact Fertilisers","Impact Super Potash 1&amp;1","kg",1,"","","","",4.4,25,5.5,"Single superphosphate (SSP)",0.5,"Muriate of potash (MOP)",0.5,"","","","","","","","","","","","","","","","";"Impact Fertilisers","Impact Super Potash 2&amp;1","kg",1,"","","","",5.84,16.8,7.29,"Single superphosphate (SSP)",0.663158,"Muriate of potash (MOP)",0.336,"","","","","","","","","","","","","","","","";"Impact Fertilisers","Impact Super Potash 3&amp;1","kg",1,"","","","",6.58,12.5,8.22,"Single superphosphate (SSP)",0.747368,"Muriate of potash (MOP)",0.25,"","","","","","","","","","","","","","","","";"Impact Fertilisers","Impact Super Potash 4&amp;1","kg",1,"","","","",7.04,10,8.8,"Single superphosphate (SSP)",0.8,"Muriate of potash (MOP)",0.2,"","","","","","","","","","","","","","","","";"Impact Fertilisers","Impact Super Potash 5&amp;1","kg",1,"","","","",7.32,8.4,9.15,"Single superphosphate (SSP)",0.831579,"Muriate of potash (MOP)",0.168,"","","","","","","","","","","","","","","","";"Pacific Fertiliser / Incitec Pivot Fertilisers","Cal-Gran","kg",1,"","","",23.9,"","",10.8,"Nitrogen - Nitrate",0.074,"Nitrogen - Ammoniacal",0.165,"Sulfur - Generic",0.108,"Calcium",0.044,"","","","","","","","","","","","";"Pacific Fertiliser / Incitec Pivot Fertilisers","Cal-Gran 50/50","kg",1,"","","",17.9,"",15,3.6,"Nitrogen - Nitrate",0.055,"Nitrogen - Ammoniacal",0.124,"Potassium - Generic",0.15,"Sulfur - Generic",0.036,"Calcium",0.044,"","","","","","","","","","";"Pacific Fertiliser / Incitec Pivot Fertilisers","Cal-Gran 50/50 (S)","kg",1,"","","",16.9,"",14.4,8.7,"Nitrogen - Nitrate",0.052,"Nitrogen - Ammoniacal",0.117,"Potassium - Generic",0.144,"Sulfur - Generic",0.087,"Calcium",0.044,"","","","","","","","","","";"Pacific Fertiliser / Incitec Pivot Fertilisers","Cal-Gran 130","kg",1,"","","",18.8,1,12.5,3.7,"Nitrogen - Nitrate",0.058,"Nitrogen - Ammoniacal",0.13,"Phosphorus - Generic",0.01,"Potassium - Generic",0.125,"Sulfur - Generic",0.037,"Calcium",0.044,"","","","","","","","";"Pacific Fertiliser / Incitec Pivot Fertilisers","Cal-Gran 150","kg",1,"","","",18.6,3,12.5,1.4,"Nitrogen - Nitrate",0.058,"Nitrogen - Ammoniacal",0.128,"Phosphorus - Generic",0.03,"Potassium - Generic",0.125,"Sulfur - Generic",0.014,"Calcium",0.044,"","","","","","","","";"Pacific Fertiliser / Incitec Pivot Fertilisers","Cal-Gran Extra K","kg",1,"","","",15.8,"",19,3.2,"Nitrogen - Nitrate",0.049,"Nitrogen - Ammoniacal",0.109,"Potassium - Generic",0.19,"Sulfur - Generic",0.032,"Calcium",0.039,"","","","","","","","","","";"Incitec Pivot Fertilisers","Dairy Pro","kg",1,"","","",25.9,3.9,15.9,0.3,"Nitrogen - Generic",0.259,"Phosphorus - Generic",0.039,"Potassium - Generic",0.159,"Sulfur - Generic",0.003,"","","","","","","","","","","","";"Yara Australia","YaraMila ACTYVA S","kg",1,"","","",15.6,6.37,12.45,2.6,"Nitrogen - Nitrate",0.058,"Nitrogen - Ammoniacal",0.098,"Phosphorus - Generic",0.063714,"Potassium - Generic",0.124515,"Sulfur - Generic",0.026,"","","","","","","","","","";"CSBP","Agflow Extra","kg",1,"","","",11.15,17.52,"",3.6,"Monoammonium phosphate (MAP)",0.8,"Sulphate of ammonia (SOA)",0.15,"Copper","No data","Molybdenum","No data","Zinc","No data","","","","","","","","","","";"CSBP","Super &amp; Potash 3:1","kg",1,"","","","",5.5,15,6.88,"Single superphosphate (SSP)",0.625,"Muriate of potash (MOP)",0.3,"","","","","","","","","","","","","","","","";"Yara","YaraBela CAN-27","kg",1,"","","",27,"","","","Calcium ammonium nitrate (CAN)",1,"","","","","","","","","","","","","","","","","","";"Incitec Pivot Fertilisers","Cal-Gran Aftergraze","kg",1,"","","",20.6,3,7.5,3.8,"Nitrogen - Nitrate",0.064,"Nitrogen - Ammoniacal",0.142,"Phosphorus - Generic",0.03,"Potassium - Generic",0.075,"Sulfur - Generic",0.038,"Calcium",0.044,"","","","","","","","";"Incitec Pivot Fertilisers","Cal-Gran Prodress","kg",1,"","","",17.8,1,15,2.5,"Nitrogen - Nitrate",0.055,"Nitrogen - Ammoniacal",0.123,"Phosphorus - Generic",0.01,"Potassium - Generic",0.15,"Sulfur - Generic",0.025,"Calcium",0.044,"","","","","","","","";"Wengfu Australia","Wengfu PrimeZinc 10","kg",1,"","","",10,22,"",1.5,"Nitrogen - Generic",0.1,"Phosphorus - Generic",0.22,"Sulfur - Generic",0.015,"Zinc",0.01,"","","","","","","","","","","","";"Wengfu Australia","Wengfu Pasture King","kg",1,"","","","",15.7,"",4.6,"Phosphorus - Generic",0.157,"Sulfur - Generic",0.046,"Calcium",0.14,"","","","","","","","","","","","","","";"Wengfu Australia","Wengfu SuStain","kg",1,"","","","","","",90,"Sulfur - Generic",0.9,"","","","","","","","","","","","","","","","","","";"Wengfu Australia","Wengfu Slam","kg",1,"","","",19.5,0.7,"",23,"Nitrogen - Generic",0.195,"Phosphorus - Generic",0.007,"Sulfur - Generic",0.23,"","","","","","","","","","","","","","";"Wengfu Australia","Wengfu Prime MSZ","kg",1,"","","",10,18,"",8,"Nitrogen - Generic",0.1,"Phosphorus - Generic",0.18,"Sulfur - Generic",0.08,"Zinc",0.005,"","","","","","","","","","","","";"Wengfu Australia","Wengfu 9-20-0-10 MAP SuStain","kg",1,"","","",9,19.8,0,10.4,"Nitrogen - Generic",0.09,"Phosphorus - Generic",0.198,"Sulfur - Generic",0.104,"","","","","","","","","","","","","","";"Wengfu Australia","Wengfu 15-17-0-15 DAP SuStain","kg",1,"","","",15.2,16.9,0,15.2,"Nitrogen - Generic",0.152,"Phosphorus - Generic",0.169,"Sulfur - Generic",0.152,"","","","","","","","","","","","","","";"Wengfu Australia","Wengfu 16-18-0-10 DAP SuStain","kg",1,"","","",16.2,18,0,10.4,"Nitrogen - Generic",0.162,"Phosphorus - Generic",0.18,"Sulfur - Generic",0.104,"","","","","","","","","","","","","","";"Wengfu Australia","Wengfu 5-15-0-6 Fast Start Legume","kg",1,"","","",5,15.4,0,6.3,"Nitrogen - Generic",0.05,"Phosphorus - Generic",0.154,"Sulfur - Generic",0.063,"","","","","","","","","","","","","","";"Wengfu Australia","Wengfu 9-20-0-10 PrimeZinc","kg",1,"","","",9,19.8,0,10.4,"Nitrogen - Generic",0.09,"Phosphorus - Generic",0.198,"Sulfur - Generic",0.104,"Zinc",0.009,"","","","","","","","","","","","";"Wengfu Australia","Wengfu 12-18-0-6 PrimeZinc","kg",1,"","","",11.9,17.6,0,5.9,"Nitrogen - Generic",0.119,"Phosphorus - Generic",0.176,"Sulfur - Generic",0.059,"Zinc",0.008,"","","","","","","","","","","","";"Wengfu Australia","Wengfu 14-13-0-11 PrimeZinc","kg",1,"","","",14.1,12.8,0,10.7,"Nitrogen - Generic",0.141,"Phosphorus - Generic",0.128,"Sulfur - Generic",0.107,"Zinc",0.006,"","","","","","","","","","","",""}, _xlpm.r, _xlpm.c))))</definedName>
    <definedName name="Fertiliser_SourceData.Fertiliser_Products_Data4" localSheetId="14">_xlfn.LAMBDA(_xlfn.MAKEARRAY(30, 31, _xlfn.LAMBDA(_xlpm.r,_xlpm.c, INDEX({"Impact Fertilisers","Impact Super Potash 1&amp;1","kg",1,"","","","",4.4,25,5.5,"Single superphosphate (SSP)",0.5,"Muriate of potash (MOP)",0.5,"","","","","","","","","","","","","","","","";"Impact Fertilisers","Impact Super Potash 2&amp;1","kg",1,"","","","",5.84,16.8,7.29,"Single superphosphate (SSP)",0.663158,"Muriate of potash (MOP)",0.336,"","","","","","","","","","","","","","","","";"Impact Fertilisers","Impact Super Potash 3&amp;1","kg",1,"","","","",6.58,12.5,8.22,"Single superphosphate (SSP)",0.747368,"Muriate of potash (MOP)",0.25,"","","","","","","","","","","","","","","","";"Impact Fertilisers","Impact Super Potash 4&amp;1","kg",1,"","","","",7.04,10,8.8,"Single superphosphate (SSP)",0.8,"Muriate of potash (MOP)",0.2,"","","","","","","","","","","","","","","","";"Impact Fertilisers","Impact Super Potash 5&amp;1","kg",1,"","","","",7.32,8.4,9.15,"Single superphosphate (SSP)",0.831579,"Muriate of potash (MOP)",0.168,"","","","","","","","","","","","","","","","";"Pacific Fertiliser / Incitec Pivot Fertilisers","Cal-Gran","kg",1,"","","",23.9,"","",10.8,"Nitrogen - Nitrate",0.074,"Nitrogen - Ammoniacal",0.165,"Sulfur - Generic",0.108,"Calcium",0.044,"","","","","","","","","","","","";"Pacific Fertiliser / Incitec Pivot Fertilisers","Cal-Gran 50/50","kg",1,"","","",17.9,"",15,3.6,"Nitrogen - Nitrate",0.055,"Nitrogen - Ammoniacal",0.124,"Potassium - Generic",0.15,"Sulfur - Generic",0.036,"Calcium",0.044,"","","","","","","","","","";"Pacific Fertiliser / Incitec Pivot Fertilisers","Cal-Gran 50/50 (S)","kg",1,"","","",16.9,"",14.4,8.7,"Nitrogen - Nitrate",0.052,"Nitrogen - Ammoniacal",0.117,"Potassium - Generic",0.144,"Sulfur - Generic",0.087,"Calcium",0.044,"","","","","","","","","","";"Pacific Fertiliser / Incitec Pivot Fertilisers","Cal-Gran 130","kg",1,"","","",18.8,1,12.5,3.7,"Nitrogen - Nitrate",0.058,"Nitrogen - Ammoniacal",0.13,"Phosphorus - Generic",0.01,"Potassium - Generic",0.125,"Sulfur - Generic",0.037,"Calcium",0.044,"","","","","","","","";"Pacific Fertiliser / Incitec Pivot Fertilisers","Cal-Gran 150","kg",1,"","","",18.6,3,12.5,1.4,"Nitrogen - Nitrate",0.058,"Nitrogen - Ammoniacal",0.128,"Phosphorus - Generic",0.03,"Potassium - Generic",0.125,"Sulfur - Generic",0.014,"Calcium",0.044,"","","","","","","","";"Pacific Fertiliser / Incitec Pivot Fertilisers","Cal-Gran Extra K","kg",1,"","","",15.8,"",19,3.2,"Nitrogen - Nitrate",0.049,"Nitrogen - Ammoniacal",0.109,"Potassium - Generic",0.19,"Sulfur - Generic",0.032,"Calcium",0.039,"","","","","","","","","","";"Incitec Pivot Fertilisers","Dairy Pro","kg",1,"","","",25.9,3.9,15.9,0.3,"Nitrogen - Generic",0.259,"Phosphorus - Generic",0.039,"Potassium - Generic",0.159,"Sulfur - Generic",0.003,"","","","","","","","","","","","";"Yara Australia","YaraMila ACTYVA S","kg",1,"","","",15.6,6.37,12.45,2.6,"Nitrogen - Nitrate",0.058,"Nitrogen - Ammoniacal",0.098,"Phosphorus - Generic",0.063714,"Potassium - Generic",0.124515,"Sulfur - Generic",0.026,"","","","","","","","","","";"CSBP","Agflow Extra","kg",1,"","","",11.15,17.52,"",3.6,"Monoammonium phosphate (MAP)",0.8,"Sulphate of ammonia (SOA)",0.15,"Copper","No data","Molybdenum","No data","Zinc","No data","","","","","","","","","","";"CSBP","Super &amp; Potash 3:1","kg",1,"","","","",5.5,15,6.88,"Single superphosphate (SSP)",0.625,"Muriate of potash (MOP)",0.3,"","","","","","","","","","","","","","","","";"Yara","YaraBela CAN-27","kg",1,"","","",27,"","","","Calcium ammonium nitrate (CAN)",1,"","","","","","","","","","","","","","","","","","";"Incitec Pivot Fertilisers","Cal-Gran Aftergraze","kg",1,"","","",20.6,3,7.5,3.8,"Nitrogen - Nitrate",0.064,"Nitrogen - Ammoniacal",0.142,"Phosphorus - Generic",0.03,"Potassium - Generic",0.075,"Sulfur - Generic",0.038,"Calcium",0.044,"","","","","","","","";"Incitec Pivot Fertilisers","Cal-Gran Prodress","kg",1,"","","",17.8,1,15,2.5,"Nitrogen - Nitrate",0.055,"Nitrogen - Ammoniacal",0.123,"Phosphorus - Generic",0.01,"Potassium - Generic",0.15,"Sulfur - Generic",0.025,"Calcium",0.044,"","","","","","","","";"Wengfu Australia","Wengfu PrimeZinc 10","kg",1,"","","",10,22,"",1.5,"Nitrogen - Generic",0.1,"Phosphorus - Generic",0.22,"Sulfur - Generic",0.015,"Zinc",0.01,"","","","","","","","","","","","";"Wengfu Australia","Wengfu Pasture King","kg",1,"","","","",15.7,"",4.6,"Phosphorus - Generic",0.157,"Sulfur - Generic",0.046,"Calcium",0.14,"","","","","","","","","","","","","","";"Wengfu Australia","Wengfu SuStain","kg",1,"","","","","","",90,"Sulfur - Generic",0.9,"","","","","","","","","","","","","","","","","","";"Wengfu Australia","Wengfu Slam","kg",1,"","","",19.5,0.7,"",23,"Nitrogen - Generic",0.195,"Phosphorus - Generic",0.007,"Sulfur - Generic",0.23,"","","","","","","","","","","","","","";"Wengfu Australia","Wengfu Prime MSZ","kg",1,"","","",10,18,"",8,"Nitrogen - Generic",0.1,"Phosphorus - Generic",0.18,"Sulfur - Generic",0.08,"Zinc",0.005,"","","","","","","","","","","","";"Wengfu Australia","Wengfu 9-20-0-10 MAP SuStain","kg",1,"","","",9,19.8,0,10.4,"Nitrogen - Generic",0.09,"Phosphorus - Generic",0.198,"Sulfur - Generic",0.104,"","","","","","","","","","","","","","";"Wengfu Australia","Wengfu 15-17-0-15 DAP SuStain","kg",1,"","","",15.2,16.9,0,15.2,"Nitrogen - Generic",0.152,"Phosphorus - Generic",0.169,"Sulfur - Generic",0.152,"","","","","","","","","","","","","","";"Wengfu Australia","Wengfu 16-18-0-10 DAP SuStain","kg",1,"","","",16.2,18,0,10.4,"Nitrogen - Generic",0.162,"Phosphorus - Generic",0.18,"Sulfur - Generic",0.104,"","","","","","","","","","","","","","";"Wengfu Australia","Wengfu 5-15-0-6 Fast Start Legume","kg",1,"","","",5,15.4,0,6.3,"Nitrogen - Generic",0.05,"Phosphorus - Generic",0.154,"Sulfur - Generic",0.063,"","","","","","","","","","","","","","";"Wengfu Australia","Wengfu 9-20-0-10 PrimeZinc","kg",1,"","","",9,19.8,0,10.4,"Nitrogen - Generic",0.09,"Phosphorus - Generic",0.198,"Sulfur - Generic",0.104,"Zinc",0.009,"","","","","","","","","","","","";"Wengfu Australia","Wengfu 12-18-0-6 PrimeZinc","kg",1,"","","",11.9,17.6,0,5.9,"Nitrogen - Generic",0.119,"Phosphorus - Generic",0.176,"Sulfur - Generic",0.059,"Zinc",0.008,"","","","","","","","","","","","";"Wengfu Australia","Wengfu 14-13-0-11 PrimeZinc","kg",1,"","","",14.1,12.8,0,10.7,"Nitrogen - Generic",0.141,"Phosphorus - Generic",0.128,"Sulfur - Generic",0.107,"Zinc",0.006,"","","","","","","","","","","",""}, _xlpm.r, _xlpm.c))))</definedName>
    <definedName name="Fertiliser_SourceData.Fertiliser_Products_Data4" localSheetId="10">_xlfn.LAMBDA(_xlfn.MAKEARRAY(30, 31, _xlfn.LAMBDA(_xlpm.r,_xlpm.c, INDEX({"Impact Fertilisers","Impact Super Potash 1&amp;1","kg",1,"","","","",4.4,25,5.5,"Single superphosphate (SSP)",0.5,"Muriate of potash (MOP)",0.5,"","","","","","","","","","","","","","","","";"Impact Fertilisers","Impact Super Potash 2&amp;1","kg",1,"","","","",5.84,16.8,7.29,"Single superphosphate (SSP)",0.663158,"Muriate of potash (MOP)",0.336,"","","","","","","","","","","","","","","","";"Impact Fertilisers","Impact Super Potash 3&amp;1","kg",1,"","","","",6.58,12.5,8.22,"Single superphosphate (SSP)",0.747368,"Muriate of potash (MOP)",0.25,"","","","","","","","","","","","","","","","";"Impact Fertilisers","Impact Super Potash 4&amp;1","kg",1,"","","","",7.04,10,8.8,"Single superphosphate (SSP)",0.8,"Muriate of potash (MOP)",0.2,"","","","","","","","","","","","","","","","";"Impact Fertilisers","Impact Super Potash 5&amp;1","kg",1,"","","","",7.32,8.4,9.15,"Single superphosphate (SSP)",0.831579,"Muriate of potash (MOP)",0.168,"","","","","","","","","","","","","","","","";"Pacific Fertiliser / Incitec Pivot Fertilisers","Cal-Gran","kg",1,"","","",23.9,"","",10.8,"Nitrogen - Nitrate",0.074,"Nitrogen - Ammoniacal",0.165,"Sulfur - Generic",0.108,"Calcium",0.044,"","","","","","","","","","","","";"Pacific Fertiliser / Incitec Pivot Fertilisers","Cal-Gran 50/50","kg",1,"","","",17.9,"",15,3.6,"Nitrogen - Nitrate",0.055,"Nitrogen - Ammoniacal",0.124,"Potassium - Generic",0.15,"Sulfur - Generic",0.036,"Calcium",0.044,"","","","","","","","","","";"Pacific Fertiliser / Incitec Pivot Fertilisers","Cal-Gran 50/50 (S)","kg",1,"","","",16.9,"",14.4,8.7,"Nitrogen - Nitrate",0.052,"Nitrogen - Ammoniacal",0.117,"Potassium - Generic",0.144,"Sulfur - Generic",0.087,"Calcium",0.044,"","","","","","","","","","";"Pacific Fertiliser / Incitec Pivot Fertilisers","Cal-Gran 130","kg",1,"","","",18.8,1,12.5,3.7,"Nitrogen - Nitrate",0.058,"Nitrogen - Ammoniacal",0.13,"Phosphorus - Generic",0.01,"Potassium - Generic",0.125,"Sulfur - Generic",0.037,"Calcium",0.044,"","","","","","","","";"Pacific Fertiliser / Incitec Pivot Fertilisers","Cal-Gran 150","kg",1,"","","",18.6,3,12.5,1.4,"Nitrogen - Nitrate",0.058,"Nitrogen - Ammoniacal",0.128,"Phosphorus - Generic",0.03,"Potassium - Generic",0.125,"Sulfur - Generic",0.014,"Calcium",0.044,"","","","","","","","";"Pacific Fertiliser / Incitec Pivot Fertilisers","Cal-Gran Extra K","kg",1,"","","",15.8,"",19,3.2,"Nitrogen - Nitrate",0.049,"Nitrogen - Ammoniacal",0.109,"Potassium - Generic",0.19,"Sulfur - Generic",0.032,"Calcium",0.039,"","","","","","","","","","";"Incitec Pivot Fertilisers","Dairy Pro","kg",1,"","","",25.9,3.9,15.9,0.3,"Nitrogen - Generic",0.259,"Phosphorus - Generic",0.039,"Potassium - Generic",0.159,"Sulfur - Generic",0.003,"","","","","","","","","","","","";"Yara Australia","YaraMila ACTYVA S","kg",1,"","","",15.6,6.37,12.45,2.6,"Nitrogen - Nitrate",0.058,"Nitrogen - Ammoniacal",0.098,"Phosphorus - Generic",0.063714,"Potassium - Generic",0.124515,"Sulfur - Generic",0.026,"","","","","","","","","","";"CSBP","Agflow Extra","kg",1,"","","",11.15,17.52,"",3.6,"Monoammonium phosphate (MAP)",0.8,"Sulphate of ammonia (SOA)",0.15,"Copper","No data","Molybdenum","No data","Zinc","No data","","","","","","","","","","";"CSBP","Super &amp; Potash 3:1","kg",1,"","","","",5.5,15,6.88,"Single superphosphate (SSP)",0.625,"Muriate of potash (MOP)",0.3,"","","","","","","","","","","","","","","","";"Yara","YaraBela CAN-27","kg",1,"","","",27,"","","","Calcium ammonium nitrate (CAN)",1,"","","","","","","","","","","","","","","","","","";"Incitec Pivot Fertilisers","Cal-Gran Aftergraze","kg",1,"","","",20.6,3,7.5,3.8,"Nitrogen - Nitrate",0.064,"Nitrogen - Ammoniacal",0.142,"Phosphorus - Generic",0.03,"Potassium - Generic",0.075,"Sulfur - Generic",0.038,"Calcium",0.044,"","","","","","","","";"Incitec Pivot Fertilisers","Cal-Gran Prodress","kg",1,"","","",17.8,1,15,2.5,"Nitrogen - Nitrate",0.055,"Nitrogen - Ammoniacal",0.123,"Phosphorus - Generic",0.01,"Potassium - Generic",0.15,"Sulfur - Generic",0.025,"Calcium",0.044,"","","","","","","","";"Wengfu Australia","Wengfu PrimeZinc 10","kg",1,"","","",10,22,"",1.5,"Nitrogen - Generic",0.1,"Phosphorus - Generic",0.22,"Sulfur - Generic",0.015,"Zinc",0.01,"","","","","","","","","","","","";"Wengfu Australia","Wengfu Pasture King","kg",1,"","","","",15.7,"",4.6,"Phosphorus - Generic",0.157,"Sulfur - Generic",0.046,"Calcium",0.14,"","","","","","","","","","","","","","";"Wengfu Australia","Wengfu SuStain","kg",1,"","","","","","",90,"Sulfur - Generic",0.9,"","","","","","","","","","","","","","","","","","";"Wengfu Australia","Wengfu Slam","kg",1,"","","",19.5,0.7,"",23,"Nitrogen - Generic",0.195,"Phosphorus - Generic",0.007,"Sulfur - Generic",0.23,"","","","","","","","","","","","","","";"Wengfu Australia","Wengfu Prime MSZ","kg",1,"","","",10,18,"",8,"Nitrogen - Generic",0.1,"Phosphorus - Generic",0.18,"Sulfur - Generic",0.08,"Zinc",0.005,"","","","","","","","","","","","";"Wengfu Australia","Wengfu 9-20-0-10 MAP SuStain","kg",1,"","","",9,19.8,0,10.4,"Nitrogen - Generic",0.09,"Phosphorus - Generic",0.198,"Sulfur - Generic",0.104,"","","","","","","","","","","","","","";"Wengfu Australia","Wengfu 15-17-0-15 DAP SuStain","kg",1,"","","",15.2,16.9,0,15.2,"Nitrogen - Generic",0.152,"Phosphorus - Generic",0.169,"Sulfur - Generic",0.152,"","","","","","","","","","","","","","";"Wengfu Australia","Wengfu 16-18-0-10 DAP SuStain","kg",1,"","","",16.2,18,0,10.4,"Nitrogen - Generic",0.162,"Phosphorus - Generic",0.18,"Sulfur - Generic",0.104,"","","","","","","","","","","","","","";"Wengfu Australia","Wengfu 5-15-0-6 Fast Start Legume","kg",1,"","","",5,15.4,0,6.3,"Nitrogen - Generic",0.05,"Phosphorus - Generic",0.154,"Sulfur - Generic",0.063,"","","","","","","","","","","","","","";"Wengfu Australia","Wengfu 9-20-0-10 PrimeZinc","kg",1,"","","",9,19.8,0,10.4,"Nitrogen - Generic",0.09,"Phosphorus - Generic",0.198,"Sulfur - Generic",0.104,"Zinc",0.009,"","","","","","","","","","","","";"Wengfu Australia","Wengfu 12-18-0-6 PrimeZinc","kg",1,"","","",11.9,17.6,0,5.9,"Nitrogen - Generic",0.119,"Phosphorus - Generic",0.176,"Sulfur - Generic",0.059,"Zinc",0.008,"","","","","","","","","","","","";"Wengfu Australia","Wengfu 14-13-0-11 PrimeZinc","kg",1,"","","",14.1,12.8,0,10.7,"Nitrogen - Generic",0.141,"Phosphorus - Generic",0.128,"Sulfur - Generic",0.107,"Zinc",0.006,"","","","","","","","","","","",""}, _xlpm.r, _xlpm.c))))</definedName>
    <definedName name="Fertiliser_SourceData.Fertiliser_Products_Data4" localSheetId="16">_xlfn.LAMBDA(_xlfn.MAKEARRAY(30, 31, _xlfn.LAMBDA(_xlpm.r,_xlpm.c, INDEX({"Impact Fertilisers","Impact Super Potash 1&amp;1","kg",1,"","","","",4.4,25,5.5,"Single superphosphate (SSP)",0.5,"Muriate of potash (MOP)",0.5,"","","","","","","","","","","","","","","","";"Impact Fertilisers","Impact Super Potash 2&amp;1","kg",1,"","","","",5.84,16.8,7.29,"Single superphosphate (SSP)",0.663158,"Muriate of potash (MOP)",0.336,"","","","","","","","","","","","","","","","";"Impact Fertilisers","Impact Super Potash 3&amp;1","kg",1,"","","","",6.58,12.5,8.22,"Single superphosphate (SSP)",0.747368,"Muriate of potash (MOP)",0.25,"","","","","","","","","","","","","","","","";"Impact Fertilisers","Impact Super Potash 4&amp;1","kg",1,"","","","",7.04,10,8.8,"Single superphosphate (SSP)",0.8,"Muriate of potash (MOP)",0.2,"","","","","","","","","","","","","","","","";"Impact Fertilisers","Impact Super Potash 5&amp;1","kg",1,"","","","",7.32,8.4,9.15,"Single superphosphate (SSP)",0.831579,"Muriate of potash (MOP)",0.168,"","","","","","","","","","","","","","","","";"Pacific Fertiliser / Incitec Pivot Fertilisers","Cal-Gran","kg",1,"","","",23.9,"","",10.8,"Nitrogen - Nitrate",0.074,"Nitrogen - Ammoniacal",0.165,"Sulfur - Generic",0.108,"Calcium",0.044,"","","","","","","","","","","","";"Pacific Fertiliser / Incitec Pivot Fertilisers","Cal-Gran 50/50","kg",1,"","","",17.9,"",15,3.6,"Nitrogen - Nitrate",0.055,"Nitrogen - Ammoniacal",0.124,"Potassium - Generic",0.15,"Sulfur - Generic",0.036,"Calcium",0.044,"","","","","","","","","","";"Pacific Fertiliser / Incitec Pivot Fertilisers","Cal-Gran 50/50 (S)","kg",1,"","","",16.9,"",14.4,8.7,"Nitrogen - Nitrate",0.052,"Nitrogen - Ammoniacal",0.117,"Potassium - Generic",0.144,"Sulfur - Generic",0.087,"Calcium",0.044,"","","","","","","","","","";"Pacific Fertiliser / Incitec Pivot Fertilisers","Cal-Gran 130","kg",1,"","","",18.8,1,12.5,3.7,"Nitrogen - Nitrate",0.058,"Nitrogen - Ammoniacal",0.13,"Phosphorus - Generic",0.01,"Potassium - Generic",0.125,"Sulfur - Generic",0.037,"Calcium",0.044,"","","","","","","","";"Pacific Fertiliser / Incitec Pivot Fertilisers","Cal-Gran 150","kg",1,"","","",18.6,3,12.5,1.4,"Nitrogen - Nitrate",0.058,"Nitrogen - Ammoniacal",0.128,"Phosphorus - Generic",0.03,"Potassium - Generic",0.125,"Sulfur - Generic",0.014,"Calcium",0.044,"","","","","","","","";"Pacific Fertiliser / Incitec Pivot Fertilisers","Cal-Gran Extra K","kg",1,"","","",15.8,"",19,3.2,"Nitrogen - Nitrate",0.049,"Nitrogen - Ammoniacal",0.109,"Potassium - Generic",0.19,"Sulfur - Generic",0.032,"Calcium",0.039,"","","","","","","","","","";"Incitec Pivot Fertilisers","Dairy Pro","kg",1,"","","",25.9,3.9,15.9,0.3,"Nitrogen - Generic",0.259,"Phosphorus - Generic",0.039,"Potassium - Generic",0.159,"Sulfur - Generic",0.003,"","","","","","","","","","","","";"Yara Australia","YaraMila ACTYVA S","kg",1,"","","",15.6,6.37,12.45,2.6,"Nitrogen - Nitrate",0.058,"Nitrogen - Ammoniacal",0.098,"Phosphorus - Generic",0.063714,"Potassium - Generic",0.124515,"Sulfur - Generic",0.026,"","","","","","","","","","";"CSBP","Agflow Extra","kg",1,"","","",11.15,17.52,"",3.6,"Monoammonium phosphate (MAP)",0.8,"Sulphate of ammonia (SOA)",0.15,"Copper","No data","Molybdenum","No data","Zinc","No data","","","","","","","","","","";"CSBP","Super &amp; Potash 3:1","kg",1,"","","","",5.5,15,6.88,"Single superphosphate (SSP)",0.625,"Muriate of potash (MOP)",0.3,"","","","","","","","","","","","","","","","";"Yara","YaraBela CAN-27","kg",1,"","","",27,"","","","Calcium ammonium nitrate (CAN)",1,"","","","","","","","","","","","","","","","","","";"Incitec Pivot Fertilisers","Cal-Gran Aftergraze","kg",1,"","","",20.6,3,7.5,3.8,"Nitrogen - Nitrate",0.064,"Nitrogen - Ammoniacal",0.142,"Phosphorus - Generic",0.03,"Potassium - Generic",0.075,"Sulfur - Generic",0.038,"Calcium",0.044,"","","","","","","","";"Incitec Pivot Fertilisers","Cal-Gran Prodress","kg",1,"","","",17.8,1,15,2.5,"Nitrogen - Nitrate",0.055,"Nitrogen - Ammoniacal",0.123,"Phosphorus - Generic",0.01,"Potassium - Generic",0.15,"Sulfur - Generic",0.025,"Calcium",0.044,"","","","","","","","";"Wengfu Australia","Wengfu PrimeZinc 10","kg",1,"","","",10,22,"",1.5,"Nitrogen - Generic",0.1,"Phosphorus - Generic",0.22,"Sulfur - Generic",0.015,"Zinc",0.01,"","","","","","","","","","","","";"Wengfu Australia","Wengfu Pasture King","kg",1,"","","","",15.7,"",4.6,"Phosphorus - Generic",0.157,"Sulfur - Generic",0.046,"Calcium",0.14,"","","","","","","","","","","","","","";"Wengfu Australia","Wengfu SuStain","kg",1,"","","","","","",90,"Sulfur - Generic",0.9,"","","","","","","","","","","","","","","","","","";"Wengfu Australia","Wengfu Slam","kg",1,"","","",19.5,0.7,"",23,"Nitrogen - Generic",0.195,"Phosphorus - Generic",0.007,"Sulfur - Generic",0.23,"","","","","","","","","","","","","","";"Wengfu Australia","Wengfu Prime MSZ","kg",1,"","","",10,18,"",8,"Nitrogen - Generic",0.1,"Phosphorus - Generic",0.18,"Sulfur - Generic",0.08,"Zinc",0.005,"","","","","","","","","","","","";"Wengfu Australia","Wengfu 9-20-0-10 MAP SuStain","kg",1,"","","",9,19.8,0,10.4,"Nitrogen - Generic",0.09,"Phosphorus - Generic",0.198,"Sulfur - Generic",0.104,"","","","","","","","","","","","","","";"Wengfu Australia","Wengfu 15-17-0-15 DAP SuStain","kg",1,"","","",15.2,16.9,0,15.2,"Nitrogen - Generic",0.152,"Phosphorus - Generic",0.169,"Sulfur - Generic",0.152,"","","","","","","","","","","","","","";"Wengfu Australia","Wengfu 16-18-0-10 DAP SuStain","kg",1,"","","",16.2,18,0,10.4,"Nitrogen - Generic",0.162,"Phosphorus - Generic",0.18,"Sulfur - Generic",0.104,"","","","","","","","","","","","","","";"Wengfu Australia","Wengfu 5-15-0-6 Fast Start Legume","kg",1,"","","",5,15.4,0,6.3,"Nitrogen - Generic",0.05,"Phosphorus - Generic",0.154,"Sulfur - Generic",0.063,"","","","","","","","","","","","","","";"Wengfu Australia","Wengfu 9-20-0-10 PrimeZinc","kg",1,"","","",9,19.8,0,10.4,"Nitrogen - Generic",0.09,"Phosphorus - Generic",0.198,"Sulfur - Generic",0.104,"Zinc",0.009,"","","","","","","","","","","","";"Wengfu Australia","Wengfu 12-18-0-6 PrimeZinc","kg",1,"","","",11.9,17.6,0,5.9,"Nitrogen - Generic",0.119,"Phosphorus - Generic",0.176,"Sulfur - Generic",0.059,"Zinc",0.008,"","","","","","","","","","","","";"Wengfu Australia","Wengfu 14-13-0-11 PrimeZinc","kg",1,"","","",14.1,12.8,0,10.7,"Nitrogen - Generic",0.141,"Phosphorus - Generic",0.128,"Sulfur - Generic",0.107,"Zinc",0.006,"","","","","","","","","","","",""}, _xlpm.r, _xlpm.c))))</definedName>
    <definedName name="Fertiliser_SourceData.Fertiliser_Products_Data4" localSheetId="15">_xlfn.LAMBDA(_xlfn.MAKEARRAY(30, 31, _xlfn.LAMBDA(_xlpm.r,_xlpm.c, INDEX({"Impact Fertilisers","Impact Super Potash 1&amp;1","kg",1,"","","","",4.4,25,5.5,"Single superphosphate (SSP)",0.5,"Muriate of potash (MOP)",0.5,"","","","","","","","","","","","","","","","";"Impact Fertilisers","Impact Super Potash 2&amp;1","kg",1,"","","","",5.84,16.8,7.29,"Single superphosphate (SSP)",0.663158,"Muriate of potash (MOP)",0.336,"","","","","","","","","","","","","","","","";"Impact Fertilisers","Impact Super Potash 3&amp;1","kg",1,"","","","",6.58,12.5,8.22,"Single superphosphate (SSP)",0.747368,"Muriate of potash (MOP)",0.25,"","","","","","","","","","","","","","","","";"Impact Fertilisers","Impact Super Potash 4&amp;1","kg",1,"","","","",7.04,10,8.8,"Single superphosphate (SSP)",0.8,"Muriate of potash (MOP)",0.2,"","","","","","","","","","","","","","","","";"Impact Fertilisers","Impact Super Potash 5&amp;1","kg",1,"","","","",7.32,8.4,9.15,"Single superphosphate (SSP)",0.831579,"Muriate of potash (MOP)",0.168,"","","","","","","","","","","","","","","","";"Pacific Fertiliser / Incitec Pivot Fertilisers","Cal-Gran","kg",1,"","","",23.9,"","",10.8,"Nitrogen - Nitrate",0.074,"Nitrogen - Ammoniacal",0.165,"Sulfur - Generic",0.108,"Calcium",0.044,"","","","","","","","","","","","";"Pacific Fertiliser / Incitec Pivot Fertilisers","Cal-Gran 50/50","kg",1,"","","",17.9,"",15,3.6,"Nitrogen - Nitrate",0.055,"Nitrogen - Ammoniacal",0.124,"Potassium - Generic",0.15,"Sulfur - Generic",0.036,"Calcium",0.044,"","","","","","","","","","";"Pacific Fertiliser / Incitec Pivot Fertilisers","Cal-Gran 50/50 (S)","kg",1,"","","",16.9,"",14.4,8.7,"Nitrogen - Nitrate",0.052,"Nitrogen - Ammoniacal",0.117,"Potassium - Generic",0.144,"Sulfur - Generic",0.087,"Calcium",0.044,"","","","","","","","","","";"Pacific Fertiliser / Incitec Pivot Fertilisers","Cal-Gran 130","kg",1,"","","",18.8,1,12.5,3.7,"Nitrogen - Nitrate",0.058,"Nitrogen - Ammoniacal",0.13,"Phosphorus - Generic",0.01,"Potassium - Generic",0.125,"Sulfur - Generic",0.037,"Calcium",0.044,"","","","","","","","";"Pacific Fertiliser / Incitec Pivot Fertilisers","Cal-Gran 150","kg",1,"","","",18.6,3,12.5,1.4,"Nitrogen - Nitrate",0.058,"Nitrogen - Ammoniacal",0.128,"Phosphorus - Generic",0.03,"Potassium - Generic",0.125,"Sulfur - Generic",0.014,"Calcium",0.044,"","","","","","","","";"Pacific Fertiliser / Incitec Pivot Fertilisers","Cal-Gran Extra K","kg",1,"","","",15.8,"",19,3.2,"Nitrogen - Nitrate",0.049,"Nitrogen - Ammoniacal",0.109,"Potassium - Generic",0.19,"Sulfur - Generic",0.032,"Calcium",0.039,"","","","","","","","","","";"Incitec Pivot Fertilisers","Dairy Pro","kg",1,"","","",25.9,3.9,15.9,0.3,"Nitrogen - Generic",0.259,"Phosphorus - Generic",0.039,"Potassium - Generic",0.159,"Sulfur - Generic",0.003,"","","","","","","","","","","","";"Yara Australia","YaraMila ACTYVA S","kg",1,"","","",15.6,6.37,12.45,2.6,"Nitrogen - Nitrate",0.058,"Nitrogen - Ammoniacal",0.098,"Phosphorus - Generic",0.063714,"Potassium - Generic",0.124515,"Sulfur - Generic",0.026,"","","","","","","","","","";"CSBP","Agflow Extra","kg",1,"","","",11.15,17.52,"",3.6,"Monoammonium phosphate (MAP)",0.8,"Sulphate of ammonia (SOA)",0.15,"Copper","No data","Molybdenum","No data","Zinc","No data","","","","","","","","","","";"CSBP","Super &amp; Potash 3:1","kg",1,"","","","",5.5,15,6.88,"Single superphosphate (SSP)",0.625,"Muriate of potash (MOP)",0.3,"","","","","","","","","","","","","","","","";"Yara","YaraBela CAN-27","kg",1,"","","",27,"","","","Calcium ammonium nitrate (CAN)",1,"","","","","","","","","","","","","","","","","","";"Incitec Pivot Fertilisers","Cal-Gran Aftergraze","kg",1,"","","",20.6,3,7.5,3.8,"Nitrogen - Nitrate",0.064,"Nitrogen - Ammoniacal",0.142,"Phosphorus - Generic",0.03,"Potassium - Generic",0.075,"Sulfur - Generic",0.038,"Calcium",0.044,"","","","","","","","";"Incitec Pivot Fertilisers","Cal-Gran Prodress","kg",1,"","","",17.8,1,15,2.5,"Nitrogen - Nitrate",0.055,"Nitrogen - Ammoniacal",0.123,"Phosphorus - Generic",0.01,"Potassium - Generic",0.15,"Sulfur - Generic",0.025,"Calcium",0.044,"","","","","","","","";"Wengfu Australia","Wengfu PrimeZinc 10","kg",1,"","","",10,22,"",1.5,"Nitrogen - Generic",0.1,"Phosphorus - Generic",0.22,"Sulfur - Generic",0.015,"Zinc",0.01,"","","","","","","","","","","","";"Wengfu Australia","Wengfu Pasture King","kg",1,"","","","",15.7,"",4.6,"Phosphorus - Generic",0.157,"Sulfur - Generic",0.046,"Calcium",0.14,"","","","","","","","","","","","","","";"Wengfu Australia","Wengfu SuStain","kg",1,"","","","","","",90,"Sulfur - Generic",0.9,"","","","","","","","","","","","","","","","","","";"Wengfu Australia","Wengfu Slam","kg",1,"","","",19.5,0.7,"",23,"Nitrogen - Generic",0.195,"Phosphorus - Generic",0.007,"Sulfur - Generic",0.23,"","","","","","","","","","","","","","";"Wengfu Australia","Wengfu Prime MSZ","kg",1,"","","",10,18,"",8,"Nitrogen - Generic",0.1,"Phosphorus - Generic",0.18,"Sulfur - Generic",0.08,"Zinc",0.005,"","","","","","","","","","","","";"Wengfu Australia","Wengfu 9-20-0-10 MAP SuStain","kg",1,"","","",9,19.8,0,10.4,"Nitrogen - Generic",0.09,"Phosphorus - Generic",0.198,"Sulfur - Generic",0.104,"","","","","","","","","","","","","","";"Wengfu Australia","Wengfu 15-17-0-15 DAP SuStain","kg",1,"","","",15.2,16.9,0,15.2,"Nitrogen - Generic",0.152,"Phosphorus - Generic",0.169,"Sulfur - Generic",0.152,"","","","","","","","","","","","","","";"Wengfu Australia","Wengfu 16-18-0-10 DAP SuStain","kg",1,"","","",16.2,18,0,10.4,"Nitrogen - Generic",0.162,"Phosphorus - Generic",0.18,"Sulfur - Generic",0.104,"","","","","","","","","","","","","","";"Wengfu Australia","Wengfu 5-15-0-6 Fast Start Legume","kg",1,"","","",5,15.4,0,6.3,"Nitrogen - Generic",0.05,"Phosphorus - Generic",0.154,"Sulfur - Generic",0.063,"","","","","","","","","","","","","","";"Wengfu Australia","Wengfu 9-20-0-10 PrimeZinc","kg",1,"","","",9,19.8,0,10.4,"Nitrogen - Generic",0.09,"Phosphorus - Generic",0.198,"Sulfur - Generic",0.104,"Zinc",0.009,"","","","","","","","","","","","";"Wengfu Australia","Wengfu 12-18-0-6 PrimeZinc","kg",1,"","","",11.9,17.6,0,5.9,"Nitrogen - Generic",0.119,"Phosphorus - Generic",0.176,"Sulfur - Generic",0.059,"Zinc",0.008,"","","","","","","","","","","","";"Wengfu Australia","Wengfu 14-13-0-11 PrimeZinc","kg",1,"","","",14.1,12.8,0,10.7,"Nitrogen - Generic",0.141,"Phosphorus - Generic",0.128,"Sulfur - Generic",0.107,"Zinc",0.006,"","","","","","","","","","","",""}, _xlpm.r, _xlpm.c))))</definedName>
    <definedName name="Fertiliser_SourceData.Fertiliser_Products_Data4" localSheetId="18">_xlfn.LAMBDA(_xlfn.MAKEARRAY(30, 31, _xlfn.LAMBDA(_xlpm.r,_xlpm.c, INDEX({"Impact Fertilisers","Impact Super Potash 1&amp;1","kg",1,"","","","",4.4,25,5.5,"Single superphosphate (SSP)",0.5,"Muriate of potash (MOP)",0.5,"","","","","","","","","","","","","","","","";"Impact Fertilisers","Impact Super Potash 2&amp;1","kg",1,"","","","",5.84,16.8,7.29,"Single superphosphate (SSP)",0.663158,"Muriate of potash (MOP)",0.336,"","","","","","","","","","","","","","","","";"Impact Fertilisers","Impact Super Potash 3&amp;1","kg",1,"","","","",6.58,12.5,8.22,"Single superphosphate (SSP)",0.747368,"Muriate of potash (MOP)",0.25,"","","","","","","","","","","","","","","","";"Impact Fertilisers","Impact Super Potash 4&amp;1","kg",1,"","","","",7.04,10,8.8,"Single superphosphate (SSP)",0.8,"Muriate of potash (MOP)",0.2,"","","","","","","","","","","","","","","","";"Impact Fertilisers","Impact Super Potash 5&amp;1","kg",1,"","","","",7.32,8.4,9.15,"Single superphosphate (SSP)",0.831579,"Muriate of potash (MOP)",0.168,"","","","","","","","","","","","","","","","";"Pacific Fertiliser / Incitec Pivot Fertilisers","Cal-Gran","kg",1,"","","",23.9,"","",10.8,"Nitrogen - Nitrate",0.074,"Nitrogen - Ammoniacal",0.165,"Sulfur - Generic",0.108,"Calcium",0.044,"","","","","","","","","","","","";"Pacific Fertiliser / Incitec Pivot Fertilisers","Cal-Gran 50/50","kg",1,"","","",17.9,"",15,3.6,"Nitrogen - Nitrate",0.055,"Nitrogen - Ammoniacal",0.124,"Potassium - Generic",0.15,"Sulfur - Generic",0.036,"Calcium",0.044,"","","","","","","","","","";"Pacific Fertiliser / Incitec Pivot Fertilisers","Cal-Gran 50/50 (S)","kg",1,"","","",16.9,"",14.4,8.7,"Nitrogen - Nitrate",0.052,"Nitrogen - Ammoniacal",0.117,"Potassium - Generic",0.144,"Sulfur - Generic",0.087,"Calcium",0.044,"","","","","","","","","","";"Pacific Fertiliser / Incitec Pivot Fertilisers","Cal-Gran 130","kg",1,"","","",18.8,1,12.5,3.7,"Nitrogen - Nitrate",0.058,"Nitrogen - Ammoniacal",0.13,"Phosphorus - Generic",0.01,"Potassium - Generic",0.125,"Sulfur - Generic",0.037,"Calcium",0.044,"","","","","","","","";"Pacific Fertiliser / Incitec Pivot Fertilisers","Cal-Gran 150","kg",1,"","","",18.6,3,12.5,1.4,"Nitrogen - Nitrate",0.058,"Nitrogen - Ammoniacal",0.128,"Phosphorus - Generic",0.03,"Potassium - Generic",0.125,"Sulfur - Generic",0.014,"Calcium",0.044,"","","","","","","","";"Pacific Fertiliser / Incitec Pivot Fertilisers","Cal-Gran Extra K","kg",1,"","","",15.8,"",19,3.2,"Nitrogen - Nitrate",0.049,"Nitrogen - Ammoniacal",0.109,"Potassium - Generic",0.19,"Sulfur - Generic",0.032,"Calcium",0.039,"","","","","","","","","","";"Incitec Pivot Fertilisers","Dairy Pro","kg",1,"","","",25.9,3.9,15.9,0.3,"Nitrogen - Generic",0.259,"Phosphorus - Generic",0.039,"Potassium - Generic",0.159,"Sulfur - Generic",0.003,"","","","","","","","","","","","";"Yara Australia","YaraMila ACTYVA S","kg",1,"","","",15.6,6.37,12.45,2.6,"Nitrogen - Nitrate",0.058,"Nitrogen - Ammoniacal",0.098,"Phosphorus - Generic",0.063714,"Potassium - Generic",0.124515,"Sulfur - Generic",0.026,"","","","","","","","","","";"CSBP","Agflow Extra","kg",1,"","","",11.15,17.52,"",3.6,"Monoammonium phosphate (MAP)",0.8,"Sulphate of ammonia (SOA)",0.15,"Copper","No data","Molybdenum","No data","Zinc","No data","","","","","","","","","","";"CSBP","Super &amp; Potash 3:1","kg",1,"","","","",5.5,15,6.88,"Single superphosphate (SSP)",0.625,"Muriate of potash (MOP)",0.3,"","","","","","","","","","","","","","","","";"Yara","YaraBela CAN-27","kg",1,"","","",27,"","","","Calcium ammonium nitrate (CAN)",1,"","","","","","","","","","","","","","","","","","";"Incitec Pivot Fertilisers","Cal-Gran Aftergraze","kg",1,"","","",20.6,3,7.5,3.8,"Nitrogen - Nitrate",0.064,"Nitrogen - Ammoniacal",0.142,"Phosphorus - Generic",0.03,"Potassium - Generic",0.075,"Sulfur - Generic",0.038,"Calcium",0.044,"","","","","","","","";"Incitec Pivot Fertilisers","Cal-Gran Prodress","kg",1,"","","",17.8,1,15,2.5,"Nitrogen - Nitrate",0.055,"Nitrogen - Ammoniacal",0.123,"Phosphorus - Generic",0.01,"Potassium - Generic",0.15,"Sulfur - Generic",0.025,"Calcium",0.044,"","","","","","","","";"Wengfu Australia","Wengfu PrimeZinc 10","kg",1,"","","",10,22,"",1.5,"Nitrogen - Generic",0.1,"Phosphorus - Generic",0.22,"Sulfur - Generic",0.015,"Zinc",0.01,"","","","","","","","","","","","";"Wengfu Australia","Wengfu Pasture King","kg",1,"","","","",15.7,"",4.6,"Phosphorus - Generic",0.157,"Sulfur - Generic",0.046,"Calcium",0.14,"","","","","","","","","","","","","","";"Wengfu Australia","Wengfu SuStain","kg",1,"","","","","","",90,"Sulfur - Generic",0.9,"","","","","","","","","","","","","","","","","","";"Wengfu Australia","Wengfu Slam","kg",1,"","","",19.5,0.7,"",23,"Nitrogen - Generic",0.195,"Phosphorus - Generic",0.007,"Sulfur - Generic",0.23,"","","","","","","","","","","","","","";"Wengfu Australia","Wengfu Prime MSZ","kg",1,"","","",10,18,"",8,"Nitrogen - Generic",0.1,"Phosphorus - Generic",0.18,"Sulfur - Generic",0.08,"Zinc",0.005,"","","","","","","","","","","","";"Wengfu Australia","Wengfu 9-20-0-10 MAP SuStain","kg",1,"","","",9,19.8,0,10.4,"Nitrogen - Generic",0.09,"Phosphorus - Generic",0.198,"Sulfur - Generic",0.104,"","","","","","","","","","","","","","";"Wengfu Australia","Wengfu 15-17-0-15 DAP SuStain","kg",1,"","","",15.2,16.9,0,15.2,"Nitrogen - Generic",0.152,"Phosphorus - Generic",0.169,"Sulfur - Generic",0.152,"","","","","","","","","","","","","","";"Wengfu Australia","Wengfu 16-18-0-10 DAP SuStain","kg",1,"","","",16.2,18,0,10.4,"Nitrogen - Generic",0.162,"Phosphorus - Generic",0.18,"Sulfur - Generic",0.104,"","","","","","","","","","","","","","";"Wengfu Australia","Wengfu 5-15-0-6 Fast Start Legume","kg",1,"","","",5,15.4,0,6.3,"Nitrogen - Generic",0.05,"Phosphorus - Generic",0.154,"Sulfur - Generic",0.063,"","","","","","","","","","","","","","";"Wengfu Australia","Wengfu 9-20-0-10 PrimeZinc","kg",1,"","","",9,19.8,0,10.4,"Nitrogen - Generic",0.09,"Phosphorus - Generic",0.198,"Sulfur - Generic",0.104,"Zinc",0.009,"","","","","","","","","","","","";"Wengfu Australia","Wengfu 12-18-0-6 PrimeZinc","kg",1,"","","",11.9,17.6,0,5.9,"Nitrogen - Generic",0.119,"Phosphorus - Generic",0.176,"Sulfur - Generic",0.059,"Zinc",0.008,"","","","","","","","","","","","";"Wengfu Australia","Wengfu 14-13-0-11 PrimeZinc","kg",1,"","","",14.1,12.8,0,10.7,"Nitrogen - Generic",0.141,"Phosphorus - Generic",0.128,"Sulfur - Generic",0.107,"Zinc",0.006,"","","","","","","","","","","",""}, _xlpm.r, _xlpm.c))))</definedName>
    <definedName name="Fertiliser_SourceData.Fertiliser_Products_Data4">_xlfn.LAMBDA(_xlfn.MAKEARRAY(16, 20, _xlfn.LAMBDA(_xlpm.r,_xlpm.c, INDEX({"Product","Ingredient 1","Ingredient 1 percent","Ingredient 1 source","Ingredient 2","Ingredient 2 percent","Ingredient 2 source","Ingredient 3","Ingredient 3 percent","Ingredient 3 source","Ingredient 4","Ingredient 4 percent","Ingredient 4 source","Ingredient 5","Ingredient 5 percent","Ingredient 5 source","Ingredient 6","Ingredient 6 percent","Ingredient 6 source","Product info link";"YaraVita BRASSITREL PRO","","","","","","","","","","","","","","","","","","","Crop Nutrition Solutions (Yara Australia)";"YaraVita BUD BUILDER FL","","","","","","","","","","","","","","","","","","","Crop Nutrition Solutions (Yara Australia)";"YaraVita FRUTREL","","","","","","","","","","","","","","","","","","","Crop Nutrition Solutions (Yara Australia)";"YaraVita GLYTREL ZnP","","","","","","","","","","","","","","","","","","","Crop Nutrition Solutions (Yara Australia)";"YaraVita GRAMITREL","","","","","","","","","","","","","","","","","","","Crop Nutrition Solutions (Yara Australia)";"YaraVita KOMBIPHOS","","","","","","","","","","","","","","","","","","","Crop Nutrition Solutions (Yara Australia)";"YaraVita MANGZINC","","","","","","","","","","","","","","","","","","","Crop Nutrition Solutions (Yara Australia)";"YaraVita MOLYTRAC","","","","","","","","","","","","","","","","","","","Crop Nutrition Solutions (Yara Australia)";"YaraVita SENIPHOS","","","","","","","","","","","","","","","","","","","Crop Nutrition Solutions (Yara Australia)";"YaraVita ZINTRAC","","","","","","","","","","","","","","","","","","","Crop Nutrition Solutions (Yara Australia)";"Zinc Sulphate Monohydrate","","","","","","","","","","","","","","","","","","","Incitec Pivot Fertilisers";"Zincsol","","","","","","","","","","","","","","","","","","","Sulfate Zincsol";"ZincStar","","","","","","","","","","","","","","","","","","","Impact fertilisers";"ZMC-1","","","","","","","","","","","","","","","","","","","Kemgro ZMC-1";"Zn 7000","","","","","","","","","","","","","","","","","","","Rutec Zn 7000"}, _xlpm.r, _xlpm.c))))</definedName>
    <definedName name="Fertiliser_SourceData.Fertiliser_Products_Data5">_xlfn.LAMBDA(_xlfn.MAKEARRAY(14, 31, _xlfn.LAMBDA(_xlpm.r,_xlpm.c, INDEX({"Wengfu Australia","Wengfu 19-13-0-7 PrimeZinc","kg",1,"","","",18.6,12.7,0,6.8,"Nitrogen - Generic",0.186,"Phosphorus - Generic",0.127,"Sulfur - Generic",0.068,"Zinc",0.006,"","","","","","","","","","","","";"Wengfu Australia","Wengfu Booster K","kg",1,"","","",32,0,11,3,"Nitrogen - Generic",0.32,"Potassium - Generic",0.11,"Sulfur - Generic",0.03,"","","","","","","","","","","","","","";"Wengfu Australia","Wengfu Booster Rich 1","kg",1,"","","",31,6,0,6,"Nitrogen - Generic",0.31,"Phosphorus - Generic",0.06,"Sulfur - Generic",0.06,"","","","","","","","","","","","","","";"Wengfu Australia","Wengfu Booster Grass DAP","kg",1,"","","",21,4,8,7,"Nitrogen - Generic",0.21,"Phosphorus - Generic",0.04,"Potassium - Generic",0.08,"Sulfur - Generic",0.07,"","","","","","","","","","","","";"Wengfu Australia","Wengfu Aftergraze","kg",1,"","","",23,0,25,0,"Nitrogen - Generic",0.23,"Potassium - Generic",0.25,"","","","","","","","","","","","","","","","";"Wengfu Australia","Wengfu Sidedress","kg",1,"","","",25,4,13,4,"Nitrogen - Generic",0.25,"Phosphorus - Generic",0.04,"Potassium - Generic",0.13,"Sulfur - Generic",0.04,"","","","","","","","","","","","";"Wengfu Australia","Wengfu Pasture Booster","kg",1,"","","",13,5,24,5,"Nitrogen - Generic",0.13,"Phosphorus - Generic",0.05,"Potassium - Generic",0.24,"Sulfur - Generic",0.05,"","","","","","","","","","","","";"Wengfu Australia","Wengfu DAP Hay Booster","kg",1,"","","",11,5,24,4,"Nitrogen - Generic",0.11,"Phosphorus - Generic",0.05,"Potassium - Generic",0.24,"Sulfur - Generic",0.04,"","","","","","","","","","","","";"Wengfu Australia","Wengfu MAP Hay Booster","kg",1,"","","",11,8,20,6,"Nitrogen - Generic",0.11,"Phosphorus - Generic",0.08,"Potassium - Generic",0.2,"Sulfur - Generic",0.06,"","","","","","","","","","","","";"Wengfu Australia","Wengfu Fodder Booster","kg",1,"","","",9,4,5,15,"Nitrogen - Generic",0.09,"Phosphorus - Generic",0.04,"Potassium - Generic",0.05,"Sulfur - Generic",0.15,"","","","","","","","","","","","";"CSBP","K-Till Extra","kg",1,"","","",10.73,10.95,11.35,6.55,"Monoammonium phosphate (MAP)",0.5,"Sulphate of ammonia (SOA)",0.273,"Muriate of potash (MOP)",0.227,"Copper","No data","Zinc","No data","","","","","","","","","","";"CSBP","Agras Extra","kg",1,"","","",16.95,8.06,"",15.17,"Sulphate of ammonia (SOA)",0.632,"Monoammonium phosphate (MAP)",0.368,"Zinc","No data","Copper","No data","Molybdenum","No data","Cobalt","No data","","","","","","","","";"CSBP","Super Copper Zinc Moly","kg",1,"","","","",8.8,"",11,"Single superphosphate (SSP)",1,"Copper",0.006,"Zinc",0.003,"Molybdenum",0.0006,"","","","","","","","","","","","";"CSBP","Flexi-N","L",1.32,"","","",32,"","","","Urea-ammonium nitrate (UAN)",1,"","","","","","","","","","","","","","","","","",""}, _xlpm.r, _xlpm.c))))</definedName>
    <definedName name="Fertiliser_SourceData.Fertiliser_Products_Description">_xlfn.LAMBDA(("Popular fertiliser products used in Australia, along with their chemical compound composition"))</definedName>
    <definedName name="Fertiliser_SourceData.Fertiliser_Products_Source">_xlfn.LAMBDA((""))</definedName>
    <definedName name="Fertiliser_SourceData.Fertiliser_Products_Title">_xlfn.LAMBDA(("Branded fertiliser products and their chemical composition"))</definedName>
    <definedName name="Fertiliser_SourceData.Fertiliser_UreaAmmoniaSourceRegions_Data">_xlfn.LAMBDA(_xlfn.MAKEARRAY(5, 1, _xlfn.LAMBDA(_xlpm.r,_xlpm.c, INDEX({"Source";"Global";"Canada";"China";"Yemen"}, _xlpm.r, _xlpm.c))))</definedName>
    <definedName name="Fertiliser_SourceData.Fertiliser_UreaAmmoniaSourceRegions_Source">_xlfn.LAMBDA("Lifecycles. (2026). Greenhouse Gas Emission Intensities for Material Inputs to Australian Agriculture, Fisheries and Forestry. Version 48. doi 10.5281/zenodo.19656580")</definedName>
    <definedName name="Fertiliser_SourceData.Fertiliser_UreaAmmoniaSourceRegions_Title">_xlfn.LAMBDA("Source regions for urea and ammonia")</definedName>
    <definedName name="Fuel_Equations.VEERG_8_1_1_1__1_FuelCombustionTransport" localSheetId="37">_xlfn.LAMBDA(_xlpm.Q_Transtq,_xlpm.EC_Transq,_xlpm.EF_Trans1tqg, [0]!Fuel_Equations.VEERG_8_FuelCombustion(_xlpm.Q_Transtq, _xlpm.EC_Transq, _xlpm.EF_Trans1tqg))</definedName>
    <definedName name="Fuel_Equations.VEERG_8_1_1_1__1_FuelCombustionTransport" localSheetId="21">_xlfn.LAMBDA(_xlpm.Q_Transtq,_xlpm.EC_Transq,_xlpm.EF_Trans1tqg, [0]!Fuel_Equations.VEERG_8_FuelCombustion(_xlpm.Q_Transtq, _xlpm.EC_Transq, _xlpm.EF_Trans1tqg))</definedName>
    <definedName name="Fuel_Equations.VEERG_8_1_1_1__1_FuelCombustionTransport" localSheetId="22">_xlfn.LAMBDA(_xlpm.Q_Transtq,_xlpm.EC_Transq,_xlpm.EF_Trans1tqg, [0]!Fuel_Equations.VEERG_8_FuelCombustion(_xlpm.Q_Transtq, _xlpm.EC_Transq, _xlpm.EF_Trans1tqg))</definedName>
    <definedName name="Fuel_Equations.VEERG_8_1_1_1__1_FuelCombustionTransport" localSheetId="23">_xlfn.LAMBDA(_xlpm.Q_Transtq,_xlpm.EC_Transq,_xlpm.EF_Trans1tqg, [0]!Fuel_Equations.VEERG_8_FuelCombustion(_xlpm.Q_Transtq, _xlpm.EC_Transq, _xlpm.EF_Trans1tqg))</definedName>
    <definedName name="Fuel_Equations.VEERG_8_1_1_1__1_FuelCombustionTransport" localSheetId="24">_xlfn.LAMBDA(_xlpm.Q_Transtq,_xlpm.EC_Transq,_xlpm.EF_Trans1tqg, [0]!Fuel_Equations.VEERG_8_FuelCombustion(_xlpm.Q_Transtq, _xlpm.EC_Transq, _xlpm.EF_Trans1tqg))</definedName>
    <definedName name="Fuel_Equations.VEERG_8_1_1_1__1_FuelCombustionTransport" localSheetId="33">_xlfn.LAMBDA(_xlpm.Q_Transtq,_xlpm.EC_Transq,_xlpm.EF_Trans1tqg, [0]!Fuel_Equations.VEERG_8_FuelCombustion(_xlpm.Q_Transtq, _xlpm.EC_Transq, _xlpm.EF_Trans1tqg))</definedName>
    <definedName name="Fuel_Equations.VEERG_8_1_1_1__1_FuelCombustionTransport" localSheetId="34">_xlfn.LAMBDA(_xlpm.Q_Transtq,_xlpm.EC_Transq,_xlpm.EF_Trans1tqg, [0]!Fuel_Equations.VEERG_8_FuelCombustion(_xlpm.Q_Transtq, _xlpm.EC_Transq, _xlpm.EF_Trans1tqg))</definedName>
    <definedName name="Fuel_Equations.VEERG_8_1_1_1__1_FuelCombustionTransport" localSheetId="48">_xlfn.LAMBDA(_xlpm.Q_Transtq,_xlpm.EC_Transq,_xlpm.EF_Trans1tqg, [0]!Fuel_Equations.VEERG_8_FuelCombustion(_xlpm.Q_Transtq, _xlpm.EC_Transq, _xlpm.EF_Trans1tqg))</definedName>
    <definedName name="Fuel_Equations.VEERG_8_1_1_1__1_FuelCombustionTransport" localSheetId="38">_xlfn.LAMBDA(_xlpm.Q_Transtq,_xlpm.EC_Transq,_xlpm.EF_Trans1tqg, [0]!Fuel_Equations.VEERG_8_FuelCombustion(_xlpm.Q_Transtq, _xlpm.EC_Transq, _xlpm.EF_Trans1tqg))</definedName>
    <definedName name="Fuel_Equations.VEERG_8_1_1_1__1_FuelCombustionTransport" localSheetId="41">_xlfn.LAMBDA(_xlpm.Q_Transtq,_xlpm.EC_Transq,_xlpm.EF_Trans1tqg, [0]!Fuel_Equations.VEERG_8_FuelCombustion(_xlpm.Q_Transtq, _xlpm.EC_Transq, _xlpm.EF_Trans1tqg))</definedName>
    <definedName name="Fuel_Equations.VEERG_8_1_1_1__1_FuelCombustionTransport" localSheetId="44">_xlfn.LAMBDA(_xlpm.Q_Transtq,_xlpm.EC_Transq,_xlpm.EF_Trans1tqg, [0]!Fuel_Equations.VEERG_8_FuelCombustion(_xlpm.Q_Transtq, _xlpm.EC_Transq, _xlpm.EF_Trans1tqg))</definedName>
    <definedName name="Fuel_Equations.VEERG_8_1_1_1__1_FuelCombustionTransport" localSheetId="39">_xlfn.LAMBDA(_xlpm.Q_Transtq,_xlpm.EC_Transq,_xlpm.EF_Trans1tqg, [0]!Fuel_Equations.VEERG_8_FuelCombustion(_xlpm.Q_Transtq, _xlpm.EC_Transq, _xlpm.EF_Trans1tqg))</definedName>
    <definedName name="Fuel_Equations.VEERG_8_1_1_1__1_FuelCombustionTransport" localSheetId="45">_xlfn.LAMBDA(_xlpm.Q_Transtq,_xlpm.EC_Transq,_xlpm.EF_Trans1tqg, [0]!Fuel_Equations.VEERG_8_FuelCombustion(_xlpm.Q_Transtq, _xlpm.EC_Transq, _xlpm.EF_Trans1tqg))</definedName>
    <definedName name="Fuel_Equations.VEERG_8_1_1_1__1_FuelCombustionTransport" localSheetId="7">_xlfn.LAMBDA(_xlpm.Q_Transtq,_xlpm.EC_Transq,_xlpm.EF_Trans1tqg, [0]!Fuel_Equations.VEERG_8_FuelCombustion(_xlpm.Q_Transtq, _xlpm.EC_Transq, _xlpm.EF_Trans1tqg))</definedName>
    <definedName name="Fuel_Equations.VEERG_8_1_1_1__1_FuelCombustionTransport" localSheetId="13">_xlfn.LAMBDA(_xlpm.Q_Transtq,_xlpm.EC_Transq,_xlpm.EF_Trans1tqg, [0]!Fuel_Equations.VEERG_8_FuelCombustion(_xlpm.Q_Transtq, _xlpm.EC_Transq, _xlpm.EF_Trans1tqg))</definedName>
    <definedName name="Fuel_Equations.VEERG_8_1_1_1__1_FuelCombustionTransport" localSheetId="14">_xlfn.LAMBDA(_xlpm.Q_Transtq,_xlpm.EC_Transq,_xlpm.EF_Trans1tqg, [0]!Fuel_Equations.VEERG_8_FuelCombustion(_xlpm.Q_Transtq, _xlpm.EC_Transq, _xlpm.EF_Trans1tqg))</definedName>
    <definedName name="Fuel_Equations.VEERG_8_1_1_1__1_FuelCombustionTransport" localSheetId="16">_xlfn.LAMBDA(_xlpm.Q_Transtq,_xlpm.EC_Transq,_xlpm.EF_Trans1tqg, [0]!Fuel_Equations.VEERG_8_FuelCombustion(_xlpm.Q_Transtq, _xlpm.EC_Transq, _xlpm.EF_Trans1tqg))</definedName>
    <definedName name="Fuel_Equations.VEERG_8_1_1_1__1_FuelCombustionTransport" localSheetId="11">_xlfn.LAMBDA(_xlpm.Q_Transtq,_xlpm.EC_Transq,_xlpm.EF_Trans1tqg, [0]!Fuel_Equations.VEERG_8_FuelCombustion(_xlpm.Q_Transtq, _xlpm.EC_Transq, _xlpm.EF_Trans1tqg))</definedName>
    <definedName name="Fuel_Equations.VEERG_8_1_1_1__1_FuelCombustionTransport" localSheetId="15">_xlfn.LAMBDA(_xlpm.Q_Transtq,_xlpm.EC_Transq,_xlpm.EF_Trans1tqg, [0]!Fuel_Equations.VEERG_8_FuelCombustion(_xlpm.Q_Transtq, _xlpm.EC_Transq, _xlpm.EF_Trans1tqg))</definedName>
    <definedName name="Fuel_Equations.VEERG_8_1_1_1__1_FuelCombustionTransport" localSheetId="18">_xlfn.LAMBDA(_xlpm.Q_Transtq,_xlpm.EC_Transq,_xlpm.EF_Trans1tqg, [0]!Fuel_Equations.VEERG_8_FuelCombustion(_xlpm.Q_Transtq, _xlpm.EC_Transq, _xlpm.EF_Trans1tqg))</definedName>
    <definedName name="Fuel_Equations.VEERG_8_1_1_1__1_FuelCombustionTransport">_xlfn.LAMBDA(_xlpm.Q_Transtq,_xlpm.EC_Transq,_xlpm.EF_Trans1tqg, Fuel_Equations.VEERG_8_FuelCombustion(_xlpm.Q_Transtq, _xlpm.EC_Transq, _xlpm.EF_Trans1tqg))</definedName>
    <definedName name="Fuel_Equations.VEERG_8_1_1_1__1_FuelCombustionTransport_Arguments">_xlfn.LAMBDA(_xlfn.MAKEARRAY(7, 4, _xlfn.LAMBDA(_xlpm.r,_xlpm.c, INDEX({"Q_Transtq","Amount of fuel type q combusted for transport energy purposes","Varies based on fuel type: kL, m3, GJ","Input";"EC_Transq","Energy content factor for transport energy purposes","GJ / unit of fuel","Constant";"EF_Trans1tqg","Scope 1 emission factor for transport energy purposes for each greenhouse gas","kg CO2e / GJ","Constant";"q","Fuel type","","Constant";"Trans","Transport combustion","","Constant";"g","Greenhouse gas","","Constant";"1","Scope 1","","Constant"}, _xlpm.r, _xlpm.c))))</definedName>
    <definedName name="Fuel_Equations.VEERG_8_1_1_1__1_FuelCombustionTransport_LatexEquation">_xlfn.LAMBDA("E_g=\sum\nolimits_t \sum\nolimits_q\left(Q_{Trans,tq}\times EC_{Trans,q}\times EF_{Trans,1,tqg}\right)\times 10^{-3}")</definedName>
    <definedName name="Fuel_Equations.VEERG_8_1_1_1__1_FuelCombustionTransport_NIRReference">_xlfn.LAMBDA("Australian National Greenhouse Accounts Factors 2025 - 2.3 Estimating emissions from transport fuels")</definedName>
    <definedName name="Fuel_Equations.VEERG_8_1_1_1__1_FuelCombustionTransport_Source">_xlfn.LAMBDA("VEERG 2026: 8.1.1.1, Equation (1)")</definedName>
    <definedName name="Fuel_Equations.VEERG_8_1_1_1__1_FuelCombustionTransport_Title">_xlfn.LAMBDA("Emissions for each GHG from the combustion of fuels for transport energy purposes")</definedName>
    <definedName name="Fuel_Equations.VEERG_8_1_1_1__1_FuelCombustionTransport_Unit">_xlfn.LAMBDA("t CO2-e")</definedName>
    <definedName name="Fuel_Equations.VEERG_8_1_1_1__1_FuelCombustionTransport_Variable">_xlfn.LAMBDA("E_g")</definedName>
    <definedName name="Fuel_Equations.VEERG_8_2_1_1__1_FuelCombustionStationary" localSheetId="37">_xlfn.LAMBDA(_xlpm.Q_SCq,_xlpm.EC_SCq,_xlpm.EF_SC1qg, [0]!Fuel_Equations.VEERG_8_FuelCombustion(_xlpm.Q_SCq, _xlpm.EC_SCq, _xlpm.EF_SC1qg))</definedName>
    <definedName name="Fuel_Equations.VEERG_8_2_1_1__1_FuelCombustionStationary" localSheetId="21">_xlfn.LAMBDA(_xlpm.Q_SCq,_xlpm.EC_SCq,_xlpm.EF_SC1qg, [0]!Fuel_Equations.VEERG_8_FuelCombustion(_xlpm.Q_SCq, _xlpm.EC_SCq, _xlpm.EF_SC1qg))</definedName>
    <definedName name="Fuel_Equations.VEERG_8_2_1_1__1_FuelCombustionStationary" localSheetId="22">_xlfn.LAMBDA(_xlpm.Q_SCq,_xlpm.EC_SCq,_xlpm.EF_SC1qg, [0]!Fuel_Equations.VEERG_8_FuelCombustion(_xlpm.Q_SCq, _xlpm.EC_SCq, _xlpm.EF_SC1qg))</definedName>
    <definedName name="Fuel_Equations.VEERG_8_2_1_1__1_FuelCombustionStationary" localSheetId="23">_xlfn.LAMBDA(_xlpm.Q_SCq,_xlpm.EC_SCq,_xlpm.EF_SC1qg, [0]!Fuel_Equations.VEERG_8_FuelCombustion(_xlpm.Q_SCq, _xlpm.EC_SCq, _xlpm.EF_SC1qg))</definedName>
    <definedName name="Fuel_Equations.VEERG_8_2_1_1__1_FuelCombustionStationary" localSheetId="24">_xlfn.LAMBDA(_xlpm.Q_SCq,_xlpm.EC_SCq,_xlpm.EF_SC1qg, [0]!Fuel_Equations.VEERG_8_FuelCombustion(_xlpm.Q_SCq, _xlpm.EC_SCq, _xlpm.EF_SC1qg))</definedName>
    <definedName name="Fuel_Equations.VEERG_8_2_1_1__1_FuelCombustionStationary" localSheetId="33">_xlfn.LAMBDA(_xlpm.Q_SCq,_xlpm.EC_SCq,_xlpm.EF_SC1qg, [0]!Fuel_Equations.VEERG_8_FuelCombustion(_xlpm.Q_SCq, _xlpm.EC_SCq, _xlpm.EF_SC1qg))</definedName>
    <definedName name="Fuel_Equations.VEERG_8_2_1_1__1_FuelCombustionStationary" localSheetId="34">_xlfn.LAMBDA(_xlpm.Q_SCq,_xlpm.EC_SCq,_xlpm.EF_SC1qg, [0]!Fuel_Equations.VEERG_8_FuelCombustion(_xlpm.Q_SCq, _xlpm.EC_SCq, _xlpm.EF_SC1qg))</definedName>
    <definedName name="Fuel_Equations.VEERG_8_2_1_1__1_FuelCombustionStationary" localSheetId="48">_xlfn.LAMBDA(_xlpm.Q_SCq,_xlpm.EC_SCq,_xlpm.EF_SC1qg, [0]!Fuel_Equations.VEERG_8_FuelCombustion(_xlpm.Q_SCq, _xlpm.EC_SCq, _xlpm.EF_SC1qg))</definedName>
    <definedName name="Fuel_Equations.VEERG_8_2_1_1__1_FuelCombustionStationary" localSheetId="38">_xlfn.LAMBDA(_xlpm.Q_SCq,_xlpm.EC_SCq,_xlpm.EF_SC1qg, [0]!Fuel_Equations.VEERG_8_FuelCombustion(_xlpm.Q_SCq, _xlpm.EC_SCq, _xlpm.EF_SC1qg))</definedName>
    <definedName name="Fuel_Equations.VEERG_8_2_1_1__1_FuelCombustionStationary" localSheetId="41">_xlfn.LAMBDA(_xlpm.Q_SCq,_xlpm.EC_SCq,_xlpm.EF_SC1qg, [0]!Fuel_Equations.VEERG_8_FuelCombustion(_xlpm.Q_SCq, _xlpm.EC_SCq, _xlpm.EF_SC1qg))</definedName>
    <definedName name="Fuel_Equations.VEERG_8_2_1_1__1_FuelCombustionStationary" localSheetId="44">_xlfn.LAMBDA(_xlpm.Q_SCq,_xlpm.EC_SCq,_xlpm.EF_SC1qg, [0]!Fuel_Equations.VEERG_8_FuelCombustion(_xlpm.Q_SCq, _xlpm.EC_SCq, _xlpm.EF_SC1qg))</definedName>
    <definedName name="Fuel_Equations.VEERG_8_2_1_1__1_FuelCombustionStationary" localSheetId="39">_xlfn.LAMBDA(_xlpm.Q_SCq,_xlpm.EC_SCq,_xlpm.EF_SC1qg, [0]!Fuel_Equations.VEERG_8_FuelCombustion(_xlpm.Q_SCq, _xlpm.EC_SCq, _xlpm.EF_SC1qg))</definedName>
    <definedName name="Fuel_Equations.VEERG_8_2_1_1__1_FuelCombustionStationary" localSheetId="45">_xlfn.LAMBDA(_xlpm.Q_SCq,_xlpm.EC_SCq,_xlpm.EF_SC1qg, [0]!Fuel_Equations.VEERG_8_FuelCombustion(_xlpm.Q_SCq, _xlpm.EC_SCq, _xlpm.EF_SC1qg))</definedName>
    <definedName name="Fuel_Equations.VEERG_8_2_1_1__1_FuelCombustionStationary" localSheetId="7">_xlfn.LAMBDA(_xlpm.Q_SCq,_xlpm.EC_SCq,_xlpm.EF_SC1qg, [0]!Fuel_Equations.VEERG_8_FuelCombustion(_xlpm.Q_SCq, _xlpm.EC_SCq, _xlpm.EF_SC1qg))</definedName>
    <definedName name="Fuel_Equations.VEERG_8_2_1_1__1_FuelCombustionStationary" localSheetId="13">_xlfn.LAMBDA(_xlpm.Q_SCq,_xlpm.EC_SCq,_xlpm.EF_SC1qg, [0]!Fuel_Equations.VEERG_8_FuelCombustion(_xlpm.Q_SCq, _xlpm.EC_SCq, _xlpm.EF_SC1qg))</definedName>
    <definedName name="Fuel_Equations.VEERG_8_2_1_1__1_FuelCombustionStationary" localSheetId="14">_xlfn.LAMBDA(_xlpm.Q_SCq,_xlpm.EC_SCq,_xlpm.EF_SC1qg, [0]!Fuel_Equations.VEERG_8_FuelCombustion(_xlpm.Q_SCq, _xlpm.EC_SCq, _xlpm.EF_SC1qg))</definedName>
    <definedName name="Fuel_Equations.VEERG_8_2_1_1__1_FuelCombustionStationary" localSheetId="16">_xlfn.LAMBDA(_xlpm.Q_SCq,_xlpm.EC_SCq,_xlpm.EF_SC1qg, [0]!Fuel_Equations.VEERG_8_FuelCombustion(_xlpm.Q_SCq, _xlpm.EC_SCq, _xlpm.EF_SC1qg))</definedName>
    <definedName name="Fuel_Equations.VEERG_8_2_1_1__1_FuelCombustionStationary" localSheetId="11">_xlfn.LAMBDA(_xlpm.Q_SCq,_xlpm.EC_SCq,_xlpm.EF_SC1qg, [0]!Fuel_Equations.VEERG_8_FuelCombustion(_xlpm.Q_SCq, _xlpm.EC_SCq, _xlpm.EF_SC1qg))</definedName>
    <definedName name="Fuel_Equations.VEERG_8_2_1_1__1_FuelCombustionStationary" localSheetId="15">_xlfn.LAMBDA(_xlpm.Q_SCq,_xlpm.EC_SCq,_xlpm.EF_SC1qg, [0]!Fuel_Equations.VEERG_8_FuelCombustion(_xlpm.Q_SCq, _xlpm.EC_SCq, _xlpm.EF_SC1qg))</definedName>
    <definedName name="Fuel_Equations.VEERG_8_2_1_1__1_FuelCombustionStationary" localSheetId="18">_xlfn.LAMBDA(_xlpm.Q_SCq,_xlpm.EC_SCq,_xlpm.EF_SC1qg, [0]!Fuel_Equations.VEERG_8_FuelCombustion(_xlpm.Q_SCq, _xlpm.EC_SCq, _xlpm.EF_SC1qg))</definedName>
    <definedName name="Fuel_Equations.VEERG_8_2_1_1__1_FuelCombustionStationary">_xlfn.LAMBDA(_xlpm.Q_SCq,_xlpm.EC_SCq,_xlpm.EF_SC1qg, Fuel_Equations.VEERG_8_FuelCombustion(_xlpm.Q_SCq, _xlpm.EC_SCq, _xlpm.EF_SC1qg))</definedName>
    <definedName name="Fuel_Equations.VEERG_8_2_1_1__1_FuelCombustionStationary_Arguments">_xlfn.LAMBDA(_xlfn.MAKEARRAY(7, 4, _xlfn.LAMBDA(_xlpm.r,_xlpm.c, INDEX({"Q_SCq","Amount of fuel type q used for stationary combustion operations","Varies based on fuel type: kL, m3, GJ","Input";"EC_SCq","Energy content factor for stationary combustion operations","GJ / unit of fuel","Constant";"EF_SC1qg","Scope 1 emission factor for stationary combustion for each greenhouse gas","kg CO2e / GJ","Constant";"q","Fuel type","","Constant";"SC","Stationary combustion","","Constant";"g","Greenhouse gas","","Constant";"1","Scope 1","","Constant"}, _xlpm.r, _xlpm.c))))</definedName>
    <definedName name="Fuel_Equations.VEERG_8_2_1_1__1_FuelCombustionStationary_LatexEquation">_xlfn.LAMBDA("E_g=\sum\nolimits_t \sum\nolimits_q\left(Q_{SC,q}\times EC_{SC,q}\times EF_{SC,1,qg}\right)\times 10^{-3}")</definedName>
    <definedName name="Fuel_Equations.VEERG_8_2_1_1__1_FuelCombustionStationary_NIRReference">_xlfn.LAMBDA("Australian National Greenhouse Accounts Factors 2025 - 2.2 Estimating emissions from stationary energy sources - Calculating emissions from stationary combustion of liquid fuels")</definedName>
    <definedName name="Fuel_Equations.VEERG_8_2_1_1__1_FuelCombustionStationary_Source">_xlfn.LAMBDA("VEERG 2026: 8.2.1.1, Equation (1)")</definedName>
    <definedName name="Fuel_Equations.VEERG_8_2_1_1__1_FuelCombustionStationary_Title">_xlfn.LAMBDA("Emissions for each GHG from the stationary combustion of fuels")</definedName>
    <definedName name="Fuel_Equations.VEERG_8_2_1_1__1_FuelCombustionStationary_Unit">_xlfn.LAMBDA("t CO2-e")</definedName>
    <definedName name="Fuel_Equations.VEERG_8_2_1_1__1_FuelCombustionStationary_Variable">_xlfn.LAMBDA("E_g")</definedName>
    <definedName name="Fuel_Equations.VEERG_8_FuelCombustion">_xlfn.LAMBDA(_xlpm.Q,_xlpm.EC,_xlpm.EF, (_xlpm.Q * _xlpm.EC * _xlpm.EF) * 10 ^ -3)</definedName>
    <definedName name="Fuel_InputFunctions.Fuel_GetStationaryFuelString" localSheetId="33">_xlfn.LAMBDA(_xlpm.Cell,
    RIGHT(_xlpm.Cell,LEN(_xlpm.Cell)-FIND(", ",_xlpm.Cell))
)</definedName>
    <definedName name="Fuel_InputFunctions.Fuel_GetStationaryFuelString" localSheetId="34">_xlfn.LAMBDA(_xlpm.Cell,
    RIGHT(_xlpm.Cell,LEN(_xlpm.Cell)-FIND(", ",_xlpm.Cell))
)</definedName>
    <definedName name="Fuel_InputFunctions.Fuel_GetStationaryFuelString" localSheetId="44">_xlfn.LAMBDA(_xlpm.Cell,
    RIGHT(_xlpm.Cell,LEN(_xlpm.Cell)-FIND(", ",_xlpm.Cell))
)</definedName>
    <definedName name="Fuel_InputFunctions.Fuel_GetStationaryFuelString" localSheetId="11">_xlfn.LAMBDA(_xlpm.Cell,
    RIGHT(_xlpm.Cell,LEN(_xlpm.Cell)-FIND(", ",_xlpm.Cell))
)</definedName>
    <definedName name="Fuel_InputFunctions.Fuel_GetStationaryFuelString">_xlfn.LAMBDA(_xlpm.Cell, RIGHT(_xlpm.Cell, LEN(_xlpm.Cell) - FIND(", ", _xlpm.Cell)))</definedName>
    <definedName name="Fuel_InputFunctions.Fuel_GetTransportFuelString">_xlfn.LAMBDA(_xlpm.Cell, LEFT(_xlpm.Cell, FIND(", ", _xlpm.Cell) - 1))</definedName>
    <definedName name="Fuel_InputFunctions.Fuel_TotalConsumption">_xlfn.LAMBDA(_xlpm.FuelConsumptionArray,_xlpm.FuelUseArray,_xlpm.FuelUse,_xlpm.FuelTypeArray,_xlpm.FuelType, IFERROR(SUM(_xlfn._xlws.FILTER(_xlpm.FuelConsumptionArray, (_xlpm.FuelTypeArray = _xlpm.FuelType) * (_xlpm.FuelUseArray = _xlpm.FuelUse))), 0))</definedName>
    <definedName name="Fuel_SourceData.Fuel_Scope1EmissionFactorsStationaryGaseous_Data" localSheetId="37">_xlfn.LAMBDA(
  _xlfn.MAKEARRAY(19, 7,
    _xlfn.LAMBDA(_xlpm.r,_xlpm.c,
      INDEX({"Fuel combusted","Energy Content Factor (GJ per unit of fuel)","Fuel unit","Scope 1 Emission Factor (kg CO2 - e / GJ) CO2","Scope 1 Emission Factor (kg CO2 - e / GJ) CH4","Scope 1 Emission Factor (kg CO2 - e / GJ) N2O","Scope 1 Emission Factor (kg CO2 - e / GJ) Combined gases";"Natural gas distributed in a pipeline",0.0393,"m3",51.4,0.1,0.03,51.53;"Coal seam methane that is captured for combustion",0.0377,"m3",51.4,0.2,0.03,51.63;"Coal mine waste gas that is captured for combustion",0.0377,"m3",51.9,4.6,0.3,56.8;"Compressed natural gas(reverting to standard conditions)",0.0393,"m3",51.4,0.1,0.03,51.53;"Unprocessed natural gas",0.0393,"m3",51.4,0.1,0.03,51.53;"Ethane",0.0629,"m3",56.5,0.03,0.03,56.56;"Coke oven gas",0.0181,"m3",37,0.03,0.05,37.08;"Blast furnace gas",0.004,"m3",234,0.03,0.02,234.05;"Town gas",0.039,"m3",60.2,0.04,0.03,60.27;"Liquefied natural gas",25.3,"kL",51.4,0.1,0.03,51.53;"Gaseous fossil fuels other than those mentioned in the items above",0.039,"m3",51.4,0.1,0.03,51.53;"Landfill biogas that is captured for combustion (methane only)",0.0377,"m3",0,6.4,0.03,6.43;"Sludge biogas that is captured for combustion (methane only)",0.0377,"m3",0,6.4,0.03,6.43;"A biogas that is captured for combustion, other than those mentioned in the items above",0.037,"m3",0,6.4,0.03,6.43;"Biomethane",0.0393,"m3",0,0.1,0.03,0.13;"Hydrogen",0.0122,"m3",0,0,0.5,0.5;"Natural gas distributed in a pipeline - Gigajoules",1,"GJ",51.4,0.1,0.03,51.53;"Town gas - Gigajoules",1,"GJ",60.2,0.04,0.03,60.27}, _xlpm.r, _xlpm.c)
)))</definedName>
    <definedName name="Fuel_SourceData.Fuel_Scope1EmissionFactorsStationaryGaseous_Data" localSheetId="33">_xlfn.LAMBDA(
  _xlfn.MAKEARRAY(19, 7,
    _xlfn.LAMBDA(_xlpm.r,_xlpm.c,
      INDEX({"Fuel combusted","Energy Content Factor (GJ per unit of fuel)","Fuel unit","Scope 1 Emission Factor (kg CO2 - e / GJ) CO2","Scope 1 Emission Factor (kg CO2 - e / GJ) CH4","Scope 1 Emission Factor (kg CO2 - e / GJ) N2O","Scope 1 Emission Factor (kg CO2 - e / GJ) Combined gases";"Natural gas distributed in a pipeline",0.0393,"m3",51.4,0.1,0.03,51.53;"Coal seam methane that is captured for combustion",0.0377,"m3",51.4,0.2,0.03,51.63;"Coal mine waste gas that is captured for combustion",0.0377,"m3",51.9,4.6,0.3,56.8;"Compressed natural gas(reverting to standard conditions)",0.0393,"m3",51.4,0.1,0.03,51.53;"Unprocessed natural gas",0.0393,"m3",51.4,0.1,0.03,51.53;"Ethane",0.0629,"m3",56.5,0.03,0.03,56.56;"Coke oven gas",0.0181,"m3",37,0.03,0.05,37.08;"Blast furnace gas",0.004,"m3",234,0.03,0.02,234.05;"Town gas",0.039,"m3",60.2,0.04,0.03,60.27;"Liquefied natural gas",25.3,"kL",51.4,0.1,0.03,51.53;"Gaseous fossil fuels other than those mentioned in the items above",0.039,"m3",51.4,0.1,0.03,51.53;"Landfill biogas that is captured for combustion (methane only)",0.0377,"m3",0,6.4,0.03,6.43;"Sludge biogas that is captured for combustion (methane only)",0.0377,"m3",0,6.4,0.03,6.43;"A biogas that is captured for combustion, other than those mentioned in the items above",0.037,"m3",0,6.4,0.03,6.43;"Biomethane",0.0393,"m3",0,0.1,0.03,0.13;"Hydrogen",0.0122,"m3",0,0,0.5,0.5;"Natural gas distributed in a pipeline - Gigajoules",1,"GJ",51.4,0.1,0.03,51.53;"Town gas - Gigajoules",1,"GJ",60.2,0.04,0.03,60.27}, _xlpm.r, _xlpm.c)
)))</definedName>
    <definedName name="Fuel_SourceData.Fuel_Scope1EmissionFactorsStationaryGaseous_Data" localSheetId="34">_xlfn.LAMBDA(
  _xlfn.MAKEARRAY(19, 7,
    _xlfn.LAMBDA(_xlpm.r,_xlpm.c,
      INDEX({"Fuel combusted","Energy Content Factor (GJ per unit of fuel)","Fuel unit","Scope 1 Emission Factor (kg CO2 - e / GJ) CO2","Scope 1 Emission Factor (kg CO2 - e / GJ) CH4","Scope 1 Emission Factor (kg CO2 - e / GJ) N2O","Scope 1 Emission Factor (kg CO2 - e / GJ) Combined gases";"Natural gas distributed in a pipeline",0.0393,"m3",51.4,0.1,0.03,51.53;"Coal seam methane that is captured for combustion",0.0377,"m3",51.4,0.2,0.03,51.63;"Coal mine waste gas that is captured for combustion",0.0377,"m3",51.9,4.6,0.3,56.8;"Compressed natural gas(reverting to standard conditions)",0.0393,"m3",51.4,0.1,0.03,51.53;"Unprocessed natural gas",0.0393,"m3",51.4,0.1,0.03,51.53;"Ethane",0.0629,"m3",56.5,0.03,0.03,56.56;"Coke oven gas",0.0181,"m3",37,0.03,0.05,37.08;"Blast furnace gas",0.004,"m3",234,0.03,0.02,234.05;"Town gas",0.039,"m3",60.2,0.04,0.03,60.27;"Liquefied natural gas",25.3,"kL",51.4,0.1,0.03,51.53;"Gaseous fossil fuels other than those mentioned in the items above",0.039,"m3",51.4,0.1,0.03,51.53;"Landfill biogas that is captured for combustion (methane only)",0.0377,"m3",0,6.4,0.03,6.43;"Sludge biogas that is captured for combustion (methane only)",0.0377,"m3",0,6.4,0.03,6.43;"A biogas that is captured for combustion, other than those mentioned in the items above",0.037,"m3",0,6.4,0.03,6.43;"Biomethane",0.0393,"m3",0,0.1,0.03,0.13;"Hydrogen",0.0122,"m3",0,0,0.5,0.5;"Natural gas distributed in a pipeline - Gigajoules",1,"GJ",51.4,0.1,0.03,51.53;"Town gas - Gigajoules",1,"GJ",60.2,0.04,0.03,60.27}, _xlpm.r, _xlpm.c)
)))</definedName>
    <definedName name="Fuel_SourceData.Fuel_Scope1EmissionFactorsStationaryGaseous_Data" localSheetId="38">_xlfn.LAMBDA(
  _xlfn.MAKEARRAY(19, 7,
    _xlfn.LAMBDA(_xlpm.r,_xlpm.c,
      INDEX({"Fuel combusted","Energy Content Factor (GJ per unit of fuel)","Fuel unit","Scope 1 Emission Factor (kg CO2 - e / GJ) CO2","Scope 1 Emission Factor (kg CO2 - e / GJ) CH4","Scope 1 Emission Factor (kg CO2 - e / GJ) N2O","Scope 1 Emission Factor (kg CO2 - e / GJ) Combined gases";"Natural gas distributed in a pipeline",0.0393,"m3",51.4,0.1,0.03,51.53;"Coal seam methane that is captured for combustion",0.0377,"m3",51.4,0.2,0.03,51.63;"Coal mine waste gas that is captured for combustion",0.0377,"m3",51.9,4.6,0.3,56.8;"Compressed natural gas(reverting to standard conditions)",0.0393,"m3",51.4,0.1,0.03,51.53;"Unprocessed natural gas",0.0393,"m3",51.4,0.1,0.03,51.53;"Ethane",0.0629,"m3",56.5,0.03,0.03,56.56;"Coke oven gas",0.0181,"m3",37,0.03,0.05,37.08;"Blast furnace gas",0.004,"m3",234,0.03,0.02,234.05;"Town gas",0.039,"m3",60.2,0.04,0.03,60.27;"Liquefied natural gas",25.3,"kL",51.4,0.1,0.03,51.53;"Gaseous fossil fuels other than those mentioned in the items above",0.039,"m3",51.4,0.1,0.03,51.53;"Landfill biogas that is captured for combustion (methane only)",0.0377,"m3",0,6.4,0.03,6.43;"Sludge biogas that is captured for combustion (methane only)",0.0377,"m3",0,6.4,0.03,6.43;"A biogas that is captured for combustion, other than those mentioned in the items above",0.037,"m3",0,6.4,0.03,6.43;"Biomethane",0.0393,"m3",0,0.1,0.03,0.13;"Hydrogen",0.0122,"m3",0,0,0.5,0.5;"Natural gas distributed in a pipeline - Gigajoules",1,"GJ",51.4,0.1,0.03,51.53;"Town gas - Gigajoules",1,"GJ",60.2,0.04,0.03,60.27}, _xlpm.r, _xlpm.c)
)))</definedName>
    <definedName name="Fuel_SourceData.Fuel_Scope1EmissionFactorsStationaryGaseous_Data" localSheetId="44">_xlfn.LAMBDA(
  _xlfn.MAKEARRAY(19, 7,
    _xlfn.LAMBDA(_xlpm.r,_xlpm.c,
      INDEX({"Fuel combusted","Energy Content Factor (GJ per unit of fuel)","Fuel unit","Scope 1 Emission Factor (kg CO2 - e / GJ) CO2","Scope 1 Emission Factor (kg CO2 - e / GJ) CH4","Scope 1 Emission Factor (kg CO2 - e / GJ) N2O","Scope 1 Emission Factor (kg CO2 - e / GJ) Combined gases";"Natural gas distributed in a pipeline",0.0393,"m3",51.4,0.1,0.03,51.53;"Coal seam methane that is captured for combustion",0.0377,"m3",51.4,0.2,0.03,51.63;"Coal mine waste gas that is captured for combustion",0.0377,"m3",51.9,4.6,0.3,56.8;"Compressed natural gas(reverting to standard conditions)",0.0393,"m3",51.4,0.1,0.03,51.53;"Unprocessed natural gas",0.0393,"m3",51.4,0.1,0.03,51.53;"Ethane",0.0629,"m3",56.5,0.03,0.03,56.56;"Coke oven gas",0.0181,"m3",37,0.03,0.05,37.08;"Blast furnace gas",0.004,"m3",234,0.03,0.02,234.05;"Town gas",0.039,"m3",60.2,0.04,0.03,60.27;"Liquefied natural gas",25.3,"kL",51.4,0.1,0.03,51.53;"Gaseous fossil fuels other than those mentioned in the items above",0.039,"m3",51.4,0.1,0.03,51.53;"Landfill biogas that is captured for combustion (methane only)",0.0377,"m3",0,6.4,0.03,6.43;"Sludge biogas that is captured for combustion (methane only)",0.0377,"m3",0,6.4,0.03,6.43;"A biogas that is captured for combustion, other than those mentioned in the items above",0.037,"m3",0,6.4,0.03,6.43;"Biomethane",0.0393,"m3",0,0.1,0.03,0.13;"Hydrogen",0.0122,"m3",0,0,0.5,0.5;"Natural gas distributed in a pipeline - Gigajoules",1,"GJ",51.4,0.1,0.03,51.53;"Town gas - Gigajoules",1,"GJ",60.2,0.04,0.03,60.27}, _xlpm.r, _xlpm.c)
)))</definedName>
    <definedName name="Fuel_SourceData.Fuel_Scope1EmissionFactorsStationaryGaseous_Data" localSheetId="45">_xlfn.LAMBDA(
  _xlfn.MAKEARRAY(19, 7,
    _xlfn.LAMBDA(_xlpm.r,_xlpm.c,
      INDEX({"Fuel combusted","Energy Content Factor (GJ per unit of fuel)","Fuel unit","Scope 1 Emission Factor (kg CO2 - e / GJ) CO2","Scope 1 Emission Factor (kg CO2 - e / GJ) CH4","Scope 1 Emission Factor (kg CO2 - e / GJ) N2O","Scope 1 Emission Factor (kg CO2 - e / GJ) Combined gases";"Natural gas distributed in a pipeline",0.0393,"m3",51.4,0.1,0.03,51.53;"Coal seam methane that is captured for combustion",0.0377,"m3",51.4,0.2,0.03,51.63;"Coal mine waste gas that is captured for combustion",0.0377,"m3",51.9,4.6,0.3,56.8;"Compressed natural gas(reverting to standard conditions)",0.0393,"m3",51.4,0.1,0.03,51.53;"Unprocessed natural gas",0.0393,"m3",51.4,0.1,0.03,51.53;"Ethane",0.0629,"m3",56.5,0.03,0.03,56.56;"Coke oven gas",0.0181,"m3",37,0.03,0.05,37.08;"Blast furnace gas",0.004,"m3",234,0.03,0.02,234.05;"Town gas",0.039,"m3",60.2,0.04,0.03,60.27;"Liquefied natural gas",25.3,"kL",51.4,0.1,0.03,51.53;"Gaseous fossil fuels other than those mentioned in the items above",0.039,"m3",51.4,0.1,0.03,51.53;"Landfill biogas that is captured for combustion (methane only)",0.0377,"m3",0,6.4,0.03,6.43;"Sludge biogas that is captured for combustion (methane only)",0.0377,"m3",0,6.4,0.03,6.43;"A biogas that is captured for combustion, other than those mentioned in the items above",0.037,"m3",0,6.4,0.03,6.43;"Biomethane",0.0393,"m3",0,0.1,0.03,0.13;"Hydrogen",0.0122,"m3",0,0,0.5,0.5;"Natural gas distributed in a pipeline - Gigajoules",1,"GJ",51.4,0.1,0.03,51.53;"Town gas - Gigajoules",1,"GJ",60.2,0.04,0.03,60.27}, _xlpm.r, _xlpm.c)
)))</definedName>
    <definedName name="Fuel_SourceData.Fuel_Scope1EmissionFactorsStationaryGaseous_Data" localSheetId="7">_xlfn.LAMBDA(
  _xlfn.MAKEARRAY(19, 7,
    _xlfn.LAMBDA(_xlpm.r,_xlpm.c,
      INDEX({"Fuel combusted","Energy Content Factor (GJ per unit of fuel)","Fuel unit","Scope 1 Emission Factor (kg CO2 - e / GJ) CO2","Scope 1 Emission Factor (kg CO2 - e / GJ) CH4","Scope 1 Emission Factor (kg CO2 - e / GJ) N2O","Scope 1 Emission Factor (kg CO2 - e / GJ) Combined gases";"Natural gas distributed in a pipeline",0.0393,"m3",51.4,0.1,0.03,51.53;"Coal seam methane that is captured for combustion",0.0377,"m3",51.4,0.2,0.03,51.63;"Coal mine waste gas that is captured for combustion",0.0377,"m3",51.9,4.6,0.3,56.8;"Compressed natural gas(reverting to standard conditions)",0.0393,"m3",51.4,0.1,0.03,51.53;"Unprocessed natural gas",0.0393,"m3",51.4,0.1,0.03,51.53;"Ethane",0.0629,"m3",56.5,0.03,0.03,56.56;"Coke oven gas",0.0181,"m3",37,0.03,0.05,37.08;"Blast furnace gas",0.004,"m3",234,0.03,0.02,234.05;"Town gas",0.039,"m3",60.2,0.04,0.03,60.27;"Liquefied natural gas",25.3,"kL",51.4,0.1,0.03,51.53;"Gaseous fossil fuels other than those mentioned in the items above",0.039,"m3",51.4,0.1,0.03,51.53;"Landfill biogas that is captured for combustion (methane only)",0.0377,"m3",0,6.4,0.03,6.43;"Sludge biogas that is captured for combustion (methane only)",0.0377,"m3",0,6.4,0.03,6.43;"A biogas that is captured for combustion, other than those mentioned in the items above",0.037,"m3",0,6.4,0.03,6.43;"Biomethane",0.0393,"m3",0,0.1,0.03,0.13;"Hydrogen",0.0122,"m3",0,0,0.5,0.5;"Natural gas distributed in a pipeline - Gigajoules",1,"GJ",51.4,0.1,0.03,51.53;"Town gas - Gigajoules",1,"GJ",60.2,0.04,0.03,60.27}, _xlpm.r, _xlpm.c)
)))</definedName>
    <definedName name="Fuel_SourceData.Fuel_Scope1EmissionFactorsStationaryGaseous_Data" localSheetId="13">_xlfn.LAMBDA(
  _xlfn.MAKEARRAY(19, 7,
    _xlfn.LAMBDA(_xlpm.r,_xlpm.c,
      INDEX({"Fuel combusted","Energy Content Factor (GJ per unit of fuel)","Fuel unit","Scope 1 Emission Factor (kg CO2 - e / GJ) CO2","Scope 1 Emission Factor (kg CO2 - e / GJ) CH4","Scope 1 Emission Factor (kg CO2 - e / GJ) N2O","Scope 1 Emission Factor (kg CO2 - e / GJ) Combined gases";"Natural gas distributed in a pipeline",0.0393,"m3",51.4,0.1,0.03,51.53;"Coal seam methane that is captured for combustion",0.0377,"m3",51.4,0.2,0.03,51.63;"Coal mine waste gas that is captured for combustion",0.0377,"m3",51.9,4.6,0.3,56.8;"Compressed natural gas(reverting to standard conditions)",0.0393,"m3",51.4,0.1,0.03,51.53;"Unprocessed natural gas",0.0393,"m3",51.4,0.1,0.03,51.53;"Ethane",0.0629,"m3",56.5,0.03,0.03,56.56;"Coke oven gas",0.0181,"m3",37,0.03,0.05,37.08;"Blast furnace gas",0.004,"m3",234,0.03,0.02,234.05;"Town gas",0.039,"m3",60.2,0.04,0.03,60.27;"Liquefied natural gas",25.3,"kL",51.4,0.1,0.03,51.53;"Gaseous fossil fuels other than those mentioned in the items above",0.039,"m3",51.4,0.1,0.03,51.53;"Landfill biogas that is captured for combustion (methane only)",0.0377,"m3",0,6.4,0.03,6.43;"Sludge biogas that is captured for combustion (methane only)",0.0377,"m3",0,6.4,0.03,6.43;"A biogas that is captured for combustion, other than those mentioned in the items above",0.037,"m3",0,6.4,0.03,6.43;"Biomethane",0.0393,"m3",0,0.1,0.03,0.13;"Hydrogen",0.0122,"m3",0,0,0.5,0.5;"Natural gas distributed in a pipeline - Gigajoules",1,"GJ",51.4,0.1,0.03,51.53;"Town gas - Gigajoules",1,"GJ",60.2,0.04,0.03,60.27}, _xlpm.r, _xlpm.c)
)))</definedName>
    <definedName name="Fuel_SourceData.Fuel_Scope1EmissionFactorsStationaryGaseous_Data" localSheetId="14">_xlfn.LAMBDA(
  _xlfn.MAKEARRAY(19, 7,
    _xlfn.LAMBDA(_xlpm.r,_xlpm.c,
      INDEX({"Fuel combusted","Energy Content Factor (GJ per unit of fuel)","Fuel unit","Scope 1 Emission Factor (kg CO2 - e / GJ) CO2","Scope 1 Emission Factor (kg CO2 - e / GJ) CH4","Scope 1 Emission Factor (kg CO2 - e / GJ) N2O","Scope 1 Emission Factor (kg CO2 - e / GJ) Combined gases";"Natural gas distributed in a pipeline",0.0393,"m3",51.4,0.1,0.03,51.53;"Coal seam methane that is captured for combustion",0.0377,"m3",51.4,0.2,0.03,51.63;"Coal mine waste gas that is captured for combustion",0.0377,"m3",51.9,4.6,0.3,56.8;"Compressed natural gas(reverting to standard conditions)",0.0393,"m3",51.4,0.1,0.03,51.53;"Unprocessed natural gas",0.0393,"m3",51.4,0.1,0.03,51.53;"Ethane",0.0629,"m3",56.5,0.03,0.03,56.56;"Coke oven gas",0.0181,"m3",37,0.03,0.05,37.08;"Blast furnace gas",0.004,"m3",234,0.03,0.02,234.05;"Town gas",0.039,"m3",60.2,0.04,0.03,60.27;"Liquefied natural gas",25.3,"kL",51.4,0.1,0.03,51.53;"Gaseous fossil fuels other than those mentioned in the items above",0.039,"m3",51.4,0.1,0.03,51.53;"Landfill biogas that is captured for combustion (methane only)",0.0377,"m3",0,6.4,0.03,6.43;"Sludge biogas that is captured for combustion (methane only)",0.0377,"m3",0,6.4,0.03,6.43;"A biogas that is captured for combustion, other than those mentioned in the items above",0.037,"m3",0,6.4,0.03,6.43;"Biomethane",0.0393,"m3",0,0.1,0.03,0.13;"Hydrogen",0.0122,"m3",0,0,0.5,0.5;"Natural gas distributed in a pipeline - Gigajoules",1,"GJ",51.4,0.1,0.03,51.53;"Town gas - Gigajoules",1,"GJ",60.2,0.04,0.03,60.27}, _xlpm.r, _xlpm.c)
)))</definedName>
    <definedName name="Fuel_SourceData.Fuel_Scope1EmissionFactorsStationaryGaseous_Data" localSheetId="16">_xlfn.LAMBDA(
  _xlfn.MAKEARRAY(19, 7,
    _xlfn.LAMBDA(_xlpm.r,_xlpm.c,
      INDEX({"Fuel combusted","Energy Content Factor (GJ per unit of fuel)","Fuel unit","Scope 1 Emission Factor (kg CO2 - e / GJ) CO2","Scope 1 Emission Factor (kg CO2 - e / GJ) CH4","Scope 1 Emission Factor (kg CO2 - e / GJ) N2O","Scope 1 Emission Factor (kg CO2 - e / GJ) Combined gases";"Natural gas distributed in a pipeline",0.0393,"m3",51.4,0.1,0.03,51.53;"Coal seam methane that is captured for combustion",0.0377,"m3",51.4,0.2,0.03,51.63;"Coal mine waste gas that is captured for combustion",0.0377,"m3",51.9,4.6,0.3,56.8;"Compressed natural gas(reverting to standard conditions)",0.0393,"m3",51.4,0.1,0.03,51.53;"Unprocessed natural gas",0.0393,"m3",51.4,0.1,0.03,51.53;"Ethane",0.0629,"m3",56.5,0.03,0.03,56.56;"Coke oven gas",0.0181,"m3",37,0.03,0.05,37.08;"Blast furnace gas",0.004,"m3",234,0.03,0.02,234.05;"Town gas",0.039,"m3",60.2,0.04,0.03,60.27;"Liquefied natural gas",25.3,"kL",51.4,0.1,0.03,51.53;"Gaseous fossil fuels other than those mentioned in the items above",0.039,"m3",51.4,0.1,0.03,51.53;"Landfill biogas that is captured for combustion (methane only)",0.0377,"m3",0,6.4,0.03,6.43;"Sludge biogas that is captured for combustion (methane only)",0.0377,"m3",0,6.4,0.03,6.43;"A biogas that is captured for combustion, other than those mentioned in the items above",0.037,"m3",0,6.4,0.03,6.43;"Biomethane",0.0393,"m3",0,0.1,0.03,0.13;"Hydrogen",0.0122,"m3",0,0,0.5,0.5;"Natural gas distributed in a pipeline - Gigajoules",1,"GJ",51.4,0.1,0.03,51.53;"Town gas - Gigajoules",1,"GJ",60.2,0.04,0.03,60.27}, _xlpm.r, _xlpm.c)
)))</definedName>
    <definedName name="Fuel_SourceData.Fuel_Scope1EmissionFactorsStationaryGaseous_Data" localSheetId="11">_xlfn.LAMBDA(
  _xlfn.MAKEARRAY(19, 7,
    _xlfn.LAMBDA(_xlpm.r,_xlpm.c,
      INDEX({"Fuel combusted","Energy Content Factor (GJ per unit of fuel)","Fuel unit","Scope 1 Emission Factor (kg CO2 - e / GJ) CO2","Scope 1 Emission Factor (kg CO2 - e / GJ) CH4","Scope 1 Emission Factor (kg CO2 - e / GJ) N2O","Scope 1 Emission Factor (kg CO2 - e / GJ) Combined gases";"Natural gas distributed in a pipeline",0.0393,"m3",51.4,0.1,0.03,51.53;"Coal seam methane that is captured for combustion",0.0377,"m3",51.4,0.2,0.03,51.63;"Coal mine waste gas that is captured for combustion",0.0377,"m3",51.9,4.6,0.3,56.8;"Compressed natural gas(reverting to standard conditions)",0.0393,"m3",51.4,0.1,0.03,51.53;"Unprocessed natural gas",0.0393,"m3",51.4,0.1,0.03,51.53;"Ethane",0.0629,"m3",56.5,0.03,0.03,56.56;"Coke oven gas",0.0181,"m3",37,0.03,0.05,37.08;"Blast furnace gas",0.004,"m3",234,0.03,0.02,234.05;"Town gas",0.039,"m3",60.2,0.04,0.03,60.27;"Liquefied natural gas",25.3,"kL",51.4,0.1,0.03,51.53;"Gaseous fossil fuels other than those mentioned in the items above",0.039,"m3",51.4,0.1,0.03,51.53;"Landfill biogas that is captured for combustion (methane only)",0.0377,"m3",0,6.4,0.03,6.43;"Sludge biogas that is captured for combustion (methane only)",0.0377,"m3",0,6.4,0.03,6.43;"A biogas that is captured for combustion, other than those mentioned in the items above",0.037,"m3",0,6.4,0.03,6.43;"Biomethane",0.0393,"m3",0,0.1,0.03,0.13;"Hydrogen",0.0122,"m3",0,0,0.5,0.5;"Natural gas distributed in a pipeline - Gigajoules",1,"GJ",51.4,0.1,0.03,51.53;"Town gas - Gigajoules",1,"GJ",60.2,0.04,0.03,60.27}, _xlpm.r, _xlpm.c)
)))</definedName>
    <definedName name="Fuel_SourceData.Fuel_Scope1EmissionFactorsStationaryGaseous_Data" localSheetId="15">_xlfn.LAMBDA(
  _xlfn.MAKEARRAY(19, 7,
    _xlfn.LAMBDA(_xlpm.r,_xlpm.c,
      INDEX({"Fuel combusted","Energy Content Factor (GJ per unit of fuel)","Fuel unit","Scope 1 Emission Factor (kg CO2 - e / GJ) CO2","Scope 1 Emission Factor (kg CO2 - e / GJ) CH4","Scope 1 Emission Factor (kg CO2 - e / GJ) N2O","Scope 1 Emission Factor (kg CO2 - e / GJ) Combined gases";"Natural gas distributed in a pipeline",0.0393,"m3",51.4,0.1,0.03,51.53;"Coal seam methane that is captured for combustion",0.0377,"m3",51.4,0.2,0.03,51.63;"Coal mine waste gas that is captured for combustion",0.0377,"m3",51.9,4.6,0.3,56.8;"Compressed natural gas(reverting to standard conditions)",0.0393,"m3",51.4,0.1,0.03,51.53;"Unprocessed natural gas",0.0393,"m3",51.4,0.1,0.03,51.53;"Ethane",0.0629,"m3",56.5,0.03,0.03,56.56;"Coke oven gas",0.0181,"m3",37,0.03,0.05,37.08;"Blast furnace gas",0.004,"m3",234,0.03,0.02,234.05;"Town gas",0.039,"m3",60.2,0.04,0.03,60.27;"Liquefied natural gas",25.3,"kL",51.4,0.1,0.03,51.53;"Gaseous fossil fuels other than those mentioned in the items above",0.039,"m3",51.4,0.1,0.03,51.53;"Landfill biogas that is captured for combustion (methane only)",0.0377,"m3",0,6.4,0.03,6.43;"Sludge biogas that is captured for combustion (methane only)",0.0377,"m3",0,6.4,0.03,6.43;"A biogas that is captured for combustion, other than those mentioned in the items above",0.037,"m3",0,6.4,0.03,6.43;"Biomethane",0.0393,"m3",0,0.1,0.03,0.13;"Hydrogen",0.0122,"m3",0,0,0.5,0.5;"Natural gas distributed in a pipeline - Gigajoules",1,"GJ",51.4,0.1,0.03,51.53;"Town gas - Gigajoules",1,"GJ",60.2,0.04,0.03,60.27}, _xlpm.r, _xlpm.c)
)))</definedName>
    <definedName name="Fuel_SourceData.Fuel_Scope1EmissionFactorsStationaryGaseous_Data" localSheetId="18">_xlfn.LAMBDA(
  _xlfn.MAKEARRAY(19, 7,
    _xlfn.LAMBDA(_xlpm.r,_xlpm.c,
      INDEX({"Fuel combusted","Energy Content Factor (GJ per unit of fuel)","Fuel unit","Scope 1 Emission Factor (kg CO2 - e / GJ) CO2","Scope 1 Emission Factor (kg CO2 - e / GJ) CH4","Scope 1 Emission Factor (kg CO2 - e / GJ) N2O","Scope 1 Emission Factor (kg CO2 - e / GJ) Combined gases";"Natural gas distributed in a pipeline",0.0393,"m3",51.4,0.1,0.03,51.53;"Coal seam methane that is captured for combustion",0.0377,"m3",51.4,0.2,0.03,51.63;"Coal mine waste gas that is captured for combustion",0.0377,"m3",51.9,4.6,0.3,56.8;"Compressed natural gas(reverting to standard conditions)",0.0393,"m3",51.4,0.1,0.03,51.53;"Unprocessed natural gas",0.0393,"m3",51.4,0.1,0.03,51.53;"Ethane",0.0629,"m3",56.5,0.03,0.03,56.56;"Coke oven gas",0.0181,"m3",37,0.03,0.05,37.08;"Blast furnace gas",0.004,"m3",234,0.03,0.02,234.05;"Town gas",0.039,"m3",60.2,0.04,0.03,60.27;"Liquefied natural gas",25.3,"kL",51.4,0.1,0.03,51.53;"Gaseous fossil fuels other than those mentioned in the items above",0.039,"m3",51.4,0.1,0.03,51.53;"Landfill biogas that is captured for combustion (methane only)",0.0377,"m3",0,6.4,0.03,6.43;"Sludge biogas that is captured for combustion (methane only)",0.0377,"m3",0,6.4,0.03,6.43;"A biogas that is captured for combustion, other than those mentioned in the items above",0.037,"m3",0,6.4,0.03,6.43;"Biomethane",0.0393,"m3",0,0.1,0.03,0.13;"Hydrogen",0.0122,"m3",0,0,0.5,0.5;"Natural gas distributed in a pipeline - Gigajoules",1,"GJ",51.4,0.1,0.03,51.53;"Town gas - Gigajoules",1,"GJ",60.2,0.04,0.03,60.27}, _xlpm.r, _xlpm.c)
)))</definedName>
    <definedName name="Fuel_SourceData.Fuel_Scope1EmissionFactorsStationaryGaseous_Data">_xlfn.LAMBDA(_xlfn.MAKEARRAY(19, 7, _xlfn.LAMBDA(_xlpm.r,_xlpm.c, INDEX({"Fuel combusted","Energy Content Factor (GJ per unit of fuel)","Fuel unit","Scope 1 Emission Factor (kg CO2 - e / GJ) CO2","Scope 1 Emission Factor (kg CO2 - e / GJ) CH4","Scope 1 Emission Factor (kg CO2 - e / GJ) N2O","Scope 1 Emission Factor (kg CO2 - e / GJ) Combined gases";"Natural gas distributed in a pipeline",0.0393,"m3",51.4,0.1,0.03,51.53;"Coal seam methane that is captured for combustion",0.0377,"m3",51.4,0.2,0.03,51.63;"Coal mine waste gas that is captured for combustion",0.0377,"m3",51.9,4.6,0.3,56.8;"Compressed natural gas(reverting to standard conditions)",0.0393,"m3",51.4,0.1,0.03,51.53;"Unprocessed natural gas",0.0393,"m3",51.4,0.1,0.03,51.53;"Ethane",0.0629,"m3",56.5,0.03,0.03,56.56;"Coke oven gas",0.0181,"m3",37,0.03,0.05,37.08;"Blast furnace gas",0.004,"m3",234,0.03,0.02,234.05;"Town gas",0.039,"m3",60.2,0.04,0.03,60.27;"Liquefied natural gas",25.3,"kL",51.4,0.1,0.03,51.53;"Gaseous fossil fuels other than those mentioned in the items above",0.039,"m3",51.4,0.1,0.03,51.53;"Landfill biogas that is captured for combustion (methane only)",0.0377,"m3",0,6.4,0.03,6.43;"Sludge biogas that is captured for combustion (methane only)",0.0377,"m3",0,6.4,0.03,6.43;"A biogas that is captured for combustion, other than those mentioned in the items above",0.037,"m3",0,6.4,0.03,6.43;"Biomethane",0.0393,"m3",0,0.1,0.03,0.13;"Hydrogen",0.0122,"m3",0,0,0.5,0.5;"Natural gas distributed in a pipeline - Gigajoules",1,"GJ",51.4,0.1,0.03,51.53;"Town gas - Gigajoules",1,"GJ",60.2,0.04,0.03,60.27}, _xlpm.r, _xlpm.c))))</definedName>
    <definedName name="Fuel_SourceData.Fuel_Scope1EmissionFactorsStationaryGaseous_Description">_xlfn.LAMBDA(("Direct (Scope 1) emission factors for the consumption of gaseous fuels including liquefied natural gas  "))</definedName>
    <definedName name="Fuel_SourceData.Fuel_Scope1EmissionFactorsStationaryGaseous_Source">_xlfn.LAMBDA(("Australian National Greenhouse Accounts Factors 2025 - Table 5"))</definedName>
    <definedName name="Fuel_SourceData.Fuel_Scope1EmissionFactorsStationaryGaseous_Title">_xlfn.LAMBDA(("Fuel scope 1 emission factors - Stationary gaseous fuels"))</definedName>
    <definedName name="Fuel_SourceData.Fuel_Scope1EmissionFactorsStationaryGaseous_Variation">_xlfn.LAMBDA(("VARIATION OF SOURCE DATA: 'Natural gas distributed in a pipeline - Gigajoules' and 'Town gas - Gigajoules' were added, each with an energy content factor of 1 GJ per unit of fuel. This is for users who have fuel consumption data in GJ rather than m3."))</definedName>
    <definedName name="Fuel_SourceData.Fuel_Scope1Scope3EmissionFactorsStationaryLiquid_Data" localSheetId="37">_xlfn.LAMBDA(
  _xlfn.MAKEARRAY(25, 8,
    _xlfn.LAMBDA(_xlpm.r,_xlpm.c,
      INDEX({"Fuel combusted","Energy Content Factor (GJ per unit of fuel)","Fuel unit","Scope 1 Emission Factor (kg CO2 - e / GJ) CO2","Scope 1 Emission Factor (kg CO2 - e / GJ) CH4","Scope 1 Emission Factor (kg CO2 - e / GJ) N2O","Scope 1 Emission Factor (kg CO2 - e / GJ) Combined gases","Scope 3 Emission Factor (kg CO2 - e / GJ)";"Petroleum based oils (other than petroleum based oil used as fuel), e.g. lubricants",38.8,"kl",13.9,0,0,13.9,18;"Petroleum based greases",38.8,"kl",3.5,0,0,3.5,18;"Crude oil including crude oil condensates",45.3,"t",69.6,0.08,0.2,69.88,"NE";"Other natural gas liquids",46.5,"t",61,0.08,0.2,61.28,"NE";"Automotive gasoline / petrol (other than for use as fuel in an aircraft)",34.2,"kL",67.4,0.2,0.2,67.8,17.2;"Aviation gasoline",33.1,"kL",67,0.2,0.2,67.4,18;"Kerosene (other than for use as fuel in an aircraft)",37.5,"kL",68.9,0.01,0.2,69.11,18;"Aviation turbine fuel / kerosene",36.8,"kL",69.6,0.02,0.2,69.82,18;"Heating oil",37.3,"kL",69.5,0.03,0.2,69.73,18;"Diesel oil",38.6,"kL",69.9,0.1,0.2,70.2,17.3;"Fuel oil",39.7,"kL",73.6,0.04,0.2,73.84,18;"Liquefied aromatic hydrocarbons",34.4,"kL",69.7,0.03,0.2,69.93,18;"Solvents: mineral turpentine or white spirits",34.4,"kL",69.7,0.03,0.2,69.93,18;"Liquefied petroleum gas (LPG)",25.7,"kL",60.2,0.2,0.2,60.6,20.2;"Naphtha",31.4,"kL",69.8,0.01,0.01,69.82,18;"Petroleum coke",34.2,"t",92.6,0.08,0.2,92.88,18;"Refinery gas and liquids",42.9,"t",54.7,0.03,0.03,54.76,18;"Refinery coke",34.2,"t",92.6,0.08,0.2,92.88,18;"Petroleum based products other than mentioned in the items above",34.4,"kL",69.8,0.02,0.1,69.92,18;"Biodiesel",34.6,"kL",0,0.08,0.2,0.28,"NE";"Ethanol for use as a fuel in an internal combustion engine",23.4,"kL",0,0.08,0.2,0.28,"NE";"Biofuels other than those mentioned in the items above and below",23.4,"kL",0,0.08,0.2,0.28,"NE";"Renewable aviation kerosene",36.8,"kL",0,0.02,0.2,0.22,"NE";"Renewable diesel",38.6,"kL",0,0.1,0.2,0.3,"NE"}, _xlpm.r, _xlpm.c)
)))</definedName>
    <definedName name="Fuel_SourceData.Fuel_Scope1Scope3EmissionFactorsStationaryLiquid_Data" localSheetId="33">_xlfn.LAMBDA(
  _xlfn.MAKEARRAY(25, 8,
    _xlfn.LAMBDA(_xlpm.r,_xlpm.c,
      INDEX({"Fuel combusted","Energy Content Factor (GJ per unit of fuel)","Fuel unit","Scope 1 Emission Factor (kg CO2 - e / GJ) CO2","Scope 1 Emission Factor (kg CO2 - e / GJ) CH4","Scope 1 Emission Factor (kg CO2 - e / GJ) N2O","Scope 1 Emission Factor (kg CO2 - e / GJ) Combined gases","Scope 3 Emission Factor (kg CO2 - e / GJ)";"Petroleum based oils (other than petroleum based oil used as fuel), e.g. lubricants",38.8,"kl",13.9,0,0,13.9,18;"Petroleum based greases",38.8,"kl",3.5,0,0,3.5,18;"Crude oil including crude oil condensates",45.3,"t",69.6,0.08,0.2,69.88,"NE";"Other natural gas liquids",46.5,"t",61,0.08,0.2,61.28,"NE";"Automotive gasoline / petrol (other than for use as fuel in an aircraft)",34.2,"kL",67.4,0.2,0.2,67.8,17.2;"Aviation gasoline",33.1,"kL",67,0.2,0.2,67.4,18;"Kerosene (other than for use as fuel in an aircraft)",37.5,"kL",68.9,0.01,0.2,69.11,18;"Aviation turbine fuel / kerosene",36.8,"kL",69.6,0.02,0.2,69.82,18;"Heating oil",37.3,"kL",69.5,0.03,0.2,69.73,18;"Diesel oil",38.6,"kL",69.9,0.1,0.2,70.2,17.3;"Fuel oil",39.7,"kL",73.6,0.04,0.2,73.84,18;"Liquefied aromatic hydrocarbons",34.4,"kL",69.7,0.03,0.2,69.93,18;"Solvents: mineral turpentine or white spirits",34.4,"kL",69.7,0.03,0.2,69.93,18;"Liquefied petroleum gas (LPG)",25.7,"kL",60.2,0.2,0.2,60.6,20.2;"Naphtha",31.4,"kL",69.8,0.01,0.01,69.82,18;"Petroleum coke",34.2,"t",92.6,0.08,0.2,92.88,18;"Refinery gas and liquids",42.9,"t",54.7,0.03,0.03,54.76,18;"Refinery coke",34.2,"t",92.6,0.08,0.2,92.88,18;"Petroleum based products other than mentioned in the items above",34.4,"kL",69.8,0.02,0.1,69.92,18;"Biodiesel",34.6,"kL",0,0.08,0.2,0.28,"NE";"Ethanol for use as a fuel in an internal combustion engine",23.4,"kL",0,0.08,0.2,0.28,"NE";"Biofuels other than those mentioned in the items above and below",23.4,"kL",0,0.08,0.2,0.28,"NE";"Renewable aviation kerosene",36.8,"kL",0,0.02,0.2,0.22,"NE";"Renewable diesel",38.6,"kL",0,0.1,0.2,0.3,"NE"}, _xlpm.r, _xlpm.c)
)))</definedName>
    <definedName name="Fuel_SourceData.Fuel_Scope1Scope3EmissionFactorsStationaryLiquid_Data" localSheetId="34">_xlfn.LAMBDA(
  _xlfn.MAKEARRAY(25, 8,
    _xlfn.LAMBDA(_xlpm.r,_xlpm.c,
      INDEX({"Fuel combusted","Energy Content Factor (GJ per unit of fuel)","Fuel unit","Scope 1 Emission Factor (kg CO2 - e / GJ) CO2","Scope 1 Emission Factor (kg CO2 - e / GJ) CH4","Scope 1 Emission Factor (kg CO2 - e / GJ) N2O","Scope 1 Emission Factor (kg CO2 - e / GJ) Combined gases","Scope 3 Emission Factor (kg CO2 - e / GJ)";"Petroleum based oils (other than petroleum based oil used as fuel), e.g. lubricants",38.8,"kl",13.9,0,0,13.9,18;"Petroleum based greases",38.8,"kl",3.5,0,0,3.5,18;"Crude oil including crude oil condensates",45.3,"t",69.6,0.08,0.2,69.88,"NE";"Other natural gas liquids",46.5,"t",61,0.08,0.2,61.28,"NE";"Automotive gasoline / petrol (other than for use as fuel in an aircraft)",34.2,"kL",67.4,0.2,0.2,67.8,17.2;"Aviation gasoline",33.1,"kL",67,0.2,0.2,67.4,18;"Kerosene (other than for use as fuel in an aircraft)",37.5,"kL",68.9,0.01,0.2,69.11,18;"Aviation turbine fuel / kerosene",36.8,"kL",69.6,0.02,0.2,69.82,18;"Heating oil",37.3,"kL",69.5,0.03,0.2,69.73,18;"Diesel oil",38.6,"kL",69.9,0.1,0.2,70.2,17.3;"Fuel oil",39.7,"kL",73.6,0.04,0.2,73.84,18;"Liquefied aromatic hydrocarbons",34.4,"kL",69.7,0.03,0.2,69.93,18;"Solvents: mineral turpentine or white spirits",34.4,"kL",69.7,0.03,0.2,69.93,18;"Liquefied petroleum gas (LPG)",25.7,"kL",60.2,0.2,0.2,60.6,20.2;"Naphtha",31.4,"kL",69.8,0.01,0.01,69.82,18;"Petroleum coke",34.2,"t",92.6,0.08,0.2,92.88,18;"Refinery gas and liquids",42.9,"t",54.7,0.03,0.03,54.76,18;"Refinery coke",34.2,"t",92.6,0.08,0.2,92.88,18;"Petroleum based products other than mentioned in the items above",34.4,"kL",69.8,0.02,0.1,69.92,18;"Biodiesel",34.6,"kL",0,0.08,0.2,0.28,"NE";"Ethanol for use as a fuel in an internal combustion engine",23.4,"kL",0,0.08,0.2,0.28,"NE";"Biofuels other than those mentioned in the items above and below",23.4,"kL",0,0.08,0.2,0.28,"NE";"Renewable aviation kerosene",36.8,"kL",0,0.02,0.2,0.22,"NE";"Renewable diesel",38.6,"kL",0,0.1,0.2,0.3,"NE"}, _xlpm.r, _xlpm.c)
)))</definedName>
    <definedName name="Fuel_SourceData.Fuel_Scope1Scope3EmissionFactorsStationaryLiquid_Data" localSheetId="38">_xlfn.LAMBDA(
  _xlfn.MAKEARRAY(25, 8,
    _xlfn.LAMBDA(_xlpm.r,_xlpm.c,
      INDEX({"Fuel combusted","Energy Content Factor (GJ per unit of fuel)","Fuel unit","Scope 1 Emission Factor (kg CO2 - e / GJ) CO2","Scope 1 Emission Factor (kg CO2 - e / GJ) CH4","Scope 1 Emission Factor (kg CO2 - e / GJ) N2O","Scope 1 Emission Factor (kg CO2 - e / GJ) Combined gases","Scope 3 Emission Factor (kg CO2 - e / GJ)";"Petroleum based oils (other than petroleum based oil used as fuel), e.g. lubricants",38.8,"kl",13.9,0,0,13.9,18;"Petroleum based greases",38.8,"kl",3.5,0,0,3.5,18;"Crude oil including crude oil condensates",45.3,"t",69.6,0.08,0.2,69.88,"NE";"Other natural gas liquids",46.5,"t",61,0.08,0.2,61.28,"NE";"Automotive gasoline / petrol (other than for use as fuel in an aircraft)",34.2,"kL",67.4,0.2,0.2,67.8,17.2;"Aviation gasoline",33.1,"kL",67,0.2,0.2,67.4,18;"Kerosene (other than for use as fuel in an aircraft)",37.5,"kL",68.9,0.01,0.2,69.11,18;"Aviation turbine fuel / kerosene",36.8,"kL",69.6,0.02,0.2,69.82,18;"Heating oil",37.3,"kL",69.5,0.03,0.2,69.73,18;"Diesel oil",38.6,"kL",69.9,0.1,0.2,70.2,17.3;"Fuel oil",39.7,"kL",73.6,0.04,0.2,73.84,18;"Liquefied aromatic hydrocarbons",34.4,"kL",69.7,0.03,0.2,69.93,18;"Solvents: mineral turpentine or white spirits",34.4,"kL",69.7,0.03,0.2,69.93,18;"Liquefied petroleum gas (LPG)",25.7,"kL",60.2,0.2,0.2,60.6,20.2;"Naphtha",31.4,"kL",69.8,0.01,0.01,69.82,18;"Petroleum coke",34.2,"t",92.6,0.08,0.2,92.88,18;"Refinery gas and liquids",42.9,"t",54.7,0.03,0.03,54.76,18;"Refinery coke",34.2,"t",92.6,0.08,0.2,92.88,18;"Petroleum based products other than mentioned in the items above",34.4,"kL",69.8,0.02,0.1,69.92,18;"Biodiesel",34.6,"kL",0,0.08,0.2,0.28,"NE";"Ethanol for use as a fuel in an internal combustion engine",23.4,"kL",0,0.08,0.2,0.28,"NE";"Biofuels other than those mentioned in the items above and below",23.4,"kL",0,0.08,0.2,0.28,"NE";"Renewable aviation kerosene",36.8,"kL",0,0.02,0.2,0.22,"NE";"Renewable diesel",38.6,"kL",0,0.1,0.2,0.3,"NE"}, _xlpm.r, _xlpm.c)
)))</definedName>
    <definedName name="Fuel_SourceData.Fuel_Scope1Scope3EmissionFactorsStationaryLiquid_Data" localSheetId="44">_xlfn.LAMBDA(
  _xlfn.MAKEARRAY(25, 8,
    _xlfn.LAMBDA(_xlpm.r,_xlpm.c,
      INDEX({"Fuel combusted","Energy Content Factor (GJ per unit of fuel)","Fuel unit","Scope 1 Emission Factor (kg CO2 - e / GJ) CO2","Scope 1 Emission Factor (kg CO2 - e / GJ) CH4","Scope 1 Emission Factor (kg CO2 - e / GJ) N2O","Scope 1 Emission Factor (kg CO2 - e / GJ) Combined gases","Scope 3 Emission Factor (kg CO2 - e / GJ)";"Petroleum based oils (other than petroleum based oil used as fuel), e.g. lubricants",38.8,"kl",13.9,0,0,13.9,18;"Petroleum based greases",38.8,"kl",3.5,0,0,3.5,18;"Crude oil including crude oil condensates",45.3,"t",69.6,0.08,0.2,69.88,"NE";"Other natural gas liquids",46.5,"t",61,0.08,0.2,61.28,"NE";"Automotive gasoline / petrol (other than for use as fuel in an aircraft)",34.2,"kL",67.4,0.2,0.2,67.8,17.2;"Aviation gasoline",33.1,"kL",67,0.2,0.2,67.4,18;"Kerosene (other than for use as fuel in an aircraft)",37.5,"kL",68.9,0.01,0.2,69.11,18;"Aviation turbine fuel / kerosene",36.8,"kL",69.6,0.02,0.2,69.82,18;"Heating oil",37.3,"kL",69.5,0.03,0.2,69.73,18;"Diesel oil",38.6,"kL",69.9,0.1,0.2,70.2,17.3;"Fuel oil",39.7,"kL",73.6,0.04,0.2,73.84,18;"Liquefied aromatic hydrocarbons",34.4,"kL",69.7,0.03,0.2,69.93,18;"Solvents: mineral turpentine or white spirits",34.4,"kL",69.7,0.03,0.2,69.93,18;"Liquefied petroleum gas (LPG)",25.7,"kL",60.2,0.2,0.2,60.6,20.2;"Naphtha",31.4,"kL",69.8,0.01,0.01,69.82,18;"Petroleum coke",34.2,"t",92.6,0.08,0.2,92.88,18;"Refinery gas and liquids",42.9,"t",54.7,0.03,0.03,54.76,18;"Refinery coke",34.2,"t",92.6,0.08,0.2,92.88,18;"Petroleum based products other than mentioned in the items above",34.4,"kL",69.8,0.02,0.1,69.92,18;"Biodiesel",34.6,"kL",0,0.08,0.2,0.28,"NE";"Ethanol for use as a fuel in an internal combustion engine",23.4,"kL",0,0.08,0.2,0.28,"NE";"Biofuels other than those mentioned in the items above and below",23.4,"kL",0,0.08,0.2,0.28,"NE";"Renewable aviation kerosene",36.8,"kL",0,0.02,0.2,0.22,"NE";"Renewable diesel",38.6,"kL",0,0.1,0.2,0.3,"NE"}, _xlpm.r, _xlpm.c)
)))</definedName>
    <definedName name="Fuel_SourceData.Fuel_Scope1Scope3EmissionFactorsStationaryLiquid_Data" localSheetId="45">_xlfn.LAMBDA(
  _xlfn.MAKEARRAY(25, 8,
    _xlfn.LAMBDA(_xlpm.r,_xlpm.c,
      INDEX({"Fuel combusted","Energy Content Factor (GJ per unit of fuel)","Fuel unit","Scope 1 Emission Factor (kg CO2 - e / GJ) CO2","Scope 1 Emission Factor (kg CO2 - e / GJ) CH4","Scope 1 Emission Factor (kg CO2 - e / GJ) N2O","Scope 1 Emission Factor (kg CO2 - e / GJ) Combined gases","Scope 3 Emission Factor (kg CO2 - e / GJ)";"Petroleum based oils (other than petroleum based oil used as fuel), e.g. lubricants",38.8,"kl",13.9,0,0,13.9,18;"Petroleum based greases",38.8,"kl",3.5,0,0,3.5,18;"Crude oil including crude oil condensates",45.3,"t",69.6,0.08,0.2,69.88,"NE";"Other natural gas liquids",46.5,"t",61,0.08,0.2,61.28,"NE";"Automotive gasoline / petrol (other than for use as fuel in an aircraft)",34.2,"kL",67.4,0.2,0.2,67.8,17.2;"Aviation gasoline",33.1,"kL",67,0.2,0.2,67.4,18;"Kerosene (other than for use as fuel in an aircraft)",37.5,"kL",68.9,0.01,0.2,69.11,18;"Aviation turbine fuel / kerosene",36.8,"kL",69.6,0.02,0.2,69.82,18;"Heating oil",37.3,"kL",69.5,0.03,0.2,69.73,18;"Diesel oil",38.6,"kL",69.9,0.1,0.2,70.2,17.3;"Fuel oil",39.7,"kL",73.6,0.04,0.2,73.84,18;"Liquefied aromatic hydrocarbons",34.4,"kL",69.7,0.03,0.2,69.93,18;"Solvents: mineral turpentine or white spirits",34.4,"kL",69.7,0.03,0.2,69.93,18;"Liquefied petroleum gas (LPG)",25.7,"kL",60.2,0.2,0.2,60.6,20.2;"Naphtha",31.4,"kL",69.8,0.01,0.01,69.82,18;"Petroleum coke",34.2,"t",92.6,0.08,0.2,92.88,18;"Refinery gas and liquids",42.9,"t",54.7,0.03,0.03,54.76,18;"Refinery coke",34.2,"t",92.6,0.08,0.2,92.88,18;"Petroleum based products other than mentioned in the items above",34.4,"kL",69.8,0.02,0.1,69.92,18;"Biodiesel",34.6,"kL",0,0.08,0.2,0.28,"NE";"Ethanol for use as a fuel in an internal combustion engine",23.4,"kL",0,0.08,0.2,0.28,"NE";"Biofuels other than those mentioned in the items above and below",23.4,"kL",0,0.08,0.2,0.28,"NE";"Renewable aviation kerosene",36.8,"kL",0,0.02,0.2,0.22,"NE";"Renewable diesel",38.6,"kL",0,0.1,0.2,0.3,"NE"}, _xlpm.r, _xlpm.c)
)))</definedName>
    <definedName name="Fuel_SourceData.Fuel_Scope1Scope3EmissionFactorsStationaryLiquid_Data" localSheetId="7">_xlfn.LAMBDA(
  _xlfn.MAKEARRAY(25, 8,
    _xlfn.LAMBDA(_xlpm.r,_xlpm.c,
      INDEX({"Fuel combusted","Energy Content Factor (GJ per unit of fuel)","Fuel unit","Scope 1 Emission Factor (kg CO2 - e / GJ) CO2","Scope 1 Emission Factor (kg CO2 - e / GJ) CH4","Scope 1 Emission Factor (kg CO2 - e / GJ) N2O","Scope 1 Emission Factor (kg CO2 - e / GJ) Combined gases","Scope 3 Emission Factor (kg CO2 - e / GJ)";"Petroleum based oils (other than petroleum based oil used as fuel), e.g. lubricants",38.8,"kl",13.9,0,0,13.9,18;"Petroleum based greases",38.8,"kl",3.5,0,0,3.5,18;"Crude oil including crude oil condensates",45.3,"t",69.6,0.08,0.2,69.88,"NE";"Other natural gas liquids",46.5,"t",61,0.08,0.2,61.28,"NE";"Automotive gasoline / petrol (other than for use as fuel in an aircraft)",34.2,"kL",67.4,0.2,0.2,67.8,17.2;"Aviation gasoline",33.1,"kL",67,0.2,0.2,67.4,18;"Kerosene (other than for use as fuel in an aircraft)",37.5,"kL",68.9,0.01,0.2,69.11,18;"Aviation turbine fuel / kerosene",36.8,"kL",69.6,0.02,0.2,69.82,18;"Heating oil",37.3,"kL",69.5,0.03,0.2,69.73,18;"Diesel oil",38.6,"kL",69.9,0.1,0.2,70.2,17.3;"Fuel oil",39.7,"kL",73.6,0.04,0.2,73.84,18;"Liquefied aromatic hydrocarbons",34.4,"kL",69.7,0.03,0.2,69.93,18;"Solvents: mineral turpentine or white spirits",34.4,"kL",69.7,0.03,0.2,69.93,18;"Liquefied petroleum gas (LPG)",25.7,"kL",60.2,0.2,0.2,60.6,20.2;"Naphtha",31.4,"kL",69.8,0.01,0.01,69.82,18;"Petroleum coke",34.2,"t",92.6,0.08,0.2,92.88,18;"Refinery gas and liquids",42.9,"t",54.7,0.03,0.03,54.76,18;"Refinery coke",34.2,"t",92.6,0.08,0.2,92.88,18;"Petroleum based products other than mentioned in the items above",34.4,"kL",69.8,0.02,0.1,69.92,18;"Biodiesel",34.6,"kL",0,0.08,0.2,0.28,"NE";"Ethanol for use as a fuel in an internal combustion engine",23.4,"kL",0,0.08,0.2,0.28,"NE";"Biofuels other than those mentioned in the items above and below",23.4,"kL",0,0.08,0.2,0.28,"NE";"Renewable aviation kerosene",36.8,"kL",0,0.02,0.2,0.22,"NE";"Renewable diesel",38.6,"kL",0,0.1,0.2,0.3,"NE"}, _xlpm.r, _xlpm.c)
)))</definedName>
    <definedName name="Fuel_SourceData.Fuel_Scope1Scope3EmissionFactorsStationaryLiquid_Data" localSheetId="13">_xlfn.LAMBDA(
  _xlfn.MAKEARRAY(25, 8,
    _xlfn.LAMBDA(_xlpm.r,_xlpm.c,
      INDEX({"Fuel combusted","Energy Content Factor (GJ per unit of fuel)","Fuel unit","Scope 1 Emission Factor (kg CO2 - e / GJ) CO2","Scope 1 Emission Factor (kg CO2 - e / GJ) CH4","Scope 1 Emission Factor (kg CO2 - e / GJ) N2O","Scope 1 Emission Factor (kg CO2 - e / GJ) Combined gases","Scope 3 Emission Factor (kg CO2 - e / GJ)";"Petroleum based oils (other than petroleum based oil used as fuel), e.g. lubricants",38.8,"kl",13.9,0,0,13.9,18;"Petroleum based greases",38.8,"kl",3.5,0,0,3.5,18;"Crude oil including crude oil condensates",45.3,"t",69.6,0.08,0.2,69.88,"NE";"Other natural gas liquids",46.5,"t",61,0.08,0.2,61.28,"NE";"Automotive gasoline / petrol (other than for use as fuel in an aircraft)",34.2,"kL",67.4,0.2,0.2,67.8,17.2;"Aviation gasoline",33.1,"kL",67,0.2,0.2,67.4,18;"Kerosene (other than for use as fuel in an aircraft)",37.5,"kL",68.9,0.01,0.2,69.11,18;"Aviation turbine fuel / kerosene",36.8,"kL",69.6,0.02,0.2,69.82,18;"Heating oil",37.3,"kL",69.5,0.03,0.2,69.73,18;"Diesel oil",38.6,"kL",69.9,0.1,0.2,70.2,17.3;"Fuel oil",39.7,"kL",73.6,0.04,0.2,73.84,18;"Liquefied aromatic hydrocarbons",34.4,"kL",69.7,0.03,0.2,69.93,18;"Solvents: mineral turpentine or white spirits",34.4,"kL",69.7,0.03,0.2,69.93,18;"Liquefied petroleum gas (LPG)",25.7,"kL",60.2,0.2,0.2,60.6,20.2;"Naphtha",31.4,"kL",69.8,0.01,0.01,69.82,18;"Petroleum coke",34.2,"t",92.6,0.08,0.2,92.88,18;"Refinery gas and liquids",42.9,"t",54.7,0.03,0.03,54.76,18;"Refinery coke",34.2,"t",92.6,0.08,0.2,92.88,18;"Petroleum based products other than mentioned in the items above",34.4,"kL",69.8,0.02,0.1,69.92,18;"Biodiesel",34.6,"kL",0,0.08,0.2,0.28,"NE";"Ethanol for use as a fuel in an internal combustion engine",23.4,"kL",0,0.08,0.2,0.28,"NE";"Biofuels other than those mentioned in the items above and below",23.4,"kL",0,0.08,0.2,0.28,"NE";"Renewable aviation kerosene",36.8,"kL",0,0.02,0.2,0.22,"NE";"Renewable diesel",38.6,"kL",0,0.1,0.2,0.3,"NE"}, _xlpm.r, _xlpm.c)
)))</definedName>
    <definedName name="Fuel_SourceData.Fuel_Scope1Scope3EmissionFactorsStationaryLiquid_Data" localSheetId="14">_xlfn.LAMBDA(
  _xlfn.MAKEARRAY(25, 8,
    _xlfn.LAMBDA(_xlpm.r,_xlpm.c,
      INDEX({"Fuel combusted","Energy Content Factor (GJ per unit of fuel)","Fuel unit","Scope 1 Emission Factor (kg CO2 - e / GJ) CO2","Scope 1 Emission Factor (kg CO2 - e / GJ) CH4","Scope 1 Emission Factor (kg CO2 - e / GJ) N2O","Scope 1 Emission Factor (kg CO2 - e / GJ) Combined gases","Scope 3 Emission Factor (kg CO2 - e / GJ)";"Petroleum based oils (other than petroleum based oil used as fuel), e.g. lubricants",38.8,"kl",13.9,0,0,13.9,18;"Petroleum based greases",38.8,"kl",3.5,0,0,3.5,18;"Crude oil including crude oil condensates",45.3,"t",69.6,0.08,0.2,69.88,"NE";"Other natural gas liquids",46.5,"t",61,0.08,0.2,61.28,"NE";"Automotive gasoline / petrol (other than for use as fuel in an aircraft)",34.2,"kL",67.4,0.2,0.2,67.8,17.2;"Aviation gasoline",33.1,"kL",67,0.2,0.2,67.4,18;"Kerosene (other than for use as fuel in an aircraft)",37.5,"kL",68.9,0.01,0.2,69.11,18;"Aviation turbine fuel / kerosene",36.8,"kL",69.6,0.02,0.2,69.82,18;"Heating oil",37.3,"kL",69.5,0.03,0.2,69.73,18;"Diesel oil",38.6,"kL",69.9,0.1,0.2,70.2,17.3;"Fuel oil",39.7,"kL",73.6,0.04,0.2,73.84,18;"Liquefied aromatic hydrocarbons",34.4,"kL",69.7,0.03,0.2,69.93,18;"Solvents: mineral turpentine or white spirits",34.4,"kL",69.7,0.03,0.2,69.93,18;"Liquefied petroleum gas (LPG)",25.7,"kL",60.2,0.2,0.2,60.6,20.2;"Naphtha",31.4,"kL",69.8,0.01,0.01,69.82,18;"Petroleum coke",34.2,"t",92.6,0.08,0.2,92.88,18;"Refinery gas and liquids",42.9,"t",54.7,0.03,0.03,54.76,18;"Refinery coke",34.2,"t",92.6,0.08,0.2,92.88,18;"Petroleum based products other than mentioned in the items above",34.4,"kL",69.8,0.02,0.1,69.92,18;"Biodiesel",34.6,"kL",0,0.08,0.2,0.28,"NE";"Ethanol for use as a fuel in an internal combustion engine",23.4,"kL",0,0.08,0.2,0.28,"NE";"Biofuels other than those mentioned in the items above and below",23.4,"kL",0,0.08,0.2,0.28,"NE";"Renewable aviation kerosene",36.8,"kL",0,0.02,0.2,0.22,"NE";"Renewable diesel",38.6,"kL",0,0.1,0.2,0.3,"NE"}, _xlpm.r, _xlpm.c)
)))</definedName>
    <definedName name="Fuel_SourceData.Fuel_Scope1Scope3EmissionFactorsStationaryLiquid_Data" localSheetId="16">_xlfn.LAMBDA(
  _xlfn.MAKEARRAY(25, 8,
    _xlfn.LAMBDA(_xlpm.r,_xlpm.c,
      INDEX({"Fuel combusted","Energy Content Factor (GJ per unit of fuel)","Fuel unit","Scope 1 Emission Factor (kg CO2 - e / GJ) CO2","Scope 1 Emission Factor (kg CO2 - e / GJ) CH4","Scope 1 Emission Factor (kg CO2 - e / GJ) N2O","Scope 1 Emission Factor (kg CO2 - e / GJ) Combined gases","Scope 3 Emission Factor (kg CO2 - e / GJ)";"Petroleum based oils (other than petroleum based oil used as fuel), e.g. lubricants",38.8,"kl",13.9,0,0,13.9,18;"Petroleum based greases",38.8,"kl",3.5,0,0,3.5,18;"Crude oil including crude oil condensates",45.3,"t",69.6,0.08,0.2,69.88,"NE";"Other natural gas liquids",46.5,"t",61,0.08,0.2,61.28,"NE";"Automotive gasoline / petrol (other than for use as fuel in an aircraft)",34.2,"kL",67.4,0.2,0.2,67.8,17.2;"Aviation gasoline",33.1,"kL",67,0.2,0.2,67.4,18;"Kerosene (other than for use as fuel in an aircraft)",37.5,"kL",68.9,0.01,0.2,69.11,18;"Aviation turbine fuel / kerosene",36.8,"kL",69.6,0.02,0.2,69.82,18;"Heating oil",37.3,"kL",69.5,0.03,0.2,69.73,18;"Diesel oil",38.6,"kL",69.9,0.1,0.2,70.2,17.3;"Fuel oil",39.7,"kL",73.6,0.04,0.2,73.84,18;"Liquefied aromatic hydrocarbons",34.4,"kL",69.7,0.03,0.2,69.93,18;"Solvents: mineral turpentine or white spirits",34.4,"kL",69.7,0.03,0.2,69.93,18;"Liquefied petroleum gas (LPG)",25.7,"kL",60.2,0.2,0.2,60.6,20.2;"Naphtha",31.4,"kL",69.8,0.01,0.01,69.82,18;"Petroleum coke",34.2,"t",92.6,0.08,0.2,92.88,18;"Refinery gas and liquids",42.9,"t",54.7,0.03,0.03,54.76,18;"Refinery coke",34.2,"t",92.6,0.08,0.2,92.88,18;"Petroleum based products other than mentioned in the items above",34.4,"kL",69.8,0.02,0.1,69.92,18;"Biodiesel",34.6,"kL",0,0.08,0.2,0.28,"NE";"Ethanol for use as a fuel in an internal combustion engine",23.4,"kL",0,0.08,0.2,0.28,"NE";"Biofuels other than those mentioned in the items above and below",23.4,"kL",0,0.08,0.2,0.28,"NE";"Renewable aviation kerosene",36.8,"kL",0,0.02,0.2,0.22,"NE";"Renewable diesel",38.6,"kL",0,0.1,0.2,0.3,"NE"}, _xlpm.r, _xlpm.c)
)))</definedName>
    <definedName name="Fuel_SourceData.Fuel_Scope1Scope3EmissionFactorsStationaryLiquid_Data" localSheetId="11">_xlfn.LAMBDA(
  _xlfn.MAKEARRAY(25, 8,
    _xlfn.LAMBDA(_xlpm.r,_xlpm.c,
      INDEX({"Fuel combusted","Energy Content Factor (GJ per unit of fuel)","Fuel unit","Scope 1 Emission Factor (kg CO2 - e / GJ) CO2","Scope 1 Emission Factor (kg CO2 - e / GJ) CH4","Scope 1 Emission Factor (kg CO2 - e / GJ) N2O","Scope 1 Emission Factor (kg CO2 - e / GJ) Combined gases","Scope 3 Emission Factor (kg CO2 - e / GJ)";"Petroleum based oils (other than petroleum based oil used as fuel), e.g. lubricants",38.8,"kl",13.9,0,0,13.9,18;"Petroleum based greases",38.8,"kl",3.5,0,0,3.5,18;"Crude oil including crude oil condensates",45.3,"t",69.6,0.08,0.2,69.88,"NE";"Other natural gas liquids",46.5,"t",61,0.08,0.2,61.28,"NE";"Automotive gasoline / petrol (other than for use as fuel in an aircraft)",34.2,"kL",67.4,0.2,0.2,67.8,17.2;"Aviation gasoline",33.1,"kL",67,0.2,0.2,67.4,18;"Kerosene (other than for use as fuel in an aircraft)",37.5,"kL",68.9,0.01,0.2,69.11,18;"Aviation turbine fuel / kerosene",36.8,"kL",69.6,0.02,0.2,69.82,18;"Heating oil",37.3,"kL",69.5,0.03,0.2,69.73,18;"Diesel oil",38.6,"kL",69.9,0.1,0.2,70.2,17.3;"Fuel oil",39.7,"kL",73.6,0.04,0.2,73.84,18;"Liquefied aromatic hydrocarbons",34.4,"kL",69.7,0.03,0.2,69.93,18;"Solvents: mineral turpentine or white spirits",34.4,"kL",69.7,0.03,0.2,69.93,18;"Liquefied petroleum gas (LPG)",25.7,"kL",60.2,0.2,0.2,60.6,20.2;"Naphtha",31.4,"kL",69.8,0.01,0.01,69.82,18;"Petroleum coke",34.2,"t",92.6,0.08,0.2,92.88,18;"Refinery gas and liquids",42.9,"t",54.7,0.03,0.03,54.76,18;"Refinery coke",34.2,"t",92.6,0.08,0.2,92.88,18;"Petroleum based products other than mentioned in the items above",34.4,"kL",69.8,0.02,0.1,69.92,18;"Biodiesel",34.6,"kL",0,0.08,0.2,0.28,"NE";"Ethanol for use as a fuel in an internal combustion engine",23.4,"kL",0,0.08,0.2,0.28,"NE";"Biofuels other than those mentioned in the items above and below",23.4,"kL",0,0.08,0.2,0.28,"NE";"Renewable aviation kerosene",36.8,"kL",0,0.02,0.2,0.22,"NE";"Renewable diesel",38.6,"kL",0,0.1,0.2,0.3,"NE"}, _xlpm.r, _xlpm.c)
)))</definedName>
    <definedName name="Fuel_SourceData.Fuel_Scope1Scope3EmissionFactorsStationaryLiquid_Data" localSheetId="15">_xlfn.LAMBDA(
  _xlfn.MAKEARRAY(25, 8,
    _xlfn.LAMBDA(_xlpm.r,_xlpm.c,
      INDEX({"Fuel combusted","Energy Content Factor (GJ per unit of fuel)","Fuel unit","Scope 1 Emission Factor (kg CO2 - e / GJ) CO2","Scope 1 Emission Factor (kg CO2 - e / GJ) CH4","Scope 1 Emission Factor (kg CO2 - e / GJ) N2O","Scope 1 Emission Factor (kg CO2 - e / GJ) Combined gases","Scope 3 Emission Factor (kg CO2 - e / GJ)";"Petroleum based oils (other than petroleum based oil used as fuel), e.g. lubricants",38.8,"kl",13.9,0,0,13.9,18;"Petroleum based greases",38.8,"kl",3.5,0,0,3.5,18;"Crude oil including crude oil condensates",45.3,"t",69.6,0.08,0.2,69.88,"NE";"Other natural gas liquids",46.5,"t",61,0.08,0.2,61.28,"NE";"Automotive gasoline / petrol (other than for use as fuel in an aircraft)",34.2,"kL",67.4,0.2,0.2,67.8,17.2;"Aviation gasoline",33.1,"kL",67,0.2,0.2,67.4,18;"Kerosene (other than for use as fuel in an aircraft)",37.5,"kL",68.9,0.01,0.2,69.11,18;"Aviation turbine fuel / kerosene",36.8,"kL",69.6,0.02,0.2,69.82,18;"Heating oil",37.3,"kL",69.5,0.03,0.2,69.73,18;"Diesel oil",38.6,"kL",69.9,0.1,0.2,70.2,17.3;"Fuel oil",39.7,"kL",73.6,0.04,0.2,73.84,18;"Liquefied aromatic hydrocarbons",34.4,"kL",69.7,0.03,0.2,69.93,18;"Solvents: mineral turpentine or white spirits",34.4,"kL",69.7,0.03,0.2,69.93,18;"Liquefied petroleum gas (LPG)",25.7,"kL",60.2,0.2,0.2,60.6,20.2;"Naphtha",31.4,"kL",69.8,0.01,0.01,69.82,18;"Petroleum coke",34.2,"t",92.6,0.08,0.2,92.88,18;"Refinery gas and liquids",42.9,"t",54.7,0.03,0.03,54.76,18;"Refinery coke",34.2,"t",92.6,0.08,0.2,92.88,18;"Petroleum based products other than mentioned in the items above",34.4,"kL",69.8,0.02,0.1,69.92,18;"Biodiesel",34.6,"kL",0,0.08,0.2,0.28,"NE";"Ethanol for use as a fuel in an internal combustion engine",23.4,"kL",0,0.08,0.2,0.28,"NE";"Biofuels other than those mentioned in the items above and below",23.4,"kL",0,0.08,0.2,0.28,"NE";"Renewable aviation kerosene",36.8,"kL",0,0.02,0.2,0.22,"NE";"Renewable diesel",38.6,"kL",0,0.1,0.2,0.3,"NE"}, _xlpm.r, _xlpm.c)
)))</definedName>
    <definedName name="Fuel_SourceData.Fuel_Scope1Scope3EmissionFactorsStationaryLiquid_Data" localSheetId="18">_xlfn.LAMBDA(
  _xlfn.MAKEARRAY(25, 8,
    _xlfn.LAMBDA(_xlpm.r,_xlpm.c,
      INDEX({"Fuel combusted","Energy Content Factor (GJ per unit of fuel)","Fuel unit","Scope 1 Emission Factor (kg CO2 - e / GJ) CO2","Scope 1 Emission Factor (kg CO2 - e / GJ) CH4","Scope 1 Emission Factor (kg CO2 - e / GJ) N2O","Scope 1 Emission Factor (kg CO2 - e / GJ) Combined gases","Scope 3 Emission Factor (kg CO2 - e / GJ)";"Petroleum based oils (other than petroleum based oil used as fuel), e.g. lubricants",38.8,"kl",13.9,0,0,13.9,18;"Petroleum based greases",38.8,"kl",3.5,0,0,3.5,18;"Crude oil including crude oil condensates",45.3,"t",69.6,0.08,0.2,69.88,"NE";"Other natural gas liquids",46.5,"t",61,0.08,0.2,61.28,"NE";"Automotive gasoline / petrol (other than for use as fuel in an aircraft)",34.2,"kL",67.4,0.2,0.2,67.8,17.2;"Aviation gasoline",33.1,"kL",67,0.2,0.2,67.4,18;"Kerosene (other than for use as fuel in an aircraft)",37.5,"kL",68.9,0.01,0.2,69.11,18;"Aviation turbine fuel / kerosene",36.8,"kL",69.6,0.02,0.2,69.82,18;"Heating oil",37.3,"kL",69.5,0.03,0.2,69.73,18;"Diesel oil",38.6,"kL",69.9,0.1,0.2,70.2,17.3;"Fuel oil",39.7,"kL",73.6,0.04,0.2,73.84,18;"Liquefied aromatic hydrocarbons",34.4,"kL",69.7,0.03,0.2,69.93,18;"Solvents: mineral turpentine or white spirits",34.4,"kL",69.7,0.03,0.2,69.93,18;"Liquefied petroleum gas (LPG)",25.7,"kL",60.2,0.2,0.2,60.6,20.2;"Naphtha",31.4,"kL",69.8,0.01,0.01,69.82,18;"Petroleum coke",34.2,"t",92.6,0.08,0.2,92.88,18;"Refinery gas and liquids",42.9,"t",54.7,0.03,0.03,54.76,18;"Refinery coke",34.2,"t",92.6,0.08,0.2,92.88,18;"Petroleum based products other than mentioned in the items above",34.4,"kL",69.8,0.02,0.1,69.92,18;"Biodiesel",34.6,"kL",0,0.08,0.2,0.28,"NE";"Ethanol for use as a fuel in an internal combustion engine",23.4,"kL",0,0.08,0.2,0.28,"NE";"Biofuels other than those mentioned in the items above and below",23.4,"kL",0,0.08,0.2,0.28,"NE";"Renewable aviation kerosene",36.8,"kL",0,0.02,0.2,0.22,"NE";"Renewable diesel",38.6,"kL",0,0.1,0.2,0.3,"NE"}, _xlpm.r, _xlpm.c)
)))</definedName>
    <definedName name="Fuel_SourceData.Fuel_Scope1Scope3EmissionFactorsStationaryLiquid_Data">_xlfn.LAMBDA(_xlfn.MAKEARRAY(25, 8, _xlfn.LAMBDA(_xlpm.r,_xlpm.c, INDEX({"Fuel combusted","Energy Content Factor (GJ per unit of fuel)","Fuel unit","Scope 1 Emission Factor (kg CO2 - e / GJ) CO2","Scope 1 Emission Factor (kg CO2 - e / GJ) CH4","Scope 1 Emission Factor (kg CO2 - e / GJ) N2O","Scope 1 Emission Factor (kg CO2 - e / GJ) Combined gases","Scope 3 Emission Factor (kg CO2 - e / GJ)";"Petroleum based oils (other than petroleum based oil used as fuel), e.g. lubricants",38.8,"kl",13.9,0,0,13.9,18;"Petroleum based greases",38.8,"kl",3.5,0,0,3.5,18;"Crude oil including crude oil condensates",45.3,"t",69.6,0.08,0.2,69.88,"NE";"Other natural gas liquids",46.5,"t",61,0.08,0.2,61.28,"NE";"Automotive gasoline / petrol (other than for use as fuel in an aircraft)",34.2,"kL",67.4,0.2,0.2,67.8,17.2;"Aviation gasoline",33.1,"kL",67,0.2,0.2,67.4,18;"Kerosene (other than for use as fuel in an aircraft)",37.5,"kL",68.9,0.01,0.2,69.11,18;"Aviation turbine fuel / kerosene",36.8,"kL",69.6,0.02,0.2,69.82,18;"Heating oil",37.3,"kL",69.5,0.03,0.2,69.73,18;"Diesel oil",38.6,"kL",69.9,0.1,0.2,70.2,17.3;"Fuel oil",39.7,"kL",73.6,0.04,0.2,73.84,18;"Liquefied aromatic hydrocarbons",34.4,"kL",69.7,0.03,0.2,69.93,18;"Solvents: mineral turpentine or white spirits",34.4,"kL",69.7,0.03,0.2,69.93,18;"Liquefied petroleum gas (LPG)",25.7,"kL",60.2,0.2,0.2,60.6,20.2;"Naphtha",31.4,"kL",69.8,0.01,0.01,69.82,18;"Petroleum coke",34.2,"t",92.6,0.08,0.2,92.88,18;"Refinery gas and liquids",42.9,"t",54.7,0.03,0.03,54.76,18;"Refinery coke",34.2,"t",92.6,0.08,0.2,92.88,18;"Petroleum based products other than mentioned in the items above",34.4,"kL",69.8,0.02,0.1,69.92,18;"Biodiesel",34.6,"kL",0,0.08,0.2,0.28,"NE";"Ethanol for use as a fuel in an internal combustion engine",23.4,"kL",0,0.08,0.2,0.28,"NE";"Biofuels other than those mentioned in the items above and below",23.4,"kL",0,0.08,0.2,0.28,"NE";"Renewable aviation kerosene",36.8,"kL",0,0.02,0.2,0.22,"NE";"Renewable diesel",38.6,"kL",0,0.1,0.2,0.3,"NE"}, _xlpm.r, _xlpm.c))))</definedName>
    <definedName name="Fuel_SourceData.Fuel_Scope1Scope3EmissionFactorsStationaryLiquid_Description">_xlfn.LAMBDA(("Direct (Scope 1) and indirect (scope 3) emission factors for the consumption of liquid fuels, including certain petroleum based products for stationary energy purposes."))</definedName>
    <definedName name="Fuel_SourceData.Fuel_Scope1Scope3EmissionFactorsStationaryLiquid_Source">_xlfn.LAMBDA(("Australian National Greenhouse Accounts Factors 2025 - Table 8"))</definedName>
    <definedName name="Fuel_SourceData.Fuel_Scope1Scope3EmissionFactorsStationaryLiquid_Title">_xlfn.LAMBDA(("Fuel scope 1 and 3 emission factors - Stationary liquid fuels"))</definedName>
    <definedName name="Fuel_SourceData.Fuel_Scope1Scope3EmissionFactorsStationaryLiquid_Variation">_xlfn.LAMBDA("VARIATION OF SOURCE DATA: 'NE' values returned as zero for calculations.")</definedName>
    <definedName name="Fuel_SourceData.Fuel_Scope1Scope3EmissionFactorsTransport_Data" localSheetId="37">_xlfn.LAMBDA(
  _xlfn.MAKEARRAY(26, 10,
    _xlfn.LAMBDA(_xlpm.r,_xlpm.c,
      INDEX({"Transport type","Fuel combusted","Energy Content Factor(GJ per unit of fuel)","Fuel unit","Scope 1 Emission Factor (kg CO2 - e / GJ) CO2","Scope 1 Emission Factor (kg CO2 - e / GJ) CH4","Scope 1 Emission Factor (kg CO2 - e / GJ) N2O","Scope 1 Emission Factor (kg CO2 - e / GJ) Combined gases","Scope 3 Emission Factor (kg CO2 - e / GJ)","Source";"Cars and light commercial vehicles","Gasoline",34.2,"kl",67.4,0.02,0.2,67.62,17.2,"NGAF 2025: Table 9";"Cars and light commercial vehicles","Diesel oil",38.6,"kl",69.9,0.01,0.5,70.41,17.3,"NGAF 2025: Table 9";"Cars and light commercial vehicles","Liquefied petroleum gas (LPG)",26.2,"kl",60.2,0.5,0.3,61,20.2,"NGAF 2025: Table 9";"Cars and light commercial vehicles","Fuel oil",39.7,"kl",73.6,0.08,0.5,74.18,18,"NGAF 2025: Table 9";"Cars and light commercial vehicles","Ethanol",23.4,"kl",0,0.2,0.2,0.4,"NE","NGAF 2025: Table 9";"Cars and light commercial vehicles","Biodiesel",34.6,"kl",0,0.8,1.7,2.5,"NE","NGAF 2025: Table 9";"Cars and light commercial vehicles","Renewable diesel",38.6,"kl",0,0.01,0.5,0.51,"NE","NGAF 2025: Table 9";"Cars and light commercial vehicles","Other biofuels",23.4,"kl",0,0.8,1.7,2.5,"NE","NGAF 2025: Table 9";"Light duty vehicles","Compressed natural gas",0.0393,"m3",51.4,7.3,0.3,59,18,"NGAF 2025: Table 9";"Light duty vehicles","Liquefied natural gas",25.3,"kl",51.4,7.3,0.3,59,18,"NGAF 2025: Table 9";"Heavy duty vehicles","Compressed natural gas",0.0393,"m3",51.4,2.8,0.3,54.5,18,"NGAF 2025: Table 9";"Heavy duty vehicles","Liquefied natural gas",25.3,"kl",51.4,2.8,0.3,54.5,18,"NGAF 2025: Table 9";"Heavy duty vehicles","Diesel oil - Euro iv or higher",38.6,"kl",69.9,0.07,0.4,70.37,17.3,"NGAF 2025: Table 9";"Heavy duty vehicles","Diesel oil - Euro iii",38.6,"kl",69.9,0.1,0.4,70.4,17.3,"NGAF 2025: Table 9";"Heavy duty vehicles","Diesel oil - Euro i",38.6,"kl",69.9,0.2,0.4,70.5,17.3,"NGAF 2025: Table 9";"Heavy duty vehicles","Renewable diesel – Euro iv or higher",38.6,"kl",0,0.07,0.4,0.47,"NE","NGAF 2025: Table 9";"Heavy duty vehicles","Renewable diesel – Euro iii",38.6,"kl",0,0.1,0.4,0.5,"NE","NGAF 2025: Table 9";"Heavy duty vehicles","Renewable diesel – Euro i",38.6,"kl",0,0.2,0.4,0.6,"NE","NGAF 2025: Table 9";"Aviation","Gasoline for use as fuel in an aircraft",33.1,"kl",67,0.06,0.6,67.66,18,"NGAF 2025: Table 9";"Aviation","Kerosene for use as fuel in an aircraft",36.8,"kl",69.6,0.01,0.6,70.21,18,"NGAF 2025: Table 9";"Aviation","Renewable aviation kerosene",36.8,"kl",0,0.01,0.6,0.61,"NE","NGAF 2025: Table 9";"Vessels","Gasoline",34.2,"kL",67.4,10.1,0.3,"",17.2,"VEERG 2026: Table A.4.2.1";"Vessels","Diesel oil",38.6,"kL",69.9,0.2,0.5,"",17.3,"VEERG 2026: Table A.4.2.1";"Vessels","Fuel Oil",39.7,"kL",73.6,0.2,0.5,"",18,"VEERG 2026: Table A.4.2.1";"Off-road Agriculture and forestry equipment","Diesel oil",38.6,"kL",69.9,0.3,0.5,"",17.3,"VEERG 2026: Table A.4.2.1"}, _xlpm.r, _xlpm.c)
)))</definedName>
    <definedName name="Fuel_SourceData.Fuel_Scope1Scope3EmissionFactorsTransport_Data" localSheetId="33">_xlfn.LAMBDA(
  _xlfn.MAKEARRAY(26, 10,
    _xlfn.LAMBDA(_xlpm.r,_xlpm.c,
      INDEX({"Transport type","Fuel combusted","Energy Content Factor(GJ per unit of fuel)","Fuel unit","Scope 1 Emission Factor (kg CO2 - e / GJ) CO2","Scope 1 Emission Factor (kg CO2 - e / GJ) CH4","Scope 1 Emission Factor (kg CO2 - e / GJ) N2O","Scope 1 Emission Factor (kg CO2 - e / GJ) Combined gases","Scope 3 Emission Factor (kg CO2 - e / GJ)","Source";"Cars and light commercial vehicles","Gasoline",34.2,"kl",67.4,0.02,0.2,67.62,17.2,"NGAF 2025: Table 9";"Cars and light commercial vehicles","Diesel oil",38.6,"kl",69.9,0.01,0.5,70.41,17.3,"NGAF 2025: Table 9";"Cars and light commercial vehicles","Liquefied petroleum gas (LPG)",26.2,"kl",60.2,0.5,0.3,61,20.2,"NGAF 2025: Table 9";"Cars and light commercial vehicles","Fuel oil",39.7,"kl",73.6,0.08,0.5,74.18,18,"NGAF 2025: Table 9";"Cars and light commercial vehicles","Ethanol",23.4,"kl",0,0.2,0.2,0.4,"NE","NGAF 2025: Table 9";"Cars and light commercial vehicles","Biodiesel",34.6,"kl",0,0.8,1.7,2.5,"NE","NGAF 2025: Table 9";"Cars and light commercial vehicles","Renewable diesel",38.6,"kl",0,0.01,0.5,0.51,"NE","NGAF 2025: Table 9";"Cars and light commercial vehicles","Other biofuels",23.4,"kl",0,0.8,1.7,2.5,"NE","NGAF 2025: Table 9";"Light duty vehicles","Compressed natural gas",0.0393,"m3",51.4,7.3,0.3,59,18,"NGAF 2025: Table 9";"Light duty vehicles","Liquefied natural gas",25.3,"kl",51.4,7.3,0.3,59,18,"NGAF 2025: Table 9";"Heavy duty vehicles","Compressed natural gas",0.0393,"m3",51.4,2.8,0.3,54.5,18,"NGAF 2025: Table 9";"Heavy duty vehicles","Liquefied natural gas",25.3,"kl",51.4,2.8,0.3,54.5,18,"NGAF 2025: Table 9";"Heavy duty vehicles","Diesel oil - Euro iv or higher",38.6,"kl",69.9,0.07,0.4,70.37,17.3,"NGAF 2025: Table 9";"Heavy duty vehicles","Diesel oil - Euro iii",38.6,"kl",69.9,0.1,0.4,70.4,17.3,"NGAF 2025: Table 9";"Heavy duty vehicles","Diesel oil - Euro i",38.6,"kl",69.9,0.2,0.4,70.5,17.3,"NGAF 2025: Table 9";"Heavy duty vehicles","Renewable diesel – Euro iv or higher",38.6,"kl",0,0.07,0.4,0.47,"NE","NGAF 2025: Table 9";"Heavy duty vehicles","Renewable diesel – Euro iii",38.6,"kl",0,0.1,0.4,0.5,"NE","NGAF 2025: Table 9";"Heavy duty vehicles","Renewable diesel – Euro i",38.6,"kl",0,0.2,0.4,0.6,"NE","NGAF 2025: Table 9";"Aviation","Gasoline for use as fuel in an aircraft",33.1,"kl",67,0.06,0.6,67.66,18,"NGAF 2025: Table 9";"Aviation","Kerosene for use as fuel in an aircraft",36.8,"kl",69.6,0.01,0.6,70.21,18,"NGAF 2025: Table 9";"Aviation","Renewable aviation kerosene",36.8,"kl",0,0.01,0.6,0.61,"NE","NGAF 2025: Table 9";"Vessels","Gasoline",34.2,"kL",67.4,10.1,0.3,"",17.2,"VEERG 2026: Table A.4.2.1";"Vessels","Diesel oil",38.6,"kL",69.9,0.2,0.5,"",17.3,"VEERG 2026: Table A.4.2.1";"Vessels","Fuel Oil",39.7,"kL",73.6,0.2,0.5,"",18,"VEERG 2026: Table A.4.2.1";"Off-road Agriculture and forestry equipment","Diesel oil",38.6,"kL",69.9,0.3,0.5,"",17.3,"VEERG 2026: Table A.4.2.1"}, _xlpm.r, _xlpm.c)
)))</definedName>
    <definedName name="Fuel_SourceData.Fuel_Scope1Scope3EmissionFactorsTransport_Data" localSheetId="34">_xlfn.LAMBDA(
  _xlfn.MAKEARRAY(26, 10,
    _xlfn.LAMBDA(_xlpm.r,_xlpm.c,
      INDEX({"Transport type","Fuel combusted","Energy Content Factor(GJ per unit of fuel)","Fuel unit","Scope 1 Emission Factor (kg CO2 - e / GJ) CO2","Scope 1 Emission Factor (kg CO2 - e / GJ) CH4","Scope 1 Emission Factor (kg CO2 - e / GJ) N2O","Scope 1 Emission Factor (kg CO2 - e / GJ) Combined gases","Scope 3 Emission Factor (kg CO2 - e / GJ)","Source";"Cars and light commercial vehicles","Gasoline",34.2,"kl",67.4,0.02,0.2,67.62,17.2,"NGAF 2025: Table 9";"Cars and light commercial vehicles","Diesel oil",38.6,"kl",69.9,0.01,0.5,70.41,17.3,"NGAF 2025: Table 9";"Cars and light commercial vehicles","Liquefied petroleum gas (LPG)",26.2,"kl",60.2,0.5,0.3,61,20.2,"NGAF 2025: Table 9";"Cars and light commercial vehicles","Fuel oil",39.7,"kl",73.6,0.08,0.5,74.18,18,"NGAF 2025: Table 9";"Cars and light commercial vehicles","Ethanol",23.4,"kl",0,0.2,0.2,0.4,"NE","NGAF 2025: Table 9";"Cars and light commercial vehicles","Biodiesel",34.6,"kl",0,0.8,1.7,2.5,"NE","NGAF 2025: Table 9";"Cars and light commercial vehicles","Renewable diesel",38.6,"kl",0,0.01,0.5,0.51,"NE","NGAF 2025: Table 9";"Cars and light commercial vehicles","Other biofuels",23.4,"kl",0,0.8,1.7,2.5,"NE","NGAF 2025: Table 9";"Light duty vehicles","Compressed natural gas",0.0393,"m3",51.4,7.3,0.3,59,18,"NGAF 2025: Table 9";"Light duty vehicles","Liquefied natural gas",25.3,"kl",51.4,7.3,0.3,59,18,"NGAF 2025: Table 9";"Heavy duty vehicles","Compressed natural gas",0.0393,"m3",51.4,2.8,0.3,54.5,18,"NGAF 2025: Table 9";"Heavy duty vehicles","Liquefied natural gas",25.3,"kl",51.4,2.8,0.3,54.5,18,"NGAF 2025: Table 9";"Heavy duty vehicles","Diesel oil - Euro iv or higher",38.6,"kl",69.9,0.07,0.4,70.37,17.3,"NGAF 2025: Table 9";"Heavy duty vehicles","Diesel oil - Euro iii",38.6,"kl",69.9,0.1,0.4,70.4,17.3,"NGAF 2025: Table 9";"Heavy duty vehicles","Diesel oil - Euro i",38.6,"kl",69.9,0.2,0.4,70.5,17.3,"NGAF 2025: Table 9";"Heavy duty vehicles","Renewable diesel – Euro iv or higher",38.6,"kl",0,0.07,0.4,0.47,"NE","NGAF 2025: Table 9";"Heavy duty vehicles","Renewable diesel – Euro iii",38.6,"kl",0,0.1,0.4,0.5,"NE","NGAF 2025: Table 9";"Heavy duty vehicles","Renewable diesel – Euro i",38.6,"kl",0,0.2,0.4,0.6,"NE","NGAF 2025: Table 9";"Aviation","Gasoline for use as fuel in an aircraft",33.1,"kl",67,0.06,0.6,67.66,18,"NGAF 2025: Table 9";"Aviation","Kerosene for use as fuel in an aircraft",36.8,"kl",69.6,0.01,0.6,70.21,18,"NGAF 2025: Table 9";"Aviation","Renewable aviation kerosene",36.8,"kl",0,0.01,0.6,0.61,"NE","NGAF 2025: Table 9";"Vessels","Gasoline",34.2,"kL",67.4,10.1,0.3,"",17.2,"VEERG 2026: Table A.4.2.1";"Vessels","Diesel oil",38.6,"kL",69.9,0.2,0.5,"",17.3,"VEERG 2026: Table A.4.2.1";"Vessels","Fuel Oil",39.7,"kL",73.6,0.2,0.5,"",18,"VEERG 2026: Table A.4.2.1";"Off-road Agriculture and forestry equipment","Diesel oil",38.6,"kL",69.9,0.3,0.5,"",17.3,"VEERG 2026: Table A.4.2.1"}, _xlpm.r, _xlpm.c)
)))</definedName>
    <definedName name="Fuel_SourceData.Fuel_Scope1Scope3EmissionFactorsTransport_Data" localSheetId="38">_xlfn.LAMBDA(
  _xlfn.MAKEARRAY(26, 10,
    _xlfn.LAMBDA(_xlpm.r,_xlpm.c,
      INDEX({"Transport type","Fuel combusted","Energy Content Factor(GJ per unit of fuel)","Fuel unit","Scope 1 Emission Factor (kg CO2 - e / GJ) CO2","Scope 1 Emission Factor (kg CO2 - e / GJ) CH4","Scope 1 Emission Factor (kg CO2 - e / GJ) N2O","Scope 1 Emission Factor (kg CO2 - e / GJ) Combined gases","Scope 3 Emission Factor (kg CO2 - e / GJ)","Source";"Cars and light commercial vehicles","Gasoline",34.2,"kl",67.4,0.02,0.2,67.62,17.2,"NGAF 2025: Table 9";"Cars and light commercial vehicles","Diesel oil",38.6,"kl",69.9,0.01,0.5,70.41,17.3,"NGAF 2025: Table 9";"Cars and light commercial vehicles","Liquefied petroleum gas (LPG)",26.2,"kl",60.2,0.5,0.3,61,20.2,"NGAF 2025: Table 9";"Cars and light commercial vehicles","Fuel oil",39.7,"kl",73.6,0.08,0.5,74.18,18,"NGAF 2025: Table 9";"Cars and light commercial vehicles","Ethanol",23.4,"kl",0,0.2,0.2,0.4,"NE","NGAF 2025: Table 9";"Cars and light commercial vehicles","Biodiesel",34.6,"kl",0,0.8,1.7,2.5,"NE","NGAF 2025: Table 9";"Cars and light commercial vehicles","Renewable diesel",38.6,"kl",0,0.01,0.5,0.51,"NE","NGAF 2025: Table 9";"Cars and light commercial vehicles","Other biofuels",23.4,"kl",0,0.8,1.7,2.5,"NE","NGAF 2025: Table 9";"Light duty vehicles","Compressed natural gas",0.0393,"m3",51.4,7.3,0.3,59,18,"NGAF 2025: Table 9";"Light duty vehicles","Liquefied natural gas",25.3,"kl",51.4,7.3,0.3,59,18,"NGAF 2025: Table 9";"Heavy duty vehicles","Compressed natural gas",0.0393,"m3",51.4,2.8,0.3,54.5,18,"NGAF 2025: Table 9";"Heavy duty vehicles","Liquefied natural gas",25.3,"kl",51.4,2.8,0.3,54.5,18,"NGAF 2025: Table 9";"Heavy duty vehicles","Diesel oil - Euro iv or higher",38.6,"kl",69.9,0.07,0.4,70.37,17.3,"NGAF 2025: Table 9";"Heavy duty vehicles","Diesel oil - Euro iii",38.6,"kl",69.9,0.1,0.4,70.4,17.3,"NGAF 2025: Table 9";"Heavy duty vehicles","Diesel oil - Euro i",38.6,"kl",69.9,0.2,0.4,70.5,17.3,"NGAF 2025: Table 9";"Heavy duty vehicles","Renewable diesel – Euro iv or higher",38.6,"kl",0,0.07,0.4,0.47,"NE","NGAF 2025: Table 9";"Heavy duty vehicles","Renewable diesel – Euro iii",38.6,"kl",0,0.1,0.4,0.5,"NE","NGAF 2025: Table 9";"Heavy duty vehicles","Renewable diesel – Euro i",38.6,"kl",0,0.2,0.4,0.6,"NE","NGAF 2025: Table 9";"Aviation","Gasoline for use as fuel in an aircraft",33.1,"kl",67,0.06,0.6,67.66,18,"NGAF 2025: Table 9";"Aviation","Kerosene for use as fuel in an aircraft",36.8,"kl",69.6,0.01,0.6,70.21,18,"NGAF 2025: Table 9";"Aviation","Renewable aviation kerosene",36.8,"kl",0,0.01,0.6,0.61,"NE","NGAF 2025: Table 9";"Vessels","Gasoline",34.2,"kL",67.4,10.1,0.3,"",17.2,"VEERG 2026: Table A.4.2.1";"Vessels","Diesel oil",38.6,"kL",69.9,0.2,0.5,"",17.3,"VEERG 2026: Table A.4.2.1";"Vessels","Fuel Oil",39.7,"kL",73.6,0.2,0.5,"",18,"VEERG 2026: Table A.4.2.1";"Off-road Agriculture and forestry equipment","Diesel oil",38.6,"kL",69.9,0.3,0.5,"",17.3,"VEERG 2026: Table A.4.2.1"}, _xlpm.r, _xlpm.c)
)))</definedName>
    <definedName name="Fuel_SourceData.Fuel_Scope1Scope3EmissionFactorsTransport_Data" localSheetId="44">_xlfn.LAMBDA(
  _xlfn.MAKEARRAY(26, 10,
    _xlfn.LAMBDA(_xlpm.r,_xlpm.c,
      INDEX({"Transport type","Fuel combusted","Energy Content Factor(GJ per unit of fuel)","Fuel unit","Scope 1 Emission Factor (kg CO2 - e / GJ) CO2","Scope 1 Emission Factor (kg CO2 - e / GJ) CH4","Scope 1 Emission Factor (kg CO2 - e / GJ) N2O","Scope 1 Emission Factor (kg CO2 - e / GJ) Combined gases","Scope 3 Emission Factor (kg CO2 - e / GJ)","Source";"Cars and light commercial vehicles","Gasoline",34.2,"kl",67.4,0.02,0.2,67.62,17.2,"NGAF 2025: Table 9";"Cars and light commercial vehicles","Diesel oil",38.6,"kl",69.9,0.01,0.5,70.41,17.3,"NGAF 2025: Table 9";"Cars and light commercial vehicles","Liquefied petroleum gas (LPG)",26.2,"kl",60.2,0.5,0.3,61,20.2,"NGAF 2025: Table 9";"Cars and light commercial vehicles","Fuel oil",39.7,"kl",73.6,0.08,0.5,74.18,18,"NGAF 2025: Table 9";"Cars and light commercial vehicles","Ethanol",23.4,"kl",0,0.2,0.2,0.4,"NE","NGAF 2025: Table 9";"Cars and light commercial vehicles","Biodiesel",34.6,"kl",0,0.8,1.7,2.5,"NE","NGAF 2025: Table 9";"Cars and light commercial vehicles","Renewable diesel",38.6,"kl",0,0.01,0.5,0.51,"NE","NGAF 2025: Table 9";"Cars and light commercial vehicles","Other biofuels",23.4,"kl",0,0.8,1.7,2.5,"NE","NGAF 2025: Table 9";"Light duty vehicles","Compressed natural gas",0.0393,"m3",51.4,7.3,0.3,59,18,"NGAF 2025: Table 9";"Light duty vehicles","Liquefied natural gas",25.3,"kl",51.4,7.3,0.3,59,18,"NGAF 2025: Table 9";"Heavy duty vehicles","Compressed natural gas",0.0393,"m3",51.4,2.8,0.3,54.5,18,"NGAF 2025: Table 9";"Heavy duty vehicles","Liquefied natural gas",25.3,"kl",51.4,2.8,0.3,54.5,18,"NGAF 2025: Table 9";"Heavy duty vehicles","Diesel oil - Euro iv or higher",38.6,"kl",69.9,0.07,0.4,70.37,17.3,"NGAF 2025: Table 9";"Heavy duty vehicles","Diesel oil - Euro iii",38.6,"kl",69.9,0.1,0.4,70.4,17.3,"NGAF 2025: Table 9";"Heavy duty vehicles","Diesel oil - Euro i",38.6,"kl",69.9,0.2,0.4,70.5,17.3,"NGAF 2025: Table 9";"Heavy duty vehicles","Renewable diesel – Euro iv or higher",38.6,"kl",0,0.07,0.4,0.47,"NE","NGAF 2025: Table 9";"Heavy duty vehicles","Renewable diesel – Euro iii",38.6,"kl",0,0.1,0.4,0.5,"NE","NGAF 2025: Table 9";"Heavy duty vehicles","Renewable diesel – Euro i",38.6,"kl",0,0.2,0.4,0.6,"NE","NGAF 2025: Table 9";"Aviation","Gasoline for use as fuel in an aircraft",33.1,"kl",67,0.06,0.6,67.66,18,"NGAF 2025: Table 9";"Aviation","Kerosene for use as fuel in an aircraft",36.8,"kl",69.6,0.01,0.6,70.21,18,"NGAF 2025: Table 9";"Aviation","Renewable aviation kerosene",36.8,"kl",0,0.01,0.6,0.61,"NE","NGAF 2025: Table 9";"Vessels","Gasoline",34.2,"kL",67.4,10.1,0.3,"",17.2,"VEERG 2026: Table A.4.2.1";"Vessels","Diesel oil",38.6,"kL",69.9,0.2,0.5,"",17.3,"VEERG 2026: Table A.4.2.1";"Vessels","Fuel Oil",39.7,"kL",73.6,0.2,0.5,"",18,"VEERG 2026: Table A.4.2.1";"Off-road Agriculture and forestry equipment","Diesel oil",38.6,"kL",69.9,0.3,0.5,"",17.3,"VEERG 2026: Table A.4.2.1"}, _xlpm.r, _xlpm.c)
)))</definedName>
    <definedName name="Fuel_SourceData.Fuel_Scope1Scope3EmissionFactorsTransport_Data" localSheetId="45">_xlfn.LAMBDA(
  _xlfn.MAKEARRAY(26, 10,
    _xlfn.LAMBDA(_xlpm.r,_xlpm.c,
      INDEX({"Transport type","Fuel combusted","Energy Content Factor(GJ per unit of fuel)","Fuel unit","Scope 1 Emission Factor (kg CO2 - e / GJ) CO2","Scope 1 Emission Factor (kg CO2 - e / GJ) CH4","Scope 1 Emission Factor (kg CO2 - e / GJ) N2O","Scope 1 Emission Factor (kg CO2 - e / GJ) Combined gases","Scope 3 Emission Factor (kg CO2 - e / GJ)","Source";"Cars and light commercial vehicles","Gasoline",34.2,"kl",67.4,0.02,0.2,67.62,17.2,"NGAF 2025: Table 9";"Cars and light commercial vehicles","Diesel oil",38.6,"kl",69.9,0.01,0.5,70.41,17.3,"NGAF 2025: Table 9";"Cars and light commercial vehicles","Liquefied petroleum gas (LPG)",26.2,"kl",60.2,0.5,0.3,61,20.2,"NGAF 2025: Table 9";"Cars and light commercial vehicles","Fuel oil",39.7,"kl",73.6,0.08,0.5,74.18,18,"NGAF 2025: Table 9";"Cars and light commercial vehicles","Ethanol",23.4,"kl",0,0.2,0.2,0.4,"NE","NGAF 2025: Table 9";"Cars and light commercial vehicles","Biodiesel",34.6,"kl",0,0.8,1.7,2.5,"NE","NGAF 2025: Table 9";"Cars and light commercial vehicles","Renewable diesel",38.6,"kl",0,0.01,0.5,0.51,"NE","NGAF 2025: Table 9";"Cars and light commercial vehicles","Other biofuels",23.4,"kl",0,0.8,1.7,2.5,"NE","NGAF 2025: Table 9";"Light duty vehicles","Compressed natural gas",0.0393,"m3",51.4,7.3,0.3,59,18,"NGAF 2025: Table 9";"Light duty vehicles","Liquefied natural gas",25.3,"kl",51.4,7.3,0.3,59,18,"NGAF 2025: Table 9";"Heavy duty vehicles","Compressed natural gas",0.0393,"m3",51.4,2.8,0.3,54.5,18,"NGAF 2025: Table 9";"Heavy duty vehicles","Liquefied natural gas",25.3,"kl",51.4,2.8,0.3,54.5,18,"NGAF 2025: Table 9";"Heavy duty vehicles","Diesel oil - Euro iv or higher",38.6,"kl",69.9,0.07,0.4,70.37,17.3,"NGAF 2025: Table 9";"Heavy duty vehicles","Diesel oil - Euro iii",38.6,"kl",69.9,0.1,0.4,70.4,17.3,"NGAF 2025: Table 9";"Heavy duty vehicles","Diesel oil - Euro i",38.6,"kl",69.9,0.2,0.4,70.5,17.3,"NGAF 2025: Table 9";"Heavy duty vehicles","Renewable diesel – Euro iv or higher",38.6,"kl",0,0.07,0.4,0.47,"NE","NGAF 2025: Table 9";"Heavy duty vehicles","Renewable diesel – Euro iii",38.6,"kl",0,0.1,0.4,0.5,"NE","NGAF 2025: Table 9";"Heavy duty vehicles","Renewable diesel – Euro i",38.6,"kl",0,0.2,0.4,0.6,"NE","NGAF 2025: Table 9";"Aviation","Gasoline for use as fuel in an aircraft",33.1,"kl",67,0.06,0.6,67.66,18,"NGAF 2025: Table 9";"Aviation","Kerosene for use as fuel in an aircraft",36.8,"kl",69.6,0.01,0.6,70.21,18,"NGAF 2025: Table 9";"Aviation","Renewable aviation kerosene",36.8,"kl",0,0.01,0.6,0.61,"NE","NGAF 2025: Table 9";"Vessels","Gasoline",34.2,"kL",67.4,10.1,0.3,"",17.2,"VEERG 2026: Table A.4.2.1";"Vessels","Diesel oil",38.6,"kL",69.9,0.2,0.5,"",17.3,"VEERG 2026: Table A.4.2.1";"Vessels","Fuel Oil",39.7,"kL",73.6,0.2,0.5,"",18,"VEERG 2026: Table A.4.2.1";"Off-road Agriculture and forestry equipment","Diesel oil",38.6,"kL",69.9,0.3,0.5,"",17.3,"VEERG 2026: Table A.4.2.1"}, _xlpm.r, _xlpm.c)
)))</definedName>
    <definedName name="Fuel_SourceData.Fuel_Scope1Scope3EmissionFactorsTransport_Data" localSheetId="7">_xlfn.LAMBDA(
  _xlfn.MAKEARRAY(26, 10,
    _xlfn.LAMBDA(_xlpm.r,_xlpm.c,
      INDEX({"Transport type","Fuel combusted","Energy Content Factor(GJ per unit of fuel)","Fuel unit","Scope 1 Emission Factor (kg CO2 - e / GJ) CO2","Scope 1 Emission Factor (kg CO2 - e / GJ) CH4","Scope 1 Emission Factor (kg CO2 - e / GJ) N2O","Scope 1 Emission Factor (kg CO2 - e / GJ) Combined gases","Scope 3 Emission Factor (kg CO2 - e / GJ)","Source";"Cars and light commercial vehicles","Gasoline",34.2,"kl",67.4,0.02,0.2,67.62,17.2,"NGAF 2025: Table 9";"Cars and light commercial vehicles","Diesel oil",38.6,"kl",69.9,0.01,0.5,70.41,17.3,"NGAF 2025: Table 9";"Cars and light commercial vehicles","Liquefied petroleum gas (LPG)",26.2,"kl",60.2,0.5,0.3,61,20.2,"NGAF 2025: Table 9";"Cars and light commercial vehicles","Fuel oil",39.7,"kl",73.6,0.08,0.5,74.18,18,"NGAF 2025: Table 9";"Cars and light commercial vehicles","Ethanol",23.4,"kl",0,0.2,0.2,0.4,"NE","NGAF 2025: Table 9";"Cars and light commercial vehicles","Biodiesel",34.6,"kl",0,0.8,1.7,2.5,"NE","NGAF 2025: Table 9";"Cars and light commercial vehicles","Renewable diesel",38.6,"kl",0,0.01,0.5,0.51,"NE","NGAF 2025: Table 9";"Cars and light commercial vehicles","Other biofuels",23.4,"kl",0,0.8,1.7,2.5,"NE","NGAF 2025: Table 9";"Light duty vehicles","Compressed natural gas",0.0393,"m3",51.4,7.3,0.3,59,18,"NGAF 2025: Table 9";"Light duty vehicles","Liquefied natural gas",25.3,"kl",51.4,7.3,0.3,59,18,"NGAF 2025: Table 9";"Heavy duty vehicles","Compressed natural gas",0.0393,"m3",51.4,2.8,0.3,54.5,18,"NGAF 2025: Table 9";"Heavy duty vehicles","Liquefied natural gas",25.3,"kl",51.4,2.8,0.3,54.5,18,"NGAF 2025: Table 9";"Heavy duty vehicles","Diesel oil - Euro iv or higher",38.6,"kl",69.9,0.07,0.4,70.37,17.3,"NGAF 2025: Table 9";"Heavy duty vehicles","Diesel oil - Euro iii",38.6,"kl",69.9,0.1,0.4,70.4,17.3,"NGAF 2025: Table 9";"Heavy duty vehicles","Diesel oil - Euro i",38.6,"kl",69.9,0.2,0.4,70.5,17.3,"NGAF 2025: Table 9";"Heavy duty vehicles","Renewable diesel – Euro iv or higher",38.6,"kl",0,0.07,0.4,0.47,"NE","NGAF 2025: Table 9";"Heavy duty vehicles","Renewable diesel – Euro iii",38.6,"kl",0,0.1,0.4,0.5,"NE","NGAF 2025: Table 9";"Heavy duty vehicles","Renewable diesel – Euro i",38.6,"kl",0,0.2,0.4,0.6,"NE","NGAF 2025: Table 9";"Aviation","Gasoline for use as fuel in an aircraft",33.1,"kl",67,0.06,0.6,67.66,18,"NGAF 2025: Table 9";"Aviation","Kerosene for use as fuel in an aircraft",36.8,"kl",69.6,0.01,0.6,70.21,18,"NGAF 2025: Table 9";"Aviation","Renewable aviation kerosene",36.8,"kl",0,0.01,0.6,0.61,"NE","NGAF 2025: Table 9";"Vessels","Gasoline",34.2,"kL",67.4,10.1,0.3,"",17.2,"VEERG 2026: Table A.4.2.1";"Vessels","Diesel oil",38.6,"kL",69.9,0.2,0.5,"",17.3,"VEERG 2026: Table A.4.2.1";"Vessels","Fuel Oil",39.7,"kL",73.6,0.2,0.5,"",18,"VEERG 2026: Table A.4.2.1";"Off-road Agriculture and forestry equipment","Diesel oil",38.6,"kL",69.9,0.3,0.5,"",17.3,"VEERG 2026: Table A.4.2.1"}, _xlpm.r, _xlpm.c)
)))</definedName>
    <definedName name="Fuel_SourceData.Fuel_Scope1Scope3EmissionFactorsTransport_Data" localSheetId="13">_xlfn.LAMBDA(
  _xlfn.MAKEARRAY(26, 10,
    _xlfn.LAMBDA(_xlpm.r,_xlpm.c,
      INDEX({"Transport type","Fuel combusted","Energy Content Factor(GJ per unit of fuel)","Fuel unit","Scope 1 Emission Factor (kg CO2 - e / GJ) CO2","Scope 1 Emission Factor (kg CO2 - e / GJ) CH4","Scope 1 Emission Factor (kg CO2 - e / GJ) N2O","Scope 1 Emission Factor (kg CO2 - e / GJ) Combined gases","Scope 3 Emission Factor (kg CO2 - e / GJ)","Source";"Cars and light commercial vehicles","Gasoline",34.2,"kl",67.4,0.02,0.2,67.62,17.2,"NGAF 2025: Table 9";"Cars and light commercial vehicles","Diesel oil",38.6,"kl",69.9,0.01,0.5,70.41,17.3,"NGAF 2025: Table 9";"Cars and light commercial vehicles","Liquefied petroleum gas (LPG)",26.2,"kl",60.2,0.5,0.3,61,20.2,"NGAF 2025: Table 9";"Cars and light commercial vehicles","Fuel oil",39.7,"kl",73.6,0.08,0.5,74.18,18,"NGAF 2025: Table 9";"Cars and light commercial vehicles","Ethanol",23.4,"kl",0,0.2,0.2,0.4,"NE","NGAF 2025: Table 9";"Cars and light commercial vehicles","Biodiesel",34.6,"kl",0,0.8,1.7,2.5,"NE","NGAF 2025: Table 9";"Cars and light commercial vehicles","Renewable diesel",38.6,"kl",0,0.01,0.5,0.51,"NE","NGAF 2025: Table 9";"Cars and light commercial vehicles","Other biofuels",23.4,"kl",0,0.8,1.7,2.5,"NE","NGAF 2025: Table 9";"Light duty vehicles","Compressed natural gas",0.0393,"m3",51.4,7.3,0.3,59,18,"NGAF 2025: Table 9";"Light duty vehicles","Liquefied natural gas",25.3,"kl",51.4,7.3,0.3,59,18,"NGAF 2025: Table 9";"Heavy duty vehicles","Compressed natural gas",0.0393,"m3",51.4,2.8,0.3,54.5,18,"NGAF 2025: Table 9";"Heavy duty vehicles","Liquefied natural gas",25.3,"kl",51.4,2.8,0.3,54.5,18,"NGAF 2025: Table 9";"Heavy duty vehicles","Diesel oil - Euro iv or higher",38.6,"kl",69.9,0.07,0.4,70.37,17.3,"NGAF 2025: Table 9";"Heavy duty vehicles","Diesel oil - Euro iii",38.6,"kl",69.9,0.1,0.4,70.4,17.3,"NGAF 2025: Table 9";"Heavy duty vehicles","Diesel oil - Euro i",38.6,"kl",69.9,0.2,0.4,70.5,17.3,"NGAF 2025: Table 9";"Heavy duty vehicles","Renewable diesel – Euro iv or higher",38.6,"kl",0,0.07,0.4,0.47,"NE","NGAF 2025: Table 9";"Heavy duty vehicles","Renewable diesel – Euro iii",38.6,"kl",0,0.1,0.4,0.5,"NE","NGAF 2025: Table 9";"Heavy duty vehicles","Renewable diesel – Euro i",38.6,"kl",0,0.2,0.4,0.6,"NE","NGAF 2025: Table 9";"Aviation","Gasoline for use as fuel in an aircraft",33.1,"kl",67,0.06,0.6,67.66,18,"NGAF 2025: Table 9";"Aviation","Kerosene for use as fuel in an aircraft",36.8,"kl",69.6,0.01,0.6,70.21,18,"NGAF 2025: Table 9";"Aviation","Renewable aviation kerosene",36.8,"kl",0,0.01,0.6,0.61,"NE","NGAF 2025: Table 9";"Vessels","Gasoline",34.2,"kL",67.4,10.1,0.3,"",17.2,"VEERG 2026: Table A.4.2.1";"Vessels","Diesel oil",38.6,"kL",69.9,0.2,0.5,"",17.3,"VEERG 2026: Table A.4.2.1";"Vessels","Fuel Oil",39.7,"kL",73.6,0.2,0.5,"",18,"VEERG 2026: Table A.4.2.1";"Off-road Agriculture and forestry equipment","Diesel oil",38.6,"kL",69.9,0.3,0.5,"",17.3,"VEERG 2026: Table A.4.2.1"}, _xlpm.r, _xlpm.c)
)))</definedName>
    <definedName name="Fuel_SourceData.Fuel_Scope1Scope3EmissionFactorsTransport_Data" localSheetId="14">_xlfn.LAMBDA(
  _xlfn.MAKEARRAY(26, 10,
    _xlfn.LAMBDA(_xlpm.r,_xlpm.c,
      INDEX({"Transport type","Fuel combusted","Energy Content Factor(GJ per unit of fuel)","Fuel unit","Scope 1 Emission Factor (kg CO2 - e / GJ) CO2","Scope 1 Emission Factor (kg CO2 - e / GJ) CH4","Scope 1 Emission Factor (kg CO2 - e / GJ) N2O","Scope 1 Emission Factor (kg CO2 - e / GJ) Combined gases","Scope 3 Emission Factor (kg CO2 - e / GJ)","Source";"Cars and light commercial vehicles","Gasoline",34.2,"kl",67.4,0.02,0.2,67.62,17.2,"NGAF 2025: Table 9";"Cars and light commercial vehicles","Diesel oil",38.6,"kl",69.9,0.01,0.5,70.41,17.3,"NGAF 2025: Table 9";"Cars and light commercial vehicles","Liquefied petroleum gas (LPG)",26.2,"kl",60.2,0.5,0.3,61,20.2,"NGAF 2025: Table 9";"Cars and light commercial vehicles","Fuel oil",39.7,"kl",73.6,0.08,0.5,74.18,18,"NGAF 2025: Table 9";"Cars and light commercial vehicles","Ethanol",23.4,"kl",0,0.2,0.2,0.4,"NE","NGAF 2025: Table 9";"Cars and light commercial vehicles","Biodiesel",34.6,"kl",0,0.8,1.7,2.5,"NE","NGAF 2025: Table 9";"Cars and light commercial vehicles","Renewable diesel",38.6,"kl",0,0.01,0.5,0.51,"NE","NGAF 2025: Table 9";"Cars and light commercial vehicles","Other biofuels",23.4,"kl",0,0.8,1.7,2.5,"NE","NGAF 2025: Table 9";"Light duty vehicles","Compressed natural gas",0.0393,"m3",51.4,7.3,0.3,59,18,"NGAF 2025: Table 9";"Light duty vehicles","Liquefied natural gas",25.3,"kl",51.4,7.3,0.3,59,18,"NGAF 2025: Table 9";"Heavy duty vehicles","Compressed natural gas",0.0393,"m3",51.4,2.8,0.3,54.5,18,"NGAF 2025: Table 9";"Heavy duty vehicles","Liquefied natural gas",25.3,"kl",51.4,2.8,0.3,54.5,18,"NGAF 2025: Table 9";"Heavy duty vehicles","Diesel oil - Euro iv or higher",38.6,"kl",69.9,0.07,0.4,70.37,17.3,"NGAF 2025: Table 9";"Heavy duty vehicles","Diesel oil - Euro iii",38.6,"kl",69.9,0.1,0.4,70.4,17.3,"NGAF 2025: Table 9";"Heavy duty vehicles","Diesel oil - Euro i",38.6,"kl",69.9,0.2,0.4,70.5,17.3,"NGAF 2025: Table 9";"Heavy duty vehicles","Renewable diesel – Euro iv or higher",38.6,"kl",0,0.07,0.4,0.47,"NE","NGAF 2025: Table 9";"Heavy duty vehicles","Renewable diesel – Euro iii",38.6,"kl",0,0.1,0.4,0.5,"NE","NGAF 2025: Table 9";"Heavy duty vehicles","Renewable diesel – Euro i",38.6,"kl",0,0.2,0.4,0.6,"NE","NGAF 2025: Table 9";"Aviation","Gasoline for use as fuel in an aircraft",33.1,"kl",67,0.06,0.6,67.66,18,"NGAF 2025: Table 9";"Aviation","Kerosene for use as fuel in an aircraft",36.8,"kl",69.6,0.01,0.6,70.21,18,"NGAF 2025: Table 9";"Aviation","Renewable aviation kerosene",36.8,"kl",0,0.01,0.6,0.61,"NE","NGAF 2025: Table 9";"Vessels","Gasoline",34.2,"kL",67.4,10.1,0.3,"",17.2,"VEERG 2026: Table A.4.2.1";"Vessels","Diesel oil",38.6,"kL",69.9,0.2,0.5,"",17.3,"VEERG 2026: Table A.4.2.1";"Vessels","Fuel Oil",39.7,"kL",73.6,0.2,0.5,"",18,"VEERG 2026: Table A.4.2.1";"Off-road Agriculture and forestry equipment","Diesel oil",38.6,"kL",69.9,0.3,0.5,"",17.3,"VEERG 2026: Table A.4.2.1"}, _xlpm.r, _xlpm.c)
)))</definedName>
    <definedName name="Fuel_SourceData.Fuel_Scope1Scope3EmissionFactorsTransport_Data" localSheetId="16">_xlfn.LAMBDA(
  _xlfn.MAKEARRAY(26, 10,
    _xlfn.LAMBDA(_xlpm.r,_xlpm.c,
      INDEX({"Transport type","Fuel combusted","Energy Content Factor(GJ per unit of fuel)","Fuel unit","Scope 1 Emission Factor (kg CO2 - e / GJ) CO2","Scope 1 Emission Factor (kg CO2 - e / GJ) CH4","Scope 1 Emission Factor (kg CO2 - e / GJ) N2O","Scope 1 Emission Factor (kg CO2 - e / GJ) Combined gases","Scope 3 Emission Factor (kg CO2 - e / GJ)","Source";"Cars and light commercial vehicles","Gasoline",34.2,"kl",67.4,0.02,0.2,67.62,17.2,"NGAF 2025: Table 9";"Cars and light commercial vehicles","Diesel oil",38.6,"kl",69.9,0.01,0.5,70.41,17.3,"NGAF 2025: Table 9";"Cars and light commercial vehicles","Liquefied petroleum gas (LPG)",26.2,"kl",60.2,0.5,0.3,61,20.2,"NGAF 2025: Table 9";"Cars and light commercial vehicles","Fuel oil",39.7,"kl",73.6,0.08,0.5,74.18,18,"NGAF 2025: Table 9";"Cars and light commercial vehicles","Ethanol",23.4,"kl",0,0.2,0.2,0.4,"NE","NGAF 2025: Table 9";"Cars and light commercial vehicles","Biodiesel",34.6,"kl",0,0.8,1.7,2.5,"NE","NGAF 2025: Table 9";"Cars and light commercial vehicles","Renewable diesel",38.6,"kl",0,0.01,0.5,0.51,"NE","NGAF 2025: Table 9";"Cars and light commercial vehicles","Other biofuels",23.4,"kl",0,0.8,1.7,2.5,"NE","NGAF 2025: Table 9";"Light duty vehicles","Compressed natural gas",0.0393,"m3",51.4,7.3,0.3,59,18,"NGAF 2025: Table 9";"Light duty vehicles","Liquefied natural gas",25.3,"kl",51.4,7.3,0.3,59,18,"NGAF 2025: Table 9";"Heavy duty vehicles","Compressed natural gas",0.0393,"m3",51.4,2.8,0.3,54.5,18,"NGAF 2025: Table 9";"Heavy duty vehicles","Liquefied natural gas",25.3,"kl",51.4,2.8,0.3,54.5,18,"NGAF 2025: Table 9";"Heavy duty vehicles","Diesel oil - Euro iv or higher",38.6,"kl",69.9,0.07,0.4,70.37,17.3,"NGAF 2025: Table 9";"Heavy duty vehicles","Diesel oil - Euro iii",38.6,"kl",69.9,0.1,0.4,70.4,17.3,"NGAF 2025: Table 9";"Heavy duty vehicles","Diesel oil - Euro i",38.6,"kl",69.9,0.2,0.4,70.5,17.3,"NGAF 2025: Table 9";"Heavy duty vehicles","Renewable diesel – Euro iv or higher",38.6,"kl",0,0.07,0.4,0.47,"NE","NGAF 2025: Table 9";"Heavy duty vehicles","Renewable diesel – Euro iii",38.6,"kl",0,0.1,0.4,0.5,"NE","NGAF 2025: Table 9";"Heavy duty vehicles","Renewable diesel – Euro i",38.6,"kl",0,0.2,0.4,0.6,"NE","NGAF 2025: Table 9";"Aviation","Gasoline for use as fuel in an aircraft",33.1,"kl",67,0.06,0.6,67.66,18,"NGAF 2025: Table 9";"Aviation","Kerosene for use as fuel in an aircraft",36.8,"kl",69.6,0.01,0.6,70.21,18,"NGAF 2025: Table 9";"Aviation","Renewable aviation kerosene",36.8,"kl",0,0.01,0.6,0.61,"NE","NGAF 2025: Table 9";"Vessels","Gasoline",34.2,"kL",67.4,10.1,0.3,"",17.2,"VEERG 2026: Table A.4.2.1";"Vessels","Diesel oil",38.6,"kL",69.9,0.2,0.5,"",17.3,"VEERG 2026: Table A.4.2.1";"Vessels","Fuel Oil",39.7,"kL",73.6,0.2,0.5,"",18,"VEERG 2026: Table A.4.2.1";"Off-road Agriculture and forestry equipment","Diesel oil",38.6,"kL",69.9,0.3,0.5,"",17.3,"VEERG 2026: Table A.4.2.1"}, _xlpm.r, _xlpm.c)
)))</definedName>
    <definedName name="Fuel_SourceData.Fuel_Scope1Scope3EmissionFactorsTransport_Data" localSheetId="11">_xlfn.LAMBDA(
  _xlfn.MAKEARRAY(26, 10,
    _xlfn.LAMBDA(_xlpm.r,_xlpm.c,
      INDEX({"Transport type","Fuel combusted","Energy Content Factor(GJ per unit of fuel)","Fuel unit","Scope 1 Emission Factor (kg CO2 - e / GJ) CO2","Scope 1 Emission Factor (kg CO2 - e / GJ) CH4","Scope 1 Emission Factor (kg CO2 - e / GJ) N2O","Scope 1 Emission Factor (kg CO2 - e / GJ) Combined gases","Scope 3 Emission Factor (kg CO2 - e / GJ)","Source";"Cars and light commercial vehicles","Gasoline",34.2,"kl",67.4,0.02,0.2,67.62,17.2,"NGAF 2025: Table 9";"Cars and light commercial vehicles","Diesel oil",38.6,"kl",69.9,0.01,0.5,70.41,17.3,"NGAF 2025: Table 9";"Cars and light commercial vehicles","Liquefied petroleum gas (LPG)",26.2,"kl",60.2,0.5,0.3,61,20.2,"NGAF 2025: Table 9";"Cars and light commercial vehicles","Fuel oil",39.7,"kl",73.6,0.08,0.5,74.18,18,"NGAF 2025: Table 9";"Cars and light commercial vehicles","Ethanol",23.4,"kl",0,0.2,0.2,0.4,"NE","NGAF 2025: Table 9";"Cars and light commercial vehicles","Biodiesel",34.6,"kl",0,0.8,1.7,2.5,"NE","NGAF 2025: Table 9";"Cars and light commercial vehicles","Renewable diesel",38.6,"kl",0,0.01,0.5,0.51,"NE","NGAF 2025: Table 9";"Cars and light commercial vehicles","Other biofuels",23.4,"kl",0,0.8,1.7,2.5,"NE","NGAF 2025: Table 9";"Light duty vehicles","Compressed natural gas",0.0393,"m3",51.4,7.3,0.3,59,18,"NGAF 2025: Table 9";"Light duty vehicles","Liquefied natural gas",25.3,"kl",51.4,7.3,0.3,59,18,"NGAF 2025: Table 9";"Heavy duty vehicles","Compressed natural gas",0.0393,"m3",51.4,2.8,0.3,54.5,18,"NGAF 2025: Table 9";"Heavy duty vehicles","Liquefied natural gas",25.3,"kl",51.4,2.8,0.3,54.5,18,"NGAF 2025: Table 9";"Heavy duty vehicles","Diesel oil - Euro iv or higher",38.6,"kl",69.9,0.07,0.4,70.37,17.3,"NGAF 2025: Table 9";"Heavy duty vehicles","Diesel oil - Euro iii",38.6,"kl",69.9,0.1,0.4,70.4,17.3,"NGAF 2025: Table 9";"Heavy duty vehicles","Diesel oil - Euro i",38.6,"kl",69.9,0.2,0.4,70.5,17.3,"NGAF 2025: Table 9";"Heavy duty vehicles","Renewable diesel – Euro iv or higher",38.6,"kl",0,0.07,0.4,0.47,"NE","NGAF 2025: Table 9";"Heavy duty vehicles","Renewable diesel – Euro iii",38.6,"kl",0,0.1,0.4,0.5,"NE","NGAF 2025: Table 9";"Heavy duty vehicles","Renewable diesel – Euro i",38.6,"kl",0,0.2,0.4,0.6,"NE","NGAF 2025: Table 9";"Aviation","Gasoline for use as fuel in an aircraft",33.1,"kl",67,0.06,0.6,67.66,18,"NGAF 2025: Table 9";"Aviation","Kerosene for use as fuel in an aircraft",36.8,"kl",69.6,0.01,0.6,70.21,18,"NGAF 2025: Table 9";"Aviation","Renewable aviation kerosene",36.8,"kl",0,0.01,0.6,0.61,"NE","NGAF 2025: Table 9";"Vessels","Gasoline",34.2,"kL",67.4,10.1,0.3,"",17.2,"VEERG 2026: Table A.4.2.1";"Vessels","Diesel oil",38.6,"kL",69.9,0.2,0.5,"",17.3,"VEERG 2026: Table A.4.2.1";"Vessels","Fuel Oil",39.7,"kL",73.6,0.2,0.5,"",18,"VEERG 2026: Table A.4.2.1";"Off-road Agriculture and forestry equipment","Diesel oil",38.6,"kL",69.9,0.3,0.5,"",17.3,"VEERG 2026: Table A.4.2.1"}, _xlpm.r, _xlpm.c)
)))</definedName>
    <definedName name="Fuel_SourceData.Fuel_Scope1Scope3EmissionFactorsTransport_Data" localSheetId="15">_xlfn.LAMBDA(
  _xlfn.MAKEARRAY(26, 10,
    _xlfn.LAMBDA(_xlpm.r,_xlpm.c,
      INDEX({"Transport type","Fuel combusted","Energy Content Factor(GJ per unit of fuel)","Fuel unit","Scope 1 Emission Factor (kg CO2 - e / GJ) CO2","Scope 1 Emission Factor (kg CO2 - e / GJ) CH4","Scope 1 Emission Factor (kg CO2 - e / GJ) N2O","Scope 1 Emission Factor (kg CO2 - e / GJ) Combined gases","Scope 3 Emission Factor (kg CO2 - e / GJ)","Source";"Cars and light commercial vehicles","Gasoline",34.2,"kl",67.4,0.02,0.2,67.62,17.2,"NGAF 2025: Table 9";"Cars and light commercial vehicles","Diesel oil",38.6,"kl",69.9,0.01,0.5,70.41,17.3,"NGAF 2025: Table 9";"Cars and light commercial vehicles","Liquefied petroleum gas (LPG)",26.2,"kl",60.2,0.5,0.3,61,20.2,"NGAF 2025: Table 9";"Cars and light commercial vehicles","Fuel oil",39.7,"kl",73.6,0.08,0.5,74.18,18,"NGAF 2025: Table 9";"Cars and light commercial vehicles","Ethanol",23.4,"kl",0,0.2,0.2,0.4,"NE","NGAF 2025: Table 9";"Cars and light commercial vehicles","Biodiesel",34.6,"kl",0,0.8,1.7,2.5,"NE","NGAF 2025: Table 9";"Cars and light commercial vehicles","Renewable diesel",38.6,"kl",0,0.01,0.5,0.51,"NE","NGAF 2025: Table 9";"Cars and light commercial vehicles","Other biofuels",23.4,"kl",0,0.8,1.7,2.5,"NE","NGAF 2025: Table 9";"Light duty vehicles","Compressed natural gas",0.0393,"m3",51.4,7.3,0.3,59,18,"NGAF 2025: Table 9";"Light duty vehicles","Liquefied natural gas",25.3,"kl",51.4,7.3,0.3,59,18,"NGAF 2025: Table 9";"Heavy duty vehicles","Compressed natural gas",0.0393,"m3",51.4,2.8,0.3,54.5,18,"NGAF 2025: Table 9";"Heavy duty vehicles","Liquefied natural gas",25.3,"kl",51.4,2.8,0.3,54.5,18,"NGAF 2025: Table 9";"Heavy duty vehicles","Diesel oil - Euro iv or higher",38.6,"kl",69.9,0.07,0.4,70.37,17.3,"NGAF 2025: Table 9";"Heavy duty vehicles","Diesel oil - Euro iii",38.6,"kl",69.9,0.1,0.4,70.4,17.3,"NGAF 2025: Table 9";"Heavy duty vehicles","Diesel oil - Euro i",38.6,"kl",69.9,0.2,0.4,70.5,17.3,"NGAF 2025: Table 9";"Heavy duty vehicles","Renewable diesel – Euro iv or higher",38.6,"kl",0,0.07,0.4,0.47,"NE","NGAF 2025: Table 9";"Heavy duty vehicles","Renewable diesel – Euro iii",38.6,"kl",0,0.1,0.4,0.5,"NE","NGAF 2025: Table 9";"Heavy duty vehicles","Renewable diesel – Euro i",38.6,"kl",0,0.2,0.4,0.6,"NE","NGAF 2025: Table 9";"Aviation","Gasoline for use as fuel in an aircraft",33.1,"kl",67,0.06,0.6,67.66,18,"NGAF 2025: Table 9";"Aviation","Kerosene for use as fuel in an aircraft",36.8,"kl",69.6,0.01,0.6,70.21,18,"NGAF 2025: Table 9";"Aviation","Renewable aviation kerosene",36.8,"kl",0,0.01,0.6,0.61,"NE","NGAF 2025: Table 9";"Vessels","Gasoline",34.2,"kL",67.4,10.1,0.3,"",17.2,"VEERG 2026: Table A.4.2.1";"Vessels","Diesel oil",38.6,"kL",69.9,0.2,0.5,"",17.3,"VEERG 2026: Table A.4.2.1";"Vessels","Fuel Oil",39.7,"kL",73.6,0.2,0.5,"",18,"VEERG 2026: Table A.4.2.1";"Off-road Agriculture and forestry equipment","Diesel oil",38.6,"kL",69.9,0.3,0.5,"",17.3,"VEERG 2026: Table A.4.2.1"}, _xlpm.r, _xlpm.c)
)))</definedName>
    <definedName name="Fuel_SourceData.Fuel_Scope1Scope3EmissionFactorsTransport_Data" localSheetId="18">_xlfn.LAMBDA(
  _xlfn.MAKEARRAY(26, 10,
    _xlfn.LAMBDA(_xlpm.r,_xlpm.c,
      INDEX({"Transport type","Fuel combusted","Energy Content Factor(GJ per unit of fuel)","Fuel unit","Scope 1 Emission Factor (kg CO2 - e / GJ) CO2","Scope 1 Emission Factor (kg CO2 - e / GJ) CH4","Scope 1 Emission Factor (kg CO2 - e / GJ) N2O","Scope 1 Emission Factor (kg CO2 - e / GJ) Combined gases","Scope 3 Emission Factor (kg CO2 - e / GJ)","Source";"Cars and light commercial vehicles","Gasoline",34.2,"kl",67.4,0.02,0.2,67.62,17.2,"NGAF 2025: Table 9";"Cars and light commercial vehicles","Diesel oil",38.6,"kl",69.9,0.01,0.5,70.41,17.3,"NGAF 2025: Table 9";"Cars and light commercial vehicles","Liquefied petroleum gas (LPG)",26.2,"kl",60.2,0.5,0.3,61,20.2,"NGAF 2025: Table 9";"Cars and light commercial vehicles","Fuel oil",39.7,"kl",73.6,0.08,0.5,74.18,18,"NGAF 2025: Table 9";"Cars and light commercial vehicles","Ethanol",23.4,"kl",0,0.2,0.2,0.4,"NE","NGAF 2025: Table 9";"Cars and light commercial vehicles","Biodiesel",34.6,"kl",0,0.8,1.7,2.5,"NE","NGAF 2025: Table 9";"Cars and light commercial vehicles","Renewable diesel",38.6,"kl",0,0.01,0.5,0.51,"NE","NGAF 2025: Table 9";"Cars and light commercial vehicles","Other biofuels",23.4,"kl",0,0.8,1.7,2.5,"NE","NGAF 2025: Table 9";"Light duty vehicles","Compressed natural gas",0.0393,"m3",51.4,7.3,0.3,59,18,"NGAF 2025: Table 9";"Light duty vehicles","Liquefied natural gas",25.3,"kl",51.4,7.3,0.3,59,18,"NGAF 2025: Table 9";"Heavy duty vehicles","Compressed natural gas",0.0393,"m3",51.4,2.8,0.3,54.5,18,"NGAF 2025: Table 9";"Heavy duty vehicles","Liquefied natural gas",25.3,"kl",51.4,2.8,0.3,54.5,18,"NGAF 2025: Table 9";"Heavy duty vehicles","Diesel oil - Euro iv or higher",38.6,"kl",69.9,0.07,0.4,70.37,17.3,"NGAF 2025: Table 9";"Heavy duty vehicles","Diesel oil - Euro iii",38.6,"kl",69.9,0.1,0.4,70.4,17.3,"NGAF 2025: Table 9";"Heavy duty vehicles","Diesel oil - Euro i",38.6,"kl",69.9,0.2,0.4,70.5,17.3,"NGAF 2025: Table 9";"Heavy duty vehicles","Renewable diesel – Euro iv or higher",38.6,"kl",0,0.07,0.4,0.47,"NE","NGAF 2025: Table 9";"Heavy duty vehicles","Renewable diesel – Euro iii",38.6,"kl",0,0.1,0.4,0.5,"NE","NGAF 2025: Table 9";"Heavy duty vehicles","Renewable diesel – Euro i",38.6,"kl",0,0.2,0.4,0.6,"NE","NGAF 2025: Table 9";"Aviation","Gasoline for use as fuel in an aircraft",33.1,"kl",67,0.06,0.6,67.66,18,"NGAF 2025: Table 9";"Aviation","Kerosene for use as fuel in an aircraft",36.8,"kl",69.6,0.01,0.6,70.21,18,"NGAF 2025: Table 9";"Aviation","Renewable aviation kerosene",36.8,"kl",0,0.01,0.6,0.61,"NE","NGAF 2025: Table 9";"Vessels","Gasoline",34.2,"kL",67.4,10.1,0.3,"",17.2,"VEERG 2026: Table A.4.2.1";"Vessels","Diesel oil",38.6,"kL",69.9,0.2,0.5,"",17.3,"VEERG 2026: Table A.4.2.1";"Vessels","Fuel Oil",39.7,"kL",73.6,0.2,0.5,"",18,"VEERG 2026: Table A.4.2.1";"Off-road Agriculture and forestry equipment","Diesel oil",38.6,"kL",69.9,0.3,0.5,"",17.3,"VEERG 2026: Table A.4.2.1"}, _xlpm.r, _xlpm.c)
)))</definedName>
    <definedName name="Fuel_SourceData.Fuel_Scope1Scope3EmissionFactorsTransport_Data">_xlfn.LAMBDA(_xlfn.MAKEARRAY(26, 10, _xlfn.LAMBDA(_xlpm.r,_xlpm.c, INDEX({"Transport type","Fuel combusted","Energy Content Factor(GJ per unit of fuel)","Fuel unit","Scope 1 Emission Factor (kg CO2 - e / GJ) CO2","Scope 1 Emission Factor (kg CO2 - e / GJ) CH4","Scope 1 Emission Factor (kg CO2 - e / GJ) N2O","Scope 1 Emission Factor (kg CO2 - e / GJ) Combined gases","Scope 3 Emission Factor (kg CO2 - e / GJ)","Source";"Cars and light commercial vehicles","Gasoline",34.2,"kl",67.4,0.02,0.2,67.62,17.2,"NGAF 2025: Table 9";"Cars and light commercial vehicles","Diesel oil",38.6,"kl",69.9,0.01,0.5,70.41,17.3,"NGAF 2025: Table 9";"Cars and light commercial vehicles","Liquefied petroleum gas (LPG)",26.2,"kl",60.2,0.5,0.3,61,20.2,"NGAF 2025: Table 9";"Cars and light commercial vehicles","Fuel oil",39.7,"kl",73.6,0.08,0.5,74.18,18,"NGAF 2025: Table 9";"Cars and light commercial vehicles","Ethanol",23.4,"kl",0,0.2,0.2,0.4,"NE","NGAF 2025: Table 9";"Cars and light commercial vehicles","Biodiesel",34.6,"kl",0,0.8,1.7,2.5,"NE","NGAF 2025: Table 9";"Cars and light commercial vehicles","Renewable diesel",38.6,"kl",0,0.01,0.5,0.51,"NE","NGAF 2025: Table 9";"Cars and light commercial vehicles","Other biofuels",23.4,"kl",0,0.8,1.7,2.5,"NE","NGAF 2025: Table 9";"Light duty vehicles","Compressed natural gas",0.0393,"m3",51.4,7.3,0.3,59,18,"NGAF 2025: Table 9";"Light duty vehicles","Liquefied natural gas",25.3,"kl",51.4,7.3,0.3,59,18,"NGAF 2025: Table 9";"Heavy duty vehicles","Compressed natural gas",0.0393,"m3",51.4,2.8,0.3,54.5,18,"NGAF 2025: Table 9";"Heavy duty vehicles","Liquefied natural gas",25.3,"kl",51.4,2.8,0.3,54.5,18,"NGAF 2025: Table 9";"Heavy duty vehicles","Diesel oil - Euro iv or higher",38.6,"kl",69.9,0.07,0.4,70.37,17.3,"NGAF 2025: Table 9";"Heavy duty vehicles","Diesel oil - Euro iii",38.6,"kl",69.9,0.1,0.4,70.4,17.3,"NGAF 2025: Table 9";"Heavy duty vehicles","Diesel oil - Euro i",38.6,"kl",69.9,0.2,0.4,70.5,17.3,"NGAF 2025: Table 9";"Heavy duty vehicles","Renewable diesel – Euro iv or higher",38.6,"kl",0,0.07,0.4,0.47,"NE","NGAF 2025: Table 9";"Heavy duty vehicles","Renewable diesel – Euro iii",38.6,"kl",0,0.1,0.4,0.5,"NE","NGAF 2025: Table 9";"Heavy duty vehicles","Renewable diesel – Euro i",38.6,"kl",0,0.2,0.4,0.6,"NE","NGAF 2025: Table 9";"Aviation","Gasoline for use as fuel in an aircraft",33.1,"kl",67,0.06,0.6,67.66,18,"NGAF 2025: Table 9";"Aviation","Kerosene for use as fuel in an aircraft",36.8,"kl",69.6,0.01,0.6,70.21,18,"NGAF 2025: Table 9";"Aviation","Renewable aviation kerosene",36.8,"kl",0,0.01,0.6,0.61,"NE","NGAF 2025: Table 9";"Vessels","Gasoline",34.2,"kL",67.4,10.1,0.3,"",17.2,"VEERG 2026: Table A.4.2.1";"Vessels","Diesel oil",38.6,"kL",69.9,0.2,0.5,"",17.3,"VEERG 2026: Table A.4.2.1";"Vessels","Fuel Oil",39.7,"kL",73.6,0.2,0.5,"",18,"VEERG 2026: Table A.4.2.1";"Off-road Agriculture and forestry equipment","Diesel oil",38.6,"kL",69.9,0.3,0.5,"",17.3,"VEERG 2026: Table A.4.2.1"}, _xlpm.r, _xlpm.c))))</definedName>
    <definedName name="Fuel_SourceData.Fuel_Scope1Scope3EmissionFactorsTransport_Description">_xlfn.LAMBDA(("Direct (scope 1) and indirect (scope 3) emission factors for the consumption of transport fuels in different transport equipment"))</definedName>
    <definedName name="Fuel_SourceData.Fuel_Scope1Scope3EmissionFactorsTransport_Source">_xlfn.LAMBDA(("Australian National Greenhouse Accounts Factors 2025 - Table 9"))</definedName>
    <definedName name="Fuel_SourceData.Fuel_Scope1Scope3EmissionFactorsTransport_Title">_xlfn.LAMBDA(("Fuel scope 1 and 3 emission factors - Transport"))</definedName>
    <definedName name="Fuel_SourceData.Fuel_Scope1Scope3EmissionFactorsTransport_Variation">_xlfn.LAMBDA("VARIATION OF SOURCE DATA: 'NE' values returned as zero for calculations.")</definedName>
    <definedName name="Fuel_SourceData.Fuel_Scope1Scope3EmissionFactorsTransportOffRoad_Data" localSheetId="37">_xlfn.LAMBDA(
  _xlfn.MAKEARRAY(5, 7,
    _xlfn.LAMBDA(_xlpm.r,_xlpm.c,
      INDEX({"Transport type t","Fuel type q","ECTrans,q (GJ/kL)","Scope 1 CO2 EFTran,1,tqg (kg CO2-e/GJ)","Scope 1 CH4 EFTran,1,tgg (kg CO2-e/GJ)","Scope 1 N2O EFTran,1,tgg (kg CO2-e/GJ)","Scope 3 EFTrans,3,q (kg CO2-e/GJ)";"Vessel","Petrol",34.2,67.4,10.1,0.3,17.2;"Vessel","Diesel",38.6,69.9,0.2,0.5,17.3;"Vessel","Fuel Oil",39.7,73.6,0.2,0.5,18;"Off-road Agriculture and forestry equipment","Diesel",38.6,69.9,0.3,0.5,17.3}, _xlpm.r, _xlpm.c)
)))</definedName>
    <definedName name="Fuel_SourceData.Fuel_Scope1Scope3EmissionFactorsTransportOffRoad_Data" localSheetId="33">_xlfn.LAMBDA(
  _xlfn.MAKEARRAY(5, 7,
    _xlfn.LAMBDA(_xlpm.r,_xlpm.c,
      INDEX({"Transport type t","Fuel type q","ECTrans,q (GJ/kL)","Scope 1 CO2 EFTran,1,tqg (kg CO2-e/GJ)","Scope 1 CH4 EFTran,1,tgg (kg CO2-e/GJ)","Scope 1 N2O EFTran,1,tgg (kg CO2-e/GJ)","Scope 3 EFTrans,3,q (kg CO2-e/GJ)";"Vessel","Petrol",34.2,67.4,10.1,0.3,17.2;"Vessel","Diesel",38.6,69.9,0.2,0.5,17.3;"Vessel","Fuel Oil",39.7,73.6,0.2,0.5,18;"Off-road Agriculture and forestry equipment","Diesel",38.6,69.9,0.3,0.5,17.3}, _xlpm.r, _xlpm.c)
)))</definedName>
    <definedName name="Fuel_SourceData.Fuel_Scope1Scope3EmissionFactorsTransportOffRoad_Data" localSheetId="34">_xlfn.LAMBDA(
  _xlfn.MAKEARRAY(5, 7,
    _xlfn.LAMBDA(_xlpm.r,_xlpm.c,
      INDEX({"Transport type t","Fuel type q","ECTrans,q (GJ/kL)","Scope 1 CO2 EFTran,1,tqg (kg CO2-e/GJ)","Scope 1 CH4 EFTran,1,tgg (kg CO2-e/GJ)","Scope 1 N2O EFTran,1,tgg (kg CO2-e/GJ)","Scope 3 EFTrans,3,q (kg CO2-e/GJ)";"Vessel","Petrol",34.2,67.4,10.1,0.3,17.2;"Vessel","Diesel",38.6,69.9,0.2,0.5,17.3;"Vessel","Fuel Oil",39.7,73.6,0.2,0.5,18;"Off-road Agriculture and forestry equipment","Diesel",38.6,69.9,0.3,0.5,17.3}, _xlpm.r, _xlpm.c)
)))</definedName>
    <definedName name="Fuel_SourceData.Fuel_Scope1Scope3EmissionFactorsTransportOffRoad_Data" localSheetId="38">_xlfn.LAMBDA(
  _xlfn.MAKEARRAY(5, 7,
    _xlfn.LAMBDA(_xlpm.r,_xlpm.c,
      INDEX({"Transport type t","Fuel type q","ECTrans,q (GJ/kL)","Scope 1 CO2 EFTran,1,tqg (kg CO2-e/GJ)","Scope 1 CH4 EFTran,1,tgg (kg CO2-e/GJ)","Scope 1 N2O EFTran,1,tgg (kg CO2-e/GJ)","Scope 3 EFTrans,3,q (kg CO2-e/GJ)";"Vessel","Petrol",34.2,67.4,10.1,0.3,17.2;"Vessel","Diesel",38.6,69.9,0.2,0.5,17.3;"Vessel","Fuel Oil",39.7,73.6,0.2,0.5,18;"Off-road Agriculture and forestry equipment","Diesel",38.6,69.9,0.3,0.5,17.3}, _xlpm.r, _xlpm.c)
)))</definedName>
    <definedName name="Fuel_SourceData.Fuel_Scope1Scope3EmissionFactorsTransportOffRoad_Data" localSheetId="44">_xlfn.LAMBDA(
  _xlfn.MAKEARRAY(5, 7,
    _xlfn.LAMBDA(_xlpm.r,_xlpm.c,
      INDEX({"Transport type t","Fuel type q","ECTrans,q (GJ/kL)","Scope 1 CO2 EFTran,1,tqg (kg CO2-e/GJ)","Scope 1 CH4 EFTran,1,tgg (kg CO2-e/GJ)","Scope 1 N2O EFTran,1,tgg (kg CO2-e/GJ)","Scope 3 EFTrans,3,q (kg CO2-e/GJ)";"Vessel","Petrol",34.2,67.4,10.1,0.3,17.2;"Vessel","Diesel",38.6,69.9,0.2,0.5,17.3;"Vessel","Fuel Oil",39.7,73.6,0.2,0.5,18;"Off-road Agriculture and forestry equipment","Diesel",38.6,69.9,0.3,0.5,17.3}, _xlpm.r, _xlpm.c)
)))</definedName>
    <definedName name="Fuel_SourceData.Fuel_Scope1Scope3EmissionFactorsTransportOffRoad_Data" localSheetId="45">_xlfn.LAMBDA(
  _xlfn.MAKEARRAY(5, 7,
    _xlfn.LAMBDA(_xlpm.r,_xlpm.c,
      INDEX({"Transport type t","Fuel type q","ECTrans,q (GJ/kL)","Scope 1 CO2 EFTran,1,tqg (kg CO2-e/GJ)","Scope 1 CH4 EFTran,1,tgg (kg CO2-e/GJ)","Scope 1 N2O EFTran,1,tgg (kg CO2-e/GJ)","Scope 3 EFTrans,3,q (kg CO2-e/GJ)";"Vessel","Petrol",34.2,67.4,10.1,0.3,17.2;"Vessel","Diesel",38.6,69.9,0.2,0.5,17.3;"Vessel","Fuel Oil",39.7,73.6,0.2,0.5,18;"Off-road Agriculture and forestry equipment","Diesel",38.6,69.9,0.3,0.5,17.3}, _xlpm.r, _xlpm.c)
)))</definedName>
    <definedName name="Fuel_SourceData.Fuel_Scope1Scope3EmissionFactorsTransportOffRoad_Data" localSheetId="7">_xlfn.LAMBDA(
  _xlfn.MAKEARRAY(5, 7,
    _xlfn.LAMBDA(_xlpm.r,_xlpm.c,
      INDEX({"Transport type t","Fuel type q","ECTrans,q (GJ/kL)","Scope 1 CO2 EFTran,1,tqg (kg CO2-e/GJ)","Scope 1 CH4 EFTran,1,tgg (kg CO2-e/GJ)","Scope 1 N2O EFTran,1,tgg (kg CO2-e/GJ)","Scope 3 EFTrans,3,q (kg CO2-e/GJ)";"Vessel","Petrol",34.2,67.4,10.1,0.3,17.2;"Vessel","Diesel",38.6,69.9,0.2,0.5,17.3;"Vessel","Fuel Oil",39.7,73.6,0.2,0.5,18;"Off-road Agriculture and forestry equipment","Diesel",38.6,69.9,0.3,0.5,17.3}, _xlpm.r, _xlpm.c)
)))</definedName>
    <definedName name="Fuel_SourceData.Fuel_Scope1Scope3EmissionFactorsTransportOffRoad_Data" localSheetId="13">_xlfn.LAMBDA(
  _xlfn.MAKEARRAY(5, 7,
    _xlfn.LAMBDA(_xlpm.r,_xlpm.c,
      INDEX({"Transport type t","Fuel type q","ECTrans,q (GJ/kL)","Scope 1 CO2 EFTran,1,tqg (kg CO2-e/GJ)","Scope 1 CH4 EFTran,1,tgg (kg CO2-e/GJ)","Scope 1 N2O EFTran,1,tgg (kg CO2-e/GJ)","Scope 3 EFTrans,3,q (kg CO2-e/GJ)";"Vessel","Petrol",34.2,67.4,10.1,0.3,17.2;"Vessel","Diesel",38.6,69.9,0.2,0.5,17.3;"Vessel","Fuel Oil",39.7,73.6,0.2,0.5,18;"Off-road Agriculture and forestry equipment","Diesel",38.6,69.9,0.3,0.5,17.3}, _xlpm.r, _xlpm.c)
)))</definedName>
    <definedName name="Fuel_SourceData.Fuel_Scope1Scope3EmissionFactorsTransportOffRoad_Data" localSheetId="14">_xlfn.LAMBDA(
  _xlfn.MAKEARRAY(5, 7,
    _xlfn.LAMBDA(_xlpm.r,_xlpm.c,
      INDEX({"Transport type t","Fuel type q","ECTrans,q (GJ/kL)","Scope 1 CO2 EFTran,1,tqg (kg CO2-e/GJ)","Scope 1 CH4 EFTran,1,tgg (kg CO2-e/GJ)","Scope 1 N2O EFTran,1,tgg (kg CO2-e/GJ)","Scope 3 EFTrans,3,q (kg CO2-e/GJ)";"Vessel","Petrol",34.2,67.4,10.1,0.3,17.2;"Vessel","Diesel",38.6,69.9,0.2,0.5,17.3;"Vessel","Fuel Oil",39.7,73.6,0.2,0.5,18;"Off-road Agriculture and forestry equipment","Diesel",38.6,69.9,0.3,0.5,17.3}, _xlpm.r, _xlpm.c)
)))</definedName>
    <definedName name="Fuel_SourceData.Fuel_Scope1Scope3EmissionFactorsTransportOffRoad_Data" localSheetId="16">_xlfn.LAMBDA(
  _xlfn.MAKEARRAY(5, 7,
    _xlfn.LAMBDA(_xlpm.r,_xlpm.c,
      INDEX({"Transport type t","Fuel type q","ECTrans,q (GJ/kL)","Scope 1 CO2 EFTran,1,tqg (kg CO2-e/GJ)","Scope 1 CH4 EFTran,1,tgg (kg CO2-e/GJ)","Scope 1 N2O EFTran,1,tgg (kg CO2-e/GJ)","Scope 3 EFTrans,3,q (kg CO2-e/GJ)";"Vessel","Petrol",34.2,67.4,10.1,0.3,17.2;"Vessel","Diesel",38.6,69.9,0.2,0.5,17.3;"Vessel","Fuel Oil",39.7,73.6,0.2,0.5,18;"Off-road Agriculture and forestry equipment","Diesel",38.6,69.9,0.3,0.5,17.3}, _xlpm.r, _xlpm.c)
)))</definedName>
    <definedName name="Fuel_SourceData.Fuel_Scope1Scope3EmissionFactorsTransportOffRoad_Data" localSheetId="11">_xlfn.LAMBDA(
  _xlfn.MAKEARRAY(5, 7,
    _xlfn.LAMBDA(_xlpm.r,_xlpm.c,
      INDEX({"Transport type t","Fuel type q","ECTrans,q (GJ/kL)","Scope 1 CO2 EFTran,1,tqg (kg CO2-e/GJ)","Scope 1 CH4 EFTran,1,tgg (kg CO2-e/GJ)","Scope 1 N2O EFTran,1,tgg (kg CO2-e/GJ)","Scope 3 EFTrans,3,q (kg CO2-e/GJ)";"Vessel","Petrol",34.2,67.4,10.1,0.3,17.2;"Vessel","Diesel",38.6,69.9,0.2,0.5,17.3;"Vessel","Fuel Oil",39.7,73.6,0.2,0.5,18;"Off-road Agriculture and forestry equipment","Diesel",38.6,69.9,0.3,0.5,17.3}, _xlpm.r, _xlpm.c)
)))</definedName>
    <definedName name="Fuel_SourceData.Fuel_Scope1Scope3EmissionFactorsTransportOffRoad_Data" localSheetId="15">_xlfn.LAMBDA(
  _xlfn.MAKEARRAY(5, 7,
    _xlfn.LAMBDA(_xlpm.r,_xlpm.c,
      INDEX({"Transport type t","Fuel type q","ECTrans,q (GJ/kL)","Scope 1 CO2 EFTran,1,tqg (kg CO2-e/GJ)","Scope 1 CH4 EFTran,1,tgg (kg CO2-e/GJ)","Scope 1 N2O EFTran,1,tgg (kg CO2-e/GJ)","Scope 3 EFTrans,3,q (kg CO2-e/GJ)";"Vessel","Petrol",34.2,67.4,10.1,0.3,17.2;"Vessel","Diesel",38.6,69.9,0.2,0.5,17.3;"Vessel","Fuel Oil",39.7,73.6,0.2,0.5,18;"Off-road Agriculture and forestry equipment","Diesel",38.6,69.9,0.3,0.5,17.3}, _xlpm.r, _xlpm.c)
)))</definedName>
    <definedName name="Fuel_SourceData.Fuel_Scope1Scope3EmissionFactorsTransportOffRoad_Data" localSheetId="18">_xlfn.LAMBDA(
  _xlfn.MAKEARRAY(5, 7,
    _xlfn.LAMBDA(_xlpm.r,_xlpm.c,
      INDEX({"Transport type t","Fuel type q","ECTrans,q (GJ/kL)","Scope 1 CO2 EFTran,1,tqg (kg CO2-e/GJ)","Scope 1 CH4 EFTran,1,tgg (kg CO2-e/GJ)","Scope 1 N2O EFTran,1,tgg (kg CO2-e/GJ)","Scope 3 EFTrans,3,q (kg CO2-e/GJ)";"Vessel","Petrol",34.2,67.4,10.1,0.3,17.2;"Vessel","Diesel",38.6,69.9,0.2,0.5,17.3;"Vessel","Fuel Oil",39.7,73.6,0.2,0.5,18;"Off-road Agriculture and forestry equipment","Diesel",38.6,69.9,0.3,0.5,17.3}, _xlpm.r, _xlpm.c)
)))</definedName>
    <definedName name="Fuel_SourceData.Fuel_Scope1Scope3EmissionFactorsTransportOffRoad_Data">_xlfn.LAMBDA(_xlfn.MAKEARRAY(5, 7, _xlfn.LAMBDA(_xlpm.r,_xlpm.c, INDEX({"Transport type t","Fuel type q","ECTrans,q (GJ/kL)","Scope 1 CO2 EFTran,1,tqg (kg CO2-e/GJ)","Scope 1 CH4 EFTran,1,tgg (kg CO2-e/GJ)","Scope 1 N2O EFTran,1,tgg (kg CO2-e/GJ)","Scope 3 EFTrans,3,q (kg CO2-e/GJ)";"Vessel","Petrol",34.2,67.4,10.1,0.3,17.2;"Vessel","Diesel",38.6,69.9,0.2,0.5,17.3;"Vessel","Fuel Oil",39.7,73.6,0.2,0.5,18;"Off-road Agriculture and forestry equipment","Diesel",38.6,69.9,0.3,0.5,17.3}, _xlpm.r, _xlpm.c))))</definedName>
    <definedName name="Fuel_SourceData.Fuel_Scope1Scope3EmissionFactorsTransportOffRoad_Description">_xlfn.LAMBDA(("Direct (scope 1) and indirect (scope 3) emission factors for the consumption of fuels in off-road equipment and vessels"))</definedName>
    <definedName name="Fuel_SourceData.Fuel_Scope1Scope3EmissionFactorsTransportOffRoad_Source">_xlfn.LAMBDA(("VEERG 2026: Table A.4.2.1"))</definedName>
    <definedName name="Fuel_SourceData.Fuel_Scope1Scope3EmissionFactorsTransportOffRoad_Title">_xlfn.LAMBDA(("Fuel scope 1 and 3 emission factors - Off-road equipment and vessels"))</definedName>
    <definedName name="Fuel_SourceData.Fuel_Scope3EmissionFactorsStationaryGaseous_Appendices">_xlfn.LAMBDA(_xlfn.MAKEARRAY(12, 2, _xlfn.LAMBDA(_xlpm.r,_xlpm.c, INDEX({"-","As Scope 3 factors are calculated at the point where natural gas is delivered to end users, it is necessary to calculate consumption at each of the load centres.";"","Gas reaches end users either from the metro distribution networks or direct from the high - pressure distribution pipelines.";"","Households and commercial users tend to be served by the former, and electricity generators and large industrial plants from the latter.";"-","Metro is defined as located on or east of the dividing range in NSW, including Canberra and Queanbeyan, Melbourne, Brisbane, Adelaide or Perth.";"","Otherwise, the non - metro factor should be used.";"-","Factors are calculated for all natural gas distributed in a pipeline which may include coal seam methane.";"-","Table 6 is not applicable to ethane. See Table 7 Indirect (Scope 3) emissions from the consumption of ethane.";"-","C = Confidential. Scope 3 emission factors for Tasmania and the Northern Territory are not available due to confidentiality constraints that arise";"","from the use of a limited number of NGER data inputs. It is suggested that for Tasmania the use of the Victorian emission factors is appropriate,";"","while for Northern Territory the use of the Western Australian emission factors is appropriate.";"-","Scope 3 emission factors do not include fugitive emission leakage from low pressure natural gas distribution pipeline networks while those from high pressure";"","gas networks are considered negligible."}, _xlpm.r, _xlpm.c))))</definedName>
    <definedName name="Fuel_SourceData.Fuel_Scope3EmissionFactorsStationaryGaseous_Data" localSheetId="37">_xlfn.LAMBDA(
  _xlfn.MAKEARRAY(9, 3,
    _xlfn.LAMBDA(_xlpm.r,_xlpm.c,
      INDEX({"State or territory","Scope 3 Emission Factors for Natural Gas (kg CO2 - e / GJ) Metro","Scope 3 Emission Factors for Natural Gas (kg CO2 - e / GJ) Non - Metro";"New South Wales",13.1,14;"ACT",13.1,14;"Victoria",4,4;"Queensland",8.8,7.9;"South Australia",10.7,10.6;"Western Australia",4.1,4;"Tasmania",4,4;"Northern Territory",4.1,4}, _xlpm.r, _xlpm.c)
)))</definedName>
    <definedName name="Fuel_SourceData.Fuel_Scope3EmissionFactorsStationaryGaseous_Data" localSheetId="33">_xlfn.LAMBDA(
  _xlfn.MAKEARRAY(9, 3,
    _xlfn.LAMBDA(_xlpm.r,_xlpm.c,
      INDEX({"State or territory","Scope 3 Emission Factors for Natural Gas (kg CO2 - e / GJ) Metro","Scope 3 Emission Factors for Natural Gas (kg CO2 - e / GJ) Non - Metro";"New South Wales",13.1,14;"ACT",13.1,14;"Victoria",4,4;"Queensland",8.8,7.9;"South Australia",10.7,10.6;"Western Australia",4.1,4;"Tasmania",4,4;"Northern Territory",4.1,4}, _xlpm.r, _xlpm.c)
)))</definedName>
    <definedName name="Fuel_SourceData.Fuel_Scope3EmissionFactorsStationaryGaseous_Data" localSheetId="34">_xlfn.LAMBDA(
  _xlfn.MAKEARRAY(9, 3,
    _xlfn.LAMBDA(_xlpm.r,_xlpm.c,
      INDEX({"State or territory","Scope 3 Emission Factors for Natural Gas (kg CO2 - e / GJ) Metro","Scope 3 Emission Factors for Natural Gas (kg CO2 - e / GJ) Non - Metro";"New South Wales",13.1,14;"ACT",13.1,14;"Victoria",4,4;"Queensland",8.8,7.9;"South Australia",10.7,10.6;"Western Australia",4.1,4;"Tasmania",4,4;"Northern Territory",4.1,4}, _xlpm.r, _xlpm.c)
)))</definedName>
    <definedName name="Fuel_SourceData.Fuel_Scope3EmissionFactorsStationaryGaseous_Data" localSheetId="38">_xlfn.LAMBDA(
  _xlfn.MAKEARRAY(9, 3,
    _xlfn.LAMBDA(_xlpm.r,_xlpm.c,
      INDEX({"State or territory","Scope 3 Emission Factors for Natural Gas (kg CO2 - e / GJ) Metro","Scope 3 Emission Factors for Natural Gas (kg CO2 - e / GJ) Non - Metro";"New South Wales",13.1,14;"ACT",13.1,14;"Victoria",4,4;"Queensland",8.8,7.9;"South Australia",10.7,10.6;"Western Australia",4.1,4;"Tasmania",4,4;"Northern Territory",4.1,4}, _xlpm.r, _xlpm.c)
)))</definedName>
    <definedName name="Fuel_SourceData.Fuel_Scope3EmissionFactorsStationaryGaseous_Data" localSheetId="44">_xlfn.LAMBDA(
  _xlfn.MAKEARRAY(9, 3,
    _xlfn.LAMBDA(_xlpm.r,_xlpm.c,
      INDEX({"State or territory","Scope 3 Emission Factors for Natural Gas (kg CO2 - e / GJ) Metro","Scope 3 Emission Factors for Natural Gas (kg CO2 - e / GJ) Non - Metro";"New South Wales",13.1,14;"ACT",13.1,14;"Victoria",4,4;"Queensland",8.8,7.9;"South Australia",10.7,10.6;"Western Australia",4.1,4;"Tasmania",4,4;"Northern Territory",4.1,4}, _xlpm.r, _xlpm.c)
)))</definedName>
    <definedName name="Fuel_SourceData.Fuel_Scope3EmissionFactorsStationaryGaseous_Data" localSheetId="45">_xlfn.LAMBDA(
  _xlfn.MAKEARRAY(9, 3,
    _xlfn.LAMBDA(_xlpm.r,_xlpm.c,
      INDEX({"State or territory","Scope 3 Emission Factors for Natural Gas (kg CO2 - e / GJ) Metro","Scope 3 Emission Factors for Natural Gas (kg CO2 - e / GJ) Non - Metro";"New South Wales",13.1,14;"ACT",13.1,14;"Victoria",4,4;"Queensland",8.8,7.9;"South Australia",10.7,10.6;"Western Australia",4.1,4;"Tasmania",4,4;"Northern Territory",4.1,4}, _xlpm.r, _xlpm.c)
)))</definedName>
    <definedName name="Fuel_SourceData.Fuel_Scope3EmissionFactorsStationaryGaseous_Data" localSheetId="7">_xlfn.LAMBDA(
  _xlfn.MAKEARRAY(9, 3,
    _xlfn.LAMBDA(_xlpm.r,_xlpm.c,
      INDEX({"State or territory","Scope 3 Emission Factors for Natural Gas (kg CO2 - e / GJ) Metro","Scope 3 Emission Factors for Natural Gas (kg CO2 - e / GJ) Non - Metro";"New South Wales",13.1,14;"ACT",13.1,14;"Victoria",4,4;"Queensland",8.8,7.9;"South Australia",10.7,10.6;"Western Australia",4.1,4;"Tasmania",4,4;"Northern Territory",4.1,4}, _xlpm.r, _xlpm.c)
)))</definedName>
    <definedName name="Fuel_SourceData.Fuel_Scope3EmissionFactorsStationaryGaseous_Data" localSheetId="13">_xlfn.LAMBDA(
  _xlfn.MAKEARRAY(9, 3,
    _xlfn.LAMBDA(_xlpm.r,_xlpm.c,
      INDEX({"State or territory","Scope 3 Emission Factors for Natural Gas (kg CO2 - e / GJ) Metro","Scope 3 Emission Factors for Natural Gas (kg CO2 - e / GJ) Non - Metro";"New South Wales",13.1,14;"ACT",13.1,14;"Victoria",4,4;"Queensland",8.8,7.9;"South Australia",10.7,10.6;"Western Australia",4.1,4;"Tasmania",4,4;"Northern Territory",4.1,4}, _xlpm.r, _xlpm.c)
)))</definedName>
    <definedName name="Fuel_SourceData.Fuel_Scope3EmissionFactorsStationaryGaseous_Data" localSheetId="14">_xlfn.LAMBDA(
  _xlfn.MAKEARRAY(9, 3,
    _xlfn.LAMBDA(_xlpm.r,_xlpm.c,
      INDEX({"State or territory","Scope 3 Emission Factors for Natural Gas (kg CO2 - e / GJ) Metro","Scope 3 Emission Factors for Natural Gas (kg CO2 - e / GJ) Non - Metro";"New South Wales",13.1,14;"ACT",13.1,14;"Victoria",4,4;"Queensland",8.8,7.9;"South Australia",10.7,10.6;"Western Australia",4.1,4;"Tasmania",4,4;"Northern Territory",4.1,4}, _xlpm.r, _xlpm.c)
)))</definedName>
    <definedName name="Fuel_SourceData.Fuel_Scope3EmissionFactorsStationaryGaseous_Data" localSheetId="16">_xlfn.LAMBDA(
  _xlfn.MAKEARRAY(9, 3,
    _xlfn.LAMBDA(_xlpm.r,_xlpm.c,
      INDEX({"State or territory","Scope 3 Emission Factors for Natural Gas (kg CO2 - e / GJ) Metro","Scope 3 Emission Factors for Natural Gas (kg CO2 - e / GJ) Non - Metro";"New South Wales",13.1,14;"ACT",13.1,14;"Victoria",4,4;"Queensland",8.8,7.9;"South Australia",10.7,10.6;"Western Australia",4.1,4;"Tasmania",4,4;"Northern Territory",4.1,4}, _xlpm.r, _xlpm.c)
)))</definedName>
    <definedName name="Fuel_SourceData.Fuel_Scope3EmissionFactorsStationaryGaseous_Data" localSheetId="11">_xlfn.LAMBDA(
  _xlfn.MAKEARRAY(9, 3,
    _xlfn.LAMBDA(_xlpm.r,_xlpm.c,
      INDEX({"State or territory","Scope 3 Emission Factors for Natural Gas (kg CO2 - e / GJ) Metro","Scope 3 Emission Factors for Natural Gas (kg CO2 - e / GJ) Non - Metro";"New South Wales",13.1,14;"ACT",13.1,14;"Victoria",4,4;"Queensland",8.8,7.9;"South Australia",10.7,10.6;"Western Australia",4.1,4;"Tasmania",4,4;"Northern Territory",4.1,4}, _xlpm.r, _xlpm.c)
)))</definedName>
    <definedName name="Fuel_SourceData.Fuel_Scope3EmissionFactorsStationaryGaseous_Data" localSheetId="15">_xlfn.LAMBDA(
  _xlfn.MAKEARRAY(9, 3,
    _xlfn.LAMBDA(_xlpm.r,_xlpm.c,
      INDEX({"State or territory","Scope 3 Emission Factors for Natural Gas (kg CO2 - e / GJ) Metro","Scope 3 Emission Factors for Natural Gas (kg CO2 - e / GJ) Non - Metro";"New South Wales",13.1,14;"ACT",13.1,14;"Victoria",4,4;"Queensland",8.8,7.9;"South Australia",10.7,10.6;"Western Australia",4.1,4;"Tasmania",4,4;"Northern Territory",4.1,4}, _xlpm.r, _xlpm.c)
)))</definedName>
    <definedName name="Fuel_SourceData.Fuel_Scope3EmissionFactorsStationaryGaseous_Data" localSheetId="18">_xlfn.LAMBDA(
  _xlfn.MAKEARRAY(9, 3,
    _xlfn.LAMBDA(_xlpm.r,_xlpm.c,
      INDEX({"State or territory","Scope 3 Emission Factors for Natural Gas (kg CO2 - e / GJ) Metro","Scope 3 Emission Factors for Natural Gas (kg CO2 - e / GJ) Non - Metro";"New South Wales",13.1,14;"ACT",13.1,14;"Victoria",4,4;"Queensland",8.8,7.9;"South Australia",10.7,10.6;"Western Australia",4.1,4;"Tasmania",4,4;"Northern Territory",4.1,4}, _xlpm.r, _xlpm.c)
)))</definedName>
    <definedName name="Fuel_SourceData.Fuel_Scope3EmissionFactorsStationaryGaseous_Data">_xlfn.LAMBDA(_xlfn.MAKEARRAY(9, 3, _xlfn.LAMBDA(_xlpm.r,_xlpm.c, INDEX({"State or territory","Scope 3 Emission Factors for Natural Gas (kg CO2 - e / GJ) Metro","Scope 3 Emission Factors for Natural Gas (kg CO2 - e / GJ) Non - Metro";"New South Wales",13.1,14;"ACT",13.1,14;"Victoria",4,4;"Queensland",8.8,7.9;"South Australia",10.7,10.6;"Western Australia",4.1,4;"Tasmania",4,4;"Northern Territory",4.1,4}, _xlpm.r, _xlpm.c))))</definedName>
    <definedName name="Fuel_SourceData.Fuel_Scope3EmissionFactorsStationaryGaseous_Description">_xlfn.LAMBDA(("Indirect (Scope 3) emission factors for the consumption of natural gas."))</definedName>
    <definedName name="Fuel_SourceData.Fuel_Scope3EmissionFactorsStationaryGaseous_Source">_xlfn.LAMBDA(("Australian National Greenhouse Accounts Factors 2025 - Table 6"))</definedName>
    <definedName name="Fuel_SourceData.Fuel_Scope3EmissionFactorsStationaryGaseous_Title">_xlfn.LAMBDA(("Fuel scope 3 emission factors - Stationary gaseous fuels"))</definedName>
    <definedName name="Fuel_SourceData.Fuel_Scope3EmissionFactorsStationaryGaseous_Variation">_xlfn.LAMBDA(("VARIATION OF SOURCE DATA: NSW and ACT split into separate rows. 'C' Values for Tasmania and Northern Territory replaced with those for Victoria and Western Australia respectively. (See appendices)"))</definedName>
    <definedName name="getOverlappingReportingCycles">_xlfn.LAMBDA(_xlpm.ProductionCycleStart,_xlpm.ProductionCycleEnd,_xlpm.ReportingStartMonth,_xlpm.ReportingStartDay, _xlfn.LET(_xlpm.S, _xlpm.ProductionCycleStart, _xlpm.E, _xlpm.ProductionCycleEnd, _xlpm.m, _xlpm.ReportingStartMonth, _xlpm.d, _xlpm.ReportingStartDay, _xlpm.A, _xlpm.S - 364, _xlpm.ya, YEAR(_xlpm.A), _xlpm.yb, YEAR(_xlpm.E), _xlpm.firstYear, _xlpm.ya + (DATE(_xlpm.ya, _xlpm.m, _xlpm.d) &lt; _xlpm.A), _xlpm.lastYear, _xlpm.yb - (DATE(_xlpm.yb, _xlpm.m, _xlpm.d) &gt; _xlpm.E), MAX(0, _xlpm.lastYear - _xlpm.firstYear + 1)))</definedName>
    <definedName name="InputFunctions_Dairy.CalculateFractionInMMSAfterSolidSeparation">_xlfn.LAMBDA(_xlpm.ProductionSystem,_xlpm.MMSFraction,_xlpm.FractionSeparated, _xlpm.ProductionSystem * (_xlpm.MMSFraction - (_xlpm.MMSFraction * _xlpm.FractionSeparated)))</definedName>
    <definedName name="InputFunctions_Dairy.CalculateFractionInSolidStorage">_xlfn.LAMBDA(_xlpm.ProductionSystem,_xlpm.InitalSolidStorageFraction,_xlpm.MMS1Fraction,_xlpm.MMS1Separated,_xlpm.MMS2Fraction,_xlpm.MMS2Separated,_xlpm.MMS3Fraction,_xlpm.MMS3Separated, _xlpm.ProductionSystem * (_xlpm.InitalSolidStorageFraction + (_xlpm.MMS1Fraction * _xlpm.MMS1Separated) + (_xlpm.MMS2Fraction * _xlpm.MMS2Separated) + (_xlpm.MMS3Fraction * _xlpm.MMS3Separated)))</definedName>
    <definedName name="InputFunctions_PastureBeef.ConvertMonthlyCalvingToSeason">_xlfn.LAMBDA(_xlpm.Season,_xlpm.SumArray,_xlpm.CalvingMonthArray,_xlpm.MonthArray,_xlpm.MonthToSeasonArray, _xlfn.LET(_xlpm.MonthText, TEXT(_xlpm.CalvingMonthArray, "mmmm"), _xlpm.SeasonPerRow, _xlfn.XLOOKUP(_xlpm.MonthText, _xlpm.MonthArray, _xlpm.MonthToSeasonArray, "", 0), SUM(_xlpm.SumArray * (_xlpm.SeasonPerRow = _xlpm.Season))))</definedName>
    <definedName name="InputFunctions_PastureBeef.LookupLiveweightFromMonth">_xlfn.LAMBDA(_xlpm.State,_xlpm.Region,_xlpm.Month,_xlpm.LivestockClass,_xlpm.StateArray,_xlpm.RegionArray,_xlpm.SeasonArray,_xlpm.LivestockClassArray,_xlpm.ReturnArray,_xlpm.StateCommonNameArray,_xlpm.StateAbbreviationArray,_xlpm.MonthArray,_xlpm.MonthToSeasonArray, _xlfn.LET(_xlpm.Month, TEXT(_xlpm.Month, "mmmm"), _xlpm.State, _xlfn.XLOOKUP(_xlpm.State, _xlpm.StateCommonNameArray, _xlpm.StateAbbreviationArray), _xlpm.Season, _xlfn.XLOOKUP(_xlpm.Month, _xlpm.MonthArray, _xlpm.MonthToSeasonArray), _xlfn.XLOOKUP(1, (_xlpm.StateArray = _xlpm.State) * (_xlpm.RegionArray = _xlpm.Region) * (_xlpm.SeasonArray = _xlpm.Season), _xlfn.XLOOKUP(_xlpm.LivestockClass, _xlpm.LivestockClassArray, _xlpm.ReturnArray))))</definedName>
    <definedName name="InputFunctions_PastureBeef.LookupLiveweightFromSeason">_xlfn.LAMBDA(_xlpm.State,_xlpm.Region,_xlpm.Season,_xlpm.LivestockClass,_xlpm.StateArray,_xlpm.RegionArray,_xlpm.SeasonArray,_xlpm.LivestockClassArray,_xlpm.ReturnArray,_xlpm.StateCommonNameArray,_xlpm.StateAbbreviationArray, _xlfn.LET(_xlpm.State, _xlfn.XLOOKUP(_xlpm.State, _xlpm.StateCommonNameArray, _xlpm.StateAbbreviationArray), _xlfn.XLOOKUP(1, (_xlpm.StateArray = _xlpm.State) * (_xlpm.RegionArray = _xlpm.Region) * (_xlpm.SeasonArray = _xlpm.Season), _xlfn.XLOOKUP(_xlpm.LivestockClass, _xlpm.LivestockClassArray, _xlpm.ReturnArray))))</definedName>
    <definedName name="InputFunctions_PastureBeef.LookupValueFromStateRegionMonth">_xlfn.LAMBDA(_xlpm.State,_xlpm.Region,_xlpm.Month,_xlpm.StateArray,_xlpm.RegionArray,_xlpm.SeasonArray,_xlpm.ReturnArray,_xlpm.StateCommonNameArray,_xlpm.StateAbbreviationArray,_xlpm.MonthArray,_xlpm.MonthToSeasonArray, _xlfn.LET(_xlpm.State, _xlfn.XLOOKUP(_xlpm.State, _xlpm.StateCommonNameArray, _xlpm.StateAbbreviationArray), _xlpm.Season, _xlfn.XLOOKUP(TEXT(_xlpm.Month, "mmmm"), _xlpm.MonthArray, _xlpm.MonthToSeasonArray), _xlfn.XLOOKUP(1, (_xlpm.StateArray = _xlpm.State) * (_xlpm.RegionArray = _xlpm.Region), _xlfn.XLOOKUP(_xlpm.Season, _xlpm.SeasonArray, _xlpm.ReturnArray))))</definedName>
    <definedName name="InputFunctions_PastureBeef.LookupValueFromStateRegionSeason">_xlfn.LAMBDA(_xlpm.State,_xlpm.Region,_xlpm.Season,_xlpm.StateArray,_xlpm.RegionArray,_xlpm.SeasonArray,_xlpm.ReturnArray,_xlpm.StateCommonNameArray,_xlpm.StateAbbreviationArray, _xlfn.LET(_xlpm.State, _xlfn.XLOOKUP(_xlpm.State, _xlpm.StateCommonNameArray, _xlpm.StateAbbreviationArray), _xlfn.XLOOKUP(1, (_xlpm.StateArray = _xlpm.State) * (_xlpm.RegionArray = _xlpm.Region), _xlfn.XLOOKUP(_xlpm.Season, _xlpm.SeasonArray, _xlpm.ReturnArray))))</definedName>
    <definedName name="M1_Table_AE">'4.2.1.3-4 Soil direct N20'!$D$206:$N$210</definedName>
    <definedName name="M1_Table_CP_j">'4.2.1.3-4 Soil direct N20'!$D$152:$N$156</definedName>
    <definedName name="M1_Table_D_j" localSheetId="20">'3.2.1.1-2 Enteric Methane'!$D$114:$N$118</definedName>
    <definedName name="M1_Table_D_j">'4.2.1.3-4 Soil direct N20'!$D$198:$N$202</definedName>
    <definedName name="M1_Table_D_j_Consumer_1">'4.2.1.1-2 Methane'!$D$226:$N$230</definedName>
    <definedName name="M1_Table_DMD_j_k_l">'4.2.1.1-2 Methane'!$D$114:$N$118</definedName>
    <definedName name="M1_Table_E_CH4">'4.2.1.1-2 Methane'!$D$234:$O$242</definedName>
    <definedName name="M1_Table_E_CO2">'5.1.1.3-4 Inorganic fert CO2'!$D$57:$E$76</definedName>
    <definedName name="M1_Table_E_enteric">'3.2.1.1-2 Enteric Methane'!$D$122:$N$126</definedName>
    <definedName name="M1_Table_E_N2O" localSheetId="32">'6.3.1.1-2 Leach runoff pasture'!$N$44:$O$46</definedName>
    <definedName name="M1_Table_E_N2O">'5.1.1.1-2 Inorganic fert N2O'!$D$59:$E$78</definedName>
    <definedName name="M1_Table_E_N2O_Consumer_1" localSheetId="32">'6.3.1.1-2 Leach runoff pasture'!$D$44:$E$46</definedName>
    <definedName name="M1_Table_I_j_k_l" localSheetId="20">'3.2.1.1-2 Enteric Methane'!$D$63:$N$67</definedName>
    <definedName name="M1_Table_I_j_k_l">'4.2.1.1-2 Methane'!$D$83:$N$87</definedName>
    <definedName name="M1_Table_I_j_k_l_Consumer_1">'4.2.1.3-4 Soil direct N20'!$D$53:$N$57</definedName>
    <definedName name="M1_Table_L_j_k_l">'4.2.1.3-4 Soil direct N20'!$D$61:$N$65</definedName>
    <definedName name="M1_Table_LC_j_k45" localSheetId="20">'3.2.1.1-2 Enteric Methane'!$D$20:$G$21</definedName>
    <definedName name="M1_Table_LC_j_k45">'4.2.1.1-2 Methane'!$D$21:$H$25</definedName>
    <definedName name="M1_Table_LC_j_k45_Consumer_1">'4.2.1.3-4 Soil direct N20'!$D$86:$G$87</definedName>
    <definedName name="M1_Table_LWG_j_k_l" localSheetId="20">'3.2.1.1-2 Enteric Methane'!$D$55:$N$59</definedName>
    <definedName name="M1_Table_LWG_j_k_l">'4.2.1.3-4 Soil direct N20'!$D$118:$N$122</definedName>
    <definedName name="M1_Table_LWG_j_k_l_Consumer_1">'4.2.1.1-2 Methane'!$D$67:$N$71</definedName>
    <definedName name="M1_Table_M_j_k_l">'3.2.1.1-2 Enteric Methane'!$D$84:$N$88</definedName>
    <definedName name="M1_Table_M_j_k_l_m">'4.2.1.1-2 Methane'!$D$176:$O$184</definedName>
    <definedName name="M1_Table_M_leach_cp" localSheetId="32">'6.3.1.1-2 Leach runoff pasture'!$D$23:$I$25</definedName>
    <definedName name="M1_Table_MA_j_k45" localSheetId="20">'3.2.1.1-2 Enteric Methane'!$D$25:$P$29</definedName>
    <definedName name="M1_Table_MA_j_k45">'4.2.1.1-2 Methane'!$D$29:$R$33</definedName>
    <definedName name="M1_Table_MC_j_k_136">'4.2.1.3-4 Soil direct N20'!$D$160:$O$164</definedName>
    <definedName name="M1_Table_MCF_i_m">'4.2.1.1-2 Methane'!$D$170:$E$172</definedName>
    <definedName name="M1_Table_MP_j_k45">'4.2.1.3-4 Soil direct N20'!$D$94:$P$98</definedName>
    <definedName name="M1_Table_N_j_k_l" localSheetId="20">'3.2.1.1-2 Enteric Methane'!$D$106:$N$110</definedName>
    <definedName name="M1_Table_N_j_k_l">'4.2.1.3-4 Soil direct N20'!$D$190:$N$194</definedName>
    <definedName name="M1_Table_N_j_k_l_Consumer_1">'4.2.1.1-2 Methane'!$D$218:$N$222</definedName>
    <definedName name="M1_Table_NE_j_k_l">'4.2.1.3-4 Soil direct N20'!$D$168:$N$172</definedName>
    <definedName name="M1_Table_NR_j_k_l">'4.2.1.3-4 Soil direct N20'!$D$126:$N$130</definedName>
    <definedName name="M1_Table_VS_j_k_l">'4.2.1.1-2 Methane'!$D$130:$N$134</definedName>
    <definedName name="M1_Table_W_j_k_l" localSheetId="20">'3.2.1.1-2 Enteric Methane'!$D$47:$N$51</definedName>
    <definedName name="M1_Table_W_j_k_l">'4.2.1.3-4 Soil direct N20'!$D$19:$N$23</definedName>
    <definedName name="M1_Table_W_j_k_l_Consumer_1">'4.2.1.1-2 Methane'!$D$51:$N$55</definedName>
    <definedName name="M1_Table_Z_j_k_l">'4.2.1.3-4 Soil direct N20'!$D$32:$N$36</definedName>
    <definedName name="M2_Table_AE">'4.2.1.3-4 Soil direct N20'!$U$247:$AE$259</definedName>
    <definedName name="M2_Table_CP_j">'4.2.1.3-4 Soil direct N20'!$U$163:$AE$175</definedName>
    <definedName name="M2_Table_D_j" localSheetId="20">'3.2.1.1-2 Enteric Methane'!$U$132:$AE$144</definedName>
    <definedName name="M2_Table_D_j">'4.2.1.3-4 Soil direct N20'!$U$231:$AE$243</definedName>
    <definedName name="M2_Table_D_j_Consumer_1">'4.2.1.1-2 Methane'!$W$234:$AG$246</definedName>
    <definedName name="M2_Table_DMD_j_k_l">'4.2.1.1-2 Methane'!$W$114:$AG$126</definedName>
    <definedName name="M2_Table_E_CH4">'4.2.1.1-2 Methane'!$W$250:$AH$274</definedName>
    <definedName name="M2_Table_E_enteric">'3.2.1.1-2 Enteric Methane'!$U$148:$AE$161</definedName>
    <definedName name="M2_Table_FertApplications">'5.1.1.1-2 Inorganic fert N2O'!$M$10:$W$25</definedName>
    <definedName name="M2_Table_I_j_k_l" localSheetId="20">'3.2.1.1-2 Enteric Methane'!$U$75:$AE$87</definedName>
    <definedName name="M2_Table_I_j_k_l">'4.2.1.1-2 Methane'!$W$75:$AG$87</definedName>
    <definedName name="M2_Table_I_j_k_l_Consumer_1">'4.2.1.3-4 Soil direct N20'!$U$55:$AE$67</definedName>
    <definedName name="M2_Table_L_j_k_l">'4.2.1.3-4 Soil direct N20'!$U$71:$AE$83</definedName>
    <definedName name="M2_Table_LC_j_k45" localSheetId="20">'3.2.1.1-2 Enteric Methane'!$U$21:$X$23</definedName>
    <definedName name="M2_Table_LC_j_k45">'4.2.1.3-4 Soil direct N20'!$U$91:$X$93</definedName>
    <definedName name="M2_Table_LC_j_k45_Consumer_1">'4.2.1.1-2 Methane'!$W$21:$Z$23</definedName>
    <definedName name="M2_Table_LW_j_k_l">'4.2.1.3-4 Soil direct N20'!$U$19:$AE$31</definedName>
    <definedName name="M2_Table_LWG_j_k_l" localSheetId="20">'3.2.1.1-2 Enteric Methane'!$U$59:$AE$71</definedName>
    <definedName name="M2_Table_LWG_j_k_l">'4.2.1.3-4 Soil direct N20'!$U$119:$AE$131</definedName>
    <definedName name="M2_Table_LWG_j_k_l_Consumer_1">'4.2.1.1-2 Methane'!$W$59:$AG$71</definedName>
    <definedName name="M2_Table_M_j_k_l">'3.2.1.1-2 Enteric Methane'!$U$96:$AE$108</definedName>
    <definedName name="M2_Table_M_j_k_l_m">'4.2.1.1-2 Methane'!$W$176:$AH$200</definedName>
    <definedName name="M2_Table_M_leach_cp" localSheetId="32">'6.3.1.1-2 Leach runoff pasture'!$N$23:$S$23</definedName>
    <definedName name="M2_Table_MA_j_k45" localSheetId="20">'3.2.1.1-2 Enteric Methane'!$U$27:$AG$39</definedName>
    <definedName name="M2_Table_MA_j_k45">'4.2.1.1-2 Methane'!$W$27:$AI$39</definedName>
    <definedName name="M2_Table_MC_j_k_136">'4.2.1.3-4 Soil direct N20'!$U$179:$AF$191</definedName>
    <definedName name="M2_Table_MCF_i_m">'4.2.1.1-2 Methane'!$W$170:$X$172</definedName>
    <definedName name="M2_Table_MP_j_k45">'4.2.1.3-4 Soil direct N20'!$U$99:$AG$111</definedName>
    <definedName name="M2_Table_N_j_k_l" localSheetId="20">'3.2.1.1-2 Enteric Methane'!$U$116:$AE$128</definedName>
    <definedName name="M2_Table_N_j_k_l">'4.2.1.3-4 Soil direct N20'!$U$215:$AE$227</definedName>
    <definedName name="M2_Table_N_j_k_l_Consumer_1">'4.2.1.1-2 Methane'!$W$218:$AG$230</definedName>
    <definedName name="M2_Table_NE_j_k_l">'4.2.1.3-4 Soil direct N20'!$U$195:$AE$207</definedName>
    <definedName name="M2_Table_NR_j_k_l">'4.2.1.3-4 Soil direct N20'!$U$135:$AE$147</definedName>
    <definedName name="M2_Table_VS_j_k_l">'4.2.1.1-2 Methane'!$W$130:$AG$142</definedName>
    <definedName name="M2_Table_W_j_k_l" localSheetId="20">'3.2.1.1-2 Enteric Methane'!$U$43:$AE$55</definedName>
    <definedName name="M2_Table_W_j_k_l">'4.2.1.1-2 Methane'!$W$43:$AG$55</definedName>
    <definedName name="M2_Table_Z_j_k_l">'4.2.1.3-4 Soil direct N20'!$U$35:$AE$47</definedName>
    <definedName name="ManureManagement_Swine_Methane.VEERG_4_5_1_1__1_TotalAnnualMethaneEmissions">_xlfn.LAMBDA(_xlpm.Dj,_xlpm.Mmj,_xlpm.Nj, _xlpm.Dj * _xlpm.Mmj * _xlpm.Nj * 10 ^ -3)</definedName>
    <definedName name="ManureManagement_Swine_Methane.VEERG_4_5_1_1__1_TotalAnnualMethaneEmissions_Arguments">_xlfn.LAMBDA(_xlfn.MAKEARRAY(3, 2, _xlfn.LAMBDA(_xlpm.r,_xlpm.c, INDEX({"Dj","length of stay of each class of swine : days";"Mmj","methane production from manure in each swine class : kg CH4/head/day";"Nj","numbers of swine in each class : head"}, _xlpm.r, _xlpm.c))))</definedName>
    <definedName name="ManureManagement_Swine_Methane.VEERG_4_5_1_1__1_TotalAnnualMethaneEmissions_Source">_xlfn.LAMBDA("VEERG 2026: 4.5.1.1, Equation (1)")</definedName>
    <definedName name="ManureManagement_Swine_Methane.VEERG_4_5_1_1__1_TotalAnnualMethaneEmissions_Title">_xlfn.LAMBDA("Total annual methane emissions from manure management")</definedName>
    <definedName name="ManureManagement_Swine_Methane.VEERG_4_5_1_1__1_TotalAnnualMethaneEmissions_Unit">_xlfn.LAMBDA("t CH4")</definedName>
    <definedName name="ManureManagement_Swine_Methane.VEERG_4_5_1_1__1_TotalAnnualMethaneEmissions_Variable">_xlfn.LAMBDA("ECH4")</definedName>
    <definedName name="ManureManagement_Swine_Methane.VEERG_4_5_1_1__2_MethaneProductionPerClass_Arguments">_xlfn.LAMBDA(_xlfn.MAKEARRAY(1, 2, _xlfn.LAMBDA(_xlpm.r,_xlpm.c, INDEX({"MjmT","methane production from manure per class, MMS, and treatment stage : kg CH4/head/day"}, _xlpm.r, _xlpm.c))))</definedName>
    <definedName name="ManureManagement_Swine_Methane.VEERG_4_5_1_1__2_MethaneProductionPerClass_Source">_xlfn.LAMBDA("VEERG 2026: 4.5.1.1, Equation (2)")</definedName>
    <definedName name="ManureManagement_Swine_Methane.VEERG_4_5_1_1__2_MethaneProductionPerClass_Title">_xlfn.LAMBDA("Methane production from the manure of each class of swine")</definedName>
    <definedName name="ManureManagement_Swine_Methane.VEERG_4_5_1_1__2_MethaneProductionPerClass_Unit">_xlfn.LAMBDA("kg CH4/head/day")</definedName>
    <definedName name="ManureManagement_Swine_Methane.VEERG_4_5_1_1__2_MethaneProductionPerClass_Variable">_xlfn.LAMBDA("Mmj")</definedName>
    <definedName name="ManureManagement_Swine_Methane.VEERG_4_5_1_1__2_MethaneProductionPerClass_Variation">_xlfn.LAMBDA("VARIATION ON SOURCE: Split variable Mjm into MjmT1 and MjmT2 for stage 1 and 2 MMS.")</definedName>
    <definedName name="ManureManagement_Swine_Methane.VEERG_4_5_1_1__2_MethaneProductionPerClassVariation">_xlfn.LAMBDA(_xlpm.MjmT1,_xlpm.MjmT2, SUM(_xlpm.MjmT1, _xlpm.MjmT2))</definedName>
    <definedName name="ManureManagement_Swine_Methane.VEERG_4_5_1_1__3_Stage1MethaneProduction">_xlfn.LAMBDA(_xlpm.VSj,_xlpm.FVSjmT1,_xlpm.MCFim,_xlpm.BO,_xlpm.rho, _xlpm.VSj * _xlpm.FVSjmT1 * _xlpm.MCFim * _xlpm.BO * _xlpm.rho)</definedName>
    <definedName name="ManureManagement_Swine_Methane.VEERG_4_5_1_1__3_Stage1MethaneProduction_Arguments">_xlfn.LAMBDA(_xlfn.MAKEARRAY(5, 2, _xlfn.LAMBDA(_xlpm.r,_xlpm.c, INDEX({"VSj","volatile solid production from swine in each class : kg/head/day";"FVSjmT1","fraction of volatile solids in each primary system : fraction";"MCFim","methane conversion factor for temperate zone and system : fraction";"BO","emissions potential : m3 CH4/kg VS";"rho","density of methane : kg/m3"}, _xlpm.r, _xlpm.c))))</definedName>
    <definedName name="ManureManagement_Swine_Methane.VEERG_4_5_1_1__3_Stage1MethaneProduction_Source">_xlfn.LAMBDA("VEERG 2026: 4.5.1.1, Equation (3)")</definedName>
    <definedName name="ManureManagement_Swine_Methane.VEERG_4_5_1_1__3_Stage1MethaneProduction_Title">_xlfn.LAMBDA("Production of methane in treatment stage 1 MMS")</definedName>
    <definedName name="ManureManagement_Swine_Methane.VEERG_4_5_1_1__3_Stage1MethaneProduction_Unit">_xlfn.LAMBDA("kg CH4/head/day")</definedName>
    <definedName name="ManureManagement_Swine_Methane.VEERG_4_5_1_1__3_Stage1MethaneProduction_Variable">_xlfn.LAMBDA("MijmT1")</definedName>
    <definedName name="ManureManagement_Swine_Methane.VEERG_4_5_1_1__4_FractionVolatileSolidsPrimarySystem">_xlfn.LAMBDA(_xlpm.MMSjmT1,_xlpm.SSm, _xlfn.LET(_xlpm.ssm, IF(ISNUMBER(_xlpm.SSm), _xlpm.SSm, 0), _xlpm.MMSjmT1 * (1 - _xlpm.ssm)))</definedName>
    <definedName name="ManureManagement_Swine_Methane.VEERG_4_5_1_1__4_FractionVolatileSolidsPrimarySystem_Arguments">_xlfn.LAMBDA(_xlfn.MAKEARRAY(2, 2, _xlfn.LAMBDA(_xlpm.r,_xlpm.c, INDEX({"MMSjmT1","fraction of manure to each primary MMS for each class prior to solid separation : fraction";"SSm","fraction of volatile solids separated to solid storage for each MMS : fraction"}, _xlpm.r, _xlpm.c))))</definedName>
    <definedName name="ManureManagement_Swine_Methane.VEERG_4_5_1_1__4_FractionVolatileSolidsPrimarySystem_Source">_xlfn.LAMBDA("VEERG 2026: 4.5.1.1, Equation (4)")</definedName>
    <definedName name="ManureManagement_Swine_Methane.VEERG_4_5_1_1__4_FractionVolatileSolidsPrimarySystem_Title">_xlfn.LAMBDA("Fraction of volatile solids in each primary system other than solid storage")</definedName>
    <definedName name="ManureManagement_Swine_Methane.VEERG_4_5_1_1__4_FractionVolatileSolidsPrimarySystem_Unit">_xlfn.LAMBDA("fraction")</definedName>
    <definedName name="ManureManagement_Swine_Methane.VEERG_4_5_1_1__4_FractionVolatileSolidsPrimarySystem_Variable">_xlfn.LAMBDA("FVSjmT1")</definedName>
    <definedName name="ManureManagement_Swine_Methane.VEERG_4_5_1_1__4_FractionVolatileSolidsPrimarySystem_Variation">_xlfn.LAMBDA("VARIATION ON SOURCE: Added check to convert 'N/A' value to zero.")</definedName>
    <definedName name="ManureManagement_Swine_Methane.VEERG_4_5_1_1__5_FractionVolatileSolidsSolidStorage">_xlfn.LAMBDA(_xlpm.MMSjm4T1,_xlpm.MMSjm179T1,_xlpm.SSm, _xlfn.LET(_xlpm.MMSjm4T1, IF(ISNUMBER(_xlpm.MMSjm4T1), _xlpm.MMSjm4T1, 0), _xlpm.MMSjm179T1, IF(ISNUMBER(_xlpm.MMSjm179T1), _xlpm.MMSjm179T1, 0), _xlpm.SSm, IF(ISNUMBER(_xlpm.SSm), _xlpm.SSm, 0), _xlpm.MMSjm4T1 + (_xlpm.MMSjm179T1 * _xlpm.SSm)))</definedName>
    <definedName name="ManureManagement_Swine_Methane.VEERG_4_5_1_1__5_FractionVolatileSolidsSolidStorage_Arguments">_xlfn.LAMBDA(_xlfn.MAKEARRAY(3, 2, _xlfn.LAMBDA(_xlpm.r,_xlpm.c, INDEX({"MMSjm4T1","fraction of manure in solid storage primary system : fraction";"MMSjm179T1","fraction of manure in MMS 1, 7, and 9 in treatment stage 1 : fraction";"SSm","fraction of volatile solids separated to solid storage for each MMS : fraction"}, _xlpm.r, _xlpm.c))))</definedName>
    <definedName name="ManureManagement_Swine_Methane.VEERG_4_5_1_1__5_FractionVolatileSolidsSolidStorage_Source">_xlfn.LAMBDA("VEERG 2026: 4.5.1.1, Equation (5)")</definedName>
    <definedName name="ManureManagement_Swine_Methane.VEERG_4_5_1_1__5_FractionVolatileSolidsSolidStorage_Title">_xlfn.LAMBDA("Fraction of volatile solids in solid storage")</definedName>
    <definedName name="ManureManagement_Swine_Methane.VEERG_4_5_1_1__5_FractionVolatileSolidsSolidStorage_Unit">_xlfn.LAMBDA("fraction")</definedName>
    <definedName name="ManureManagement_Swine_Methane.VEERG_4_5_1_1__5_FractionVolatileSolidsSolidStorage_Variable">_xlfn.LAMBDA("FVSjm4T1")</definedName>
    <definedName name="ManureManagement_Swine_Methane.VEERG_4_5_1_1__6_Stage2MethaneProduction">_xlfn.LAMBDA(_xlpm.VSTjmT2,_xlpm.BO,_xlpm.MMSjmT2,_xlpm.MCFim,_xlpm.rho, _xlfn.LET(_xlpm.VSTjmT2, IF(ISNUMBER(_xlpm.VSTjmT2), _xlpm.VSTjmT2, 0), _xlpm.MMSjmT2, IF(ISNUMBER(_xlpm.MMSjmT2), _xlpm.MMSjmT2, 0), _xlpm.VSTjmT2 * _xlpm.BO * _xlpm.MMSjmT2 * _xlpm.MCFim * _xlpm.rho))</definedName>
    <definedName name="ManureManagement_Swine_Methane.VEERG_4_5_1_1__6_Stage2MethaneProduction_Arguments">_xlfn.LAMBDA(_xlfn.MAKEARRAY(6, 2, _xlfn.LAMBDA(_xlpm.r,_xlpm.c, INDEX({"VSTjmT2","volatile solids transferred to treatment stage 2 MMS : kg/head/day";"BO","emissions potential : m3 CH4/kg VS";"MMSjmT2","fraction of manure in each secondary system : fraction";"MCFim","methane conversion factor for temperate zone and system : fraction";"rho","density of methane : kg/m3";"i","state"}, _xlpm.r, _xlpm.c))))</definedName>
    <definedName name="ManureManagement_Swine_Methane.VEERG_4_5_1_1__6_Stage2MethaneProduction_Source">_xlfn.LAMBDA("VEERG 2026: 4.5.1.1, Equation (6)")</definedName>
    <definedName name="ManureManagement_Swine_Methane.VEERG_4_5_1_1__6_Stage2MethaneProduction_Title">_xlfn.LAMBDA("Production of methane in each treatment stage 2 MMS")</definedName>
    <definedName name="ManureManagement_Swine_Methane.VEERG_4_5_1_1__6_Stage2MethaneProduction_Unit">_xlfn.LAMBDA("kg CH4/head/day")</definedName>
    <definedName name="ManureManagement_Swine_Methane.VEERG_4_5_1_1__6_Stage2MethaneProduction_Variable">_xlfn.LAMBDA("MijmT2")</definedName>
    <definedName name="ManureManagement_Swine_Methane.VEERG_4_5_1_1__7_VolatileSolidsTransferredStage2">_xlfn.LAMBDA(_xlpm.VSj,_xlpm.FVSjmT1,_xlpm.VSLmT1, _xlpm.VSj * _xlpm.FVSjmT1 * (1 - _xlpm.VSLmT1))</definedName>
    <definedName name="ManureManagement_Swine_Methane.VEERG_4_5_1_1__7_VolatileSolidsTransferredStage2_Arguments">_xlfn.LAMBDA(_xlfn.MAKEARRAY(3, 2, _xlfn.LAMBDA(_xlpm.r,_xlpm.c, INDEX({"VSj","volatile solid production from swine in each class : kg/head/day";"FVSjmT1","fraction of volatile solids in each primary system : fraction";"VSLmT1","fraction of volatile solids lost during storage in the primary system : fraction"}, _xlpm.r, _xlpm.c))))</definedName>
    <definedName name="ManureManagement_Swine_Methane.VEERG_4_5_1_1__7_VolatileSolidsTransferredStage2_Source">_xlfn.LAMBDA("VEERG 2026: 4.5.1.1, Equation (7)")</definedName>
    <definedName name="ManureManagement_Swine_Methane.VEERG_4_5_1_1__7_VolatileSolidsTransferredStage2_Title">_xlfn.LAMBDA("Volatile solids transferred to treatment stage 2 MMS")</definedName>
    <definedName name="ManureManagement_Swine_Methane.VEERG_4_5_1_1__7_VolatileSolidsTransferredStage2_Unit">_xlfn.LAMBDA("kg VS")</definedName>
    <definedName name="ManureManagement_Swine_Methane.VEERG_4_5_1_1__7_VolatileSolidsTransferredStage2_Variable">_xlfn.LAMBDA("VSTijmT2")</definedName>
    <definedName name="MMS_Dairy_AtmosphericDeposition_Equations.VEERG_4_3_1_5__1_AnnualAtmosphericDepositionEmissionsFromMMS">_xlfn.LAMBDA(_xlpm.MN_ATMOS,_xlpm.EF_N2O,_xlpm.C_N2O, _xlpm.MN_ATMOS * _xlpm.EF_N2O * _xlpm.C_N2O * 10 ^ -3)</definedName>
    <definedName name="MMS_Dairy_AtmosphericDeposition_Equations.VEERG_4_3_1_5__1_AnnualAtmosphericDepositionEmissionsFromMMS_Arguments">_xlfn.LAMBDA(_xlfn.MAKEARRAY(6, 4, _xlfn.LAMBDA(_xlpm.r,_xlpm.c, INDEX({"MN_ATMOS","mass of N volatilised from MMS","kg N","Calculated from 4.3.1.5 (2)";"EF_N2O","nitrous oxide emission factor for atmospheric deposition","kg N2O-N/kg N","Constant";"C_N2O","factor to convert elemental mass of N2O to molecular mass","","Constant";"j","production system","","Input";"ir","irrigation method","","Input";"r","rainfall region","","Input"}, _xlpm.r, _xlpm.c))))</definedName>
    <definedName name="MMS_Dairy_AtmosphericDeposition_Equations.VEERG_4_3_1_5__1_AnnualAtmosphericDepositionEmissionsFromMMS_LatexEquation">_xlfn.LAMBDA("E_{N2O,MMS,ad}=MN_{ATMOS}\times EF_{N2O}\times C_{N2O}\times 10^{-3}")</definedName>
    <definedName name="MMS_Dairy_AtmosphericDeposition_Equations.VEERG_4_3_1_5__1_AnnualAtmosphericDepositionEmissionsFromMMS_NIRReference">_xlfn.LAMBDA("")</definedName>
    <definedName name="MMS_Dairy_AtmosphericDeposition_Equations.VEERG_4_3_1_5__1_AnnualAtmosphericDepositionEmissionsFromMMS_Source">_xlfn.LAMBDA("VEERG 2026: 4.3.1.5, Equation (1)")</definedName>
    <definedName name="MMS_Dairy_AtmosphericDeposition_Equations.VEERG_4_3_1_5__1_AnnualAtmosphericDepositionEmissionsFromMMS_Title">_xlfn.LAMBDA("Annual atmospheric deposition emissions from MMS")</definedName>
    <definedName name="MMS_Dairy_AtmosphericDeposition_Equations.VEERG_4_3_1_5__1_AnnualAtmosphericDepositionEmissionsFromMMS_Unit">_xlfn.LAMBDA("t N2O")</definedName>
    <definedName name="MMS_Dairy_AtmosphericDeposition_Equations.VEERG_4_3_1_5__1_AnnualAtmosphericDepositionEmissionsFromMMS_Variable">_xlfn.LAMBDA("E_N2OMMSad")</definedName>
    <definedName name="MMS_Dairy_AtmosphericDeposition_Equations.VEERG_4_3_1_5__2_TotalNitrogenVolatilisedFromMMS">_xlfn.LAMBDA(_xlpm.MN_jm,_xlpm.FracGASM_m, _xlpm.MN_jm * _xlpm.FracGASM_m)</definedName>
    <definedName name="MMS_Dairy_AtmosphericDeposition_Equations.VEERG_4_3_1_5__2_TotalNitrogenVolatilisedFromMMS_Arguments">_xlfn.LAMBDA(_xlfn.MAKEARRAY(2, 4, _xlfn.LAMBDA(_xlpm.r,_xlpm.c, INDEX({"MN_jm","total nitrogen in each MMS for dairy cattle classes","kg N","Calculated from 4.3.1.3 (2)";"FracGASM_m","fraction of N volatilised from MMS","fraction","Constant"}, _xlpm.r, _xlpm.c))))</definedName>
    <definedName name="MMS_Dairy_AtmosphericDeposition_Equations.VEERG_4_3_1_5__2_TotalNitrogenVolatilisedFromMMS_LatexEquation">_xlfn.LAMBDA("MN_{ATMOS}=\sum\nolimits_{j}\sum\nolimits_{m}(MN_{jm}\times FracGASM_m)")</definedName>
    <definedName name="MMS_Dairy_AtmosphericDeposition_Equations.VEERG_4_3_1_5__2_TotalNitrogenVolatilisedFromMMS_NIRReference">_xlfn.LAMBDA("")</definedName>
    <definedName name="MMS_Dairy_AtmosphericDeposition_Equations.VEERG_4_3_1_5__2_TotalNitrogenVolatilisedFromMMS_Source">_xlfn.LAMBDA("VEERG 2026: 4.3.1.5, Equation (2)")</definedName>
    <definedName name="MMS_Dairy_AtmosphericDeposition_Equations.VEERG_4_3_1_5__2_TotalNitrogenVolatilisedFromMMS_Title">_xlfn.LAMBDA("Total nitrogen volatilised from MMS")</definedName>
    <definedName name="MMS_Dairy_AtmosphericDeposition_Equations.VEERG_4_3_1_5__2_TotalNitrogenVolatilisedFromMMS_Unit">_xlfn.LAMBDA("kg N")</definedName>
    <definedName name="MMS_Dairy_AtmosphericDeposition_Equations.VEERG_4_3_1_5__2_TotalNitrogenVolatilisedFromMMS_Variable">_xlfn.LAMBDA("MN_ATMOS")</definedName>
    <definedName name="MMS_Dairy_LeachingAndRunoff_Equations.VEERG_4_3_1_6__1_AnnualEmissionsFromLeachingAndRunoffFromMMS">_xlfn.LAMBDA(_xlpm.MNLeach_jm,_xlpm.EF_leach,_xlpm.C_N2O, (_xlpm.MNLeach_jm * _xlpm.EF_leach * _xlpm.C_N2O) * 10 ^ -3)</definedName>
    <definedName name="MMS_Dairy_LeachingAndRunoff_Equations.VEERG_4_3_1_6__1_AnnualEmissionsFromLeachingAndRunoffFromMMS_Arguments">_xlfn.LAMBDA(_xlfn.MAKEARRAY(3, 4, _xlfn.LAMBDA(_xlpm.r,_xlpm.c, INDEX({"MNLeach_jm","mass of N lost through leaching and runoff","kg N","Calculated from 4.3.1.6 (2)";"EF_leach","nitrous oxide emission factor for leaching and runoff","kg N2O-N/kg N","Constant";"C_N2O","factor to convert elemental mass of N2O to molecular mass","","Constant"}, _xlpm.r, _xlpm.c))))</definedName>
    <definedName name="MMS_Dairy_LeachingAndRunoff_Equations.VEERG_4_3_1_6__1_AnnualEmissionsFromLeachingAndRunoffFromMMS_LatexEquation">_xlfn.LAMBDA("E_{N2O,leach}=\sum\nolimits_{j}\sum\nolimits_{m=1-13}(MNLeach_{jm}\times EF_{leach}\times C_{N2O})\times 10^{-3}")</definedName>
    <definedName name="MMS_Dairy_LeachingAndRunoff_Equations.VEERG_4_3_1_6__1_AnnualEmissionsFromLeachingAndRunoffFromMMS_NIRReference">_xlfn.LAMBDA("")</definedName>
    <definedName name="MMS_Dairy_LeachingAndRunoff_Equations.VEERG_4_3_1_6__1_AnnualEmissionsFromLeachingAndRunoffFromMMS_Source">_xlfn.LAMBDA("VEERG 2026: 4.3.1.6, Equation (1)")</definedName>
    <definedName name="MMS_Dairy_LeachingAndRunoff_Equations.VEERG_4_3_1_6__1_AnnualEmissionsFromLeachingAndRunoffFromMMS_Title">_xlfn.LAMBDA("Annual emissions from leaching and runoff from each MMS")</definedName>
    <definedName name="MMS_Dairy_LeachingAndRunoff_Equations.VEERG_4_3_1_6__1_AnnualEmissionsFromLeachingAndRunoffFromMMS_Unit">_xlfn.LAMBDA("t N2O")</definedName>
    <definedName name="MMS_Dairy_LeachingAndRunoff_Equations.VEERG_4_3_1_6__1_AnnualEmissionsFromLeachingAndRunoffFromMMS_Variable">_xlfn.LAMBDA("E_N2Oleach")</definedName>
    <definedName name="MMS_Dairy_LeachingAndRunoff_Equations.VEERG_4_3_1_6__2_MassOfNitrogenLostToLeachingAndRunoffFromSolidStorage">_xlfn.LAMBDA(_xlpm.MN_jm4,_xlpm.FracWET_i,_xlpm.FracLEACH_MS, _xlpm.MN_jm4 * _xlpm.FracWET_i * _xlpm.FracLEACH_MS)</definedName>
    <definedName name="MMS_Dairy_LeachingAndRunoff_Equations.VEERG_4_3_1_6__2_MassOfNitrogenLostToLeachingAndRunoffFromSolidStorage_Arguments">_xlfn.LAMBDA(_xlfn.MAKEARRAY(6, 4, _xlfn.LAMBDA(_xlpm.r,_xlpm.c, INDEX({"MN_jm4","total nitrogen in solid storage system m=4 (kg N)","kg N","Calculated from 4.3.1.3 (2)";"FracWET_i","fraction of N that is available for leaching and runoff from the leaching zone z and irrigation type ir","fraction","Constant";"FracLEACH_MS","fraction of N that is lost through leaching and runoff","fraction","Constant";"z","location in leaching zone","","Input";"j","production system","","Input";"ir","irrigation method","","Input"}, _xlpm.r, _xlpm.c))))</definedName>
    <definedName name="MMS_Dairy_LeachingAndRunoff_Equations.VEERG_4_3_1_6__2_MassOfNitrogenLostToLeachingAndRunoffFromSolidStorage_LatexEquation">_xlfn.LAMBDA("MNLeach_{jm=4}=MN_{jm=4}\times FracWET_i\times FracLEACH_{MS}")</definedName>
    <definedName name="MMS_Dairy_LeachingAndRunoff_Equations.VEERG_4_3_1_6__2_MassOfNitrogenLostToLeachingAndRunoffFromSolidStorage_NIRReference">_xlfn.LAMBDA("")</definedName>
    <definedName name="MMS_Dairy_LeachingAndRunoff_Equations.VEERG_4_3_1_6__2_MassOfNitrogenLostToLeachingAndRunoffFromSolidStorage_Source">_xlfn.LAMBDA("VEERG 2026: 4.3.1.6, Equation (2)")</definedName>
    <definedName name="MMS_Dairy_LeachingAndRunoff_Equations.VEERG_4_3_1_6__2_MassOfNitrogenLostToLeachingAndRunoffFromSolidStorage_Title">_xlfn.LAMBDA("Mass of nitrogen lost to leaching and runoff from solid storage systems")</definedName>
    <definedName name="MMS_Dairy_LeachingAndRunoff_Equations.VEERG_4_3_1_6__2_MassOfNitrogenLostToLeachingAndRunoffFromSolidStorage_Unit">_xlfn.LAMBDA("kg N")</definedName>
    <definedName name="MMS_Dairy_LeachingAndRunoff_Equations.VEERG_4_3_1_6__2_MassOfNitrogenLostToLeachingAndRunoffFromSolidStorage_Variable">_xlfn.LAMBDA("MNLeach_jm4")</definedName>
    <definedName name="MMS_Dairy_ManureAppliedToSoils_Equations.VEERG_4_3_1_8__1_MassOfNitrogenAppliedToSoilsScope1">_xlfn.LAMBDA(_xlpm.MN_jm,_xlpm.EF_m,_xlpm.FracGASM_m,_xlpm.MNLeach_jm,_xlpm.PF_scope, (_xlpm.MN_jm * (1 - _xlpm.EF_m - _xlpm.FracGASM_m) - _xlpm.MNLeach_jm) * _xlpm.PF_scope)</definedName>
    <definedName name="MMS_Dairy_ManureAppliedToSoils_Equations.VEERG_4_3_1_8__1_MassOfNitrogenAppliedToSoilsScope1_Arguments">_xlfn.LAMBDA(_xlfn.MAKEARRAY(5, 4, _xlfn.LAMBDA(_xlpm.r,_xlpm.c, INDEX({"MN_jm","total nitrogen in each MMS for dairy cattle classes","kg N","Calculated from 4.3.1.3 (2)";"EF_m","emission factor for nitrous oxide emissions per MMS","kg N2O-N/kg N","Constant";"FracGASM_m","fraction of N volatilised from MMS","fraction","Constant";"MNLeach_jm","mass of N lost through leaching and runoff from each MMS","kg N","Calculated from 4.3.1.6 (2)";"PF_scope","fraction of manure applied to soil within farm boundary","fraction","Input"}, _xlpm.r, _xlpm.c))))</definedName>
    <definedName name="MMS_Dairy_ManureAppliedToSoils_Equations.VEERG_4_3_1_8__1_MassOfNitrogenAppliedToSoilsScope1_LatexEquation">_xlfn.LAMBDA("MNSoil_{scope1}=\sum\nolimits_{j}\sum\nolimits_{m}(MN_{jm=1-13}\times (1-EF_{m=1-13}-FracGASM_{m=1-13})-MNLeach_{jm})\times PF")</definedName>
    <definedName name="MMS_Dairy_ManureAppliedToSoils_Equations.VEERG_4_3_1_8__1_MassOfNitrogenAppliedToSoilsScope1_NIRReference">_xlfn.LAMBDA("")</definedName>
    <definedName name="MMS_Dairy_ManureAppliedToSoils_Equations.VEERG_4_3_1_8__1_MassOfNitrogenAppliedToSoilsScope1_Source">_xlfn.LAMBDA("VEERG 2026: 4.3.1.8, Equation (1)")</definedName>
    <definedName name="MMS_Dairy_ManureAppliedToSoils_Equations.VEERG_4_3_1_8__1_MassOfNitrogenAppliedToSoilsScope1_Title">_xlfn.LAMBDA("Mass of nitrogen from manure applied to soils for scope 1 emissions")</definedName>
    <definedName name="MMS_Dairy_ManureAppliedToSoils_Equations.VEERG_4_3_1_8__1_MassOfNitrogenAppliedToSoilsScope1_Unit">_xlfn.LAMBDA("kg N")</definedName>
    <definedName name="MMS_Dairy_ManureAppliedToSoils_Equations.VEERG_4_3_1_8__1_MassOfNitrogenAppliedToSoilsScope1_Variable">_xlfn.LAMBDA("MNSoil_scope1")</definedName>
    <definedName name="MMS_Dairy_ManureAppliedToSoils_Equations.VEERG_4_3_1_8__2_MassOfNitrogenAppliedToSoilsScope3">_xlfn.LAMBDA(_xlpm.MN_jm,_xlpm.EF_m,_xlpm.FracGASM_m,_xlpm.MNLeach_jm,_xlpm.PF, (_xlpm.MN_jm * (1 - _xlpm.EF_m - _xlpm.FracGASM_m) - _xlpm.MNLeach_jm) * (1 - _xlpm.PF))</definedName>
    <definedName name="MMS_Dairy_ManureAppliedToSoils_Equations.VEERG_4_3_1_8__2_MassOfNitrogenAppliedToSoilsScope3_Arguments">_xlfn.LAMBDA(_xlfn.MAKEARRAY(5, 4, _xlfn.LAMBDA(_xlpm.r,_xlpm.c, INDEX({"MN_jm","total nitrogen in each MMS for dairy cattle classes","kg N","Calculated from 4.3.1.3 (2)";"EF_m","emission factor for nitrous oxide emissions per MMS","kg N2O-N/kg N","Constant";"FracGASM_m","fraction of N volatilised from MMS","fraction","Constant";"MNLeach_jm","mass of N lost through leaching and runoff from each MMS","kg N","Calculated from 4.3.1.6 (2)";"PF","fraction of manure applied to soil within farm boundary","fraction","Input"}, _xlpm.r, _xlpm.c))))</definedName>
    <definedName name="MMS_Dairy_ManureAppliedToSoils_Equations.VEERG_4_3_1_8__2_MassOfNitrogenAppliedToSoilsScope3_LatexEquation">_xlfn.LAMBDA("MNSoil_{scope3}=\sum\nolimits_{j}\sum\nolimits_{m}(MN_{jm=1-13}\times (1-EF_{m=1-13}-FracGASM_{m=1-13})-MNLeach_{jm})\times (1-PF)")</definedName>
    <definedName name="MMS_Dairy_ManureAppliedToSoils_Equations.VEERG_4_3_1_8__2_MassOfNitrogenAppliedToSoilsScope3_NIRReference">_xlfn.LAMBDA("")</definedName>
    <definedName name="MMS_Dairy_ManureAppliedToSoils_Equations.VEERG_4_3_1_8__2_MassOfNitrogenAppliedToSoilsScope3_Source">_xlfn.LAMBDA("VEERG 2026: 4.3.1.8, Equation (2)")</definedName>
    <definedName name="MMS_Dairy_ManureAppliedToSoils_Equations.VEERG_4_3_1_8__2_MassOfNitrogenAppliedToSoilsScope3_Title">_xlfn.LAMBDA("Mass of nitrogen from manure applied to soils for scope 3 emissions")</definedName>
    <definedName name="MMS_Dairy_ManureAppliedToSoils_Equations.VEERG_4_3_1_8__2_MassOfNitrogenAppliedToSoilsScope3_Unit">_xlfn.LAMBDA("kg N")</definedName>
    <definedName name="MMS_Dairy_ManureAppliedToSoils_Equations.VEERG_4_3_1_8__2_MassOfNitrogenAppliedToSoilsScope3_Variable">_xlfn.LAMBDA("MNSoil_scope3")</definedName>
    <definedName name="MMS_Dairy_Methane_Equations.VEERG_4_3_1_1__1_TotalAnnualMethaneFromManureManagement">_xlfn.LAMBDA(_xlpm.N_j124,_xlpm.M_j124m,_xlpm.D_j124,_xlpm.N_j35,_xlpm.M_j35m,_xlpm.D_j35,_xlpm.MPW_manure_j35, ((_xlpm.N_j124 * _xlpm.M_j124m * _xlpm.D_j124) + (_xlpm.N_j35 * _xlpm.M_j35m * _xlpm.D_j35) + (_xlpm.N_j35 * _xlpm.MPW_manure_j35 * _xlpm.D_j35)) * 10 ^ -3)</definedName>
    <definedName name="MMS_Dairy_Methane_Equations.VEERG_4_3_1_1__1_TotalAnnualMethaneFromManureManagement_Arguments">_xlfn.LAMBDA(_xlfn.MAKEARRAY(8, 4, _xlfn.LAMBDA(_xlpm.r,_xlpm.c, INDEX({"N_j124","number of dairy cattle in classes j=1,2,4","head","Input";"M_j124m","methane production from manure of weaned dairy cattle in classes j=1,2,4 in MMS m","kg CH4/head/day","Calculated from 4.3.1.1 (2)";"D_j124","duration of stay on farm for classes j=1,2,4","days","Input";"N_j35","number of dairy cattle in classes j=3,5","head","Input";"M_j35m","methane production from manure of weaned dairy cattle in classes j=3,5 in MMS m","kg CH4/head/day","Calculated from 4.3.1.1 (2)";"D_j35","duration of stay on farm for classes j=3,5","days","Input";"MPW_manure_j35","methane production from manure of pre-weaned heifer and bull calves","kg CH4/head/day","Constant";"DPW_j35","duration of stay on farm for pre-weaned heifer and bull calves","days","Input"}, _xlpm.r, _xlpm.c))))</definedName>
    <definedName name="MMS_Dairy_Methane_Equations.VEERG_4_3_1_1__1_TotalAnnualMethaneFromManureManagement_LatexEquation">_xlfn.LAMBDA("E_{CH4}=\sum\nolimits_{j}\sum\nolimits_{m}((N_{j=1,2,4}\times M_{j=1,2,4,m}\times D_{j=1,2,4})+(N_{j=3,5}\times M_{j=3,5,m}\times D_{j=3,5})+(N_{j=3,5}\times MPW_{manure,j=3,5}\times D_{j=3,5}))\times 10^{-3}")</definedName>
    <definedName name="MMS_Dairy_Methane_Equations.VEERG_4_3_1_1__1_TotalAnnualMethaneFromManureManagement_LatexEquationVariation">_xlfn.LAMBDA("E_{CH4}=\sum\nolimits_{j}\sum\nolimits_{m}((N_{j=1,2,4}\times M_{j=1,2,4,m}\times D_{j=1,2,4})+(N_{j=3,5}\times M_{j=3,5,m}\times D_{j=3,5})+(N_{j=3,5}\times MPW_{manure,j=3,5}\times DPW_{j=3,5}))\times 10^{-3}")</definedName>
    <definedName name="MMS_Dairy_Methane_Equations.VEERG_4_3_1_1__1_TotalAnnualMethaneFromManureManagement_NIRReference">_xlfn.LAMBDA("")</definedName>
    <definedName name="MMS_Dairy_Methane_Equations.VEERG_4_3_1_1__1_TotalAnnualMethaneFromManureManagement_Source">_xlfn.LAMBDA("VEERG 2026: 4.3.1.1, Equation (1)")</definedName>
    <definedName name="MMS_Dairy_Methane_Equations.VEERG_4_3_1_1__1_TotalAnnualMethaneFromManureManagement_Title">_xlfn.LAMBDA("Total annual methane production from manure management")</definedName>
    <definedName name="MMS_Dairy_Methane_Equations.VEERG_4_3_1_1__1_TotalAnnualMethaneFromManureManagement_Unit">_xlfn.LAMBDA("t CH4")</definedName>
    <definedName name="MMS_Dairy_Methane_Equations.VEERG_4_3_1_1__1_TotalAnnualMethaneFromManureManagement_Variable">_xlfn.LAMBDA("E_CH4")</definedName>
    <definedName name="MMS_Dairy_Methane_Equations.VEERG_4_3_1_1__1_TotalAnnualMethaneFromManureManagement_Variation">_xlfn.LAMBDA("VARIATION: Used separate variable for duration of stay on farm for pre-weaned heifer and bull calves.")</definedName>
    <definedName name="MMS_Dairy_Methane_Equations.VEERG_4_3_1_1__1_TotalAnnualMethaneFromManureManagementVariation">_xlfn.LAMBDA(_xlpm.N_j124,_xlpm.M_j124m,_xlpm.D_j124,_xlpm.N_j35,_xlpm.M_j35m,_xlpm.D_j35,_xlpm.MPW_manure_j35,_xlpm.DPW_j35, ((_xlpm.N_j124 * _xlpm.M_j124m * _xlpm.D_j124) + (_xlpm.N_j35 * _xlpm.M_j35m * _xlpm.D_j35) + (_xlpm.N_j35 * _xlpm.MPW_manure_j35 * _xlpm.DPW_j35)) * 10 ^ -3)</definedName>
    <definedName name="MMS_Dairy_Methane_Equations.VEERG_4_3_1_1__2_MethaneFromManureProduction">_xlfn.LAMBDA(_xlpm.VS_j,_xlpm.FVS_jmT1,_xlpm.MCF_im,_xlpm.B_o,_xlpm.rho, _xlpm.VS_j * _xlpm.FVS_jmT1 * _xlpm.MCF_im * _xlpm.B_o * _xlpm.rho)</definedName>
    <definedName name="MMS_Dairy_Methane_Equations.VEERG_4_3_1_1__2_MethaneFromManureProduction_Arguments">_xlfn.LAMBDA(_xlfn.MAKEARRAY(6, 4, _xlfn.LAMBDA(_xlpm.r,_xlpm.c, INDEX({"VS_j","daily volatile solids production per head for dairy cattle (kg/head/day)","kg/head/day","Calculated from 4.3.1.1 (3)";"FVS_jmT1","fraction of waste from each class in each management system","fraction","Calculated from 4.3.1.1 (4)(5)";"MCF_im","methane conversion factor for temperature zone and MMS","fraction","Constant";"B_o","emissions potential (m3 CH4/kgVS)","m3 CH4/kgVS","Constant";"rho","density of methane (kg/m3)","kg/m3","Constant";"i","state","state","Input"}, _xlpm.r, _xlpm.c))))</definedName>
    <definedName name="MMS_Dairy_Methane_Equations.VEERG_4_3_1_1__2_MethaneFromManureProduction_Arguments_Method2">_xlfn.LAMBDA(_xlfn.MAKEARRAY(6, 4, _xlfn.LAMBDA(_xlpm.r,_xlpm.c, INDEX({"VS_j","daily volatile solids production per head for dairy cattle (kg/head/day)","kg/head/day","Calculated from 4.3.1.1 (3)";"FVS_jmT1","fraction of waste from each class in each management system","fraction","Calculated from 4.3.1.1 (4)(5)";"MCF_im","methane conversion factor for temperature zone and MMS","fraction","Constant";"B_o","emissions potential (m3 CH4/kgVS)","m3 CH4/kgVS","Constant";"rho","density of methane (kg/m3)","kg/m3","Constant";"MAT","Mean annual temperature","°C","Input"}, _xlpm.r, _xlpm.c))))</definedName>
    <definedName name="MMS_Dairy_Methane_Equations.VEERG_4_3_1_1__2_MethaneFromManureProduction_LatexEquation">_xlfn.LAMBDA("M_{jm}=VS_j\times FVS_{jm,T=1}\times MCF_{im}\times B_o\times \rho")</definedName>
    <definedName name="MMS_Dairy_Methane_Equations.VEERG_4_3_1_1__2_MethaneFromManureProduction_NIRReference">_xlfn.LAMBDA("")</definedName>
    <definedName name="MMS_Dairy_Methane_Equations.VEERG_4_3_1_1__2_MethaneFromManureProduction_Source">_xlfn.LAMBDA("VEERG 2026: 4.3.1.1, Equation (2)")</definedName>
    <definedName name="MMS_Dairy_Methane_Equations.VEERG_4_3_1_1__2_MethaneFromManureProduction_Title">_xlfn.LAMBDA("Methane from manure production from weaned dairy cattle")</definedName>
    <definedName name="MMS_Dairy_Methane_Equations.VEERG_4_3_1_1__2_MethaneFromManureProduction_Unit">_xlfn.LAMBDA("kg CH4/head/day")</definedName>
    <definedName name="MMS_Dairy_Methane_Equations.VEERG_4_3_1_1__2_MethaneFromManureProduction_Variable">_xlfn.LAMBDA("M_jm")</definedName>
    <definedName name="MMS_Dairy_Methane_Equations.VEERG_4_3_1_1__3_VolatileSolidsForWeanedDairyCattle">_xlfn.LAMBDA(_xlpm.I_j,_xlpm.DMD_j,_xlpm.A, (_xlpm.I_j * (1 - _xlpm.DMD_j) + (0.04 * _xlpm.I_j)) * (1 - _xlpm.A))</definedName>
    <definedName name="MMS_Dairy_Methane_Equations.VEERG_4_3_1_1__3_VolatileSolidsForWeanedDairyCattle_Arguments">_xlfn.LAMBDA(_xlfn.MAKEARRAY(3, 4, _xlfn.LAMBDA(_xlpm.r,_xlpm.c, INDEX({"I_j","dry matter feed intake (kgDM/head/day)","kgDM/head/day","Calculated from 3.3.1.1 (3)";"DMD_j","dry matter digestibility","fraction","Input";"A","ash content of feed intake","fraction","Constant"}, _xlpm.r, _xlpm.c))))</definedName>
    <definedName name="MMS_Dairy_Methane_Equations.VEERG_4_3_1_1__3_VolatileSolidsForWeanedDairyCattle_LatexEquation">_xlfn.LAMBDA("VS_j=(I_j\times (1-DMD_j)+(0.04\times I_j))\times (1-A)")</definedName>
    <definedName name="MMS_Dairy_Methane_Equations.VEERG_4_3_1_1__3_VolatileSolidsForWeanedDairyCattle_NIRReference">_xlfn.LAMBDA("")</definedName>
    <definedName name="MMS_Dairy_Methane_Equations.VEERG_4_3_1_1__3_VolatileSolidsForWeanedDairyCattle_Source">_xlfn.LAMBDA("VEERG 2026: 4.3.1.1, Equation (3)")</definedName>
    <definedName name="MMS_Dairy_Methane_Equations.VEERG_4_3_1_1__3_VolatileSolidsForWeanedDairyCattle_Title">_xlfn.LAMBDA("Volatile solids for weaned dairy cattle")</definedName>
    <definedName name="MMS_Dairy_Methane_Equations.VEERG_4_3_1_1__3_VolatileSolidsForWeanedDairyCattle_Unit">_xlfn.LAMBDA("kg/head/day")</definedName>
    <definedName name="MMS_Dairy_Methane_Equations.VEERG_4_3_1_1__3_VolatileSolidsForWeanedDairyCattle_Variable">_xlfn.LAMBDA("VS_j")</definedName>
    <definedName name="MMS_Dairy_Methane_Equations.VEERG_4_3_1_1__4_FractionVolatileSolidsNotSolidStorage">_xlfn.LAMBDA(_xlpm.MMS_jm,_xlpm.SS_m, _xlpm.MMS_jm * (1 - _xlpm.SS_m))</definedName>
    <definedName name="MMS_Dairy_Methane_Equations.VEERG_4_3_1_1__4_FractionVolatileSolidsNotSolidStorage_Arguments">_xlfn.LAMBDA(_xlfn.MAKEARRAY(2, 4, _xlfn.LAMBDA(_xlpm.r,_xlpm.c, INDEX({"MMS_jm","fraction of manure to each primary MMS for each class prior to solid separation","fraction","Input";"SS_m","fraction of volatile solids separated to solid storage for each MMS","fraction","Input"}, _xlpm.r, _xlpm.c))))</definedName>
    <definedName name="MMS_Dairy_Methane_Equations.VEERG_4_3_1_1__4_FractionVolatileSolidsNotSolidStorage_LatexEquation">_xlfn.LAMBDA("FVS_{jm}=MMS_{jm}\times (1-SS_m)")</definedName>
    <definedName name="MMS_Dairy_Methane_Equations.VEERG_4_3_1_1__4_FractionVolatileSolidsNotSolidStorage_NIRReference">_xlfn.LAMBDA("")</definedName>
    <definedName name="MMS_Dairy_Methane_Equations.VEERG_4_3_1_1__4_FractionVolatileSolidsNotSolidStorage_Source">_xlfn.LAMBDA("VEERG 2026: 4.3.1.1, Equation (4)")</definedName>
    <definedName name="MMS_Dairy_Methane_Equations.VEERG_4_3_1_1__4_FractionVolatileSolidsNotSolidStorage_Title">_xlfn.LAMBDA("Fraction of volatile solids in each system other than solid storage")</definedName>
    <definedName name="MMS_Dairy_Methane_Equations.VEERG_4_3_1_1__4_FractionVolatileSolidsNotSolidStorage_Unit">_xlfn.LAMBDA("fraction")</definedName>
    <definedName name="MMS_Dairy_Methane_Equations.VEERG_4_3_1_1__4_FractionVolatileSolidsNotSolidStorage_Variable">_xlfn.LAMBDA("FVS_jm")</definedName>
    <definedName name="MMS_Dairy_Methane_Equations.VEERG_4_3_1_1__5_FractionVolatileSolidsSolidStorage">_xlfn.LAMBDA(_xlpm.MMS_jm4,_xlpm.MMS_jm179,_xlpm.SS_m, _xlpm.MMS_jm4 + (_xlpm.MMS_jm179 * _xlpm.SS_m))</definedName>
    <definedName name="MMS_Dairy_Methane_Equations.VEERG_4_3_1_1__5_FractionVolatileSolidsSolidStorage_Arguments">_xlfn.LAMBDA(_xlfn.MAKEARRAY(3, 4, _xlfn.LAMBDA(_xlpm.r,_xlpm.c, INDEX({"MMS_jm4","fraction of volatile solids in solid storage before transfer","fraction","Input";"MMS_jm179","fraction of volatile solids in MMS m=1,7,9 before transfer","fraction","Input";"SS_m","fraction of volatile solids separated to solid storage for each MMS","fraction","Input"}, _xlpm.r, _xlpm.c))))</definedName>
    <definedName name="MMS_Dairy_Methane_Equations.VEERG_4_3_1_1__5_FractionVolatileSolidsSolidStorage_LatexEquation">_xlfn.LAMBDA("FVS_{jm=4}=MMS_{jm=4}+(MMS_{jm=1,7,9}\times SS_m)")</definedName>
    <definedName name="MMS_Dairy_Methane_Equations.VEERG_4_3_1_1__5_FractionVolatileSolidsSolidStorage_LatexEquationVariation">_xlfn.LAMBDA("FVS_{jm=4}=MMS_{jm=4}+(MMS_{jm=1}\times SS_{m=1})+(MMS_{jm=7}\times SS_{m=7})+(MMS_{jm=9}\times SS_{m=9})")</definedName>
    <definedName name="MMS_Dairy_Methane_Equations.VEERG_4_3_1_1__5_FractionVolatileSolidsSolidStorage_NIRReference">_xlfn.LAMBDA("")</definedName>
    <definedName name="MMS_Dairy_Methane_Equations.VEERG_4_3_1_1__5_FractionVolatileSolidsSolidStorage_Source">_xlfn.LAMBDA("VEERG 2026: 4.3.1.1, Equation (5)")</definedName>
    <definedName name="MMS_Dairy_Methane_Equations.VEERG_4_3_1_1__5_FractionVolatileSolidsSolidStorage_Title">_xlfn.LAMBDA("Fraction of volatile solids in solid storage")</definedName>
    <definedName name="MMS_Dairy_Methane_Equations.VEERG_4_3_1_1__5_FractionVolatileSolidsSolidStorage_Unit">_xlfn.LAMBDA("fraction")</definedName>
    <definedName name="MMS_Dairy_Methane_Equations.VEERG_4_3_1_1__5_FractionVolatileSolidsSolidStorage_Variable">_xlfn.LAMBDA("FVS_jm4")</definedName>
    <definedName name="MMS_Dairy_Methane_Equations.VEERG_4_3_1_1__5_FractionVolatileSolidsSolidStorage_Variation">_xlfn.LAMBDA("Used separate variables for MMS and SS m 1, 7 and 9.")</definedName>
    <definedName name="MMS_Dairy_Methane_Equations.VEERG_4_3_1_1__5_FractionVolatileSolidsSolidStorageVariation">_xlfn.LAMBDA(_xlpm.MMS_jm4,_xlpm.MMS_jm1,_xlpm.MMS_jm7,_xlpm.MMS_jm9,_xlpm.SS_m1,_xlpm.SS_m7,_xlpm.SS_m9, _xlpm.MMS_jm4 + (_xlpm.MMS_jm1 * _xlpm.SS_m1) + (_xlpm.MMS_jm7 * _xlpm.SS_m7) + (_xlpm.MMS_jm9 * _xlpm.SS_m9))</definedName>
    <definedName name="MMS_Dairy_N2ODirect_Equations.VEERG_4_3_1_3__1_TotalAnnualDirectNitrousOxideEmissionsFromMMS">_xlfn.LAMBDA(_xlpm.MN_jm,_xlpm.EF_m,_xlpm.C_N2O, _xlpm.MN_jm * _xlpm.EF_m * _xlpm.C_N2O * 10 ^ -3)</definedName>
    <definedName name="MMS_Dairy_N2ODirect_Equations.VEERG_4_3_1_3__1_TotalAnnualDirectNitrousOxideEmissionsFromMMS_Arguments">_xlfn.LAMBDA(_xlfn.MAKEARRAY(3, 4, _xlfn.LAMBDA(_xlpm.r,_xlpm.c, INDEX({"MN_jm","total nitrogen in each MMS for dairy cattle classes","kg N","Calculated from 4.3.1.3 (2)";"EF_m","nitrous oxide emission factor for each MMS (kg N2O-N/kg N deposited)","kg N2O-N/kg N","Constant";"C_N2O","factor to convert elemental mass of N2O to molecular mass","fraction","Constant"}, _xlpm.r, _xlpm.c))))</definedName>
    <definedName name="MMS_Dairy_N2ODirect_Equations.VEERG_4_3_1_3__1_TotalAnnualDirectNitrousOxideEmissionsFromMMS_LatexEquation">_xlfn.LAMBDA("E_{N2O,dir}=\sum\nolimits_{j}\sum\nolimits_{m}(MN_{jm}\times EF_m\times C_{N2O}\times 10^{-3})")</definedName>
    <definedName name="MMS_Dairy_N2ODirect_Equations.VEERG_4_3_1_3__1_TotalAnnualDirectNitrousOxideEmissionsFromMMS_NIRReference">_xlfn.LAMBDA("")</definedName>
    <definedName name="MMS_Dairy_N2ODirect_Equations.VEERG_4_3_1_3__1_TotalAnnualDirectNitrousOxideEmissionsFromMMS_Source">_xlfn.LAMBDA("VEERG 2026: 4.3.1.3, Equation (1)")</definedName>
    <definedName name="MMS_Dairy_N2ODirect_Equations.VEERG_4_3_1_3__1_TotalAnnualDirectNitrousOxideEmissionsFromMMS_Title">_xlfn.LAMBDA("Total annual direct nitrous oxide emissions from manure management systems")</definedName>
    <definedName name="MMS_Dairy_N2ODirect_Equations.VEERG_4_3_1_3__1_TotalAnnualDirectNitrousOxideEmissionsFromMMS_Unit">_xlfn.LAMBDA("t N2O")</definedName>
    <definedName name="MMS_Dairy_N2ODirect_Equations.VEERG_4_3_1_3__1_TotalAnnualDirectNitrousOxideEmissionsFromMMS_Variable">_xlfn.LAMBDA("E_N2Odir")</definedName>
    <definedName name="MMS_Dairy_N2ODirect_Equations.VEERG_4_3_1_3__2_TotalNitrogenInEachMMS">_xlfn.LAMBDA(_xlpm.AE_j,_xlpm.MMS_jm, _xlpm.AE_j * _xlpm.MMS_jm)</definedName>
    <definedName name="MMS_Dairy_N2ODirect_Equations.VEERG_4_3_1_3__2_TotalNitrogenInEachMMS_Arguments">_xlfn.LAMBDA(_xlfn.MAKEARRAY(2, 4, _xlfn.LAMBDA(_xlpm.r,_xlpm.c, INDEX({"AE_j","total nitrogen excreted by each dairy class","kg N","Calculated from 4.3.1.3 (3a) and (3b)";"MMS_jm","manure management system fraction for class j and system m","fraction","Input"}, _xlpm.r, _xlpm.c))))</definedName>
    <definedName name="MMS_Dairy_N2ODirect_Equations.VEERG_4_3_1_3__2_TotalNitrogenInEachMMS_LatexEquation">_xlfn.LAMBDA("MN_{jm}=AE_j\times MMS_{jm}")</definedName>
    <definedName name="MMS_Dairy_N2ODirect_Equations.VEERG_4_3_1_3__2_TotalNitrogenInEachMMS_NIRReference">_xlfn.LAMBDA("")</definedName>
    <definedName name="MMS_Dairy_N2ODirect_Equations.VEERG_4_3_1_3__2_TotalNitrogenInEachMMS_Source">_xlfn.LAMBDA("VEERG 2026: 4.3.1.3, Equation (2)")</definedName>
    <definedName name="MMS_Dairy_N2ODirect_Equations.VEERG_4_3_1_3__2_TotalNitrogenInEachMMS_Title">_xlfn.LAMBDA("Total nitrogen in each MMS")</definedName>
    <definedName name="MMS_Dairy_N2ODirect_Equations.VEERG_4_3_1_3__2_TotalNitrogenInEachMMS_Unit">_xlfn.LAMBDA("kg N")</definedName>
    <definedName name="MMS_Dairy_N2ODirect_Equations.VEERG_4_3_1_3__2_TotalNitrogenInEachMMS_Variable">_xlfn.LAMBDA("MN_jm")</definedName>
    <definedName name="MMS_Dairy_N2ODirect_Equations.VEERG_4_3_1_3__3a_TotalAnnualNitrogenExcretedGreaterThanOneYear">_xlfn.LAMBDA(_xlpm.N_j124,_xlpm.NE_j124, _xlpm.N_j124 * _xlpm.NE_j124 * 365)</definedName>
    <definedName name="MMS_Dairy_N2ODirect_Equations.VEERG_4_3_1_3__3a_TotalAnnualNitrogenExcretedGreaterThanOneYear_Arguments">_xlfn.LAMBDA(_xlfn.MAKEARRAY(3, 4, _xlfn.LAMBDA(_xlpm.r,_xlpm.c, INDEX({"N_j124","number of dairy cattle in classes j=1,2,4","head","Input";"NE_j124","nitrogen excreted by dairy cattle greater than one year old (kg N/head/day)","kg N/head/day","Calculated from 4.3.1.3 (4)";"D_j124","duration of stay on farm for classes j=1,2,4 (days)","days","Input"}, _xlpm.r, _xlpm.c))))</definedName>
    <definedName name="MMS_Dairy_N2ODirect_Equations.VEERG_4_3_1_3__3a_TotalAnnualNitrogenExcretedGreaterThanOneYear_LatexEquation">_xlfn.LAMBDA("AE_{j=1,2,4}=N_{j=1,2,4}\times NE_{j=1,2,4}\times 365")</definedName>
    <definedName name="MMS_Dairy_N2ODirect_Equations.VEERG_4_3_1_3__3a_TotalAnnualNitrogenExcretedGreaterThanOneYear_LatexEquationVariation">_xlfn.LAMBDA("AE_{j=1,2,4}=N_{j=1,2,4}\times NE_{j=1,2,4}\times D_{j=1,2,4}")</definedName>
    <definedName name="MMS_Dairy_N2ODirect_Equations.VEERG_4_3_1_3__3a_TotalAnnualNitrogenExcretedGreaterThanOneYear_NIRReference">_xlfn.LAMBDA("")</definedName>
    <definedName name="MMS_Dairy_N2ODirect_Equations.VEERG_4_3_1_3__3a_TotalAnnualNitrogenExcretedGreaterThanOneYear_Source">_xlfn.LAMBDA("VEERG 2026: 4.3.1.3, Equation (3a)")</definedName>
    <definedName name="MMS_Dairy_N2ODirect_Equations.VEERG_4_3_1_3__3a_TotalAnnualNitrogenExcretedGreaterThanOneYear_Title">_xlfn.LAMBDA("Total annual nitrogen excreted by dairy cattle greater than one year old")</definedName>
    <definedName name="MMS_Dairy_N2ODirect_Equations.VEERG_4_3_1_3__3a_TotalAnnualNitrogenExcretedGreaterThanOneYear_Unit">_xlfn.LAMBDA("kg N")</definedName>
    <definedName name="MMS_Dairy_N2ODirect_Equations.VEERG_4_3_1_3__3a_TotalAnnualNitrogenExcretedGreaterThanOneYear_Variable">_xlfn.LAMBDA("AE_j124")</definedName>
    <definedName name="MMS_Dairy_N2ODirect_Equations.VEERG_4_3_1_3__3a_TotalAnnualNitrogenExcretedGreaterThanOneYear_Variation">_xlfn.LAMBDA("VARIATION: Used Duration variables instead of hard-coded 365 value.")</definedName>
    <definedName name="MMS_Dairy_N2ODirect_Equations.VEERG_4_3_1_3__3a_TotalAnnualNitrogenExcretedGreaterThanOneYearVariation">_xlfn.LAMBDA(_xlpm.N_j124,_xlpm.NE_j124,_xlpm.D_j124, _xlpm.N_j124 * _xlpm.NE_j124 * _xlpm.D_j124)</definedName>
    <definedName name="MMS_Dairy_N2ODirect_Equations.VEERG_4_3_1_3__3b_TotalAnnualNitrogenExcretedLessThanOneYear">_xlfn.LAMBDA(_xlpm.N_j35,_xlpm.NE_j35,_xlpm.NPW_j35, (_xlpm.N_j35 * _xlpm.NE_j35 * 281) + (_xlpm.N_j35 * _xlpm.NPW_j35 * 84))</definedName>
    <definedName name="MMS_Dairy_N2ODirect_Equations.VEERG_4_3_1_3__3b_TotalAnnualNitrogenExcretedLessThanOneYear_Arguments">_xlfn.LAMBDA(_xlfn.MAKEARRAY(5, 4, _xlfn.LAMBDA(_xlpm.r,_xlpm.c, INDEX({"N_j35","number of dairy cattle in classes j=3,5","head","Input";"NE_j35","nitrogen excreted by weaned dairy cattle less than one year old (kg N/head/day)","kg N/head/day","Calculated from 4.3.1.3 (4)";"NPW_j35","nitrogen excreted by pre-weaned calves (kg N/head/day)","kg N/head/day","Constant";"D_j35","duration of stay on farm for weaned dairy cattle less than one year old (days)","days","Input";"DPW_j35","duration of stay on farm for pre-weaned calves (days)","days","Input"}, _xlpm.r, _xlpm.c))))</definedName>
    <definedName name="MMS_Dairy_N2ODirect_Equations.VEERG_4_3_1_3__3b_TotalAnnualNitrogenExcretedLessThanOneYear_LatexEquation">_xlfn.LAMBDA("AE_{j=3,5}=(N_{j=3,5}\times NE_{j=3,5}\times 281)+(N_{j=3,5}\times NPW_{j=3,5}\times 84)")</definedName>
    <definedName name="MMS_Dairy_N2ODirect_Equations.VEERG_4_3_1_3__3b_TotalAnnualNitrogenExcretedLessThanOneYear_LatexEquationVariation">_xlfn.LAMBDA("AE_{j=3,5}=(N_{j=3,5}\times NE_{j=3,5}\times D_{j=3,5})+(N_{j=3,5}\times NPW_{j=3,5}\times DPW_{j=3,5})")</definedName>
    <definedName name="MMS_Dairy_N2ODirect_Equations.VEERG_4_3_1_3__3b_TotalAnnualNitrogenExcretedLessThanOneYear_NIRReference">_xlfn.LAMBDA("")</definedName>
    <definedName name="MMS_Dairy_N2ODirect_Equations.VEERG_4_3_1_3__3b_TotalAnnualNitrogenExcretedLessThanOneYear_Source">_xlfn.LAMBDA("VEERG 2026: 4.3.1.3, Equation (3b)")</definedName>
    <definedName name="MMS_Dairy_N2ODirect_Equations.VEERG_4_3_1_3__3b_TotalAnnualNitrogenExcretedLessThanOneYear_Title">_xlfn.LAMBDA("Total annual nitrogen excreted by dairy cattle less than one year old")</definedName>
    <definedName name="MMS_Dairy_N2ODirect_Equations.VEERG_4_3_1_3__3b_TotalAnnualNitrogenExcretedLessThanOneYear_Unit">_xlfn.LAMBDA("kg N")</definedName>
    <definedName name="MMS_Dairy_N2ODirect_Equations.VEERG_4_3_1_3__3b_TotalAnnualNitrogenExcretedLessThanOneYear_Variable">_xlfn.LAMBDA("AE_j35")</definedName>
    <definedName name="MMS_Dairy_N2ODirect_Equations.VEERG_4_3_1_3__3b_TotalAnnualNitrogenExcretedLessThanOneYear_Variation">_xlfn.LAMBDA("VARIATION: Used Duration variables instead of hard-coded 281 and 84 values.")</definedName>
    <definedName name="MMS_Dairy_N2ODirect_Equations.VEERG_4_3_1_3__3b_TotalAnnualNitrogenExcretedLessThanOneYearVariation">_xlfn.LAMBDA(_xlpm.N_j35,_xlpm.NE_j35,_xlpm.NPW_j35,_xlpm.D_j35,_xlpm.DPW_j35, (_xlpm.N_j35 * _xlpm.NE_j35 * _xlpm.D_j35) + (_xlpm.N_j35 * _xlpm.NPW_j35 * _xlpm.DPW_j35))</definedName>
    <definedName name="MMS_Dairy_N2ODirect_Equations.VEERG_4_3_1_3__4_NitrogenExcretedByDairyCattleGreaterThanOneYear">_xlfn.LAMBDA(_xlpm.CPI_j,_xlpm.NR_j,_xlpm.W_j, (_xlpm.CPI_j / 6.25) - _xlpm.NR_j - ((1.1 * 10 ^ -4 * _xlpm.W_j ^ 0.75) / 6.25))</definedName>
    <definedName name="MMS_Dairy_N2ODirect_Equations.VEERG_4_3_1_3__4_NitrogenExcretedByDairyCattleGreaterThanOneYear_Arguments">_xlfn.LAMBDA(_xlfn.MAKEARRAY(3, 4, _xlfn.LAMBDA(_xlpm.r,_xlpm.c, INDEX({"CPI_j","crude protein intake (kg/head/day)","kg/head/day","Calculated from 4.3.1.3 (5)";"NR_j","amount of nitrogen retained by the body","kg N/head/day","Calculated from 4.3.1.3 (6)";"W_j","liveweight (kg)","kg","Input"}, _xlpm.r, _xlpm.c))))</definedName>
    <definedName name="MMS_Dairy_N2ODirect_Equations.VEERG_4_3_1_3__4_NitrogenExcretedByDairyCattleGreaterThanOneYear_LatexEquation">_xlfn.LAMBDA("NE_j=(\frac{CPI_j}{6.25})-NR_j-\left[\frac{1.1\times10^{-4} \times W_j^{0.75}}{6.25}\right]")</definedName>
    <definedName name="MMS_Dairy_N2ODirect_Equations.VEERG_4_3_1_3__4_NitrogenExcretedByDairyCattleGreaterThanOneYear_NIRReference">_xlfn.LAMBDA("")</definedName>
    <definedName name="MMS_Dairy_N2ODirect_Equations.VEERG_4_3_1_3__4_NitrogenExcretedByDairyCattleGreaterThanOneYear_Source">_xlfn.LAMBDA("VEERG 2026: 4.3.1.3, Equation (4)")</definedName>
    <definedName name="MMS_Dairy_N2ODirect_Equations.VEERG_4_3_1_3__4_NitrogenExcretedByDairyCattleGreaterThanOneYear_Title">_xlfn.LAMBDA("Nitrogen excreted by dairy cattle greater than one year old")</definedName>
    <definedName name="MMS_Dairy_N2ODirect_Equations.VEERG_4_3_1_3__4_NitrogenExcretedByDairyCattleGreaterThanOneYear_Unit">_xlfn.LAMBDA("kg N/head/day")</definedName>
    <definedName name="MMS_Dairy_N2ODirect_Equations.VEERG_4_3_1_3__4_NitrogenExcretedByDairyCattleGreaterThanOneYear_Variable">_xlfn.LAMBDA("NE_j")</definedName>
    <definedName name="MMS_Dairy_N2ODirect_Equations.VEERG_4_3_1_3__5_CrudeProteinIntakeOfDairyCattle">_xlfn.LAMBDA(_xlpm.I_j,_xlpm.CP_j, _xlpm.I_j * _xlpm.CP_j)</definedName>
    <definedName name="MMS_Dairy_N2ODirect_Equations.VEERG_4_3_1_3__5_CrudeProteinIntakeOfDairyCattle_Arguments">_xlfn.LAMBDA(_xlfn.MAKEARRAY(2, 4, _xlfn.LAMBDA(_xlpm.r,_xlpm.c, INDEX({"I_j","dry matter intake","kgDM/head/day","Calculated from 3.3.1.1 (3)";"CP_j","crude protein content of feed intake","fraction","Input"}, _xlpm.r, _xlpm.c))))</definedName>
    <definedName name="MMS_Dairy_N2ODirect_Equations.VEERG_4_3_1_3__5_CrudeProteinIntakeOfDairyCattle_LatexEquation">_xlfn.LAMBDA("CPI_j=I_j\times CP_j")</definedName>
    <definedName name="MMS_Dairy_N2ODirect_Equations.VEERG_4_3_1_3__5_CrudeProteinIntakeOfDairyCattle_NIRReference">_xlfn.LAMBDA("")</definedName>
    <definedName name="MMS_Dairy_N2ODirect_Equations.VEERG_4_3_1_3__5_CrudeProteinIntakeOfDairyCattle_Source">_xlfn.LAMBDA("VEERG 2026: 4.3.1.3, Equation (5)")</definedName>
    <definedName name="MMS_Dairy_N2ODirect_Equations.VEERG_4_3_1_3__5_CrudeProteinIntakeOfDairyCattle_Title">_xlfn.LAMBDA("Crude protein intake of dairy cattle")</definedName>
    <definedName name="MMS_Dairy_N2ODirect_Equations.VEERG_4_3_1_3__5_CrudeProteinIntakeOfDairyCattle_Unit">_xlfn.LAMBDA("kg/head/day")</definedName>
    <definedName name="MMS_Dairy_N2ODirect_Equations.VEERG_4_3_1_3__5_CrudeProteinIntakeOfDairyCattle_Variable">_xlfn.LAMBDA("CPI_j")</definedName>
    <definedName name="MMS_Dairy_N2ODirect_Equations.VEERG_4_3_1_3__6_NitrogenRetainedByBody">_xlfn.LAMBDA(_xlpm.MP_j,_xlpm.L_j,_xlpm.Z_j,_xlpm.LWG_j, ((0.032 * _xlpm.MP_j * 1.03) / 6.38) + ((0.212 - 0.008 * (_xlpm.L_j - 2) - ((0.14 - 0.008 * (_xlpm.L_j - 2)) / (1 + EXP(-6 * (_xlpm.Z_j - 0.4))))) * (_xlpm.LWG_j * 0.92)) * (1 / 6.25))</definedName>
    <definedName name="MMS_Dairy_N2ODirect_Equations.VEERG_4_3_1_3__6_NitrogenRetainedByBody_Arguments">_xlfn.LAMBDA(_xlfn.MAKEARRAY(6, 4, _xlfn.LAMBDA(_xlpm.r,_xlpm.c, INDEX({"MPU","input milk production unit","","Input";"MP_j","milk production (if input as litres of milk)","L/head/day","Input";"MP_j","milk production (if input as milk solids)","L/head/day","Calculated from 3.3.1.1 (5)";"L_j","intake relative to maintenance","","Calculated from 4.3.1.3 (7)";"Z_j","relative size","","Calculated from 4.3.1.3 (8)";"LWG_j","liveweight gain","kg/head/day","Input"}, _xlpm.r, _xlpm.c))))</definedName>
    <definedName name="MMS_Dairy_N2ODirect_Equations.VEERG_4_3_1_3__6_NitrogenRetainedByBody_LatexEquation">_xlfn.LAMBDA("NR_j=\left(\frac{0.032 \times MP_j \times 1.03}{6.38}\right) + \left\{\left(0.212-0.008 \times (L_j - 2) - \left[\frac{0.140-0.008\times(L_j-2)}{1+e^{-6\times(Z_j-0.4)}}\right]\right) \times (LWG_j \times 0.92)\right\} \times \frac{1}{6.25}")</definedName>
    <definedName name="MMS_Dairy_N2ODirect_Equations.VEERG_4_3_1_3__6_NitrogenRetainedByBody_NIRReference">_xlfn.LAMBDA("")</definedName>
    <definedName name="MMS_Dairy_N2ODirect_Equations.VEERG_4_3_1_3__6_NitrogenRetainedByBody_Source">_xlfn.LAMBDA("VEERG 2026: 4.3.1.3, Equation (6)")</definedName>
    <definedName name="MMS_Dairy_N2ODirect_Equations.VEERG_4_3_1_3__6_NitrogenRetainedByBody_Title">_xlfn.LAMBDA("Amount of nitrogen retained by the body")</definedName>
    <definedName name="MMS_Dairy_N2ODirect_Equations.VEERG_4_3_1_3__6_NitrogenRetainedByBody_Unit">_xlfn.LAMBDA("kg N/head/day")</definedName>
    <definedName name="MMS_Dairy_N2ODirect_Equations.VEERG_4_3_1_3__6_NitrogenRetainedByBody_Variable">_xlfn.LAMBDA("NR_j")</definedName>
    <definedName name="MMS_Dairy_N2ODirect_Equations.VEERG_4_3_1_3__6_NitrogenRetainedByBody_Variation">_xlfn.LAMBDA("VARIATION ON SOURCE: Added check for milk production input unit and choose corresponding MP_j value accordingly.")</definedName>
    <definedName name="MMS_Dairy_N2ODirect_Equations.VEERG_4_3_1_3__7_IntakeRelativeToMaintenance">_xlfn.LAMBDA(_xlpm.I_j,_xlpm.W_j,_xlpm.MR_j,_xlpm.MI_j, _xlpm.I_j / (((1.185 + 0.00454 * _xlpm.W_j - 0.0000026 * _xlpm.W_j ^ 2) ^ 2 * _xlpm.MR_j) + _xlpm.MI_j))</definedName>
    <definedName name="MMS_Dairy_N2ODirect_Equations.VEERG_4_3_1_3__7_IntakeRelativeToMaintenance_Arguments">_xlfn.LAMBDA(_xlfn.MAKEARRAY(4, 4, _xlfn.LAMBDA(_xlpm.r,_xlpm.c, INDEX({"I_j","dry matter intake","kgDM/head/day","Calculated from 3.3.1.1 (3)";"W_j","liveweight","kg/head","Input";"MR_j","increase in metabolic rate when producing milk","","Constant";"MI_j","additional intake required for milk production","kgDM/head/day","Calculated from 3.3.1.1 (4)"}, _xlpm.r, _xlpm.c))))</definedName>
    <definedName name="MMS_Dairy_N2ODirect_Equations.VEERG_4_3_1_3__7_IntakeRelativeToMaintenance_LatexEquation">_xlfn.LAMBDA("L_j=\frac{I_j}{(1.185+0.00454\times W_j-0.0000026\times W_j^2)^2\times MR_j+MI_j}")</definedName>
    <definedName name="MMS_Dairy_N2ODirect_Equations.VEERG_4_3_1_3__7_IntakeRelativeToMaintenance_NIRReference">_xlfn.LAMBDA("")</definedName>
    <definedName name="MMS_Dairy_N2ODirect_Equations.VEERG_4_3_1_3__7_IntakeRelativeToMaintenance_Source">_xlfn.LAMBDA("VEERG 2026: 4.3.1.3, Equation (7)")</definedName>
    <definedName name="MMS_Dairy_N2ODirect_Equations.VEERG_4_3_1_3__7_IntakeRelativeToMaintenance_Title">_xlfn.LAMBDA("Intake relative to maintenance")</definedName>
    <definedName name="MMS_Dairy_N2ODirect_Equations.VEERG_4_3_1_3__7_IntakeRelativeToMaintenance_Unit">_xlfn.LAMBDA("ratio")</definedName>
    <definedName name="MMS_Dairy_N2ODirect_Equations.VEERG_4_3_1_3__7_IntakeRelativeToMaintenance_Variable">_xlfn.LAMBDA("L_j")</definedName>
    <definedName name="MMS_Dairy_N2ODirect_Equations.VEERG_4_3_1_3__8_RelativeSize">_xlfn.LAMBDA(_xlpm.W_j,_xlpm.WR_j, _xlpm.W_j / _xlpm.WR_j)</definedName>
    <definedName name="MMS_Dairy_N2ODirect_Equations.VEERG_4_3_1_3__8_RelativeSize_Arguments">_xlfn.LAMBDA(_xlfn.MAKEARRAY(2, 4, _xlfn.LAMBDA(_xlpm.r,_xlpm.c, INDEX({"W_j","liveweight","kg/head","Input";"WR_j","reference weight","kg/head","Constant"}, _xlpm.r, _xlpm.c))))</definedName>
    <definedName name="MMS_Dairy_N2ODirect_Equations.VEERG_4_3_1_3__8_RelativeSize_LatexEquation">_xlfn.LAMBDA("Z_j=\frac{W_j}{WR_j}")</definedName>
    <definedName name="MMS_Dairy_N2ODirect_Equations.VEERG_4_3_1_3__8_RelativeSize_NIRReference">_xlfn.LAMBDA("")</definedName>
    <definedName name="MMS_Dairy_N2ODirect_Equations.VEERG_4_3_1_3__8_RelativeSize_Source">_xlfn.LAMBDA("VEERG 2026: 4.3.1.3, Equation (8)")</definedName>
    <definedName name="MMS_Dairy_N2ODirect_Equations.VEERG_4_3_1_3__8_RelativeSize_Title">_xlfn.LAMBDA("Relative size")</definedName>
    <definedName name="MMS_Dairy_N2ODirect_Equations.VEERG_4_3_1_3__8_RelativeSize_Unit">_xlfn.LAMBDA("ratio")</definedName>
    <definedName name="MMS_Dairy_N2ODirect_Equations.VEERG_4_3_1_3__8_RelativeSize_Variable">_xlfn.LAMBDA("Z_j")</definedName>
    <definedName name="MMS_Dairy_Soil_AtmosphericDeposition_Equations.VEERG_4_3_1_10__1_AtmosphericDepositionEmissionsFromUrineAndDungOnPasture">_xlfn.LAMBDA(_xlpm.M_vol_m14,_xlpm.EF_N2O,_xlpm.C_N2O, _xlpm.M_vol_m14 * _xlpm.EF_N2O * _xlpm.C_N2O * 10 ^ -3)</definedName>
    <definedName name="MMS_Dairy_Soil_AtmosphericDeposition_Equations.VEERG_4_3_1_10__1_AtmosphericDepositionEmissionsFromUrineAndDungOnPasture_Arguments">_xlfn.LAMBDA(_xlfn.MAKEARRAY(6, 4, _xlfn.LAMBDA(_xlpm.r,_xlpm.c, INDEX({"M_vol_m14","mass of nitrogen volatilised from urine and faeces deposited on pasture","kg N","Calculated from 4.3.1.10 (2)";"EF_N2O","nitrous oxide emission factor for atmospheric deposition","kg N2O-N/kg N","Constant";"C_N2O","factor to convert elemental mass of N2O to molecular mass","","Constant";"j","production system","","Input";"ir","irrigation method","","Input";"r","rainfall region","","Input"}, _xlpm.r, _xlpm.c))))</definedName>
    <definedName name="MMS_Dairy_Soil_AtmosphericDeposition_Equations.VEERG_4_3_1_10__1_AtmosphericDepositionEmissionsFromUrineAndDungOnPasture_LatexEquation">_xlfn.LAMBDA("E_{N2O,ad}=M_{vol,m=14}\times EF_{N2O}\times C_{N2O}\times 10^{-3}")</definedName>
    <definedName name="MMS_Dairy_Soil_AtmosphericDeposition_Equations.VEERG_4_3_1_10__1_AtmosphericDepositionEmissionsFromUrineAndDungOnPasture_NIRReference">_xlfn.LAMBDA("")</definedName>
    <definedName name="MMS_Dairy_Soil_AtmosphericDeposition_Equations.VEERG_4_3_1_10__1_AtmosphericDepositionEmissionsFromUrineAndDungOnPasture_Source">_xlfn.LAMBDA("VEERG 2026: 4.3.1.10, Equation (1)")</definedName>
    <definedName name="MMS_Dairy_Soil_AtmosphericDeposition_Equations.VEERG_4_3_1_10__1_AtmosphericDepositionEmissionsFromUrineAndDungOnPasture_Title">_xlfn.LAMBDA("Atmospheric deposition emissions from urine and dung deposited on pasture")</definedName>
    <definedName name="MMS_Dairy_Soil_AtmosphericDeposition_Equations.VEERG_4_3_1_10__1_AtmosphericDepositionEmissionsFromUrineAndDungOnPasture_Unit">_xlfn.LAMBDA("t N2O")</definedName>
    <definedName name="MMS_Dairy_Soil_AtmosphericDeposition_Equations.VEERG_4_3_1_10__1_AtmosphericDepositionEmissionsFromUrineAndDungOnPasture_Variable">_xlfn.LAMBDA("E_N2Oad")</definedName>
    <definedName name="MMS_Dairy_Soil_AtmosphericDeposition_Equations.VEERG_4_3_1_10__2_MassOfNitrogenVolatilisedOnPasture">_xlfn.LAMBDA(_xlpm.MN_jm14,_xlpm.FracGASMsoil, _xlpm.MN_jm14 * _xlpm.FracGASMsoil)</definedName>
    <definedName name="MMS_Dairy_Soil_AtmosphericDeposition_Equations.VEERG_4_3_1_10__2_MassOfNitrogenVolatilisedOnPasture_Arguments">_xlfn.LAMBDA(_xlfn.MAKEARRAY(2, 4, _xlfn.LAMBDA(_xlpm.r,_xlpm.c, INDEX({"MN_jm14","mass of nitrogen excreted on pasture, range and paddock for each dairy class","kg N","Calculated from 4.3.1.3 (2)";"FracGASMsoil","fraction of nitrogen volatilised from urine and faeces deposited on pasture","(kg NH3-N + NOx-N)/kg N)","Constant"}, _xlpm.r, _xlpm.c))))</definedName>
    <definedName name="MMS_Dairy_Soil_AtmosphericDeposition_Equations.VEERG_4_3_1_10__2_MassOfNitrogenVolatilisedOnPasture_LatexEquation">_xlfn.LAMBDA("M_{vol,m=14}=\sum\nolimits_{j}(MN_{jm=14}\times FracGASMsoil)")</definedName>
    <definedName name="MMS_Dairy_Soil_AtmosphericDeposition_Equations.VEERG_4_3_1_10__2_MassOfNitrogenVolatilisedOnPasture_NIRReference">_xlfn.LAMBDA("")</definedName>
    <definedName name="MMS_Dairy_Soil_AtmosphericDeposition_Equations.VEERG_4_3_1_10__2_MassOfNitrogenVolatilisedOnPasture_Source">_xlfn.LAMBDA("VEERG 2026: 4.3.1.10, Equation (2)")</definedName>
    <definedName name="MMS_Dairy_Soil_AtmosphericDeposition_Equations.VEERG_4_3_1_10__2_MassOfNitrogenVolatilisedOnPasture_Title">_xlfn.LAMBDA("Mass of nitrogen volatilised from urine and faeces deposited on pasture")</definedName>
    <definedName name="MMS_Dairy_Soil_AtmosphericDeposition_Equations.VEERG_4_3_1_10__2_MassOfNitrogenVolatilisedOnPasture_Unit">_xlfn.LAMBDA("kg N")</definedName>
    <definedName name="MMS_Dairy_Soil_AtmosphericDeposition_Equations.VEERG_4_3_1_10__2_MassOfNitrogenVolatilisedOnPasture_Variable">_xlfn.LAMBDA("M_vol_m14")</definedName>
    <definedName name="MMS_Dairy_Soil_LeachingAndRunoff.VEERG_4_3_1_12__1_LeachingAndRunoffEmissionsFromUrineAndDungOnPasture">_xlfn.LAMBDA(_xlpm.M_leach_m14,_xlpm.EF_leach,_xlpm.C_N2O, _xlpm.M_leach_m14 * _xlpm.EF_leach * _xlpm.C_N2O * 10 ^ -3)</definedName>
    <definedName name="MMS_Dairy_Soil_LeachingAndRunoff.VEERG_4_3_1_12__1_LeachingAndRunoffEmissionsFromUrineAndDungOnPasture_Arguments">_xlfn.LAMBDA(_xlfn.MAKEARRAY(3, 4, _xlfn.LAMBDA(_xlpm.r,_xlpm.c, INDEX({"M_leach_m14","mass of nitrogen lost to leaching and runoff from urine and faeces deposited on pasture","kg N","Calculated from 4.3.1.12 (2)";"EF_leach","nitrous oxide emission factor for leaching and runoff","kg N2O-N/kg N","Constant";"C_N2O","factor to convert elemental mass of N2O to molecular mass","","Constant"}, _xlpm.r, _xlpm.c))))</definedName>
    <definedName name="MMS_Dairy_Soil_LeachingAndRunoff.VEERG_4_3_1_12__1_LeachingAndRunoffEmissionsFromUrineAndDungOnPasture_LatexEquation">_xlfn.LAMBDA("E_{N2O,leach}=M_{leach,m=14}\times EF_{leach}\times C_{N2O}\times 10^{-3}")</definedName>
    <definedName name="MMS_Dairy_Soil_LeachingAndRunoff.VEERG_4_3_1_12__1_LeachingAndRunoffEmissionsFromUrineAndDungOnPasture_NIRReference">_xlfn.LAMBDA("")</definedName>
    <definedName name="MMS_Dairy_Soil_LeachingAndRunoff.VEERG_4_3_1_12__1_LeachingAndRunoffEmissionsFromUrineAndDungOnPasture_Source">_xlfn.LAMBDA("VEERG 2026: 4.3.1.12, Equation (1)")</definedName>
    <definedName name="MMS_Dairy_Soil_LeachingAndRunoff.VEERG_4_3_1_12__1_LeachingAndRunoffEmissionsFromUrineAndDungOnPasture_Title">_xlfn.LAMBDA("Leaching and runoff emissions from urine and dung deposited on pasture")</definedName>
    <definedName name="MMS_Dairy_Soil_LeachingAndRunoff.VEERG_4_3_1_12__1_LeachingAndRunoffEmissionsFromUrineAndDungOnPasture_Unit">_xlfn.LAMBDA("t N2O")</definedName>
    <definedName name="MMS_Dairy_Soil_LeachingAndRunoff.VEERG_4_3_1_12__1_LeachingAndRunoffEmissionsFromUrineAndDungOnPasture_Variable">_xlfn.LAMBDA("E_N2Oleach")</definedName>
    <definedName name="MMS_Dairy_Soil_LeachingAndRunoff.VEERG_4_3_1_12__2_MassOfNitrogenLostToLeachingAndRunoffOnPasture">_xlfn.LAMBDA(_xlpm.MN_jm14,_xlpm.FracWet,_xlpm.FracLEACH, _xlpm.MN_jm14 * _xlpm.FracWet * _xlpm.FracLEACH)</definedName>
    <definedName name="MMS_Dairy_Soil_LeachingAndRunoff.VEERG_4_3_1_12__2_MassOfNitrogenLostToLeachingAndRunoffOnPasture_Arguments">_xlfn.LAMBDA(_xlfn.MAKEARRAY(6, 4, _xlfn.LAMBDA(_xlpm.r,_xlpm.c, INDEX({"MN_jm14","mass of nitrogen excreted on pasture, range and paddock for each dairy class","kg N","Calculated from 4.3.1.3 (2)";"FracWet","fraction of N available for leaching and runoff","","Constant";"FracLEACH","fraction of N lost through leaching and runoff","","Constant";"z","location in leaching zone","","Input";"j","production system","","Input";"ir","irrigation method","","Input"}, _xlpm.r, _xlpm.c))))</definedName>
    <definedName name="MMS_Dairy_Soil_LeachingAndRunoff.VEERG_4_3_1_12__2_MassOfNitrogenLostToLeachingAndRunoffOnPasture_LatexEquation">_xlfn.LAMBDA("M_{leach,m=14}=\sum\nolimits_{j}(MN_{jm=14}\times FracWet\times FracLEACH)")</definedName>
    <definedName name="MMS_Dairy_Soil_LeachingAndRunoff.VEERG_4_3_1_12__2_MassOfNitrogenLostToLeachingAndRunoffOnPasture_NIRReference">_xlfn.LAMBDA("")</definedName>
    <definedName name="MMS_Dairy_Soil_LeachingAndRunoff.VEERG_4_3_1_12__2_MassOfNitrogenLostToLeachingAndRunoffOnPasture_Source">_xlfn.LAMBDA("VEERG 2026: 4.3.1.12, Equation (2)")</definedName>
    <definedName name="MMS_Dairy_Soil_LeachingAndRunoff.VEERG_4_3_1_12__2_MassOfNitrogenLostToLeachingAndRunoffOnPasture_Title">_xlfn.LAMBDA("Mass of nitrogen lost to leaching and runoff from urine and faeces on pasture")</definedName>
    <definedName name="MMS_Dairy_Soil_LeachingAndRunoff.VEERG_4_3_1_12__2_MassOfNitrogenLostToLeachingAndRunoffOnPasture_Unit">_xlfn.LAMBDA("kg N")</definedName>
    <definedName name="MMS_Dairy_Soil_LeachingAndRunoff.VEERG_4_3_1_12__2_MassOfNitrogenLostToLeachingAndRunoffOnPasture_Variable">_xlfn.LAMBDA("M_leach_m14")</definedName>
    <definedName name="MMS_Dairy_Soil_N2ODirect_Equations.VEERG_4_3_1_9__1_DirectNitrousOxideEmissionsOnPasture">_xlfn.LAMBDA(_xlpm.MN_jm14,_xlpm.EF_PRP,_xlpm.C_N2O, _xlpm.MN_jm14 * _xlpm.EF_PRP * _xlpm.C_N2O * 10 ^ -3)</definedName>
    <definedName name="MMS_Dairy_Soil_N2ODirect_Equations.VEERG_4_3_1_9__1_DirectNitrousOxideEmissionsOnPasture_Arguments">_xlfn.LAMBDA(_xlfn.MAKEARRAY(4, 4, _xlfn.LAMBDA(_xlpm.r,_xlpm.c, INDEX({"MN_jm14","mass of nitrogen excreted on pasture, range, and paddock for each dairy cattle class","kg N","Calculated from 4.3.1.3 (2)";"EF_PRP","emission factor for nitrous oxide emissions for urine and dung deposited on PRP","kg N2O-N/kg N deposited","Constant";"C_N2O","factor to convert elemental mass of N2O to molecular mass","","Constant";"z","Wet or dry climate zone","","Input"}, _xlpm.r, _xlpm.c))))</definedName>
    <definedName name="MMS_Dairy_Soil_N2ODirect_Equations.VEERG_4_3_1_9__1_DirectNitrousOxideEmissionsOnPasture_LatexEquation">_xlfn.LAMBDA("E_{N2O,dir}=\sum\nolimits_{j}(MN_{jm=14}\times EF_{PRP}\times C_{N2O}\times 10^{-3})")</definedName>
    <definedName name="MMS_Dairy_Soil_N2ODirect_Equations.VEERG_4_3_1_9__1_DirectNitrousOxideEmissionsOnPasture_NIRReference">_xlfn.LAMBDA("")</definedName>
    <definedName name="MMS_Dairy_Soil_N2ODirect_Equations.VEERG_4_3_1_9__1_DirectNitrousOxideEmissionsOnPasture_Source">_xlfn.LAMBDA("VEERG 2026: 4.3.1.9, Equation (1)")</definedName>
    <definedName name="MMS_Dairy_Soil_N2ODirect_Equations.VEERG_4_3_1_9__1_DirectNitrousOxideEmissionsOnPasture_Title">_xlfn.LAMBDA("Direct nitrous oxide emissions on pasture")</definedName>
    <definedName name="MMS_Dairy_Soil_N2ODirect_Equations.VEERG_4_3_1_9__1_DirectNitrousOxideEmissionsOnPasture_Unit">_xlfn.LAMBDA("t N2O")</definedName>
    <definedName name="MMS_Dairy_Soil_N2ODirect_Equations.VEERG_4_3_1_9__1_DirectNitrousOxideEmissionsOnPasture_Variable">_xlfn.LAMBDA("E_N2Odir")</definedName>
    <definedName name="MMS_PastureBeef_Methane_Equations.VEERG_4_2_1_1__1_TotalAnnualMethaneProductionFromManureManagement">_xlfn.LAMBDA(_xlpm.N_jkl,_xlpm.M_jklm,_xlpm.D_j, (_xlpm.N_jkl * _xlpm.M_jklm * _xlpm.D_j) * 10 ^ -3)</definedName>
    <definedName name="MMS_PastureBeef_Methane_Equations.VEERG_4_2_1_1__1_TotalAnnualMethaneProductionFromManureManagement_Arguments">_xlfn.LAMBDA(_xlfn.MAKEARRAY(3, 4, _xlfn.LAMBDA(_xlpm.r,_xlpm.c, INDEX({"N_jkl","number of beef cattle in each time-period, class and subclass","head","Input";"M_jklm","methane production from manure in each time-period, class, subclass and MMS","kg/head/day","Calculated from 4.2.1.1 (2)";"D_j","number of days in each time-period for each input class","days","Input"}, _xlpm.r, _xlpm.c))))</definedName>
    <definedName name="MMS_PastureBeef_Methane_Equations.VEERG_4_2_1_1__1_TotalAnnualMethaneProductionFromManureManagement_LatexEquation">_xlfn.LAMBDA("E_{CH4}=\sum_{j}\sum_{k}\sum_{l}\sum_{m}(N_{jkl}\times M_{jklm}\times D_j)\times 10^{-3}")</definedName>
    <definedName name="MMS_PastureBeef_Methane_Equations.VEERG_4_2_1_1__1_TotalAnnualMethaneProductionFromManureManagement_NIRReference">_xlfn.LAMBDA("")</definedName>
    <definedName name="MMS_PastureBeef_Methane_Equations.VEERG_4_2_1_1__1_TotalAnnualMethaneProductionFromManureManagement_Source">_xlfn.LAMBDA("VEERG 2026: 4.2.1.1, Equation (1)")</definedName>
    <definedName name="MMS_PastureBeef_Methane_Equations.VEERG_4_2_1_1__1_TotalAnnualMethaneProductionFromManureManagement_Title">_xlfn.LAMBDA("Total annual methane production from manure management for grazing beef cattle")</definedName>
    <definedName name="MMS_PastureBeef_Methane_Equations.VEERG_4_2_1_1__1_TotalAnnualMethaneProductionFromManureManagement_Unit">_xlfn.LAMBDA("t CH4")</definedName>
    <definedName name="MMS_PastureBeef_Methane_Equations.VEERG_4_2_1_1__1_TotalAnnualMethaneProductionFromManureManagement_Variable">_xlfn.LAMBDA("E_CH4")</definedName>
    <definedName name="MMS_PastureBeef_Methane_Equations.VEERG_4_2_1_1__2_MethaneProductionFromManure">_xlfn.LAMBDA(_xlpm.VS_jkl,_xlpm.B_o,_xlpm.MMS_m,_xlpm.MCF_im,_xlpm.rho, _xlpm.VS_jkl * _xlpm.B_o * _xlpm.MMS_m * _xlpm.MCF_im * _xlpm.rho)</definedName>
    <definedName name="MMS_PastureBeef_Methane_Equations.VEERG_4_2_1_1__2_MethaneProductionFromManure_Arguments">_xlfn.LAMBDA(_xlfn.MAKEARRAY(7, 4, _xlfn.LAMBDA(_xlpm.r,_xlpm.c, INDEX({"VS_jkl","volatile solid production","kg/day","Calculated from 4.2.1.1 (3)";"B_o","emissions potential","m3 CH4/kg VS","Constant";"MMS_m","fraction of waste in each manure management system","fraction","Input";"MCF_im","methane conversion factor for temperature zone and MMS","fraction","Constant";"rho","density of methane","kg/m3","Constant";"i","state","","Input";"i","region","","Input"}, _xlpm.r, _xlpm.c))))</definedName>
    <definedName name="MMS_PastureBeef_Methane_Equations.VEERG_4_2_1_1__2_MethaneProductionFromManure_Arguments_Method2">_xlfn.LAMBDA(_xlfn.MAKEARRAY(6, 4, _xlfn.LAMBDA(_xlpm.r,_xlpm.c, INDEX({"VS_jkl","volatile solid production","kg/day","Calculated from 4.2.1.1 (3)";"B_o","emissions potential","m3 CH4/kg VS","Constant";"MMS_m","fraction of waste in each manure management system","fraction","Input";"MCF_im","methane conversion factor for temperature zone and MMS","fraction","Constant";"rho","density of methane","kg/m3","Constant";"MAT","Mean annual temperature","°C","Input"}, _xlpm.r, _xlpm.c))))</definedName>
    <definedName name="MMS_PastureBeef_Methane_Equations.VEERG_4_2_1_1__2_MethaneProductionFromManure_LatexEquation">_xlfn.LAMBDA("M_{jklm}=VS_{jkl}\times B_o\times MMS_m\times MCF_{im}\times \rho")</definedName>
    <definedName name="MMS_PastureBeef_Methane_Equations.VEERG_4_2_1_1__2_MethaneProductionFromManure_NIRReference">_xlfn.LAMBDA("")</definedName>
    <definedName name="MMS_PastureBeef_Methane_Equations.VEERG_4_2_1_1__2_MethaneProductionFromManure_Source">_xlfn.LAMBDA("VEERG 2026: 4.2.1.1, Equation (2)")</definedName>
    <definedName name="MMS_PastureBeef_Methane_Equations.VEERG_4_2_1_1__2_MethaneProductionFromManure_Title">_xlfn.LAMBDA("Methane production from the manure of grazing beef cattle")</definedName>
    <definedName name="MMS_PastureBeef_Methane_Equations.VEERG_4_2_1_1__2_MethaneProductionFromManure_Unit">_xlfn.LAMBDA("kg CH4/head/day")</definedName>
    <definedName name="MMS_PastureBeef_Methane_Equations.VEERG_4_2_1_1__2_MethaneProductionFromManure_Variable">_xlfn.LAMBDA("M_jklm")</definedName>
    <definedName name="MMS_PastureBeef_Methane_Equations.VEERG_4_2_1_1__3_VolatileSolidProductionFromGrazingBeef">_xlfn.LAMBDA(_xlpm.I_jkl,_xlpm.DMD_jkl,_xlpm.A, (_xlpm.I_jkl * (1 - _xlpm.DMD_jkl) + (0.04 * _xlpm.I_jkl)) * (1 - _xlpm.A))</definedName>
    <definedName name="MMS_PastureBeef_Methane_Equations.VEERG_4_2_1_1__3_VolatileSolidProductionFromGrazingBeef_Arguments">_xlfn.LAMBDA(_xlfn.MAKEARRAY(3, 4, _xlfn.LAMBDA(_xlpm.r,_xlpm.c, INDEX({"I_jkl","dry matter intake as calculated in Chapter 3 Section 3.2.1","kg/head/day","Calculated from 3.2.1.1, (3)";"DMD_jkl","dry matter digestibility expressed as a fraction","fraction","Input";"A","ash content of feed intake expressed as a fraction","fraction","Constant"}, _xlpm.r, _xlpm.c))))</definedName>
    <definedName name="MMS_PastureBeef_Methane_Equations.VEERG_4_2_1_1__3_VolatileSolidProductionFromGrazingBeef_LatexEquation">_xlfn.LAMBDA("VS_{jkl}=(I_{jkl}\times (1-DMD_{jkl})+(0.04\times I_{jkl}))\times (1-A)")</definedName>
    <definedName name="MMS_PastureBeef_Methane_Equations.VEERG_4_2_1_1__3_VolatileSolidProductionFromGrazingBeef_NIRReference">_xlfn.LAMBDA("")</definedName>
    <definedName name="MMS_PastureBeef_Methane_Equations.VEERG_4_2_1_1__3_VolatileSolidProductionFromGrazingBeef_Source">_xlfn.LAMBDA("VEERG 2026: 4.2.1.1, Equation (3)")</definedName>
    <definedName name="MMS_PastureBeef_Methane_Equations.VEERG_4_2_1_1__3_VolatileSolidProductionFromGrazingBeef_Title">_xlfn.LAMBDA("Volatile solid production from grazing beef")</definedName>
    <definedName name="MMS_PastureBeef_Methane_Equations.VEERG_4_2_1_1__3_VolatileSolidProductionFromGrazingBeef_Unit">_xlfn.LAMBDA("kg/head/day")</definedName>
    <definedName name="MMS_PastureBeef_Methane_Equations.VEERG_4_2_1_1__3_VolatileSolidProductionFromGrazingBeef_Variable">_xlfn.LAMBDA("VS_jkl")</definedName>
    <definedName name="MMS_PastureBeef_Soil_AtmosphericDeposition_Equations.VEERG_4_2_1_5__1_AtmosphericDepositionEmissionsFromUrineAndDungOnPasture">_xlfn.LAMBDA(_xlpm.M_vol,_xlpm.EF_N2O,_xlpm.C_N2O, _xlpm.M_vol * _xlpm.EF_N2O * _xlpm.C_N2O * 10 ^ -3)</definedName>
    <definedName name="MMS_PastureBeef_Soil_AtmosphericDeposition_Equations.VEERG_4_2_1_5__1_AtmosphericDepositionEmissionsFromUrineAndDungOnPasture_Arguments">_xlfn.LAMBDA(_xlfn.MAKEARRAY(6, 4, _xlfn.LAMBDA(_xlpm.r,_xlpm.c, INDEX({"M_vol","mass of nitrogen volatilised from urine and faeces deposited on pasture","kg N","Calculated from 4.2.1.5 (2)";"EF_N2O","nitrous oxide emission factor for atmospheric deposition","kg N2O-N/kg N","Constant";"C_N2O","factor to convert elemental mass of N2O to molecular mass","","Constant";"j","production system","","Input";"i","irrigation method","","Input";"r","rainfall zone","","Input"}, _xlpm.r, _xlpm.c))))</definedName>
    <definedName name="MMS_PastureBeef_Soil_AtmosphericDeposition_Equations.VEERG_4_2_1_5__1_AtmosphericDepositionEmissionsFromUrineAndDungOnPasture_LatexEquation">_xlfn.LAMBDA("E_{N2O,ad}=M_{vol}\times EF_{N2O}\times C_{N2O}\times 10^{-3}")</definedName>
    <definedName name="MMS_PastureBeef_Soil_AtmosphericDeposition_Equations.VEERG_4_2_1_5__1_AtmosphericDepositionEmissionsFromUrineAndDungOnPasture_NIRReference">_xlfn.LAMBDA("")</definedName>
    <definedName name="MMS_PastureBeef_Soil_AtmosphericDeposition_Equations.VEERG_4_2_1_5__1_AtmosphericDepositionEmissionsFromUrineAndDungOnPasture_Source">_xlfn.LAMBDA("VEERG 2026: 4.2.1.5, Equation (1)")</definedName>
    <definedName name="MMS_PastureBeef_Soil_AtmosphericDeposition_Equations.VEERG_4_2_1_5__1_AtmosphericDepositionEmissionsFromUrineAndDungOnPasture_Title">_xlfn.LAMBDA("Atmospheric deposition emissions from urine and dung deposited on pasture")</definedName>
    <definedName name="MMS_PastureBeef_Soil_AtmosphericDeposition_Equations.VEERG_4_2_1_5__1_AtmosphericDepositionEmissionsFromUrineAndDungOnPasture_Unit">_xlfn.LAMBDA("t N2O")</definedName>
    <definedName name="MMS_PastureBeef_Soil_AtmosphericDeposition_Equations.VEERG_4_2_1_5__1_AtmosphericDepositionEmissionsFromUrineAndDungOnPasture_Variable">_xlfn.LAMBDA("E_N2Oad")</definedName>
    <definedName name="MMS_PastureBeef_Soil_AtmosphericDeposition_Equations.VEERG_4_2_1_5__2_MassOfNitrogenVolatilisedOnPasture">_xlfn.LAMBDA(_xlpm.AE,_xlpm.FracGASMsoil, _xlpm.AE * _xlpm.FracGASMsoil)</definedName>
    <definedName name="MMS_PastureBeef_Soil_AtmosphericDeposition_Equations.VEERG_4_2_1_5__2_MassOfNitrogenVolatilisedOnPasture_Arguments">_xlfn.LAMBDA(_xlfn.MAKEARRAY(2, 4, _xlfn.LAMBDA(_xlpm.r,_xlpm.c, INDEX({"AE","total mass of nitrogen excreted on PRP for beef cattle","kg N","Calculated from 4.2.1.3 (2)";"FracGASMsoil","fraction of nitrogen volatilised from urine and faeces deposited on pasture ((kg NH3-N + NOx-N)/kg N)","fraction","Constant"}, _xlpm.r, _xlpm.c))))</definedName>
    <definedName name="MMS_PastureBeef_Soil_AtmosphericDeposition_Equations.VEERG_4_2_1_5__2_MassOfNitrogenVolatilisedOnPasture_LatexEquation">_xlfn.LAMBDA("M_{vol}=AE\times FracGASMsoil")</definedName>
    <definedName name="MMS_PastureBeef_Soil_AtmosphericDeposition_Equations.VEERG_4_2_1_5__2_MassOfNitrogenVolatilisedOnPasture_NIRReference">_xlfn.LAMBDA("")</definedName>
    <definedName name="MMS_PastureBeef_Soil_AtmosphericDeposition_Equations.VEERG_4_2_1_5__2_MassOfNitrogenVolatilisedOnPasture_Source">_xlfn.LAMBDA("VEERG 2026: 4.2.1.5, Equation (2)")</definedName>
    <definedName name="MMS_PastureBeef_Soil_AtmosphericDeposition_Equations.VEERG_4_2_1_5__2_MassOfNitrogenVolatilisedOnPasture_Title">_xlfn.LAMBDA("Mass of nitrogen volatilised")</definedName>
    <definedName name="MMS_PastureBeef_Soil_AtmosphericDeposition_Equations.VEERG_4_2_1_5__2_MassOfNitrogenVolatilisedOnPasture_Unit">_xlfn.LAMBDA("kg N")</definedName>
    <definedName name="MMS_PastureBeef_Soil_AtmosphericDeposition_Equations.VEERG_4_2_1_5__2_MassOfNitrogenVolatilisedOnPasture_Variable">_xlfn.LAMBDA("M_vol")</definedName>
    <definedName name="MMS_PastureBeef_Soil_LeachingAndRunoff.VEERG_4_2_1_7__1_LeachingAndRunoffEmissionsFromUrineAndDungOnPasture">_xlfn.LAMBDA(_xlpm.M_leach,_xlpm.EF_leach,_xlpm.C_N2O, _xlpm.M_leach * _xlpm.EF_leach * _xlpm.C_N2O * 10 ^ -3)</definedName>
    <definedName name="MMS_PastureBeef_Soil_LeachingAndRunoff.VEERG_4_2_1_7__1_LeachingAndRunoffEmissionsFromUrineAndDungOnPasture_Arguments">_xlfn.LAMBDA(_xlfn.MAKEARRAY(3, 4, _xlfn.LAMBDA(_xlpm.r,_xlpm.c, INDEX({"M_leach","mass of nitrogen lost to leaching and runoff","kg N","Calculated from 4.2.1.7 (2)";"EF_leach","emission factor for leaching and runoff","kg N2O-N/kg N","Constant";"C_N2O","factor to convert elemental mass of N2O to molecular mass","","Constant"}, _xlpm.r, _xlpm.c))))</definedName>
    <definedName name="MMS_PastureBeef_Soil_LeachingAndRunoff.VEERG_4_2_1_7__1_LeachingAndRunoffEmissionsFromUrineAndDungOnPasture_LatexEquation">_xlfn.LAMBDA("E_{N2O,leach}=M_{leach}\times EF_{leach}\times C_{N2O}\times 10^{-3}")</definedName>
    <definedName name="MMS_PastureBeef_Soil_LeachingAndRunoff.VEERG_4_2_1_7__1_LeachingAndRunoffEmissionsFromUrineAndDungOnPasture_NIRReference">_xlfn.LAMBDA("")</definedName>
    <definedName name="MMS_PastureBeef_Soil_LeachingAndRunoff.VEERG_4_2_1_7__1_LeachingAndRunoffEmissionsFromUrineAndDungOnPasture_Source">_xlfn.LAMBDA("VEERG 2026: 4.2.1.7, Equation (1)")</definedName>
    <definedName name="MMS_PastureBeef_Soil_LeachingAndRunoff.VEERG_4_2_1_7__1_LeachingAndRunoffEmissionsFromUrineAndDungOnPasture_Title">_xlfn.LAMBDA("Leaching and runoff emissions from urine and dung deposited on pasture")</definedName>
    <definedName name="MMS_PastureBeef_Soil_LeachingAndRunoff.VEERG_4_2_1_7__1_LeachingAndRunoffEmissionsFromUrineAndDungOnPasture_Unit">_xlfn.LAMBDA("t N2O")</definedName>
    <definedName name="MMS_PastureBeef_Soil_LeachingAndRunoff.VEERG_4_2_1_7__1_LeachingAndRunoffEmissionsFromUrineAndDungOnPasture_Variable">_xlfn.LAMBDA("E_N2Oleach")</definedName>
    <definedName name="MMS_PastureBeef_Soil_LeachingAndRunoff.VEERG_4_2_1_7__2_MassOfNitrogenLostToLeachingAndRunoffOnPasture">_xlfn.LAMBDA(_xlpm.AE,_xlpm.FracWet,_xlpm.FracLEACH, _xlpm.AE * _xlpm.FracWet * _xlpm.FracLEACH)</definedName>
    <definedName name="MMS_PastureBeef_Soil_LeachingAndRunoff.VEERG_4_2_1_7__2_MassOfNitrogenLostToLeachingAndRunoffOnPasture_Arguments">_xlfn.LAMBDA(_xlfn.MAKEARRAY(6, 4, _xlfn.LAMBDA(_xlpm.r,_xlpm.c, INDEX({"AE","total mass of nitrogen excreted on PRP for beef cattle","kg N","Calculated from 4.2.1.3 (2)";"FracWet","fraction of N available for leaching and runoff","fraction","Constant";"FracLEACH","fraction of all N that is lost through leaching and runoff","fraction","Constant";"z","location in leaching zone","","Input";"j","production system","","Input";"ir","irrigation method","","Input"}, _xlpm.r, _xlpm.c))))</definedName>
    <definedName name="MMS_PastureBeef_Soil_LeachingAndRunoff.VEERG_4_2_1_7__2_MassOfNitrogenLostToLeachingAndRunoffOnPasture_LatexEquation">_xlfn.LAMBDA("M_{leach}=AE\times FracWet\times FracLEACH")</definedName>
    <definedName name="MMS_PastureBeef_Soil_LeachingAndRunoff.VEERG_4_2_1_7__2_MassOfNitrogenLostToLeachingAndRunoffOnPasture_NIRReference">_xlfn.LAMBDA("")</definedName>
    <definedName name="MMS_PastureBeef_Soil_LeachingAndRunoff.VEERG_4_2_1_7__2_MassOfNitrogenLostToLeachingAndRunoffOnPasture_Source">_xlfn.LAMBDA("VEERG 2026: 4.2.1.7, Equation (2)")</definedName>
    <definedName name="MMS_PastureBeef_Soil_LeachingAndRunoff.VEERG_4_2_1_7__2_MassOfNitrogenLostToLeachingAndRunoffOnPasture_Title">_xlfn.LAMBDA("Mass of nitrogen lost to leaching and runoff")</definedName>
    <definedName name="MMS_PastureBeef_Soil_LeachingAndRunoff.VEERG_4_2_1_7__2_MassOfNitrogenLostToLeachingAndRunoffOnPasture_Unit">_xlfn.LAMBDA("kg N")</definedName>
    <definedName name="MMS_PastureBeef_Soil_LeachingAndRunoff.VEERG_4_2_1_7__2_MassOfNitrogenLostToLeachingAndRunoffOnPasture_Variable">_xlfn.LAMBDA("M_leach")</definedName>
    <definedName name="MMS_PastureBeef_Soil_N2ODirect_Equations.VEERG_4_2_1_3__1_DirectNitrousOxideEmissionsOnPasture">_xlfn.LAMBDA(_xlpm.AE,_xlpm.EF_PRP,_xlpm.C_N2O, _xlpm.AE * _xlpm.EF_PRP * _xlpm.C_N2O * 10 ^ -3)</definedName>
    <definedName name="MMS_PastureBeef_Soil_N2ODirect_Equations.VEERG_4_2_1_3__1_DirectNitrousOxideEmissionsOnPasture_Arguments">_xlfn.LAMBDA(_xlfn.MAKEARRAY(4, 4, _xlfn.LAMBDA(_xlpm.r,_xlpm.c, INDEX({"AE","total mass of nitrogen excreted on PRP for beef cattle","kg N","Calculated from 4.2.1.3 (2)";"EF_PRP","emission factor for nitrous oxide from urine and dung deposited to soil","kg N2O-N/kg N deposited","Constant";"C_N2O","factor to convert elemental mass of nitrous oxide to molecular mass","","Constant";"z","wet or dry climate zone","","Input"}, _xlpm.r, _xlpm.c))))</definedName>
    <definedName name="MMS_PastureBeef_Soil_N2ODirect_Equations.VEERG_4_2_1_3__1_DirectNitrousOxideEmissionsOnPasture_LatexEquation">_xlfn.LAMBDA("E_{N2O,dir}=AE\times EF_{PRP}\times C_{N2O}\times 10^{-3}")</definedName>
    <definedName name="MMS_PastureBeef_Soil_N2ODirect_Equations.VEERG_4_2_1_3__1_DirectNitrousOxideEmissionsOnPasture_NIRReference">_xlfn.LAMBDA("")</definedName>
    <definedName name="MMS_PastureBeef_Soil_N2ODirect_Equations.VEERG_4_2_1_3__1_DirectNitrousOxideEmissionsOnPasture_Source">_xlfn.LAMBDA("VEERG 2026: 4.2.1.3, Equation (1)")</definedName>
    <definedName name="MMS_PastureBeef_Soil_N2ODirect_Equations.VEERG_4_2_1_3__1_DirectNitrousOxideEmissionsOnPasture_Title">_xlfn.LAMBDA("Total annual direct nitrous oxide emissions from agricultural soils from deposition of urine and dung")</definedName>
    <definedName name="MMS_PastureBeef_Soil_N2ODirect_Equations.VEERG_4_2_1_3__1_DirectNitrousOxideEmissionsOnPasture_Unit">_xlfn.LAMBDA("t N2O")</definedName>
    <definedName name="MMS_PastureBeef_Soil_N2ODirect_Equations.VEERG_4_2_1_3__1_DirectNitrousOxideEmissionsOnPasture_Variable">_xlfn.LAMBDA("E_N2Odir")</definedName>
    <definedName name="MMS_PastureBeef_Soil_N2ODirect_Equations.VEERG_4_2_1_3__2_TotalNitrogenExcretedToPastureRangeAndPaddock">_xlfn.LAMBDA(_xlpm.N_jkl,_xlpm.NE_jkl,_xlpm.D_j, SUM((_xlpm.N_jkl * _xlpm.NE_jkl) * _xlpm.D_j))</definedName>
    <definedName name="MMS_PastureBeef_Soil_N2ODirect_Equations.VEERG_4_2_1_3__2_TotalNitrogenExcretedToPastureRangeAndPaddock_Arguments">_xlfn.LAMBDA(_xlfn.MAKEARRAY(3, 4, _xlfn.LAMBDA(_xlpm.r,_xlpm.c, INDEX({"N_jkl","number of beef cattle by time-period, class and subclass","head","Input";"NE_jkl","nitrogen excreted in each time-period, by each class and subclass","kg N/head/day","Calculated from 4.2.1.3 (3)";"D_j","number of days in each time-period (days)","days","Input"}, _xlpm.r, _xlpm.c))))</definedName>
    <definedName name="MMS_PastureBeef_Soil_N2ODirect_Equations.VEERG_4_2_1_3__2_TotalNitrogenExcretedToPastureRangeAndPaddock_LatexEquation">_xlfn.LAMBDA("AE=\sum_{j}\sum_{k}\sum_{l}(N_{jkl}\times NE_{jkl}\times D_j)")</definedName>
    <definedName name="MMS_PastureBeef_Soil_N2ODirect_Equations.VEERG_4_2_1_3__2_TotalNitrogenExcretedToPastureRangeAndPaddock_NIRReference">_xlfn.LAMBDA("")</definedName>
    <definedName name="MMS_PastureBeef_Soil_N2ODirect_Equations.VEERG_4_2_1_3__2_TotalNitrogenExcretedToPastureRangeAndPaddock_Source">_xlfn.LAMBDA("VEERG 2026: 4.2.1.3, Equation (2)")</definedName>
    <definedName name="MMS_PastureBeef_Soil_N2ODirect_Equations.VEERG_4_2_1_3__2_TotalNitrogenExcretedToPastureRangeAndPaddock_Title">_xlfn.LAMBDA("Total nitrogen excreted to pasture, range and paddock")</definedName>
    <definedName name="MMS_PastureBeef_Soil_N2ODirect_Equations.VEERG_4_2_1_3__2_TotalNitrogenExcretedToPastureRangeAndPaddock_Unit">_xlfn.LAMBDA("kg N")</definedName>
    <definedName name="MMS_PastureBeef_Soil_N2ODirect_Equations.VEERG_4_2_1_3__2_TotalNitrogenExcretedToPastureRangeAndPaddock_Variable">_xlfn.LAMBDA("AE")</definedName>
    <definedName name="MMS_PastureBeef_Soil_N2ODirect_Equations.VEERG_4_2_1_3__3_NitrogenExcreted">_xlfn.LAMBDA(_xlpm.I_jkl,_xlpm.CP_j,_xlpm.MC_jk136,_xlpm.NR_jkl,_xlpm.W_jkl, ((_xlpm.I_jkl * _xlpm.CP_j) / 6.25) + ((0.032 * _xlpm.MC_jk136) / 6.38) - _xlpm.NR_jkl - ((1.1 * 10 ^ -4 * _xlpm.W_jkl ^ 0.75) / 6.25))</definedName>
    <definedName name="MMS_PastureBeef_Soil_N2ODirect_Equations.VEERG_4_2_1_3__3_NitrogenExcreted_Arguments">_xlfn.LAMBDA(_xlfn.MAKEARRAY(7, 4, _xlfn.LAMBDA(_xlpm.r,_xlpm.c, INDEX({"I_jkl","dry matter intake as calculated in Chapter 3 Section 3.2.1 (kg DM/head/day)","kg DM/head/day","Calculated from 3.2.1.1 (3)";"CP_j","crude protein content of dry matter intake","fraction","Input";"MC_jk136","milk intake (kg/head/day)","kg/head/day","Constant";"NR_jkl","the amount of nitrogen retained by the body (kg N/head/day)","kg N/head/day","Calculated from 4.2.1.3 (4)";"W_jkl","liveweight (kg/head)","kg/head","Input";"b","breed of cattle","","Input";"s","Calving season","","Input"}, _xlpm.r, _xlpm.c))))</definedName>
    <definedName name="MMS_PastureBeef_Soil_N2ODirect_Equations.VEERG_4_2_1_3__3_NitrogenExcreted_LatexEquation">_xlfn.LAMBDA("NE_{jkl}= (I_{jkl}\times CP_j \div 6.25)  + (0.032\times MC_{jk=1,3,6} \div 6.38)  - NR_{jkl} - \left[ (1.1\times 10^{-4}\times W_{jkl}^{0.75}) \div  6.25 \right]")</definedName>
    <definedName name="MMS_PastureBeef_Soil_N2ODirect_Equations.VEERG_4_2_1_3__3_NitrogenExcreted_NIRReference">_xlfn.LAMBDA("")</definedName>
    <definedName name="MMS_PastureBeef_Soil_N2ODirect_Equations.VEERG_4_2_1_3__3_NitrogenExcreted_Source">_xlfn.LAMBDA("VEERG 2026: 4.2.1.3, Equation (3)")</definedName>
    <definedName name="MMS_PastureBeef_Soil_N2ODirect_Equations.VEERG_4_2_1_3__3_NitrogenExcreted_Title">_xlfn.LAMBDA("Nitrogen excreted")</definedName>
    <definedName name="MMS_PastureBeef_Soil_N2ODirect_Equations.VEERG_4_2_1_3__3_NitrogenExcreted_Unit">_xlfn.LAMBDA("kg N/head/day")</definedName>
    <definedName name="MMS_PastureBeef_Soil_N2ODirect_Equations.VEERG_4_2_1_3__3_NitrogenExcreted_Variable">_xlfn.LAMBDA("NE_jkl")</definedName>
    <definedName name="MMS_PastureBeef_Soil_N2ODirect_Equations.VEERG_4_2_1_3__4_NitrogenRetainedByBody">_xlfn.LAMBDA(_xlpm.MP_jk5,_xlpm.L_jkl,_xlpm.Z_jkl,_xlpm.LWG_jkl,
    ((0.032 * _xlpm.MP_jk5) / 6.38) + (((0.212 - 0.008 * (_xlpm.L_jkl - 2) - ((0.14 - 0.008 * (_xlpm.L_jkl - 2)) / (1 + EXP(-6 * (_xlpm.Z_jkl - 0.4))))) * (_xlpm.LWG_jkl * 0.92)) / 6.25)
  )</definedName>
    <definedName name="MMS_PastureBeef_Soil_N2ODirect_Equations.VEERG_4_2_1_3__4_NitrogenRetainedByBody_Arguments">_xlfn.LAMBDA(_xlfn.MAKEARRAY(4, 4, _xlfn.LAMBDA(_xlpm.r,_xlpm.c, INDEX({"MP_jk5","milk production (kg/head/day)","kg/head/day","Calculated from 4.2.1.3 (5)";"L_jkl","intake relative to that needed for maintenance","","Calculated from 4.2.1.3 (6)";"Z_jkl","relative size","","Calculated from 4.2.1.3 (7)";"LWG_jkl","liveweight gain (kg/head/day)","kg/head/day","Input"}, _xlpm.r, _xlpm.c))))</definedName>
    <definedName name="MMS_PastureBeef_Soil_N2ODirect_Equations.VEERG_4_2_1_3__4_NitrogenRetainedByBody_LatexEquation">_xlfn.LAMBDA("NR_{jkl}=(0.032 \times MP_{jk=5} \div 6.38) + \left { \left { 0.212 - 0.008 \times (L_{jkl} -2) - \left[ \frac{0.140-0.008 \times (L_{jkl} - 2)}{1+e^{(-6 \times (Z_{jkl}-0.4))}} \right] \right} \times (LWG_{jkl} \times 0.92) \right} \div 6.25")</definedName>
    <definedName name="MMS_PastureBeef_Soil_N2ODirect_Equations.VEERG_4_2_1_3__4_NitrogenRetainedByBody_NIRReference">_xlfn.LAMBDA("")</definedName>
    <definedName name="MMS_PastureBeef_Soil_N2ODirect_Equations.VEERG_4_2_1_3__4_NitrogenRetainedByBody_Source">_xlfn.LAMBDA("VEERG 2026: 4.2.1.3, Equation (4)")</definedName>
    <definedName name="MMS_PastureBeef_Soil_N2ODirect_Equations.VEERG_4_2_1_3__4_NitrogenRetainedByBody_Title">_xlfn.LAMBDA("Amount of nitrogen retained by the body")</definedName>
    <definedName name="MMS_PastureBeef_Soil_N2ODirect_Equations.VEERG_4_2_1_3__4_NitrogenRetainedByBody_Unit">_xlfn.LAMBDA("kg N/head/day")</definedName>
    <definedName name="MMS_PastureBeef_Soil_N2ODirect_Equations.VEERG_4_2_1_3__4_NitrogenRetainedByBody_Variable">_xlfn.LAMBDA("NR_jkl")</definedName>
    <definedName name="MMS_PastureBeef_Soil_N2ODirect_Equations.VEERG_4_2_1_3__5_MilkProductionForCalvingSeason">_xlfn.LAMBDA(_xlpm.LC_jk5,_xlpm.DMP_jk5, _xlpm.LC_jk5 * _xlpm.DMP_jk5)</definedName>
    <definedName name="MMS_PastureBeef_Soil_N2ODirect_Equations.VEERG_4_2_1_3__5_MilkProductionForCalvingSeason_Arguments">_xlfn.LAMBDA(_xlfn.MAKEARRAY(3, 4, _xlfn.LAMBDA(_xlpm.r,_xlpm.c, INDEX({"LC_jk5","proportion of cows greater than 2 years lactating for the season of calving and season after calving expressed as a fraction","fraction","Input";"DMP_jk5","daily milk production (kg/head/day)","kg/head/day","Constant";"b","breed of cattle","","Input"}, _xlpm.r, _xlpm.c))))</definedName>
    <definedName name="MMS_PastureBeef_Soil_N2ODirect_Equations.VEERG_4_2_1_3__5_MilkProductionForCalvingSeason_ArgumentsVariation">_xlfn.LAMBDA(_xlfn.MAKEARRAY(5, 4, _xlfn.LAMBDA(_xlpm.r,_xlpm.c, INDEX({"LC_jk5curr","proportion of cows greater than 2 years lactating for the season of calving","fraction","Input";"LC_jk5prev","proportion of cows greater than 2 years lactating for the season after calving","fraction","Input";"DMP_jk5calv","daily milk production for the season of calving (kg/head/day)","kg/head/day","Constant";"DMP_jk5after","daily milk production for the season after calving (kg/head/day)","kg/head/day","Constant";"b","breed of cattle","","Input"}, _xlpm.r, _xlpm.c))))</definedName>
    <definedName name="MMS_PastureBeef_Soil_N2ODirect_Equations.VEERG_4_2_1_3__5_MilkProductionForCalvingSeason_LatexEquation">_xlfn.LAMBDA("MP_{jk=5}=LC_{jk=5}\times DMP_{jk=5}")</definedName>
    <definedName name="MMS_PastureBeef_Soil_N2ODirect_Equations.VEERG_4_2_1_3__5_MilkProductionForCalvingSeason_LatexEquationVariation">_xlfn.LAMBDA("MP_{jk=5}=(LC_{jk=5,current}\times DMP_{jk=5,calv})+(LC_{jk=5,prev}\times DMP_{jk=5,after})")</definedName>
    <definedName name="MMS_PastureBeef_Soil_N2ODirect_Equations.VEERG_4_2_1_3__5_MilkProductionForCalvingSeason_NIRReference">_xlfn.LAMBDA("")</definedName>
    <definedName name="MMS_PastureBeef_Soil_N2ODirect_Equations.VEERG_4_2_1_3__5_MilkProductionForCalvingSeason_Source">_xlfn.LAMBDA("VEERG 2026: 4.2.1.3, Equation (5)")</definedName>
    <definedName name="MMS_PastureBeef_Soil_N2ODirect_Equations.VEERG_4_2_1_3__5_MilkProductionForCalvingSeason_Title">_xlfn.LAMBDA("Milk production for the season of calving and season after calving")</definedName>
    <definedName name="MMS_PastureBeef_Soil_N2ODirect_Equations.VEERG_4_2_1_3__5_MilkProductionForCalvingSeason_Unit">_xlfn.LAMBDA("kg/head/day")</definedName>
    <definedName name="MMS_PastureBeef_Soil_N2ODirect_Equations.VEERG_4_2_1_3__5_MilkProductionForCalvingSeason_Variable">_xlfn.LAMBDA("MP_jk5")</definedName>
    <definedName name="MMS_PastureBeef_Soil_N2ODirect_Equations.VEERG_4_2_1_3__5_MilkProductionForCalvingSeason_Variation">_xlfn.LAMBDA("VARIATION ON SOURCE: Split LC and DMP into calving season and after calving season values.")</definedName>
    <definedName name="MMS_PastureBeef_Soil_N2ODirect_Equations.VEERG_4_2_1_3__5_MilkProductionForCalvingSeasonVariation">_xlfn.LAMBDA(_xlpm.LC_jk5curr,_xlpm.LC_jk5prev,_xlpm.DMP_jk5calv,_xlpm.DMP_jk5after, (_xlpm.LC_jk5curr * _xlpm.DMP_jk5calv) + (_xlpm.LC_jk5prev * _xlpm.DMP_jk5after))</definedName>
    <definedName name="MMS_PastureBeef_Soil_N2ODirect_Equations.VEERG_4_2_1_3__6_IntakeRelativeToMaintenance">_xlfn.LAMBDA(_xlpm.I_jkl,_xlpm.W_jkl, _xlpm.I_jkl / ((1.185 + 0.00454 * _xlpm.W_jkl - 0.0000026 * _xlpm.W_jkl ^ 2) ^ 2))</definedName>
    <definedName name="MMS_PastureBeef_Soil_N2ODirect_Equations.VEERG_4_2_1_3__6_IntakeRelativeToMaintenance_Arguments">_xlfn.LAMBDA(_xlfn.MAKEARRAY(2, 4, _xlfn.LAMBDA(_xlpm.r,_xlpm.c, INDEX({"I_jkl","dry matter intake as calculated in Chapter 3 Section 3.2.1 (kg DM/head/day)","kg DM/head/day","Calculated from 3.2.1.1 (3)";"W_jkl","liveweight (kg/head)","kg/head","Input"}, _xlpm.r, _xlpm.c))))</definedName>
    <definedName name="MMS_PastureBeef_Soil_N2ODirect_Equations.VEERG_4_2_1_3__6_IntakeRelativeToMaintenance_LatexEquation">_xlfn.LAMBDA("L_{jkl}=\frac{I_{jkl}}{(1.185+0.00454\times W_{jkl}-0.0000026\times W_{jkl}^{2})^{2}}")</definedName>
    <definedName name="MMS_PastureBeef_Soil_N2ODirect_Equations.VEERG_4_2_1_3__6_IntakeRelativeToMaintenance_NIRReference">_xlfn.LAMBDA("")</definedName>
    <definedName name="MMS_PastureBeef_Soil_N2ODirect_Equations.VEERG_4_2_1_3__6_IntakeRelativeToMaintenance_Source">_xlfn.LAMBDA("VEERG 2026: 4.2.1.3, Equation (6)")</definedName>
    <definedName name="MMS_PastureBeef_Soil_N2ODirect_Equations.VEERG_4_2_1_3__6_IntakeRelativeToMaintenance_Title">_xlfn.LAMBDA("Intake relative to that needed for maintenance")</definedName>
    <definedName name="MMS_PastureBeef_Soil_N2ODirect_Equations.VEERG_4_2_1_3__6_IntakeRelativeToMaintenance_Unit">_xlfn.LAMBDA("ratio")</definedName>
    <definedName name="MMS_PastureBeef_Soil_N2ODirect_Equations.VEERG_4_2_1_3__6_IntakeRelativeToMaintenance_Variable">_xlfn.LAMBDA("L_jkl")</definedName>
    <definedName name="MMS_PastureBeef_Soil_N2ODirect_Equations.VEERG_4_2_1_3__7_RelativeSize">_xlfn.LAMBDA(_xlpm.W_jkl,_xlpm.SRW_k, _xlpm.W_jkl / _xlpm.SRW_k)</definedName>
    <definedName name="MMS_PastureBeef_Soil_N2ODirect_Equations.VEERG_4_2_1_3__7_RelativeSize_Arguments">_xlfn.LAMBDA(_xlfn.MAKEARRAY(3, 4, _xlfn.LAMBDA(_xlpm.r,_xlpm.c, INDEX({"W_jkl","liveweight (kg)","kg","Input";"SRW_k","standard reference weight (kg)","kg","Constant";"i","state","","Input"}, _xlpm.r, _xlpm.c))))</definedName>
    <definedName name="MMS_PastureBeef_Soil_N2ODirect_Equations.VEERG_4_2_1_3__7_RelativeSize_LatexEquation">_xlfn.LAMBDA("Z_{jkl}=\frac{W_{jkl}}{SRW_k}")</definedName>
    <definedName name="MMS_PastureBeef_Soil_N2ODirect_Equations.VEERG_4_2_1_3__7_RelativeSize_NIRReference">_xlfn.LAMBDA("")</definedName>
    <definedName name="MMS_PastureBeef_Soil_N2ODirect_Equations.VEERG_4_2_1_3__7_RelativeSize_Source">_xlfn.LAMBDA("VEERG 2026: 4.2.1.3, Equation (7)")</definedName>
    <definedName name="MMS_PastureBeef_Soil_N2ODirect_Equations.VEERG_4_2_1_3__7_RelativeSize_Title">_xlfn.LAMBDA("Relative size of the cattle")</definedName>
    <definedName name="MMS_PastureBeef_Soil_N2ODirect_Equations.VEERG_4_2_1_3__7_RelativeSize_Unit">_xlfn.LAMBDA("ratio")</definedName>
    <definedName name="MMS_PastureBeef_Soil_N2ODirect_Equations.VEERG_4_2_1_3__7_RelativeSize_Variable">_xlfn.LAMBDA("Z_jkl")</definedName>
    <definedName name="MMS_Poultry_AtmosphericDeposition_Equations.VEERG_4_6_1_5__1_TotalAnnualAtmosphericDepositionEmissionsFromMMS">_xlfn.LAMBDA(_xlpm.MMS_ATMOS,_xlpm.EF_N2O,_xlpm.C_N2O, (_xlpm.MMS_ATMOS * _xlpm.EF_N2O * _xlpm.C_N2O) * 10 ^ -3)</definedName>
    <definedName name="MMS_Poultry_AtmosphericDeposition_Equations.VEERG_4_6_1_5__1_TotalAnnualAtmosphericDepositionEmissionsFromMMS_Arguments">_xlfn.LAMBDA(_xlfn.MAKEARRAY(6, 4, _xlfn.LAMBDA(_xlpm.r,_xlpm.c, INDEX({"MMS_ATMOS","mass of N volatilised from MMS","kg N","Calculated from 4.6.1.5 (2)";"EF_N2O","nitrous oxide emission factor for atmospheric deposition","kg N2O-N/kg N","Constant";"C_N2O","factor to convert elemental mass of nitrous oxide to molecular mass","ratio","Constant";"j","production system","","Input";"ir","irrigation method","","Input";"r","rainfall region","","Input"}, _xlpm.r, _xlpm.c))))</definedName>
    <definedName name="MMS_Poultry_AtmosphericDeposition_Equations.VEERG_4_6_1_5__1_TotalAnnualAtmosphericDepositionEmissionsFromMMS_LatexEquation">_xlfn.LAMBDA("E_{N2O,ad}=(MMS_{ATMOS}\times EF_{N2O}\times C_{N2O})\times10^{-3}")</definedName>
    <definedName name="MMS_Poultry_AtmosphericDeposition_Equations.VEERG_4_6_1_5__1_TotalAnnualAtmosphericDepositionEmissionsFromMMS_NIRReference">_xlfn.LAMBDA("")</definedName>
    <definedName name="MMS_Poultry_AtmosphericDeposition_Equations.VEERG_4_6_1_5__1_TotalAnnualAtmosphericDepositionEmissionsFromMMS_Source">_xlfn.LAMBDA("VEERG 2026: 4.6.1.5, Equation (1)")</definedName>
    <definedName name="MMS_Poultry_AtmosphericDeposition_Equations.VEERG_4_6_1_5__1_TotalAnnualAtmosphericDepositionEmissionsFromMMS_Title">_xlfn.LAMBDA("Total annual atmospheric deposition emissions from manure management")</definedName>
    <definedName name="MMS_Poultry_AtmosphericDeposition_Equations.VEERG_4_6_1_5__1_TotalAnnualAtmosphericDepositionEmissionsFromMMS_Unit">_xlfn.LAMBDA("t N2O")</definedName>
    <definedName name="MMS_Poultry_AtmosphericDeposition_Equations.VEERG_4_6_1_5__1_TotalAnnualAtmosphericDepositionEmissionsFromMMS_Variable">_xlfn.LAMBDA("E_N2Oad")</definedName>
    <definedName name="MMS_Poultry_AtmosphericDeposition_Equations.VEERG_4_6_1_5__2_TotalNitrogenVolatilisedFromMMS">_xlfn.LAMBDA(_xlpm.MN_jkmT,_xlpm.FracGASM_mT, _xlpm.MN_jkmT * _xlpm.FracGASM_mT)</definedName>
    <definedName name="MMS_Poultry_AtmosphericDeposition_Equations.VEERG_4_6_1_5__2_TotalNitrogenVolatilisedFromMMS_Arguments">_xlfn.LAMBDA(_xlfn.MAKEARRAY(2, 4, _xlfn.LAMBDA(_xlpm.r,_xlpm.c, INDEX({"MN_jkmT","nitrogen in each treatment stage MMS (excluding MN_jkm13T2)","kg N","Calculated from 4.6.1.3 (2)(6)";"FracGASM_mT","fraction of N volatilised in each MMS","(kg NH3-N + NOx-N)/kg N","Constant"}, _xlpm.r, _xlpm.c))))</definedName>
    <definedName name="MMS_Poultry_AtmosphericDeposition_Equations.VEERG_4_6_1_5__2_TotalNitrogenVolatilisedFromMMS_LatexEquation">_xlfn.LAMBDA("MMS_{ATMOS}=\sum_{j}\sum_{k}\sum_{m}\sum_{T}(MN_{jkmT}\times FracGASM_{mT})")</definedName>
    <definedName name="MMS_Poultry_AtmosphericDeposition_Equations.VEERG_4_6_1_5__2_TotalNitrogenVolatilisedFromMMS_NIRReference">_xlfn.LAMBDA("")</definedName>
    <definedName name="MMS_Poultry_AtmosphericDeposition_Equations.VEERG_4_6_1_5__2_TotalNitrogenVolatilisedFromMMS_Source">_xlfn.LAMBDA("VEERG 2026: 4.6.1.5, Equation (2)")</definedName>
    <definedName name="MMS_Poultry_AtmosphericDeposition_Equations.VEERG_4_6_1_5__2_TotalNitrogenVolatilisedFromMMS_Title">_xlfn.LAMBDA("Total nitrogen volatilised from manure management systems")</definedName>
    <definedName name="MMS_Poultry_AtmosphericDeposition_Equations.VEERG_4_6_1_5__2_TotalNitrogenVolatilisedFromMMS_Unit">_xlfn.LAMBDA("kg N")</definedName>
    <definedName name="MMS_Poultry_AtmosphericDeposition_Equations.VEERG_4_6_1_5__2_TotalNitrogenVolatilisedFromMMS_Variable">_xlfn.LAMBDA("MMS_ATMOS")</definedName>
    <definedName name="MMS_Poultry_LeachingAndRunoff_Equations.VEERG_4_6_1_7__1_AnnualEmissionsFromLeachingAndRunoffFromMMS">_xlfn.LAMBDA(_xlpm.MNLeach_jkm4,_xlpm.EF_leach,_xlpm.C_N2O, (_xlpm.MNLeach_jkm4 * _xlpm.EF_leach * _xlpm.C_N2O) * 10 ^ -3)</definedName>
    <definedName name="MMS_Poultry_LeachingAndRunoff_Equations.VEERG_4_6_1_7__1_AnnualEmissionsFromLeachingAndRunoffFromMMS_Arguments">_xlfn.LAMBDA(_xlfn.MAKEARRAY(3, 4, _xlfn.LAMBDA(_xlpm.r,_xlpm.c, INDEX({"MNLeach_jkm4","mass of N lost through leaching and runoff from each MMS","kg N","Calculated from 4.6.1.7 (2)";"EF_leach","emission factor for leaching and runoff","kg N2O-N/kg N","Constant";"C_N2O","factor to convert elemental mass of N2O to molecular mass","ratio","Constant"}, _xlpm.r, _xlpm.c))))</definedName>
    <definedName name="MMS_Poultry_LeachingAndRunoff_Equations.VEERG_4_6_1_7__1_AnnualEmissionsFromLeachingAndRunoffFromMMS_LatexEquation">_xlfn.LAMBDA("E_{N2O,leach}=MNLeach_{jkm=4}\times EF_{leach}\times C_{N2O}\times10^{-3}")</definedName>
    <definedName name="MMS_Poultry_LeachingAndRunoff_Equations.VEERG_4_6_1_7__1_AnnualEmissionsFromLeachingAndRunoffFromMMS_NIRReference">_xlfn.LAMBDA("")</definedName>
    <definedName name="MMS_Poultry_LeachingAndRunoff_Equations.VEERG_4_6_1_7__1_AnnualEmissionsFromLeachingAndRunoffFromMMS_Source">_xlfn.LAMBDA("VEERG 2026: 4.6.1.7, Equation (1)")</definedName>
    <definedName name="MMS_Poultry_LeachingAndRunoff_Equations.VEERG_4_6_1_7__1_AnnualEmissionsFromLeachingAndRunoffFromMMS_Title">_xlfn.LAMBDA("Annual emissions from leaching and runoff from each MMS")</definedName>
    <definedName name="MMS_Poultry_LeachingAndRunoff_Equations.VEERG_4_6_1_7__1_AnnualEmissionsFromLeachingAndRunoffFromMMS_Unit">_xlfn.LAMBDA("t N2O")</definedName>
    <definedName name="MMS_Poultry_LeachingAndRunoff_Equations.VEERG_4_6_1_7__1_AnnualEmissionsFromLeachingAndRunoffFromMMS_Variable">_xlfn.LAMBDA("E_N2Oleach")</definedName>
    <definedName name="MMS_Poultry_LeachingAndRunoff_Equations.VEERG_4_6_1_7__2_MassOfNitrogenLostToLeachingAndRunoffFromSolidStorage">_xlfn.LAMBDA(_xlpm.MN_jkm4T2,_xlpm.FracWET,_xlpm.FracLEACH_MS, _xlpm.MN_jkm4T2 * _xlpm.FracWET * _xlpm.FracLEACH_MS)</definedName>
    <definedName name="MMS_Poultry_LeachingAndRunoff_Equations.VEERG_4_6_1_7__2_MassOfNitrogenLostToLeachingAndRunoffFromSolidStorage_Arguments" localSheetId="37">_xlfn.LAMBDA(
    _xlfn.MAKEARRAY(6, 4,
      _xlfn.LAMBDA(_xlpm.r,_xlpm.c,
        INDEX({"MN_jkm4T2","nitrogen in solid storage MMS treatment stage 2","kg N","Calculated from 4.6.1.3 (6)";"FracWET","fraction of N available for leaching and runoff","fraction","Constant";"FracLEACH_MS","fraction of N lost through leaching and runoff","fraction","Constant";"z","location in leaching zone","","Input";"j","production system","","Input";"ir","irrigation method","","Input"}, _xlpm.r, _xlpm.c)
      )
    )
  )</definedName>
    <definedName name="MMS_Poultry_LeachingAndRunoff_Equations.VEERG_4_6_1_7__2_MassOfNitrogenLostToLeachingAndRunoffFromSolidStorage_Arguments" localSheetId="38">_xlfn.LAMBDA(
    _xlfn.MAKEARRAY(6, 4,
      _xlfn.LAMBDA(_xlpm.r,_xlpm.c,
        INDEX({"MN_jkm4T2","nitrogen in solid storage MMS treatment stage 2","kg N","Calculated from 4.6.1.3 (6)";"FracWET","fraction of N available for leaching and runoff","fraction","Constant";"FracLEACH_MS","fraction of N lost through leaching and runoff","fraction","Constant";"z","location in leaching zone","","Input";"j","production system","","Input";"ir","irrigation method","","Input"}, _xlpm.r, _xlpm.c)
      )
    )
  )</definedName>
    <definedName name="MMS_Poultry_LeachingAndRunoff_Equations.VEERG_4_6_1_7__2_MassOfNitrogenLostToLeachingAndRunoffFromSolidStorage_Arguments" localSheetId="45">_xlfn.LAMBDA(
    _xlfn.MAKEARRAY(6, 4,
      _xlfn.LAMBDA(_xlpm.r,_xlpm.c,
        INDEX({"MN_jkm4T2","nitrogen in solid storage MMS treatment stage 2","kg N","Calculated from 4.6.1.3 (6)";"FracWET","fraction of N available for leaching and runoff","fraction","Constant";"FracLEACH_MS","fraction of N lost through leaching and runoff","fraction","Constant";"z","location in leaching zone","","Input";"j","production system","","Input";"ir","irrigation method","","Input"}, _xlpm.r, _xlpm.c)
      )
    )
  )</definedName>
    <definedName name="MMS_Poultry_LeachingAndRunoff_Equations.VEERG_4_6_1_7__2_MassOfNitrogenLostToLeachingAndRunoffFromSolidStorage_Arguments" localSheetId="7">_xlfn.LAMBDA(
    _xlfn.MAKEARRAY(6, 4,
      _xlfn.LAMBDA(_xlpm.r,_xlpm.c,
        INDEX({"MN_jkm4T2","nitrogen in solid storage MMS treatment stage 2","kg N","Calculated from 4.6.1.3 (6)";"FracWET","fraction of N available for leaching and runoff","fraction","Constant";"FracLEACH_MS","fraction of N lost through leaching and runoff","fraction","Constant";"z","location in leaching zone","","Input";"j","production system","","Input";"ir","irrigation method","","Input"}, _xlpm.r, _xlpm.c)
      )
    )
  )</definedName>
    <definedName name="MMS_Poultry_LeachingAndRunoff_Equations.VEERG_4_6_1_7__2_MassOfNitrogenLostToLeachingAndRunoffFromSolidStorage_Arguments" localSheetId="13">_xlfn.LAMBDA(
    _xlfn.MAKEARRAY(6, 4,
      _xlfn.LAMBDA(_xlpm.r,_xlpm.c,
        INDEX({"MN_jkm4T2","nitrogen in solid storage MMS treatment stage 2","kg N","Calculated from 4.6.1.3 (6)";"FracWET","fraction of N available for leaching and runoff","fraction","Constant";"FracLEACH_MS","fraction of N lost through leaching and runoff","fraction","Constant";"z","location in leaching zone","","Input";"j","production system","","Input";"ir","irrigation method","","Input"}, _xlpm.r, _xlpm.c)
      )
    )
  )</definedName>
    <definedName name="MMS_Poultry_LeachingAndRunoff_Equations.VEERG_4_6_1_7__2_MassOfNitrogenLostToLeachingAndRunoffFromSolidStorage_Arguments" localSheetId="14">_xlfn.LAMBDA(
    _xlfn.MAKEARRAY(6, 4,
      _xlfn.LAMBDA(_xlpm.r,_xlpm.c,
        INDEX({"MN_jkm4T2","nitrogen in solid storage MMS treatment stage 2","kg N","Calculated from 4.6.1.3 (6)";"FracWET","fraction of N available for leaching and runoff","fraction","Constant";"FracLEACH_MS","fraction of N lost through leaching and runoff","fraction","Constant";"z","location in leaching zone","","Input";"j","production system","","Input";"ir","irrigation method","","Input"}, _xlpm.r, _xlpm.c)
      )
    )
  )</definedName>
    <definedName name="MMS_Poultry_LeachingAndRunoff_Equations.VEERG_4_6_1_7__2_MassOfNitrogenLostToLeachingAndRunoffFromSolidStorage_Arguments" localSheetId="16">_xlfn.LAMBDA(
    _xlfn.MAKEARRAY(6, 4,
      _xlfn.LAMBDA(_xlpm.r,_xlpm.c,
        INDEX({"MN_jkm4T2","nitrogen in solid storage MMS treatment stage 2","kg N","Calculated from 4.6.1.3 (6)";"FracWET","fraction of N available for leaching and runoff","fraction","Constant";"FracLEACH_MS","fraction of N lost through leaching and runoff","fraction","Constant";"z","location in leaching zone","","Input";"j","production system","","Input";"ir","irrigation method","","Input"}, _xlpm.r, _xlpm.c)
      )
    )
  )</definedName>
    <definedName name="MMS_Poultry_LeachingAndRunoff_Equations.VEERG_4_6_1_7__2_MassOfNitrogenLostToLeachingAndRunoffFromSolidStorage_Arguments" localSheetId="15">_xlfn.LAMBDA(
    _xlfn.MAKEARRAY(6, 4,
      _xlfn.LAMBDA(_xlpm.r,_xlpm.c,
        INDEX({"MN_jkm4T2","nitrogen in solid storage MMS treatment stage 2","kg N","Calculated from 4.6.1.3 (6)";"FracWET","fraction of N available for leaching and runoff","fraction","Constant";"FracLEACH_MS","fraction of N lost through leaching and runoff","fraction","Constant";"z","location in leaching zone","","Input";"j","production system","","Input";"ir","irrigation method","","Input"}, _xlpm.r, _xlpm.c)
      )
    )
  )</definedName>
    <definedName name="MMS_Poultry_LeachingAndRunoff_Equations.VEERG_4_6_1_7__2_MassOfNitrogenLostToLeachingAndRunoffFromSolidStorage_Arguments" localSheetId="18">_xlfn.LAMBDA(
    _xlfn.MAKEARRAY(6, 4,
      _xlfn.LAMBDA(_xlpm.r,_xlpm.c,
        INDEX({"MN_jkm4T2","nitrogen in solid storage MMS treatment stage 2","kg N","Calculated from 4.6.1.3 (6)";"FracWET","fraction of N available for leaching and runoff","fraction","Constant";"FracLEACH_MS","fraction of N lost through leaching and runoff","fraction","Constant";"z","location in leaching zone","","Input";"j","production system","","Input";"ir","irrigation method","","Input"}, _xlpm.r, _xlpm.c)
      )
    )
  )</definedName>
    <definedName name="MMS_Poultry_LeachingAndRunoff_Equations.VEERG_4_6_1_7__2_MassOfNitrogenLostToLeachingAndRunoffFromSolidStorage_Arguments">_xlfn.LAMBDA(_xlfn.MAKEARRAY(6, 4, _xlfn.LAMBDA(_xlpm.r,_xlpm.c, INDEX({"MN_jkm4T2","nitrogen in solid storage MMS treatment stage 2","kg N","Calculated from 4.6.1.3 (6)";"FracWET","fraction of N available for leaching and runoff","fraction","Input";"FracLEACH_MS","fraction of N lost through leaching and runoff","fraction","Input";"z","location in leaching zone","","Input";"j","production system","","Input";"ir","irrigation method","","Input"}, _xlpm.r, _xlpm.c))))</definedName>
    <definedName name="MMS_Poultry_LeachingAndRunoff_Equations.VEERG_4_6_1_7__2_MassOfNitrogenLostToLeachingAndRunoffFromSolidStorage_LatexEquation">_xlfn.LAMBDA("MNLeach_{jkm=4}=MN_{jkm=4,T=2}\times FracWET\times FracLEACH_{MS}")</definedName>
    <definedName name="MMS_Poultry_LeachingAndRunoff_Equations.VEERG_4_6_1_7__2_MassOfNitrogenLostToLeachingAndRunoffFromSolidStorage_NIRReference">_xlfn.LAMBDA("")</definedName>
    <definedName name="MMS_Poultry_LeachingAndRunoff_Equations.VEERG_4_6_1_7__2_MassOfNitrogenLostToLeachingAndRunoffFromSolidStorage_Source">_xlfn.LAMBDA("VEERG 2026: 4.6.1.7, Equation (2)")</definedName>
    <definedName name="MMS_Poultry_LeachingAndRunoff_Equations.VEERG_4_6_1_7__2_MassOfNitrogenLostToLeachingAndRunoffFromSolidStorage_Title">_xlfn.LAMBDA("Mass of nitrogen lost to leaching and runoff from solid storage systems")</definedName>
    <definedName name="MMS_Poultry_LeachingAndRunoff_Equations.VEERG_4_6_1_7__2_MassOfNitrogenLostToLeachingAndRunoffFromSolidStorage_Unit">_xlfn.LAMBDA("kg N")</definedName>
    <definedName name="MMS_Poultry_LeachingAndRunoff_Equations.VEERG_4_6_1_7__2_MassOfNitrogenLostToLeachingAndRunoffFromSolidStorage_Variable">_xlfn.LAMBDA("MNLeach_jkm4")</definedName>
    <definedName name="MMS_Poultry_ManureAppliedToSoils_Equations.VEERG_4_6_1_9__1_MassOfNitrogenAppliedToSoilsScope1">_xlfn.LAMBDA(_xlpm.MN_jmT2,_xlpm.EF_mT2,_xlpm.FracGASM_mT2,_xlpm.MNLeach_MMS,_xlpm.PF, (_xlpm.MN_jmT2 * (1 - _xlpm.EF_mT2 - _xlpm.FracGASM_mT2) - _xlpm.MNLeach_MMS) * _xlpm.PF)</definedName>
    <definedName name="MMS_Poultry_ManureAppliedToSoils_Equations.VEERG_4_6_1_9__1_MassOfNitrogenAppliedToSoilsScope1_Arguments">_xlfn.LAMBDA(_xlfn.MAKEARRAY(5, 4, _xlfn.LAMBDA(_xlpm.r,_xlpm.c, INDEX({"MN_jmT2","mass of N in secondary treatment stage as calculated for manure management","kg N","Calculated from 4.6.1.3 (6)";"EF_mT2","nitrous oxide emission factor for each MMS","kg N2O-N/kg N","Constant";"FracGASM_mT2","fraction of animal waste N volatilised in each MMS","(kg NH3-N + NOx-N)/kg N","Constant";"MNLeach_MMS","mass of N lost through leaching and runoff from MMS","kg N","Calculated from 4.6.1.7 (2)";"PF","fraction of manure applied to soil within the farm boundary","fraction","Input"}, _xlpm.r, _xlpm.c))))</definedName>
    <definedName name="MMS_Poultry_ManureAppliedToSoils_Equations.VEERG_4_6_1_9__1_MassOfNitrogenAppliedToSoilsScope1_LatexEquation">_xlfn.LAMBDA("MNSoil_{scope1}=\sum_{j}\sum_{m}(MN_{jm,T=2}\times(1-EF_{mT=2}-FracGASM_{mT=2})-MNLeach_{MMS})\times PF")</definedName>
    <definedName name="MMS_Poultry_ManureAppliedToSoils_Equations.VEERG_4_6_1_9__1_MassOfNitrogenAppliedToSoilsScope1_NIRReference">_xlfn.LAMBDA("")</definedName>
    <definedName name="MMS_Poultry_ManureAppliedToSoils_Equations.VEERG_4_6_1_9__1_MassOfNitrogenAppliedToSoilsScope1_Source">_xlfn.LAMBDA("VEERG 2026: 4.6.1.9, Equation (1)")</definedName>
    <definedName name="MMS_Poultry_ManureAppliedToSoils_Equations.VEERG_4_6_1_9__1_MassOfNitrogenAppliedToSoilsScope1_Title">_xlfn.LAMBDA("Mass of nitrogen applied to soils for scope 1 emissions")</definedName>
    <definedName name="MMS_Poultry_ManureAppliedToSoils_Equations.VEERG_4_6_1_9__1_MassOfNitrogenAppliedToSoilsScope1_Unit">_xlfn.LAMBDA("kg N")</definedName>
    <definedName name="MMS_Poultry_ManureAppliedToSoils_Equations.VEERG_4_6_1_9__1_MassOfNitrogenAppliedToSoilsScope1_Variable">_xlfn.LAMBDA("MNSoil_scope1")</definedName>
    <definedName name="MMS_Poultry_ManureAppliedToSoils_Equations.VEERG_4_6_1_9__2_MassOfNitrogenAppliedToSoilsScope3">_xlfn.LAMBDA(_xlpm.MN_jmT2,_xlpm.EF_mT2,_xlpm.FracGASM_mT2,_xlpm.MNLeach_MMS,_xlpm.PF, (_xlpm.MN_jmT2 * (1 - _xlpm.EF_mT2 - _xlpm.FracGASM_mT2) - _xlpm.MNLeach_MMS) * (1 - _xlpm.PF))</definedName>
    <definedName name="MMS_Poultry_ManureAppliedToSoils_Equations.VEERG_4_6_1_9__2_MassOfNitrogenAppliedToSoilsScope3_Arguments">_xlfn.LAMBDA(_xlfn.MAKEARRAY(5, 4, _xlfn.LAMBDA(_xlpm.r,_xlpm.c, INDEX({"MN_jmT2","mass of N in secondary treatment stage as calculated for manure management","kg N","Calculated from 4.6.1.3 (6)";"EF_mT2","nitrous oxide emission factor for each MMS","kg N2O-N/kg N","Constant";"FracGASM_mT2","fraction of animal waste N volatilised in each MMS","(kg NH3-N + NOx-N)/kg N","Constant";"MNLeach_MMS","mass of N lost through leaching and runoff from MMS","kg N","Calculated from 4.6.1.7 (2)";"PF","fraction of manure applied to soil within the farm boundary","fraction","Input"}, _xlpm.r, _xlpm.c))))</definedName>
    <definedName name="MMS_Poultry_ManureAppliedToSoils_Equations.VEERG_4_6_1_9__2_MassOfNitrogenAppliedToSoilsScope3_LatexEquation">_xlfn.LAMBDA("MNSoil_{scope3}=\sum_{j}\sum_{m}(MN_{jm,T=2}\times(1-EF_{mT=2}-FracGASM_{mT=2})-MNLeach_{MMS})\times(1-PF)")</definedName>
    <definedName name="MMS_Poultry_ManureAppliedToSoils_Equations.VEERG_4_6_1_9__2_MassOfNitrogenAppliedToSoilsScope3_NIRReference">_xlfn.LAMBDA("")</definedName>
    <definedName name="MMS_Poultry_ManureAppliedToSoils_Equations.VEERG_4_6_1_9__2_MassOfNitrogenAppliedToSoilsScope3_Source">_xlfn.LAMBDA("VEERG 2026: 4.6.1.9, Equation (2)")</definedName>
    <definedName name="MMS_Poultry_ManureAppliedToSoils_Equations.VEERG_4_6_1_9__2_MassOfNitrogenAppliedToSoilsScope3_Title">_xlfn.LAMBDA("Mass of nitrogen applied to soils for scope 3 emissions")</definedName>
    <definedName name="MMS_Poultry_ManureAppliedToSoils_Equations.VEERG_4_6_1_9__2_MassOfNitrogenAppliedToSoilsScope3_Unit">_xlfn.LAMBDA("kg N")</definedName>
    <definedName name="MMS_Poultry_ManureAppliedToSoils_Equations.VEERG_4_6_1_9__2_MassOfNitrogenAppliedToSoilsScope3_Variable">_xlfn.LAMBDA("MNSoil_scope3")</definedName>
    <definedName name="MMS_Poultry_Methane_Equations.VEERG_4_6_1_1__1_TotalAnnualMethaneEmissions">_xlfn.LAMBDA(_xlpm.D_jk,_xlpm.M_jkmT,_xlpm.N_jk, (_xlpm.D_jk * _xlpm.M_jkmT * _xlpm.N_jk) * 10 ^ -3)</definedName>
    <definedName name="MMS_Poultry_Methane_Equations.VEERG_4_6_1_1__1_TotalAnnualMethaneEmissions_Arguments">_xlfn.LAMBDA(_xlfn.MAKEARRAY(3, 4, _xlfn.LAMBDA(_xlpm.r,_xlpm.c, INDEX({"D_jk","duration of stay of each class and subclass of poultry","days","Input";"M_jkmT","methane production from manure per class, subclass, MMS, and treatment stage","kg CH4/bird/day","Calculated from 4.6.1.1 (2)(3)";"N_jk","numbers of poultry in each class and subclass","birds","Input"}, _xlpm.r, _xlpm.c))))</definedName>
    <definedName name="MMS_Poultry_Methane_Equations.VEERG_4_6_1_1__1_TotalAnnualMethaneEmissions_LatexEquation">_xlfn.LAMBDA("E_{CH4}=\sum_{j}\sum_{k}\sum_{m}\sum_{T}(D_{jk}\times M_{jkmT}\times N_{jk})\times10^{-3}")</definedName>
    <definedName name="MMS_Poultry_Methane_Equations.VEERG_4_6_1_1__1_TotalAnnualMethaneEmissions_NIRReference">_xlfn.LAMBDA("")</definedName>
    <definedName name="MMS_Poultry_Methane_Equations.VEERG_4_6_1_1__1_TotalAnnualMethaneEmissions_Source">_xlfn.LAMBDA("VEERG 2026: 4.4.1.1, Equation (1)")</definedName>
    <definedName name="MMS_Poultry_Methane_Equations.VEERG_4_6_1_1__1_TotalAnnualMethaneEmissions_Title">_xlfn.LAMBDA("Total annual methane emissions from manure management")</definedName>
    <definedName name="MMS_Poultry_Methane_Equations.VEERG_4_6_1_1__1_TotalAnnualMethaneEmissions_Unit">_xlfn.LAMBDA("t CH4")</definedName>
    <definedName name="MMS_Poultry_Methane_Equations.VEERG_4_6_1_1__1_TotalAnnualMethaneEmissions_Variable">_xlfn.LAMBDA("E_CH4")</definedName>
    <definedName name="MMS_Poultry_Methane_Equations.VEERG_4_6_1_1__2_Stage1MethaneProduction">_xlfn.LAMBDA(_xlpm.VS_jk,_xlpm.BO_j,_xlpm.MMS_jmT1,_xlpm.MCF_im,_xlpm.rho, _xlpm.VS_jk * _xlpm.BO_j * _xlpm.MMS_jmT1 * _xlpm.MCF_im * _xlpm.rho)</definedName>
    <definedName name="MMS_Poultry_Methane_Equations.VEERG_4_6_1_1__2_Stage1MethaneProduction_Arguments">_xlfn.LAMBDA(_xlfn.MAKEARRAY(6, 4, _xlfn.LAMBDA(_xlpm.r,_xlpm.c, INDEX({"VS_jk","volatile solid production poultry classes","kg VS/bird/day","Calculated from 4.6.1.1 (5)";"BO_j","emissions potential per class","m3 CH4/kg VS","Constant";"MMS_jmT1","fraction of manure in each primary system","fraction","Input";"MCF_im","methane conversion factor for temperature zone and MMS","fraction","Constant";"rho","density of methane","kg/m3","Constant";"i","state","","Input"}, _xlpm.r, _xlpm.c))))</definedName>
    <definedName name="MMS_Poultry_Methane_Equations.VEERG_4_6_1_1__2_Stage1MethaneProduction_Arguments_Method2">_xlfn.LAMBDA(_xlfn.MAKEARRAY(6, 4, _xlfn.LAMBDA(_xlpm.r,_xlpm.c, INDEX({"VS_jk","volatile solid production poultry classes","kg VS/bird/day","Calculated from 4.6.1.1 (5)";"BO_j","emissions potential per class","m3 CH4/kg VS","Constant";"MMS_jmT1","fraction of manure in each primary system","fraction","Input";"MCF_im","methane conversion factor for temperature zone and MMS","fraction","Constant";"rho","density of methane","kg/m3","Constant";"i","mean annual temperature","°C","Input"}, _xlpm.r, _xlpm.c))))</definedName>
    <definedName name="MMS_Poultry_Methane_Equations.VEERG_4_6_1_1__2_Stage1MethaneProduction_LatexEquation">_xlfn.LAMBDA("M_{jkmT=1}=VS_{jk}\times BO_{j}\times MMS_{jmT=1}\times MCF_{im}\times \rho")</definedName>
    <definedName name="MMS_Poultry_Methane_Equations.VEERG_4_6_1_1__2_Stage1MethaneProduction_NIRReference">_xlfn.LAMBDA("")</definedName>
    <definedName name="MMS_Poultry_Methane_Equations.VEERG_4_6_1_1__2_Stage1MethaneProduction_Source">_xlfn.LAMBDA("VEERG 2026: 4.4.1.1, Equation (2)")</definedName>
    <definedName name="MMS_Poultry_Methane_Equations.VEERG_4_6_1_1__2_Stage1MethaneProduction_Title">_xlfn.LAMBDA("Production of methane in treatment stage 1 MMS")</definedName>
    <definedName name="MMS_Poultry_Methane_Equations.VEERG_4_6_1_1__2_Stage1MethaneProduction_Unit">_xlfn.LAMBDA("kg CH4/bird/day")</definedName>
    <definedName name="MMS_Poultry_Methane_Equations.VEERG_4_6_1_1__2_Stage1MethaneProduction_Variable">_xlfn.LAMBDA("M_jkmT1")</definedName>
    <definedName name="MMS_Poultry_Methane_Equations.VEERG_4_6_1_1__2_Stage1MethaneProduction_Variation">_xlfn.LAMBDA(_xlfn.MAKEARRAY(3, 1, _xlfn.LAMBDA(_xlpm.r,_xlpm.c, INDEX({"VARIATION ON SOURCE:";"Used mean annual temperature instead of temperature zone to determine MCF as MCF values are specific to temperature";"Method 2: Used state based MCF values for 'Belt manure removal' and 'Manure stored in house' MMS as no temperature values exist in Table A.1.8.1"}, _xlpm.r, _xlpm.c))))</definedName>
    <definedName name="MMS_Poultry_Methane_Equations.VEERG_4_6_1_1__3_Stage2MethaneProduction">_xlfn.LAMBDA(_xlpm.VST_jk,_xlpm.BO,_xlpm.MMS_jmT2,_xlpm.MCF_im,_xlpm.rho, _xlpm.VST_jk * _xlpm.BO * _xlpm.MMS_jmT2 * _xlpm.MCF_im * _xlpm.rho)</definedName>
    <definedName name="MMS_Poultry_Methane_Equations.VEERG_4_6_1_1__3_Stage2MethaneProduction_Arguments">_xlfn.LAMBDA(_xlfn.MAKEARRAY(6, 4, _xlfn.LAMBDA(_xlpm.r,_xlpm.c, INDEX({"VST_jk","volatile solids transferred to treatment stage 2 MMS","kg VS/bird/day","Calculated from 4.6.1.1 (4)";"BO","emissions potential","m3 CH4/kg VS","Constant";"MMS_jmT2","fraction of manure in each secondary system","fraction","Input";"MCF_im","methane conversion factor for temperature zone and MMS","fraction","Constant";"rho","density of methane","kg/m3","Constant";"i","state","","Input"}, _xlpm.r, _xlpm.c))))</definedName>
    <definedName name="MMS_Poultry_Methane_Equations.VEERG_4_6_1_1__3_Stage2MethaneProduction_Arguments_Method2">_xlfn.LAMBDA(_xlfn.MAKEARRAY(6, 4, _xlfn.LAMBDA(_xlpm.r,_xlpm.c, INDEX({"VST_jk","volatile solids transferred to treatment stage 2 MMS","kg VS/bird/day","Calculated from 4.6.1.1 (4)";"BO","emissions potential","m3 CH4/kg VS","Constant";"MMS_jmT2","fraction of manure in each secondary system","fraction","Input";"MCF_im","methane conversion factor for temperature zone and MMS","fraction","Constant";"rho","density of methane","kg/m3","Constant";"i","mean annual temperature","°C","Input"}, _xlpm.r, _xlpm.c))))</definedName>
    <definedName name="MMS_Poultry_Methane_Equations.VEERG_4_6_1_1__3_Stage2MethaneProduction_LatexEquation">_xlfn.LAMBDA("M_{jkmT=2}=VST_{jk}\times BO\times MMS_{jmT=2}\times MCF_{im}\times \rho")</definedName>
    <definedName name="MMS_Poultry_Methane_Equations.VEERG_4_6_1_1__3_Stage2MethaneProduction_NIRReference">_xlfn.LAMBDA("")</definedName>
    <definedName name="MMS_Poultry_Methane_Equations.VEERG_4_6_1_1__3_Stage2MethaneProduction_Source">_xlfn.LAMBDA("VEERG 2026: 4.4.1.1, Equation (3)")</definedName>
    <definedName name="MMS_Poultry_Methane_Equations.VEERG_4_6_1_1__3_Stage2MethaneProduction_Title">_xlfn.LAMBDA("Production of methane in treatment stage 2 MMS")</definedName>
    <definedName name="MMS_Poultry_Methane_Equations.VEERG_4_6_1_1__3_Stage2MethaneProduction_Unit">_xlfn.LAMBDA("kg CH4/bird/day")</definedName>
    <definedName name="MMS_Poultry_Methane_Equations.VEERG_4_6_1_1__3_Stage2MethaneProduction_Variable">_xlfn.LAMBDA("M_jkmT2")</definedName>
    <definedName name="MMS_Poultry_Methane_Equations.VEERG_4_6_1_1__3_Stage2MethaneProduction_Variation">_xlfn.LAMBDA("VARIATION ON SOURCE: Used mean annual temperature instead of temperature zone to determine MCF as MCF values are specific to temperature")</definedName>
    <definedName name="MMS_Poultry_Methane_Equations.VEERG_4_6_1_1__4_VolatileSolidsTransferred">_xlfn.LAMBDA(_xlpm.VS_jk,_xlpm.MMS_jmT1,_xlpm.VSL_mT1, _xlpm.VS_jk * _xlpm.MMS_jmT1 * (1 - _xlpm.VSL_mT1))</definedName>
    <definedName name="MMS_Poultry_Methane_Equations.VEERG_4_6_1_1__4_VolatileSolidsTransferred_Arguments">_xlfn.LAMBDA(_xlfn.MAKEARRAY(3, 4, _xlfn.LAMBDA(_xlpm.r,_xlpm.c, INDEX({"VS_jk","volatile solid production poultry classes","kg VS/bird/day","Calculated from 4.6.1.1 (5)";"MMS_jmT1","fraction of manure in each primary system","fraction","Input";"VSL_mT1","fraction of volatile solids lost during storage in the primary system","fraction","Constant"}, _xlpm.r, _xlpm.c))))</definedName>
    <definedName name="MMS_Poultry_Methane_Equations.VEERG_4_6_1_1__4_VolatileSolidsTransferred_LatexEquation">_xlfn.LAMBDA("VST_{jk}=VS_{jk}\times MMS_{jmT=1}\times (1-VSL_{mT=1})")</definedName>
    <definedName name="MMS_Poultry_Methane_Equations.VEERG_4_6_1_1__4_VolatileSolidsTransferred_NIRReference">_xlfn.LAMBDA("")</definedName>
    <definedName name="MMS_Poultry_Methane_Equations.VEERG_4_6_1_1__4_VolatileSolidsTransferred_Source">_xlfn.LAMBDA("VEERG 2026: 4.4.1.1, Equation (4)")</definedName>
    <definedName name="MMS_Poultry_Methane_Equations.VEERG_4_6_1_1__4_VolatileSolidsTransferred_Title">_xlfn.LAMBDA("Volatile solids transferred to treatment stage 2 MMS")</definedName>
    <definedName name="MMS_Poultry_Methane_Equations.VEERG_4_6_1_1__4_VolatileSolidsTransferred_Unit">_xlfn.LAMBDA("kg VS/bird/day")</definedName>
    <definedName name="MMS_Poultry_Methane_Equations.VEERG_4_6_1_1__4_VolatileSolidsTransferred_Variable">_xlfn.LAMBDA("VST_jk")</definedName>
    <definedName name="MMS_Poultry_Methane_Equations.VEERG_4_6_1_1__5_VolatileSolidProduction">_xlfn.LAMBDA(_xlpm.I_jk,_xlpm.DMD_jk,_xlpm.A_j, _xlpm.I_jk * (1 - _xlpm.DMD_jk) * (1 - _xlpm.A_j))</definedName>
    <definedName name="MMS_Poultry_Methane_Equations.VEERG_4_6_1_1__5_VolatileSolidProduction_Arguments">_xlfn.LAMBDA(_xlfn.MAKEARRAY(3, 4, _xlfn.LAMBDA(_xlpm.r,_xlpm.c, INDEX({"I_jk","dry matter intake for each class and subclass","kg DM/bird/day","Input";"DMD_jk","dry matter digestibility for each class and subclass","fraction","Input";"A_j","ash content of manure for each class and subclass","fraction","Constant"}, _xlpm.r, _xlpm.c))))</definedName>
    <definedName name="MMS_Poultry_Methane_Equations.VEERG_4_6_1_1__5_VolatileSolidProduction_LatexEquation">_xlfn.LAMBDA("VS_{jk}=I_{jk}\times (1-DMD_{jk})\times (1-A_{j})")</definedName>
    <definedName name="MMS_Poultry_Methane_Equations.VEERG_4_6_1_1__5_VolatileSolidProduction_NIRReference">_xlfn.LAMBDA("")</definedName>
    <definedName name="MMS_Poultry_Methane_Equations.VEERG_4_6_1_1__5_VolatileSolidProduction_Source">_xlfn.LAMBDA("VEERG 2026: 4.4.1.1, Equation (5)")</definedName>
    <definedName name="MMS_Poultry_Methane_Equations.VEERG_4_6_1_1__5_VolatileSolidProduction_Title">_xlfn.LAMBDA("Volatile solid production poultry classes")</definedName>
    <definedName name="MMS_Poultry_Methane_Equations.VEERG_4_6_1_1__5_VolatileSolidProduction_Unit">_xlfn.LAMBDA("kg VS/bird/day")</definedName>
    <definedName name="MMS_Poultry_Methane_Equations.VEERG_4_6_1_1__5_VolatileSolidProduction_Variable">_xlfn.LAMBDA("VS_jk")</definedName>
    <definedName name="MMS_Poultry_N2ODirect_Equations.VEERG_4_6_1_3__1_TotalAnnualDirectNitrousOxideEmissionsFromMMS">_xlfn.LAMBDA(_xlpm.MN_jkmT,_xlpm.EF_jm,_xlpm.C_N2O, _xlpm.MN_jkmT * _xlpm.EF_jm * _xlpm.C_N2O * 10 ^ -3)</definedName>
    <definedName name="MMS_Poultry_N2ODirect_Equations.VEERG_4_6_1_3__1_TotalAnnualDirectNitrousOxideEmissionsFromMMS_Arguments">_xlfn.LAMBDA(_xlfn.MAKEARRAY(3, 4, _xlfn.LAMBDA(_xlpm.r,_xlpm.c, INDEX({"MN_jkmT","nitrogen per poultry class, subclass, MMS and treatment stage","kg N","Calculated from 4.6.1.3 (2)(6)";"EF_jm","nitrous oxide emission factor for MMS","kg N2O-N/kg N","Constant";"C_N2O","factor to convert elemental mass of nitrous oxide to molecular mass","ratio","Constant"}, _xlpm.r, _xlpm.c))))</definedName>
    <definedName name="MMS_Poultry_N2ODirect_Equations.VEERG_4_6_1_3__1_TotalAnnualDirectNitrousOxideEmissionsFromMMS_LatexEquation">_xlfn.LAMBDA("E_{N2O,dir}=\sum_{j}\sum_{k}\sum_{m}\sum_{T}(MN_{jkmT}\times EF_{jm}\times C_{N2O})\times10^{-3}")</definedName>
    <definedName name="MMS_Poultry_N2ODirect_Equations.VEERG_4_6_1_3__1_TotalAnnualDirectNitrousOxideEmissionsFromMMS_NIRReference">_xlfn.LAMBDA("")</definedName>
    <definedName name="MMS_Poultry_N2ODirect_Equations.VEERG_4_6_1_3__1_TotalAnnualDirectNitrousOxideEmissionsFromMMS_Source">_xlfn.LAMBDA("VEERG 2026: 4.6.1.3, Equation (1)")</definedName>
    <definedName name="MMS_Poultry_N2ODirect_Equations.VEERG_4_6_1_3__1_TotalAnnualDirectNitrousOxideEmissionsFromMMS_Title">_xlfn.LAMBDA("Total annual direct nitrous oxide emissions from manure management systems")</definedName>
    <definedName name="MMS_Poultry_N2ODirect_Equations.VEERG_4_6_1_3__1_TotalAnnualDirectNitrousOxideEmissionsFromMMS_Unit">_xlfn.LAMBDA("t N2O")</definedName>
    <definedName name="MMS_Poultry_N2ODirect_Equations.VEERG_4_6_1_3__1_TotalAnnualDirectNitrousOxideEmissionsFromMMS_Variable">_xlfn.LAMBDA("E_N2Odir")</definedName>
    <definedName name="MMS_Poultry_N2ODirect_Equations.VEERG_4_6_1_3__2_Stage1NitrogenInMMS">_xlfn.LAMBDA(_xlpm.AE_jk,_xlpm.MMS_jmT1, _xlpm.AE_jk * _xlpm.MMS_jmT1)</definedName>
    <definedName name="MMS_Poultry_N2ODirect_Equations.VEERG_4_6_1_3__2_Stage1NitrogenInMMS_Arguments">_xlfn.LAMBDA(_xlfn.MAKEARRAY(2, 4, _xlfn.LAMBDA(_xlpm.r,_xlpm.c, INDEX({"AE_jk","total nitrogen excreted by each poultry class and subclass","kg N","Calculated from 4.6.1.3 (3)";"MMS_jmT1","fraction of manure in each primary system","fraction","Input"}, _xlpm.r, _xlpm.c))))</definedName>
    <definedName name="MMS_Poultry_N2ODirect_Equations.VEERG_4_6_1_3__2_Stage1NitrogenInMMS_LatexEquation">_xlfn.LAMBDA("MN_{jkm,T=1}=AE_{jk}\times MMS_{jm,T=1}")</definedName>
    <definedName name="MMS_Poultry_N2ODirect_Equations.VEERG_4_6_1_3__2_Stage1NitrogenInMMS_NIRReference">_xlfn.LAMBDA("")</definedName>
    <definedName name="MMS_Poultry_N2ODirect_Equations.VEERG_4_6_1_3__2_Stage1NitrogenInMMS_Source">_xlfn.LAMBDA("VEERG 2026: 4.6.1.3, Equation (2)")</definedName>
    <definedName name="MMS_Poultry_N2ODirect_Equations.VEERG_4_6_1_3__2_Stage1NitrogenInMMS_Title">_xlfn.LAMBDA("Nitrogen in treatment stage 1 MMS")</definedName>
    <definedName name="MMS_Poultry_N2ODirect_Equations.VEERG_4_6_1_3__2_Stage1NitrogenInMMS_Unit">_xlfn.LAMBDA("kg N")</definedName>
    <definedName name="MMS_Poultry_N2ODirect_Equations.VEERG_4_6_1_3__2_Stage1NitrogenInMMS_Variable">_xlfn.LAMBDA("MN_jkmT1")</definedName>
    <definedName name="MMS_Poultry_N2ODirect_Equations.VEERG_4_6_1_3__3_AnnualNitrogenExcretion">_xlfn.LAMBDA(_xlpm.N_jk,_xlpm.NE_jk,_xlpm.D_jk, _xlpm.N_jk * _xlpm.NE_jk * _xlpm.D_jk)</definedName>
    <definedName name="MMS_Poultry_N2ODirect_Equations.VEERG_4_6_1_3__3_AnnualNitrogenExcretion_Arguments">_xlfn.LAMBDA(_xlfn.MAKEARRAY(3, 4, _xlfn.LAMBDA(_xlpm.r,_xlpm.c, INDEX({"N_jk","number of poultry in each class and subclass","bird","Input";"NE_jk","nitrogen excretion","kg N/bird/day","Calculated from 4.6.1.3 (4)";"D_jk","duration of stay of each class and subclass","days","Input"}, _xlpm.r, _xlpm.c))))</definedName>
    <definedName name="MMS_Poultry_N2ODirect_Equations.VEERG_4_6_1_3__3_AnnualNitrogenExcretion_LatexEquation">_xlfn.LAMBDA("AE_{jk}=N_{jk}\times NE_{jk}\times D_{jk}")</definedName>
    <definedName name="MMS_Poultry_N2ODirect_Equations.VEERG_4_6_1_3__3_AnnualNitrogenExcretion_NIRReference">_xlfn.LAMBDA("")</definedName>
    <definedName name="MMS_Poultry_N2ODirect_Equations.VEERG_4_6_1_3__3_AnnualNitrogenExcretion_Source">_xlfn.LAMBDA("VEERG 2026: 4.6.1.3, Equation (3)")</definedName>
    <definedName name="MMS_Poultry_N2ODirect_Equations.VEERG_4_6_1_3__3_AnnualNitrogenExcretion_Title">_xlfn.LAMBDA("Annual nitrogen excretion for each poultry class and subclass")</definedName>
    <definedName name="MMS_Poultry_N2ODirect_Equations.VEERG_4_6_1_3__3_AnnualNitrogenExcretion_Unit">_xlfn.LAMBDA("kg N")</definedName>
    <definedName name="MMS_Poultry_N2ODirect_Equations.VEERG_4_6_1_3__3_AnnualNitrogenExcretion_Variable">_xlfn.LAMBDA("AE_jk")</definedName>
    <definedName name="MMS_Poultry_N2ODirect_Equations.VEERG_4_6_1_3__4_NitrogenExcretionPerBird">_xlfn.LAMBDA(_xlpm.NI_jk,_xlpm.NR_jk, _xlpm.NI_jk * (1 - _xlpm.NR_jk))</definedName>
    <definedName name="MMS_Poultry_N2ODirect_Equations.VEERG_4_6_1_3__4_NitrogenExcretionPerBird_Arguments">_xlfn.LAMBDA(_xlfn.MAKEARRAY(2, 4, _xlfn.LAMBDA(_xlpm.r,_xlpm.c, INDEX({"NI_jk","nitrogen intake","kg N/bird/day","Calculated from 4.6.1.3 (5)";"NR_jk","nitrogen retention expressed as a fraction of intake","fraction","Constant"}, _xlpm.r, _xlpm.c))))</definedName>
    <definedName name="MMS_Poultry_N2ODirect_Equations.VEERG_4_6_1_3__4_NitrogenExcretionPerBird_LatexEquation">_xlfn.LAMBDA("NE_{jk}=NI_{jk}\times(1-NR_{jk})")</definedName>
    <definedName name="MMS_Poultry_N2ODirect_Equations.VEERG_4_6_1_3__4_NitrogenExcretionPerBird_NIRReference">_xlfn.LAMBDA("")</definedName>
    <definedName name="MMS_Poultry_N2ODirect_Equations.VEERG_4_6_1_3__4_NitrogenExcretionPerBird_Source">_xlfn.LAMBDA("VEERG 2026: 4.6.1.3, Equation (4)")</definedName>
    <definedName name="MMS_Poultry_N2ODirect_Equations.VEERG_4_6_1_3__4_NitrogenExcretionPerBird_Title">_xlfn.LAMBDA("Nitrogen excretion per bird per day")</definedName>
    <definedName name="MMS_Poultry_N2ODirect_Equations.VEERG_4_6_1_3__4_NitrogenExcretionPerBird_Unit">_xlfn.LAMBDA("kg N/bird/day")</definedName>
    <definedName name="MMS_Poultry_N2ODirect_Equations.VEERG_4_6_1_3__4_NitrogenExcretionPerBird_Variable">_xlfn.LAMBDA("NE_jk")</definedName>
    <definedName name="MMS_Poultry_N2ODirect_Equations.VEERG_4_6_1_3__5_NitrogenIntake">_xlfn.LAMBDA(_xlpm.I_jk,_xlpm.CP_jk, _xlpm.I_jk * _xlpm.CP_jk / 6.25)</definedName>
    <definedName name="MMS_Poultry_N2ODirect_Equations.VEERG_4_6_1_3__5_NitrogenIntake_Arguments">_xlfn.LAMBDA(_xlfn.MAKEARRAY(3, 4, _xlfn.LAMBDA(_xlpm.r,_xlpm.c, INDEX({"I_jk","dry matter intake for each class and subclass","kg DM/bird/day","Input";"CP_jk","crude protein content of feed","fraction","Input";"6.25","factor for converting crude protein into nitrogen","ratio","Constant"}, _xlpm.r, _xlpm.c))))</definedName>
    <definedName name="MMS_Poultry_N2ODirect_Equations.VEERG_4_6_1_3__5_NitrogenIntake_LatexEquation">_xlfn.LAMBDA("NI_{jk}=I_{jk}\times CP_{jk}\div 6.25")</definedName>
    <definedName name="MMS_Poultry_N2ODirect_Equations.VEERG_4_6_1_3__5_NitrogenIntake_NIRReference">_xlfn.LAMBDA("")</definedName>
    <definedName name="MMS_Poultry_N2ODirect_Equations.VEERG_4_6_1_3__5_NitrogenIntake_Source">_xlfn.LAMBDA("VEERG 2026: 4.6.1.3, Equation (5)")</definedName>
    <definedName name="MMS_Poultry_N2ODirect_Equations.VEERG_4_6_1_3__5_NitrogenIntake_Title">_xlfn.LAMBDA("Nitrogen intake of poultry")</definedName>
    <definedName name="MMS_Poultry_N2ODirect_Equations.VEERG_4_6_1_3__5_NitrogenIntake_Unit">_xlfn.LAMBDA("kg N/bird/day")</definedName>
    <definedName name="MMS_Poultry_N2ODirect_Equations.VEERG_4_6_1_3__5_NitrogenIntake_Variable">_xlfn.LAMBDA("NI_jk")</definedName>
    <definedName name="MMS_Poultry_N2ODirect_Equations.VEERG_4_6_1_3__6_Stage2NitrogenInMMS">_xlfn.LAMBDA(_xlpm.NT_jkmT2,_xlpm.MMS_mT2, _xlpm.NT_jkmT2 * _xlpm.MMS_mT2)</definedName>
    <definedName name="MMS_Poultry_N2ODirect_Equations.VEERG_4_6_1_3__6_Stage2NitrogenInMMS_Arguments">_xlfn.LAMBDA(_xlfn.MAKEARRAY(2, 4, _xlfn.LAMBDA(_xlpm.r,_xlpm.c, INDEX({"NT_jkmT2","nitrogen transferred to secondary treatment MMS","kg N","Calculated from 4.6.1.3 (7)";"MMS_mT2","fraction of manure in each secondary system","fraction","Input"}, _xlpm.r, _xlpm.c))))</definedName>
    <definedName name="MMS_Poultry_N2ODirect_Equations.VEERG_4_6_1_3__6_Stage2NitrogenInMMS_LatexEquation">_xlfn.LAMBDA("MN_{jkm,T=2}=NT_{jkm,T=2}\times MMS_{m,T=2}")</definedName>
    <definedName name="MMS_Poultry_N2ODirect_Equations.VEERG_4_6_1_3__6_Stage2NitrogenInMMS_NIRReference">_xlfn.LAMBDA("")</definedName>
    <definedName name="MMS_Poultry_N2ODirect_Equations.VEERG_4_6_1_3__6_Stage2NitrogenInMMS_Source">_xlfn.LAMBDA("VEERG 2026: 4.6.1.3, Equation (6)")</definedName>
    <definedName name="MMS_Poultry_N2ODirect_Equations.VEERG_4_6_1_3__6_Stage2NitrogenInMMS_Title">_xlfn.LAMBDA("Nitrogen in treatment stage 2 MMS")</definedName>
    <definedName name="MMS_Poultry_N2ODirect_Equations.VEERG_4_6_1_3__6_Stage2NitrogenInMMS_Unit">_xlfn.LAMBDA("kg N")</definedName>
    <definedName name="MMS_Poultry_N2ODirect_Equations.VEERG_4_6_1_3__6_Stage2NitrogenInMMS_Variable">_xlfn.LAMBDA("MN_jkmT2")</definedName>
    <definedName name="MMS_Poultry_N2ODirect_Equations.VEERG_4_6_1_3__7_NitrogenTransferredToStage2MMS">_xlfn.LAMBDA(_xlpm.MN_jkmT1,_xlpm.FracGASM_mT1,_xlpm.EF_mT1, _xlpm.MN_jkmT1 * (1 - _xlpm.FracGASM_mT1 - _xlpm.EF_mT1))</definedName>
    <definedName name="MMS_Poultry_N2ODirect_Equations.VEERG_4_6_1_3__7_NitrogenTransferredToStage2MMS_Arguments">_xlfn.LAMBDA(_xlfn.MAKEARRAY(3, 4, _xlfn.LAMBDA(_xlpm.r,_xlpm.c, INDEX({"MN_jkmT1","nitrogen in MMS treatment stage 1","kg N","Calculated from 4.6.1.3 (6)";"FracGASM_mT1","fraction of N volatilised from MMS treatment at stage 1","fraction","Constant";"EF_mT1","nitrous oxide emission factor for MMS treatment at stage 1","kg N2O-N/kg N","Constant"}, _xlpm.r, _xlpm.c))))</definedName>
    <definedName name="MMS_Poultry_N2ODirect_Equations.VEERG_4_6_1_3__7_NitrogenTransferredToStage2MMS_LatexEquation">_xlfn.LAMBDA("NT_{jkm,T=2}=MN_{jkm,T=1}\times(1-FracGASM_{m,T=1}-EF_{m,T=1})")</definedName>
    <definedName name="MMS_Poultry_N2ODirect_Equations.VEERG_4_6_1_3__7_NitrogenTransferredToStage2MMS_NIRReference">_xlfn.LAMBDA("")</definedName>
    <definedName name="MMS_Poultry_N2ODirect_Equations.VEERG_4_6_1_3__7_NitrogenTransferredToStage2MMS_Source">_xlfn.LAMBDA("VEERG 2026: 4.6.1.3, Equation (7)")</definedName>
    <definedName name="MMS_Poultry_N2ODirect_Equations.VEERG_4_6_1_3__7_NitrogenTransferredToStage2MMS_Title">_xlfn.LAMBDA("Nitrogen transferred to treatment stage 2 MMS")</definedName>
    <definedName name="MMS_Poultry_N2ODirect_Equations.VEERG_4_6_1_3__7_NitrogenTransferredToStage2MMS_Unit">_xlfn.LAMBDA("kg N")</definedName>
    <definedName name="MMS_Poultry_N2ODirect_Equations.VEERG_4_6_1_3__7_NitrogenTransferredToStage2MMS_Variable">_xlfn.LAMBDA("NT_jkmT2")</definedName>
    <definedName name="MMS_Poultry_Soil_AtmosphericDeposition_Equations.VEERG_4_6_1_12__1_AtmosphericDepositionEmissionsFromPoultryManureOnPasture">_xlfn.LAMBDA(_xlpm.M_vol_m14,_xlpm.EF_N2O,_xlpm.C_N2O, _xlpm.M_vol_m14 * _xlpm.EF_N2O * _xlpm.C_N2O * 10 ^ -3)</definedName>
    <definedName name="MMS_Poultry_Soil_AtmosphericDeposition_Equations.VEERG_4_6_1_12__1_AtmosphericDepositionEmissionsFromPoultryManureOnPasture_Arguments" localSheetId="37">_xlfn.LAMBDA(
    _xlfn.MAKEARRAY(6, 4,
      _xlfn.LAMBDA(_xlpm.r,_xlpm.c,
        INDEX({"M_vol_m14","mass of nitrogen volatilised from manure deposited on pasture","kg N","Calculated from 4.6.1.12 (2)";"EF_N2O","emission factor for atmospheric deposition (kg N2O-N/kg N)","kg N2O-N/kg N","Constant";"C_N2O","factor to convert elemental mass of N2O to molecular mass","ratio","Constant";"j","production system","","Input";"ir","irrigation method","","Input";"r","rainfall region","","Input"}, _xlpm.r, _xlpm.c)
      )
    )
  )</definedName>
    <definedName name="MMS_Poultry_Soil_AtmosphericDeposition_Equations.VEERG_4_6_1_12__1_AtmosphericDepositionEmissionsFromPoultryManureOnPasture_Arguments" localSheetId="38">_xlfn.LAMBDA(
    _xlfn.MAKEARRAY(6, 4,
      _xlfn.LAMBDA(_xlpm.r,_xlpm.c,
        INDEX({"M_vol_m14","mass of nitrogen volatilised from manure deposited on pasture","kg N","Calculated from 4.6.1.12 (2)";"EF_N2O","emission factor for atmospheric deposition (kg N2O-N/kg N)","kg N2O-N/kg N","Constant";"C_N2O","factor to convert elemental mass of N2O to molecular mass","ratio","Constant";"j","production system","","Input";"ir","irrigation method","","Input";"r","rainfall region","","Input"}, _xlpm.r, _xlpm.c)
      )
    )
  )</definedName>
    <definedName name="MMS_Poultry_Soil_AtmosphericDeposition_Equations.VEERG_4_6_1_12__1_AtmosphericDepositionEmissionsFromPoultryManureOnPasture_Arguments" localSheetId="45">_xlfn.LAMBDA(
    _xlfn.MAKEARRAY(6, 4,
      _xlfn.LAMBDA(_xlpm.r,_xlpm.c,
        INDEX({"M_vol_m14","mass of nitrogen volatilised from manure deposited on pasture","kg N","Calculated from 4.6.1.12 (2)";"EF_N2O","emission factor for atmospheric deposition (kg N2O-N/kg N)","kg N2O-N/kg N","Constant";"C_N2O","factor to convert elemental mass of N2O to molecular mass","ratio","Constant";"j","production system","","Input";"ir","irrigation method","","Input";"r","rainfall region","","Input"}, _xlpm.r, _xlpm.c)
      )
    )
  )</definedName>
    <definedName name="MMS_Poultry_Soil_AtmosphericDeposition_Equations.VEERG_4_6_1_12__1_AtmosphericDepositionEmissionsFromPoultryManureOnPasture_Arguments" localSheetId="7">_xlfn.LAMBDA(
    _xlfn.MAKEARRAY(6, 4,
      _xlfn.LAMBDA(_xlpm.r,_xlpm.c,
        INDEX({"M_vol_m14","mass of nitrogen volatilised from manure deposited on pasture","kg N","Calculated from 4.6.1.12 (2)";"EF_N2O","emission factor for atmospheric deposition (kg N2O-N/kg N)","kg N2O-N/kg N","Constant";"C_N2O","factor to convert elemental mass of N2O to molecular mass","ratio","Constant";"j","production system","","Input";"ir","irrigation method","","Input";"r","rainfall region","","Input"}, _xlpm.r, _xlpm.c)
      )
    )
  )</definedName>
    <definedName name="MMS_Poultry_Soil_AtmosphericDeposition_Equations.VEERG_4_6_1_12__1_AtmosphericDepositionEmissionsFromPoultryManureOnPasture_Arguments" localSheetId="13">_xlfn.LAMBDA(
    _xlfn.MAKEARRAY(6, 4,
      _xlfn.LAMBDA(_xlpm.r,_xlpm.c,
        INDEX({"M_vol_m14","mass of nitrogen volatilised from manure deposited on pasture","kg N","Calculated from 4.6.1.12 (2)";"EF_N2O","emission factor for atmospheric deposition (kg N2O-N/kg N)","kg N2O-N/kg N","Constant";"C_N2O","factor to convert elemental mass of N2O to molecular mass","ratio","Constant";"j","production system","","Input";"ir","irrigation method","","Input";"r","rainfall region","","Input"}, _xlpm.r, _xlpm.c)
      )
    )
  )</definedName>
    <definedName name="MMS_Poultry_Soil_AtmosphericDeposition_Equations.VEERG_4_6_1_12__1_AtmosphericDepositionEmissionsFromPoultryManureOnPasture_Arguments" localSheetId="14">_xlfn.LAMBDA(
    _xlfn.MAKEARRAY(6, 4,
      _xlfn.LAMBDA(_xlpm.r,_xlpm.c,
        INDEX({"M_vol_m14","mass of nitrogen volatilised from manure deposited on pasture","kg N","Calculated from 4.6.1.12 (2)";"EF_N2O","emission factor for atmospheric deposition (kg N2O-N/kg N)","kg N2O-N/kg N","Constant";"C_N2O","factor to convert elemental mass of N2O to molecular mass","ratio","Constant";"j","production system","","Input";"ir","irrigation method","","Input";"r","rainfall region","","Input"}, _xlpm.r, _xlpm.c)
      )
    )
  )</definedName>
    <definedName name="MMS_Poultry_Soil_AtmosphericDeposition_Equations.VEERG_4_6_1_12__1_AtmosphericDepositionEmissionsFromPoultryManureOnPasture_Arguments" localSheetId="16">_xlfn.LAMBDA(
    _xlfn.MAKEARRAY(6, 4,
      _xlfn.LAMBDA(_xlpm.r,_xlpm.c,
        INDEX({"M_vol_m14","mass of nitrogen volatilised from manure deposited on pasture","kg N","Calculated from 4.6.1.12 (2)";"EF_N2O","emission factor for atmospheric deposition (kg N2O-N/kg N)","kg N2O-N/kg N","Constant";"C_N2O","factor to convert elemental mass of N2O to molecular mass","ratio","Constant";"j","production system","","Input";"ir","irrigation method","","Input";"r","rainfall region","","Input"}, _xlpm.r, _xlpm.c)
      )
    )
  )</definedName>
    <definedName name="MMS_Poultry_Soil_AtmosphericDeposition_Equations.VEERG_4_6_1_12__1_AtmosphericDepositionEmissionsFromPoultryManureOnPasture_Arguments" localSheetId="15">_xlfn.LAMBDA(
    _xlfn.MAKEARRAY(6, 4,
      _xlfn.LAMBDA(_xlpm.r,_xlpm.c,
        INDEX({"M_vol_m14","mass of nitrogen volatilised from manure deposited on pasture","kg N","Calculated from 4.6.1.12 (2)";"EF_N2O","emission factor for atmospheric deposition (kg N2O-N/kg N)","kg N2O-N/kg N","Constant";"C_N2O","factor to convert elemental mass of N2O to molecular mass","ratio","Constant";"j","production system","","Input";"ir","irrigation method","","Input";"r","rainfall region","","Input"}, _xlpm.r, _xlpm.c)
      )
    )
  )</definedName>
    <definedName name="MMS_Poultry_Soil_AtmosphericDeposition_Equations.VEERG_4_6_1_12__1_AtmosphericDepositionEmissionsFromPoultryManureOnPasture_Arguments" localSheetId="18">_xlfn.LAMBDA(
    _xlfn.MAKEARRAY(6, 4,
      _xlfn.LAMBDA(_xlpm.r,_xlpm.c,
        INDEX({"M_vol_m14","mass of nitrogen volatilised from manure deposited on pasture","kg N","Calculated from 4.6.1.12 (2)";"EF_N2O","emission factor for atmospheric deposition (kg N2O-N/kg N)","kg N2O-N/kg N","Constant";"C_N2O","factor to convert elemental mass of N2O to molecular mass","ratio","Constant";"j","production system","","Input";"ir","irrigation method","","Input";"r","rainfall region","","Input"}, _xlpm.r, _xlpm.c)
      )
    )
  )</definedName>
    <definedName name="MMS_Poultry_Soil_AtmosphericDeposition_Equations.VEERG_4_6_1_12__1_AtmosphericDepositionEmissionsFromPoultryManureOnPasture_Arguments">_xlfn.LAMBDA(_xlfn.MAKEARRAY(6, 4, _xlfn.LAMBDA(_xlpm.r,_xlpm.c, INDEX({"M_vol_m14","mass of nitrogen volatilised from manure deposited on pasture","kg N","Calculated from 4.6.1.12 (2)";"EF_N2O","emission factor for atmospheric deposition (kg N2O-N/kg N)","kg N2O-N/kg N","Constant";"C_N2O","factor to convert elemental mass of N2O to molecular mass","ratio","Constant";"j","production system","dimensionless","Input";"ir","irrigation method","dimensionless","Input";"r","rainfall region","dimensionless","Input"}, _xlpm.r, _xlpm.c))))</definedName>
    <definedName name="MMS_Poultry_Soil_AtmosphericDeposition_Equations.VEERG_4_6_1_12__1_AtmosphericDepositionEmissionsFromPoultryManureOnPasture_LatexEquation">_xlfn.LAMBDA("E_{N2O,ad}=M_{vol,m=14}\times EF_{N2O}\times C_{N2O}\times 10^{-3}")</definedName>
    <definedName name="MMS_Poultry_Soil_AtmosphericDeposition_Equations.VEERG_4_6_1_12__1_AtmosphericDepositionEmissionsFromPoultryManureOnPasture_NIRReference">_xlfn.LAMBDA("")</definedName>
    <definedName name="MMS_Poultry_Soil_AtmosphericDeposition_Equations.VEERG_4_6_1_12__1_AtmosphericDepositionEmissionsFromPoultryManureOnPasture_Source">_xlfn.LAMBDA("VEERG 2026: 4.6.1.12, Equation (1)")</definedName>
    <definedName name="MMS_Poultry_Soil_AtmosphericDeposition_Equations.VEERG_4_6_1_12__1_AtmosphericDepositionEmissionsFromPoultryManureOnPasture_Title">_xlfn.LAMBDA("Atmospheric deposition emissions from poultry manure deposited on pasture")</definedName>
    <definedName name="MMS_Poultry_Soil_AtmosphericDeposition_Equations.VEERG_4_6_1_12__1_AtmosphericDepositionEmissionsFromPoultryManureOnPasture_Unit">_xlfn.LAMBDA("t N2O")</definedName>
    <definedName name="MMS_Poultry_Soil_AtmosphericDeposition_Equations.VEERG_4_6_1_12__1_AtmosphericDepositionEmissionsFromPoultryManureOnPasture_Variable">_xlfn.LAMBDA("E_N2Oad")</definedName>
    <definedName name="MMS_Poultry_Soil_AtmosphericDeposition_Equations.VEERG_4_6_1_12__2_MassOfNitrogenVolatilisedFromPoultryManureOnPasture">_xlfn.LAMBDA(_xlpm.MN_jkm14T1,_xlpm.FracGASMsoil, _xlpm.MN_jkm14T1 * _xlpm.FracGASMsoil)</definedName>
    <definedName name="MMS_Poultry_Soil_AtmosphericDeposition_Equations.VEERG_4_6_1_12__2_MassOfNitrogenVolatilisedFromPoultryManureOnPasture_Arguments">_xlfn.LAMBDA(_xlfn.MAKEARRAY(2, 4, _xlfn.LAMBDA(_xlpm.r,_xlpm.c, INDEX({"MN_jkm14T1","mass of nitrogen excreted directly on pasture by poultry class and subclass","kg N","Calculated from 4.6.1.3 (2)";"FracGASMsoil","fraction of nitrogen volatilised from manure deposited on pasture","(kg NH3-N + NOx-N)/kg N","Constant"}, _xlpm.r, _xlpm.c))))</definedName>
    <definedName name="MMS_Poultry_Soil_AtmosphericDeposition_Equations.VEERG_4_6_1_12__2_MassOfNitrogenVolatilisedFromPoultryManureOnPasture_LatexEquation">_xlfn.LAMBDA("M_{vol,m=14}=\sum_{j}\sum_{k}(MN_{jkm=14,T=1}\times FracGASMsoil)")</definedName>
    <definedName name="MMS_Poultry_Soil_AtmosphericDeposition_Equations.VEERG_4_6_1_12__2_MassOfNitrogenVolatilisedFromPoultryManureOnPasture_NIRReference">_xlfn.LAMBDA("")</definedName>
    <definedName name="MMS_Poultry_Soil_AtmosphericDeposition_Equations.VEERG_4_6_1_12__2_MassOfNitrogenVolatilisedFromPoultryManureOnPasture_Source">_xlfn.LAMBDA("VEERG 2026: 4.6.1.12, Equation (2)")</definedName>
    <definedName name="MMS_Poultry_Soil_AtmosphericDeposition_Equations.VEERG_4_6_1_12__2_MassOfNitrogenVolatilisedFromPoultryManureOnPasture_Title">_xlfn.LAMBDA("Mass of nitrogen volatilised from poultry manure deposited on pasture")</definedName>
    <definedName name="MMS_Poultry_Soil_AtmosphericDeposition_Equations.VEERG_4_6_1_12__2_MassOfNitrogenVolatilisedFromPoultryManureOnPasture_Unit">_xlfn.LAMBDA("kg N")</definedName>
    <definedName name="MMS_Poultry_Soil_AtmosphericDeposition_Equations.VEERG_4_6_1_12__2_MassOfNitrogenVolatilisedFromPoultryManureOnPasture_Variable">_xlfn.LAMBDA("M_vol_m14")</definedName>
    <definedName name="MMS_Poultry_Soil_LeachingAndRunoff_Equations.VEERG_4_6_1_14__1_LeachingAndRunoffEmissionsFromPoultryManureOnPasture">_xlfn.LAMBDA(_xlpm.M_leach_m14,_xlpm.EF_leach,_xlpm.C_N2O, _xlpm.M_leach_m14 * _xlpm.EF_leach * _xlpm.C_N2O * 10 ^ -3)</definedName>
    <definedName name="MMS_Poultry_Soil_LeachingAndRunoff_Equations.VEERG_4_6_1_14__1_LeachingAndRunoffEmissionsFromPoultryManureOnPasture_Arguments">_xlfn.LAMBDA(_xlfn.MAKEARRAY(3, 4, _xlfn.LAMBDA(_xlpm.r,_xlpm.c, INDEX({"M_leach_m14","mass of nitrogen lost to leaching and runoff from poultry manure deposited on pasture","kg N","Calculated from 4.6.1.14 (2)";"EF_leach","emission factor for leaching and runoff (kg N2O-N/kg N)","kg N2O-N/kg N","Constant";"C_N2O","factor to convert elemental mass of N2O to molecular mass","ratio","Constant"}, _xlpm.r, _xlpm.c))))</definedName>
    <definedName name="MMS_Poultry_Soil_LeachingAndRunoff_Equations.VEERG_4_6_1_14__1_LeachingAndRunoffEmissionsFromPoultryManureOnPasture_LatexEquation">_xlfn.LAMBDA("E_{N2O,leach}=M_{leach,m=14}\times EF_{leach}\times C_{N2O}\times 10^{-3}")</definedName>
    <definedName name="MMS_Poultry_Soil_LeachingAndRunoff_Equations.VEERG_4_6_1_14__1_LeachingAndRunoffEmissionsFromPoultryManureOnPasture_NIRReference">_xlfn.LAMBDA("")</definedName>
    <definedName name="MMS_Poultry_Soil_LeachingAndRunoff_Equations.VEERG_4_6_1_14__1_LeachingAndRunoffEmissionsFromPoultryManureOnPasture_Source">_xlfn.LAMBDA("VEERG 2026: 4.6.1.14, Equation (1)")</definedName>
    <definedName name="MMS_Poultry_Soil_LeachingAndRunoff_Equations.VEERG_4_6_1_14__1_LeachingAndRunoffEmissionsFromPoultryManureOnPasture_Title">_xlfn.LAMBDA("Leaching and runoff emissions from poultry manure deposited on pasture")</definedName>
    <definedName name="MMS_Poultry_Soil_LeachingAndRunoff_Equations.VEERG_4_6_1_14__1_LeachingAndRunoffEmissionsFromPoultryManureOnPasture_Unit">_xlfn.LAMBDA("t N2O")</definedName>
    <definedName name="MMS_Poultry_Soil_LeachingAndRunoff_Equations.VEERG_4_6_1_14__1_LeachingAndRunoffEmissionsFromPoultryManureOnPasture_Variable">_xlfn.LAMBDA("E_N2Oleach")</definedName>
    <definedName name="MMS_Poultry_Soil_LeachingAndRunoff_Equations.VEERG_4_6_1_14__2_MassOfNitrogenLostToLeachingAndRunoffFromPoultryManureOnPasture">_xlfn.LAMBDA(_xlpm.MN_jkm14T1,_xlpm.FracWet,_xlpm.FracLEACH_MS, _xlpm.MN_jkm14T1 * _xlpm.FracWet * _xlpm.FracLEACH_MS)</definedName>
    <definedName name="MMS_Poultry_Soil_LeachingAndRunoff_Equations.VEERG_4_6_1_14__2_MassOfNitrogenLostToLeachingAndRunoffFromPoultryManureOnPasture_Arguments">_xlfn.LAMBDA(_xlfn.MAKEARRAY(6, 4, _xlfn.LAMBDA(_xlpm.r,_xlpm.c, INDEX({"MN_jkm14T1","mass of nitrogen excreted directly on pasture by poultry class and subclass","kg N","Calculated from 4.6.1.3 (2)";"FracWet","fraction of N available for leaching and runoff","fraction","Constant";"FracLEACH_MS","fraction of N that is lost through leaching and runoff","fraction","Constant";"z","location in leaching zone","","Input";"j","production system","","Input";"ir","irrigation method","","Input"}, _xlpm.r, _xlpm.c))))</definedName>
    <definedName name="MMS_Poultry_Soil_LeachingAndRunoff_Equations.VEERG_4_6_1_14__2_MassOfNitrogenLostToLeachingAndRunoffFromPoultryManureOnPasture_LatexEquation">_xlfn.LAMBDA("M_{leach,m=14}=\sum_{j}\sum_{k}(MN_{jkm=14,T=1}\times FracWet\times FracLEACH_MS)")</definedName>
    <definedName name="MMS_Poultry_Soil_LeachingAndRunoff_Equations.VEERG_4_6_1_14__2_MassOfNitrogenLostToLeachingAndRunoffFromPoultryManureOnPasture_NIRReference">_xlfn.LAMBDA("")</definedName>
    <definedName name="MMS_Poultry_Soil_LeachingAndRunoff_Equations.VEERG_4_6_1_14__2_MassOfNitrogenLostToLeachingAndRunoffFromPoultryManureOnPasture_Source">_xlfn.LAMBDA("VEERG 2026: 4.6.1.14, Equation (2)")</definedName>
    <definedName name="MMS_Poultry_Soil_LeachingAndRunoff_Equations.VEERG_4_6_1_14__2_MassOfNitrogenLostToLeachingAndRunoffFromPoultryManureOnPasture_Title">_xlfn.LAMBDA("Mass of nitrogen lost to leaching and runoff from poultry manure deposited on pasture")</definedName>
    <definedName name="MMS_Poultry_Soil_LeachingAndRunoff_Equations.VEERG_4_6_1_14__2_MassOfNitrogenLostToLeachingAndRunoffFromPoultryManureOnPasture_Unit">_xlfn.LAMBDA("kg N")</definedName>
    <definedName name="MMS_Poultry_Soil_LeachingAndRunoff_Equations.VEERG_4_6_1_14__2_MassOfNitrogenLostToLeachingAndRunoffFromPoultryManureOnPasture_Variable">_xlfn.LAMBDA("M_leach_m14")</definedName>
    <definedName name="MMS_Poultry_Soil_N2ODirect_Equations.VEERG_4_6_1_10__1_DirectNitrousOxideEmissionsFromPoultryManure">_xlfn.LAMBDA(_xlpm.MN_jkm14T1,_xlpm.EF_PRP,_xlpm.C_N2O, _xlpm.MN_jkm14T1 * _xlpm.EF_PRP * _xlpm.C_N2O * 10 ^ -3)</definedName>
    <definedName name="MMS_Poultry_Soil_N2ODirect_Equations.VEERG_4_6_1_10__1_DirectNitrousOxideEmissionsFromPoultryManure_Arguments">_xlfn.LAMBDA(_xlfn.MAKEARRAY(3, 4, _xlfn.LAMBDA(_xlpm.r,_xlpm.c, INDEX({"MN_jkm14T1","mass of nitrogen excreted directly on pasture by poultry class and subclass","kg N","Calculated from 4.6.1.3 (2)";"EF_PRP","nitrous oxide emission factor for manure deposited on pasture","kg N2O-N/kg N deposited","Constant";"C_N2O","factor to convert elemental mass of N2O to molecular mass","ratio","Constant"}, _xlpm.r, _xlpm.c))))</definedName>
    <definedName name="MMS_Poultry_Soil_N2ODirect_Equations.VEERG_4_6_1_10__1_DirectNitrousOxideEmissionsFromPoultryManure_LatexEquation">_xlfn.LAMBDA("EM_{N2O,PRP,dir}=\sum_{j}\sum_{k}(MN_{jkm=14,T=1}\times EF_{PRP}\times C_{N2O})\times 10^{-3}")</definedName>
    <definedName name="MMS_Poultry_Soil_N2ODirect_Equations.VEERG_4_6_1_10__1_DirectNitrousOxideEmissionsFromPoultryManure_NIRReference">_xlfn.LAMBDA("")</definedName>
    <definedName name="MMS_Poultry_Soil_N2ODirect_Equations.VEERG_4_6_1_10__1_DirectNitrousOxideEmissionsFromPoultryManure_Source">_xlfn.LAMBDA("VEERG 2026: 4.6.1.10, Equation (1)")</definedName>
    <definedName name="MMS_Poultry_Soil_N2ODirect_Equations.VEERG_4_6_1_10__1_DirectNitrousOxideEmissionsFromPoultryManure_Title">_xlfn.LAMBDA("Direct nitrous oxide emissions from poultry manure on pasture")</definedName>
    <definedName name="MMS_Poultry_Soil_N2ODirect_Equations.VEERG_4_6_1_10__1_DirectNitrousOxideEmissionsFromPoultryManure_Unit">_xlfn.LAMBDA("t N2O")</definedName>
    <definedName name="MMS_Poultry_Soil_N2ODirect_Equations.VEERG_4_6_1_10__1_DirectNitrousOxideEmissionsFromPoultryManure_Variable">_xlfn.LAMBDA("EM_N2OPRPdir")</definedName>
    <definedName name="MMS_Swine_AtmosphericDeposition_Equations.VEERG_4_5_1_5__1_AnnualAtmosphericDepositionEmissionsFromMMS">_xlfn.LAMBDA(_xlpm.MMS_ATMOS,_xlpm.EF_N2O,_xlpm.C_N2O, _xlpm.MMS_ATMOS * _xlpm.EF_N2O * _xlpm.C_N2O * 10 ^ -3)</definedName>
    <definedName name="MMS_Swine_AtmosphericDeposition_Equations.VEERG_4_5_1_5__1_AnnualAtmosphericDepositionEmissionsFromMMS_Arguments">_xlfn.LAMBDA(_xlfn.MAKEARRAY(6, 4, _xlfn.LAMBDA(_xlpm.r,_xlpm.c, INDEX({"MMS_ATMOS","mass of N volatilised from MMS","kg N","Calculated from 4.5.1.5 (2)";"EF_N2O","nitrous oxide emission factor for atmospheric deposition","kg N2O-N/kg N","Constant";"C_N2O","factor to convert elemental mass of N2O to molecular mass","","Constant";"j","production system","","Input";"ir","irrigation method","","Input";"r","rainfall region","","Input"}, _xlpm.r, _xlpm.c))))</definedName>
    <definedName name="MMS_Swine_AtmosphericDeposition_Equations.VEERG_4_5_1_5__1_AnnualAtmosphericDepositionEmissionsFromMMS_LatexEquation">_xlfn.LAMBDA("E_{N2O,ad}=MMS_{ATMOS}\times EF_{N2O}\times C_{N2O}\times 10^{-3}")</definedName>
    <definedName name="MMS_Swine_AtmosphericDeposition_Equations.VEERG_4_5_1_5__1_AnnualAtmosphericDepositionEmissionsFromMMS_NIRReference">_xlfn.LAMBDA("")</definedName>
    <definedName name="MMS_Swine_AtmosphericDeposition_Equations.VEERG_4_5_1_5__1_AnnualAtmosphericDepositionEmissionsFromMMS_Source">_xlfn.LAMBDA("VEERG 2026: 4.5.1.1, Equation (1)")</definedName>
    <definedName name="MMS_Swine_AtmosphericDeposition_Equations.VEERG_4_5_1_5__1_AnnualAtmosphericDepositionEmissionsFromMMS_Title">_xlfn.LAMBDA("Annual atmospheric deposition emissions from MMS")</definedName>
    <definedName name="MMS_Swine_AtmosphericDeposition_Equations.VEERG_4_5_1_5__1_AnnualAtmosphericDepositionEmissionsFromMMS_Unit">_xlfn.LAMBDA("t N2O")</definedName>
    <definedName name="MMS_Swine_AtmosphericDeposition_Equations.VEERG_4_5_1_5__1_AnnualAtmosphericDepositionEmissionsFromMMS_Variable">_xlfn.LAMBDA("E_N2OMMSad")</definedName>
    <definedName name="MMS_Swine_AtmosphericDeposition_Equations.VEERG_4_5_1_5__2_TotalNitrogenVolatilisedFromMMS">_xlfn.LAMBDA(_xlpm.MN_jmT,_xlpm.FracGASMmT, _xlpm.MN_jmT * _xlpm.FracGASMmT)</definedName>
    <definedName name="MMS_Swine_AtmosphericDeposition_Equations.VEERG_4_5_1_5__2_TotalNitrogenVolatilisedFromMMS_Arguments">_xlfn.LAMBDA(_xlfn.MAKEARRAY(2, 4, _xlfn.LAMBDA(_xlpm.r,_xlpm.c, INDEX({"MN_jmT","nitrogen per swine class, MMS and treatment stage","kg N","Calculated from 4.5.1.3 (2)(6)";"FracGASMmT","fraction of N volatilised in each MMS","(kg NH3-N + NOx-N)/kg N","Constant"}, _xlpm.r, _xlpm.c))))</definedName>
    <definedName name="MMS_Swine_AtmosphericDeposition_Equations.VEERG_4_5_1_5__2_TotalNitrogenVolatilisedFromMMS_LatexEquation">_xlfn.LAMBDA("MMS_{ATMOS}=\sum_{j}\sum_{m}\sum_{T}(MN_{jmT}\times FracGASM_{mT})")</definedName>
    <definedName name="MMS_Swine_AtmosphericDeposition_Equations.VEERG_4_5_1_5__2_TotalNitrogenVolatilisedFromMMS_NIRReference">_xlfn.LAMBDA("")</definedName>
    <definedName name="MMS_Swine_AtmosphericDeposition_Equations.VEERG_4_5_1_5__2_TotalNitrogenVolatilisedFromMMS_Source">_xlfn.LAMBDA("VEERG 2026: 4.5.1.1, Equation (2)")</definedName>
    <definedName name="MMS_Swine_AtmosphericDeposition_Equations.VEERG_4_5_1_5__2_TotalNitrogenVolatilisedFromMMS_Title">_xlfn.LAMBDA("Total nitrogen volatilised from MMS")</definedName>
    <definedName name="MMS_Swine_AtmosphericDeposition_Equations.VEERG_4_5_1_5__2_TotalNitrogenVolatilisedFromMMS_Unit">_xlfn.LAMBDA("kg N")</definedName>
    <definedName name="MMS_Swine_AtmosphericDeposition_Equations.VEERG_4_5_1_5__2_TotalNitrogenVolatilisedFromMMS_Variable">_xlfn.LAMBDA("MMS_ATMOS")</definedName>
    <definedName name="MMS_Swine_LeachingAndRunoff_Equations.VEERG_4_5_1_7__1_AnnualEmissionsFromLeachingAndRunoffFromMMS">_xlfn.LAMBDA(_xlpm.MNLeach_jm5,_xlpm.EF_leach,_xlpm.C_N2O, _xlpm.MNLeach_jm5 * _xlpm.EF_leach * _xlpm.C_N2O * 10 ^ -3)</definedName>
    <definedName name="MMS_Swine_LeachingAndRunoff_Equations.VEERG_4_5_1_7__1_AnnualEmissionsFromLeachingAndRunoffFromMMS_Arguments">_xlfn.LAMBDA(_xlfn.MAKEARRAY(3, 4, _xlfn.LAMBDA(_xlpm.r,_xlpm.c, INDEX({"MNLeach_jm5","mass of N lost through leaching and runoff from drylot MMS","kg N","Calculated from 4.5.1.7 (2)";"EF_leach","emission factor for leaching and runoff","kg N2O-N/kg N","Constant";"C_N2O","factor to convert elemental mass of N2O to molecular mass","","Constant"}, _xlpm.r, _xlpm.c))))</definedName>
    <definedName name="MMS_Swine_LeachingAndRunoff_Equations.VEERG_4_5_1_7__1_AnnualEmissionsFromLeachingAndRunoffFromMMS_LatexEquation">_xlfn.LAMBDA("E_{N2O,leach}=MNLeach_{jm=5}\times EF_{leach}\times C_{N2O}\times 10^{-3}")</definedName>
    <definedName name="MMS_Swine_LeachingAndRunoff_Equations.VEERG_4_5_1_7__1_AnnualEmissionsFromLeachingAndRunoffFromMMS_NIRReference">_xlfn.LAMBDA("")</definedName>
    <definedName name="MMS_Swine_LeachingAndRunoff_Equations.VEERG_4_5_1_7__1_AnnualEmissionsFromLeachingAndRunoffFromMMS_Source">_xlfn.LAMBDA("VEERG 2026: 4.5.1.7, Equation (1)")</definedName>
    <definedName name="MMS_Swine_LeachingAndRunoff_Equations.VEERG_4_5_1_7__1_AnnualEmissionsFromLeachingAndRunoffFromMMS_Title">_xlfn.LAMBDA("Annual emissions from leaching and runoff from each MMS")</definedName>
    <definedName name="MMS_Swine_LeachingAndRunoff_Equations.VEERG_4_5_1_7__1_AnnualEmissionsFromLeachingAndRunoffFromMMS_Unit">_xlfn.LAMBDA("t N2O")</definedName>
    <definedName name="MMS_Swine_LeachingAndRunoff_Equations.VEERG_4_5_1_7__1_AnnualEmissionsFromLeachingAndRunoffFromMMS_Variable">_xlfn.LAMBDA("E_N2Oleach")</definedName>
    <definedName name="MMS_Swine_LeachingAndRunoff_Equations.VEERG_4_5_1_7__2_MassOfNitrogenLostToLeachingAndRunoffFromDrylotMMS">_xlfn.LAMBDA(_xlpm.MN_jm5T1,_xlpm.FracWET,_xlpm.FracLEACH_MS, _xlpm.MN_jm5T1 * _xlpm.FracWET * _xlpm.FracLEACH_MS)</definedName>
    <definedName name="MMS_Swine_LeachingAndRunoff_Equations.VEERG_4_5_1_7__2_MassOfNitrogenLostToLeachingAndRunoffFromDrylotMMS_Arguments">_xlfn.LAMBDA(_xlfn.MAKEARRAY(6, 4, _xlfn.LAMBDA(_xlpm.r,_xlpm.c, INDEX({"MN_jm5T1","nitrogen in treatment stage 1 drylot MMS","kg N","Calculated from 4.5.1.3 (2)";"FracWET","fraction of N available for leaching and runoff","fraction","Constant";"FracLEACH_MS","fraction of N lost through leaching and runoff","fraction","Constant";"z","location in leaching zone","","Input";"j","production system","","Input";"ir","irrigation method","","Input"}, _xlpm.r, _xlpm.c))))</definedName>
    <definedName name="MMS_Swine_LeachingAndRunoff_Equations.VEERG_4_5_1_7__2_MassOfNitrogenLostToLeachingAndRunoffFromDrylotMMS_LatexEquation">_xlfn.LAMBDA("MNLeach_{jm=5}=MN_{jm=5,T=1}\times FracWET\times FracLEACH_{MS}")</definedName>
    <definedName name="MMS_Swine_LeachingAndRunoff_Equations.VEERG_4_5_1_7__2_MassOfNitrogenLostToLeachingAndRunoffFromDrylotMMS_NIRReference">_xlfn.LAMBDA("")</definedName>
    <definedName name="MMS_Swine_LeachingAndRunoff_Equations.VEERG_4_5_1_7__2_MassOfNitrogenLostToLeachingAndRunoffFromDrylotMMS_Source">_xlfn.LAMBDA("VEERG 2026: 4.5.1.7, Equation (2)")</definedName>
    <definedName name="MMS_Swine_LeachingAndRunoff_Equations.VEERG_4_5_1_7__2_MassOfNitrogenLostToLeachingAndRunoffFromDrylotMMS_Title">_xlfn.LAMBDA("Mass of nitrogen lost to leaching and runoff from drylot MMS")</definedName>
    <definedName name="MMS_Swine_LeachingAndRunoff_Equations.VEERG_4_5_1_7__2_MassOfNitrogenLostToLeachingAndRunoffFromDrylotMMS_Unit">_xlfn.LAMBDA("kg N")</definedName>
    <definedName name="MMS_Swine_LeachingAndRunoff_Equations.VEERG_4_5_1_7__2_MassOfNitrogenLostToLeachingAndRunoffFromDrylotMMS_Variable">_xlfn.LAMBDA("MNLeach_jm5")</definedName>
    <definedName name="MMS_Swine_ManureAppliedToSoils_Equations.VEERG_4_5_1_9__1_MassOfNitrogenAppliedToSoilsScope1">_xlfn.LAMBDA(_xlpm.MN_jmT2,_xlpm.EF_mT2,_xlpm.FracGASM_mT2,_xlpm.MNLeach_jm5,_xlpm.PF, (_xlpm.MN_jmT2 * (1 - _xlpm.EF_mT2 - _xlpm.FracGASM_mT2) - _xlpm.MNLeach_jm5) * _xlpm.PF)</definedName>
    <definedName name="MMS_Swine_ManureAppliedToSoils_Equations.VEERG_4_5_1_9__1_MassOfNitrogenAppliedToSoilsScope1_Arguments">_xlfn.LAMBDA(_xlfn.MAKEARRAY(5, 4, _xlfn.LAMBDA(_xlpm.r,_xlpm.c, INDEX({"MN_jmT2","mass of N in MMS at treatment stage 2","kg N","Calculated from 4.5.1.3 (6)";"EF_mT2","nitrous oxide emission factor for each MMS at treatment stage 2","kg N2O-N/kg N","Constant";"FracGASM_mT2","fraction of animal waste N volatilised in each MMS at treatment stage 2","(kg NH3-N + NOx-N)/kg N","Constant";"MNLeach_jm5","mass of N lost to leaching and runoff from drylot MMS","kg N","Calculated from 4.5.1.7 (2)";"PF","fraction of manure applied to soil within the piggery boundary","fraction","Input"}, _xlpm.r, _xlpm.c))))</definedName>
    <definedName name="MMS_Swine_ManureAppliedToSoils_Equations.VEERG_4_5_1_9__1_MassOfNitrogenAppliedToSoilsScope1_LatexEquation">_xlfn.LAMBDA("MNSoil_{scope1}=\sum_{j}\sum_{m}(MN_{jmT=2}\times(1-EF_{mT=2}-FracGASM_{mT=2})-MNLeach_{jm=5})\times PF")</definedName>
    <definedName name="MMS_Swine_ManureAppliedToSoils_Equations.VEERG_4_5_1_9__1_MassOfNitrogenAppliedToSoilsScope1_NIRReference">_xlfn.LAMBDA("")</definedName>
    <definedName name="MMS_Swine_ManureAppliedToSoils_Equations.VEERG_4_5_1_9__1_MassOfNitrogenAppliedToSoilsScope1_Source">_xlfn.LAMBDA("VEERG 2026: 4.5.1.9, Equation (1)")</definedName>
    <definedName name="MMS_Swine_ManureAppliedToSoils_Equations.VEERG_4_5_1_9__1_MassOfNitrogenAppliedToSoilsScope1_Title">_xlfn.LAMBDA("Mass of nitrogen applied to soils for scope 1 emissions")</definedName>
    <definedName name="MMS_Swine_ManureAppliedToSoils_Equations.VEERG_4_5_1_9__1_MassOfNitrogenAppliedToSoilsScope1_Unit">_xlfn.LAMBDA("kg N")</definedName>
    <definedName name="MMS_Swine_ManureAppliedToSoils_Equations.VEERG_4_5_1_9__1_MassOfNitrogenAppliedToSoilsScope1_Variable">_xlfn.LAMBDA("MNSoil_scope1")</definedName>
    <definedName name="MMS_Swine_ManureAppliedToSoils_Equations.VEERG_4_5_1_9__2_MassOfNitrogenAppliedToSoilsScope3">_xlfn.LAMBDA(_xlpm.MN_jmT2,_xlpm.EF_mT2,_xlpm.FracGASM_mT2,_xlpm.MNLeach_jm5,_xlpm.PF, (_xlpm.MN_jmT2 * (1 - _xlpm.EF_mT2 - _xlpm.FracGASM_mT2) - _xlpm.MNLeach_jm5) * (1 - _xlpm.PF))</definedName>
    <definedName name="MMS_Swine_ManureAppliedToSoils_Equations.VEERG_4_5_1_9__2_MassOfNitrogenAppliedToSoilsScope3_Arguments">_xlfn.LAMBDA(_xlfn.MAKEARRAY(5, 4, _xlfn.LAMBDA(_xlpm.r,_xlpm.c, INDEX({"MN_jmT2","mass of N in MMS at treatment stage 2","kg N","Calculated from 4.5.1.3 (6)";"EF_mT2","nitrous oxide emission factor for each MMS at treatment stage 2","kg N2O-N/kg N","Constant";"FracGASM_mT2","fraction of animal waste N volatilised in each MMS at treatment stage 2","(kg NH3-N + NOx-N)/kg N","Constant";"MNLeach_jm5","mass of N lost to leaching and runoff from drylot MMS","kg N","Calculated from 4.5.1.7 (2)";"PF","fraction of manure applied to soil within the piggery boundary","fraction","Input"}, _xlpm.r, _xlpm.c))))</definedName>
    <definedName name="MMS_Swine_ManureAppliedToSoils_Equations.VEERG_4_5_1_9__2_MassOfNitrogenAppliedToSoilsScope3_LatexEquation">_xlfn.LAMBDA("MNSoil_{scope3}=\sum_{j}\sum_{m}(MN_{jmT=2}\times(1-EF_{mT=2}-FracGASM_{mT=2})-MNLeach_{jm=5})\times(1-PF)")</definedName>
    <definedName name="MMS_Swine_ManureAppliedToSoils_Equations.VEERG_4_5_1_9__2_MassOfNitrogenAppliedToSoilsScope3_NIRReference">_xlfn.LAMBDA("")</definedName>
    <definedName name="MMS_Swine_ManureAppliedToSoils_Equations.VEERG_4_5_1_9__2_MassOfNitrogenAppliedToSoilsScope3_Source">_xlfn.LAMBDA("VEERG 2026: 4.5.1.9, Equation (2)")</definedName>
    <definedName name="MMS_Swine_ManureAppliedToSoils_Equations.VEERG_4_5_1_9__2_MassOfNitrogenAppliedToSoilsScope3_Title">_xlfn.LAMBDA("Mass of nitrogen applied to soils for scope 3 emissions")</definedName>
    <definedName name="MMS_Swine_ManureAppliedToSoils_Equations.VEERG_4_5_1_9__2_MassOfNitrogenAppliedToSoilsScope3_Unit">_xlfn.LAMBDA("kg N")</definedName>
    <definedName name="MMS_Swine_ManureAppliedToSoils_Equations.VEERG_4_5_1_9__2_MassOfNitrogenAppliedToSoilsScope3_Variable">_xlfn.LAMBDA("MNSoil_scope3")</definedName>
    <definedName name="MMS_Swine_Methane_Equations.VEERG_4_5_1_1__1_TotalAnnualMethaneEmissions">_xlfn.LAMBDA(_xlpm.Dj,_xlpm.Mmj,_xlpm.Nj, _xlpm.Dj * _xlpm.Mmj * _xlpm.Nj * 10 ^ -3)</definedName>
    <definedName name="MMS_Swine_Methane_Equations.VEERG_4_5_1_1__1_TotalAnnualMethaneEmissions_Arguments">_xlfn.LAMBDA(_xlfn.MAKEARRAY(3, 4, _xlfn.LAMBDA(_xlpm.r,_xlpm.c, INDEX({"Dj","length of stay of each class of swine","days","Input";"Mmj","methane production from manure in each swine class","kg CH4/head/day","Calculated from 4.5.1.1 (2)";"Nj","numbers of swine in each class","head","Input"}, _xlpm.r, _xlpm.c))))</definedName>
    <definedName name="MMS_Swine_Methane_Equations.VEERG_4_5_1_1__1_TotalAnnualMethaneEmissions_LatexEquation">_xlfn.LAMBDA("{E}_{CH4}=\sum_{j}(D_{j}\times M_{mj}\times N_{j})\times10^{-3}")</definedName>
    <definedName name="MMS_Swine_Methane_Equations.VEERG_4_5_1_1__1_TotalAnnualMethaneEmissions_NIRReference">_xlfn.LAMBDA("")</definedName>
    <definedName name="MMS_Swine_Methane_Equations.VEERG_4_5_1_1__1_TotalAnnualMethaneEmissions_Source">_xlfn.LAMBDA("VEERG 2026: 4.5.1.1, Equation (1)")</definedName>
    <definedName name="MMS_Swine_Methane_Equations.VEERG_4_5_1_1__1_TotalAnnualMethaneEmissions_Title">_xlfn.LAMBDA("Total annual methane emissions from manure management")</definedName>
    <definedName name="MMS_Swine_Methane_Equations.VEERG_4_5_1_1__1_TotalAnnualMethaneEmissions_Unit">_xlfn.LAMBDA("t CH4")</definedName>
    <definedName name="MMS_Swine_Methane_Equations.VEERG_4_5_1_1__1_TotalAnnualMethaneEmissions_Variable">_xlfn.LAMBDA("ECH4")</definedName>
    <definedName name="MMS_Swine_Methane_Equations.VEERG_4_5_1_1__2_MethaneProductionPerClass">_xlfn.LAMBDA(_xlpm.MjmT, SUM(_xlpm.MjmT))</definedName>
    <definedName name="MMS_Swine_Methane_Equations.VEERG_4_5_1_1__2_MethaneProductionPerClass_Arguments">_xlfn.LAMBDA(_xlfn.MAKEARRAY(1, 4, _xlfn.LAMBDA(_xlpm.r,_xlpm.c, INDEX({"MjmT","methane production from manure per class, MMS, and treatment stage","kg CH4/head/day","Calculated from 4.5.1.1 (3) and (6)"}, _xlpm.r, _xlpm.c))))</definedName>
    <definedName name="MMS_Swine_Methane_Equations.VEERG_4_5_1_1__2_MethaneProductionPerClass_LatexEquation">_xlfn.LAMBDA("M_{mj}=\sum_{m}\sum_{T}M_{jmT}")</definedName>
    <definedName name="MMS_Swine_Methane_Equations.VEERG_4_5_1_1__2_MethaneProductionPerClass_NIRReference">_xlfn.LAMBDA("")</definedName>
    <definedName name="MMS_Swine_Methane_Equations.VEERG_4_5_1_1__2_MethaneProductionPerClass_Source">_xlfn.LAMBDA("VEERG 2026: 4.5.1.1, Equation (2)")</definedName>
    <definedName name="MMS_Swine_Methane_Equations.VEERG_4_5_1_1__2_MethaneProductionPerClass_Title">_xlfn.LAMBDA("Methane production from the manure of each class of swine")</definedName>
    <definedName name="MMS_Swine_Methane_Equations.VEERG_4_5_1_1__2_MethaneProductionPerClass_Unit">_xlfn.LAMBDA("kg CH4/head/day")</definedName>
    <definedName name="MMS_Swine_Methane_Equations.VEERG_4_5_1_1__2_MethaneProductionPerClass_Variable">_xlfn.LAMBDA("Mmj")</definedName>
    <definedName name="MMS_Swine_Methane_Equations.VEERG_4_5_1_1__2_MethaneProductionPerClass_Variation">_xlfn.LAMBDA("VARIATION ON SOURCE: Split variable Mjm into MjmT1 and MjmT2 for stage 1 and 2 MMS.")</definedName>
    <definedName name="MMS_Swine_Methane_Equations.VEERG_4_5_1_1__2_MethaneProductionPerClassVariation">_xlfn.LAMBDA(_xlpm.MjmT1,_xlpm.MjmT2, SUM(_xlpm.MjmT1, _xlpm.MjmT2))</definedName>
    <definedName name="MMS_Swine_Methane_Equations.VEERG_4_5_1_1__3_Stage1MethaneProduction">_xlfn.LAMBDA(_xlpm.VSj,_xlpm.FVSjmT1,_xlpm.MCFim,_xlpm.BO,_xlpm.rho, _xlpm.VSj * _xlpm.FVSjmT1 * _xlpm.MCFim * _xlpm.BO * _xlpm.rho)</definedName>
    <definedName name="MMS_Swine_Methane_Equations.VEERG_4_5_1_1__3_Stage1MethaneProduction_Arguments">_xlfn.LAMBDA(_xlfn.MAKEARRAY(5, 4, _xlfn.LAMBDA(_xlpm.r,_xlpm.c, INDEX({"VSj","volatile solid production from swine in each class","kg/head/day","Input";"FVSjmT1","fraction of volatile solids in each primary system","fraction","Calculated from 4.5.1.1 (4)(5)";"MCFim","methane conversion factor for temperate zone and system","fraction","Constant";"BO","emissions potential","m3 CH4/kg VS","Constant";"rho","density of methane","kg/m3","Constant"}, _xlpm.r, _xlpm.c))))</definedName>
    <definedName name="MMS_Swine_Methane_Equations.VEERG_4_5_1_1__3_Stage1MethaneProduction_LatexEquation">_xlfn.LAMBDA("M_{ijm,T=1}=VS_{j}\times FVS_{jm,T=1}\times MCF_{im}\times BO\times \rho")</definedName>
    <definedName name="MMS_Swine_Methane_Equations.VEERG_4_5_1_1__3_Stage1MethaneProduction_NIRReference">_xlfn.LAMBDA("")</definedName>
    <definedName name="MMS_Swine_Methane_Equations.VEERG_4_5_1_1__3_Stage1MethaneProduction_Source">_xlfn.LAMBDA("VEERG 2026: 4.5.1.1, Equation (3)")</definedName>
    <definedName name="MMS_Swine_Methane_Equations.VEERG_4_5_1_1__3_Stage1MethaneProduction_Title">_xlfn.LAMBDA("Production of methane in treatment stage 1 MMS")</definedName>
    <definedName name="MMS_Swine_Methane_Equations.VEERG_4_5_1_1__3_Stage1MethaneProduction_Unit">_xlfn.LAMBDA("kg CH4/head/day")</definedName>
    <definedName name="MMS_Swine_Methane_Equations.VEERG_4_5_1_1__3_Stage1MethaneProduction_Variable">_xlfn.LAMBDA("MijmT1")</definedName>
    <definedName name="MMS_Swine_Methane_Equations.VEERG_4_5_1_1__4_FractionVolatileSolidsPrimarySystem">_xlfn.LAMBDA(_xlpm.MMSjmT1,_xlpm.SSm, _xlpm.MMSjmT1 * (1 - _xlpm.SSm))</definedName>
    <definedName name="MMS_Swine_Methane_Equations.VEERG_4_5_1_1__4_FractionVolatileSolidsPrimarySystem_Arguments">_xlfn.LAMBDA(_xlfn.MAKEARRAY(2, 4, _xlfn.LAMBDA(_xlpm.r,_xlpm.c, INDEX({"MMSjmT1","fraction of manure to each primary MMS for each class prior to solid separation","fraction","Input";"SSm","fraction of volatile solids separated to solid storage for each MMS","fraction","Input"}, _xlpm.r, _xlpm.c))))</definedName>
    <definedName name="MMS_Swine_Methane_Equations.VEERG_4_5_1_1__4_FractionVolatileSolidsPrimarySystem_LatexEquation">_xlfn.LAMBDA("FVS_{jm,T=1}=MMS_{jm,T=1}\times(1-SS_{m})")</definedName>
    <definedName name="MMS_Swine_Methane_Equations.VEERG_4_5_1_1__4_FractionVolatileSolidsPrimarySystem_NIRReference">_xlfn.LAMBDA("")</definedName>
    <definedName name="MMS_Swine_Methane_Equations.VEERG_4_5_1_1__4_FractionVolatileSolidsPrimarySystem_Source">_xlfn.LAMBDA("VEERG 2026: 4.5.1.1, Equation (4)")</definedName>
    <definedName name="MMS_Swine_Methane_Equations.VEERG_4_5_1_1__4_FractionVolatileSolidsPrimarySystem_Title">_xlfn.LAMBDA("Fraction of volatile solids in each primary system other than solid storage")</definedName>
    <definedName name="MMS_Swine_Methane_Equations.VEERG_4_5_1_1__4_FractionVolatileSolidsPrimarySystem_Unit">_xlfn.LAMBDA("fraction")</definedName>
    <definedName name="MMS_Swine_Methane_Equations.VEERG_4_5_1_1__4_FractionVolatileSolidsPrimarySystem_Variable">_xlfn.LAMBDA("FVSjmT1")</definedName>
    <definedName name="MMS_Swine_Methane_Equations.VEERG_4_5_1_1__4_FractionVolatileSolidsPrimarySystem_Variation">_xlfn.LAMBDA("")</definedName>
    <definedName name="MMS_Swine_Methane_Equations.VEERG_4_5_1_1__5_FractionVolatileSolidsSolidStorage">_xlfn.LAMBDA(_xlpm.MMSjm4T1,_xlpm.MMSjm179T1,_xlpm.SSm, _xlpm.MMSjm4T1 + (_xlpm.MMSjm179T1 * _xlpm.SSm))</definedName>
    <definedName name="MMS_Swine_Methane_Equations.VEERG_4_5_1_1__5_FractionVolatileSolidsSolidStorage_Arguments">_xlfn.LAMBDA(_xlfn.MAKEARRAY(3, 4, _xlfn.LAMBDA(_xlpm.r,_xlpm.c, INDEX({"MMSjm4T1","fraction of manure in solid storage primary system","fraction","Input";"MMSjm179T1","fraction of manure in MMS 1, 7, and 9 in treatment stage 1","fraction","Input";"SSm","fraction of volatile solids separated to solid storage for each MMS","fraction","Input"}, _xlpm.r, _xlpm.c))))</definedName>
    <definedName name="MMS_Swine_Methane_Equations.VEERG_4_5_1_1__5_FractionVolatileSolidsSolidStorage_LatexEquation">_xlfn.LAMBDA("FVS_{j,m=4,T=1}=MMS_{j,m=4,T=1}+(MMS_{j,m=1,7,9,T=1}\times SS_{m})")</definedName>
    <definedName name="MMS_Swine_Methane_Equations.VEERG_4_5_1_1__5_FractionVolatileSolidsSolidStorage_LatexEquationVariation">_xlfn.LAMBDA("FVS_{j,m=4,T=1}=MMS_{j,m=4,T=1}+(MMS_{j,m=1,T=1}\times SS_{m=1,T=1})+(MMS_{j,m=7,T=1}\times SS_{m=7,T=1})+(MMS_{j,m=9,T=1}\times SS_{m=9,T=1})")</definedName>
    <definedName name="MMS_Swine_Methane_Equations.VEERG_4_5_1_1__5_FractionVolatileSolidsSolidStorage_NIRReference">_xlfn.LAMBDA("")</definedName>
    <definedName name="MMS_Swine_Methane_Equations.VEERG_4_5_1_1__5_FractionVolatileSolidsSolidStorage_Source">_xlfn.LAMBDA("VEERG 2026: 4.5.1.1, Equation (5)")</definedName>
    <definedName name="MMS_Swine_Methane_Equations.VEERG_4_5_1_1__5_FractionVolatileSolidsSolidStorage_Title">_xlfn.LAMBDA("Fraction of volatile solids in solid storage")</definedName>
    <definedName name="MMS_Swine_Methane_Equations.VEERG_4_5_1_1__5_FractionVolatileSolidsSolidStorage_Unit">_xlfn.LAMBDA("fraction")</definedName>
    <definedName name="MMS_Swine_Methane_Equations.VEERG_4_5_1_1__5_FractionVolatileSolidsSolidStorage_Variable">_xlfn.LAMBDA("FVSjm4T1")</definedName>
    <definedName name="MMS_Swine_Methane_Equations.VEERG_4_5_1_1__5_FractionVolatileSolidsSolidStorage_Variation">_xlfn.LAMBDA("VARIATION ON SOURCE: Split equation for MMSm=1,7,9 into separate items to allow for calculation")</definedName>
    <definedName name="MMS_Swine_Methane_Equations.VEERG_4_5_1_1__5_FractionVolatileSolidsSolidStorageVariation">_xlfn.LAMBDA(_xlpm.MMSjm4T1,_xlpm.MMSjmT1_1,_xlpm.MMSjmT1_2,_xlpm.MMSjmT1_3,_xlpm.MMSjmT1_4,_xlpm.MMSjmT1_5,_xlpm.SSjmT1_1,_xlpm.SSjmT1_2,_xlpm.SSjmT1_3,_xlpm.SSjmT1_4,_xlpm.SSjmT1_5, _xlpm.MMSjm4T1 + (_xlpm.MMSjmT1_1 * _xlpm.SSjmT1_1) + (_xlpm.MMSjmT1_2 * _xlpm.SSjmT1_2) + (_xlpm.MMSjmT1_3 * _xlpm.SSjmT1_3) + (_xlpm.MMSjmT1_4 * _xlpm.SSjmT1_4) + (_xlpm.MMSjmT1_5 * _xlpm.SSjmT1_5))</definedName>
    <definedName name="MMS_Swine_Methane_Equations.VEERG_4_5_1_1__6_Stage2MethaneProduction">_xlfn.LAMBDA(_xlpm.VSTjmT2,_xlpm.BO,_xlpm.MMSjmT2,_xlpm.MCFim,_xlpm.rho, _xlfn.LET(_xlpm.VSTjmT2, IF(ISNUMBER(_xlpm.VSTjmT2), _xlpm.VSTjmT2, 0), _xlpm.MMSjmT2, IF(ISNUMBER(_xlpm.MMSjmT2), _xlpm.MMSjmT2, 0), _xlpm.VSTjmT2 * _xlpm.BO * _xlpm.MMSjmT2 * _xlpm.MCFim * _xlpm.rho))</definedName>
    <definedName name="MMS_Swine_Methane_Equations.VEERG_4_5_1_1__6_Stage2MethaneProduction_Arguments">_xlfn.LAMBDA(_xlfn.MAKEARRAY(6, 4, _xlfn.LAMBDA(_xlpm.r,_xlpm.c, INDEX({"VSTjmT2","volatile solids transferred to treatment stage 2 MMS","kg/head/day","Calculated from 4.5.1.1 (7)";"BO","emissions potential","m3 CH4/kg VS","Constant";"MMSjmT2","fraction of manure in each secondary system","fraction","Input";"MCFim","methane conversion factor for temperate zone and system","fraction","Constant";"rho","density of methane","kg/m3","Constant";"i","state","","Input"}, _xlpm.r, _xlpm.c))))</definedName>
    <definedName name="MMS_Swine_Methane_Equations.VEERG_4_5_1_1__6_Stage2MethaneProduction_Arguments_Method2">_xlfn.LAMBDA(_xlfn.MAKEARRAY(6, 4, _xlfn.LAMBDA(_xlpm.r,_xlpm.c, INDEX({"VSTjmT2","volatile solids transferred to treatment stage 2 MMS","kg/head/day","Calculated from 4.5.1.1 (7)";"BO","emissions potential","m3 CH4/kg VS","Constant";"MMSjmT2","fraction of manure in each secondary system","fraction","Input";"MCFim","methane conversion factor for temperate zone and system","fraction","Constant";"rho","density of methane","kg/m3","Constant";"MAT","Mean annual temperature","°C","Input"}, _xlpm.r, _xlpm.c))))</definedName>
    <definedName name="MMS_Swine_Methane_Equations.VEERG_4_5_1_1__6_Stage2MethaneProduction_LatexEquation">_xlfn.LAMBDA("M_{ijm,T=2}=VST_{jm,T=2}\times BO\times MMS_{jm,T=2}\times MCF_{im}\times \rho")</definedName>
    <definedName name="MMS_Swine_Methane_Equations.VEERG_4_5_1_1__6_Stage2MethaneProduction_NIRReference">_xlfn.LAMBDA("")</definedName>
    <definedName name="MMS_Swine_Methane_Equations.VEERG_4_5_1_1__6_Stage2MethaneProduction_Source">_xlfn.LAMBDA("VEERG 2026: 4.5.1.1, Equation (6)")</definedName>
    <definedName name="MMS_Swine_Methane_Equations.VEERG_4_5_1_1__6_Stage2MethaneProduction_Title">_xlfn.LAMBDA("Production of methane in each treatment stage 2 MMS")</definedName>
    <definedName name="MMS_Swine_Methane_Equations.VEERG_4_5_1_1__6_Stage2MethaneProduction_Unit">_xlfn.LAMBDA("kg CH4/head/day")</definedName>
    <definedName name="MMS_Swine_Methane_Equations.VEERG_4_5_1_1__6_Stage2MethaneProduction_Variable">_xlfn.LAMBDA("MijmT2")</definedName>
    <definedName name="MMS_Swine_Methane_Equations.VEERG_4_5_1_1__7_VolatileSolidsTransferredStage2">_xlfn.LAMBDA(_xlpm.VSj,_xlpm.FVSjmT1,_xlpm.VSLmT1, _xlpm.VSj * _xlpm.FVSjmT1 * (1 - _xlpm.VSLmT1))</definedName>
    <definedName name="MMS_Swine_Methane_Equations.VEERG_4_5_1_1__7_VolatileSolidsTransferredStage2_Arguments">_xlfn.LAMBDA(_xlfn.MAKEARRAY(3, 4, _xlfn.LAMBDA(_xlpm.r,_xlpm.c, INDEX({"VSj","volatile solid production from swine in each class","kg/head/day","Input";"FVSjmT1","fraction of volatile solids in each primary system","fraction","Calculated from 4.5.1.1 (4)(5)";"VSLmT1","fraction of volatile solids lost during storage in the primary system","fraction","Lookup"}, _xlpm.r, _xlpm.c))))</definedName>
    <definedName name="MMS_Swine_Methane_Equations.VEERG_4_5_1_1__7_VolatileSolidsTransferredStage2_LatexEquation">_xlfn.LAMBDA("VST_{ijm,T=2}=VS_{j}\times FVS_{jm,T=1}\times(1-VSL_{m,T=1})")</definedName>
    <definedName name="MMS_Swine_Methane_Equations.VEERG_4_5_1_1__7_VolatileSolidsTransferredStage2_NIRReference">_xlfn.LAMBDA("")</definedName>
    <definedName name="MMS_Swine_Methane_Equations.VEERG_4_5_1_1__7_VolatileSolidsTransferredStage2_Source">_xlfn.LAMBDA("VEERG 2026: 4.5.1.1, Equation (7)")</definedName>
    <definedName name="MMS_Swine_Methane_Equations.VEERG_4_5_1_1__7_VolatileSolidsTransferredStage2_Title">_xlfn.LAMBDA("Volatile solids transferred to treatment stage 2 MMS")</definedName>
    <definedName name="MMS_Swine_Methane_Equations.VEERG_4_5_1_1__7_VolatileSolidsTransferredStage2_Unit">_xlfn.LAMBDA("kg VS")</definedName>
    <definedName name="MMS_Swine_Methane_Equations.VEERG_4_5_1_1__7_VolatileSolidsTransferredStage2_Variable">_xlfn.LAMBDA("VSTijmT2")</definedName>
    <definedName name="MMS_Swine_N2ODirect_Equations.VEERG_4_5_1_3__1_TotalAnnualDirectNitrousOxideEmissionsFromMMS">_xlfn.LAMBDA(_xlpm.MN_jmT,_xlpm.EF_jm,_xlpm.C_N2O, _xlpm.MN_jmT * _xlpm.EF_jm * _xlpm.C_N2O * 10 ^ -3)</definedName>
    <definedName name="MMS_Swine_N2ODirect_Equations.VEERG_4_5_1_3__1_TotalAnnualDirectNitrousOxideEmissionsFromMMS_Arguments">_xlfn.LAMBDA(_xlfn.MAKEARRAY(3, 4, _xlfn.LAMBDA(_xlpm.r,_xlpm.c, INDEX({"MN_jmT","nitrogen per swine class, MMS and treatment stage","kg N","Calculated from 4.5.1.3 (2)(6)";"EF_jm","nitrous oxide emission factor for MMS","kg N2O-N/kg N","Constant";"C_N2O","factor to convert elemental mass of nitrous oxide to molecular mass","","Constant"}, _xlpm.r, _xlpm.c))))</definedName>
    <definedName name="MMS_Swine_N2ODirect_Equations.VEERG_4_5_1_3__1_TotalAnnualDirectNitrousOxideEmissionsFromMMS_LatexEquation">_xlfn.LAMBDA("E_{N2O,dir}=\sum_{j}\sum_{m}\sum_{T}(MN_{jmT}\times EF_{jm}\times C_{N2O})\times10^{-3}")</definedName>
    <definedName name="MMS_Swine_N2ODirect_Equations.VEERG_4_5_1_3__1_TotalAnnualDirectNitrousOxideEmissionsFromMMS_NIRReference">_xlfn.LAMBDA("")</definedName>
    <definedName name="MMS_Swine_N2ODirect_Equations.VEERG_4_5_1_3__1_TotalAnnualDirectNitrousOxideEmissionsFromMMS_Source">_xlfn.LAMBDA("VEERG 2026: 4.5.1.3, Equation (1)")</definedName>
    <definedName name="MMS_Swine_N2ODirect_Equations.VEERG_4_5_1_3__1_TotalAnnualDirectNitrousOxideEmissionsFromMMS_Title">_xlfn.LAMBDA("Total annual direct nitrous oxide emissions from manure management systems")</definedName>
    <definedName name="MMS_Swine_N2ODirect_Equations.VEERG_4_5_1_3__1_TotalAnnualDirectNitrousOxideEmissionsFromMMS_Unit">_xlfn.LAMBDA("t N2O")</definedName>
    <definedName name="MMS_Swine_N2ODirect_Equations.VEERG_4_5_1_3__1_TotalAnnualDirectNitrousOxideEmissionsFromMMS_Variable">_xlfn.LAMBDA("E_N2Odir")</definedName>
    <definedName name="MMS_Swine_N2ODirect_Equations.VEERG_4_5_1_3__2_Stage1NitrogenInMMS">_xlfn.LAMBDA(_xlpm.AE_j,_xlpm.FN_jmT1, _xlpm.AE_j * _xlpm.FN_jmT1)</definedName>
    <definedName name="MMS_Swine_N2ODirect_Equations.VEERG_4_5_1_3__2_Stage1NitrogenInMMS_Arguments">_xlfn.LAMBDA(_xlfn.MAKEARRAY(2, 4, _xlfn.LAMBDA(_xlpm.r,_xlpm.c, INDEX({"AE_j","total nitrogen excreted by each swine class","kg N","Calculated from 4.5.1.3 (5)";"FN_jmT1","fraction of nitrogen in each primary MMS system","fraction","Calculated from 4.5.1.3 (3)(4)"}, _xlpm.r, _xlpm.c))))</definedName>
    <definedName name="MMS_Swine_N2ODirect_Equations.VEERG_4_5_1_3__2_Stage1NitrogenInMMS_LatexEquation">_xlfn.LAMBDA("MN_{jm,T=1}=AE_{j}\times FN_{jm,T=1}")</definedName>
    <definedName name="MMS_Swine_N2ODirect_Equations.VEERG_4_5_1_3__2_Stage1NitrogenInMMS_NIRReference">_xlfn.LAMBDA("")</definedName>
    <definedName name="MMS_Swine_N2ODirect_Equations.VEERG_4_5_1_3__2_Stage1NitrogenInMMS_Source">_xlfn.LAMBDA("VEERG 2026: 4.5.1.3, Equation (2)")</definedName>
    <definedName name="MMS_Swine_N2ODirect_Equations.VEERG_4_5_1_3__2_Stage1NitrogenInMMS_Title">_xlfn.LAMBDA("Nitrogen in treatment stage 1 MMS")</definedName>
    <definedName name="MMS_Swine_N2ODirect_Equations.VEERG_4_5_1_3__2_Stage1NitrogenInMMS_Unit">_xlfn.LAMBDA("kg N")</definedName>
    <definedName name="MMS_Swine_N2ODirect_Equations.VEERG_4_5_1_3__2_Stage1NitrogenInMMS_Variable">_xlfn.LAMBDA("MN_jmT1")</definedName>
    <definedName name="MMS_Swine_N2ODirect_Equations.VEERG_4_5_1_3__3_FractionOfNitrogenInPrimaryMMS">_xlfn.LAMBDA(_xlpm.MMS_jmT1,_xlpm.SN_m, _xlpm.MMS_jmT1 * (1 - _xlpm.SN_m))</definedName>
    <definedName name="MMS_Swine_N2ODirect_Equations.VEERG_4_5_1_3__3_FractionOfNitrogenInPrimaryMMS_Arguments">_xlfn.LAMBDA(_xlfn.MAKEARRAY(2, 4, _xlfn.LAMBDA(_xlpm.r,_xlpm.c, INDEX({"MMS_jmT1","fraction of manure in primary MMS","fraction","Input";"SN_m","fraction of nitrogen separated to solid storage for each MMS","fraction","Input"}, _xlpm.r, _xlpm.c))))</definedName>
    <definedName name="MMS_Swine_N2ODirect_Equations.VEERG_4_5_1_3__3_FractionOfNitrogenInPrimaryMMS_LatexEquation">_xlfn.LAMBDA("FN_{jm,T=1}=MMS_{jm,T=1}\times(1-SN_{m})")</definedName>
    <definedName name="MMS_Swine_N2ODirect_Equations.VEERG_4_5_1_3__3_FractionOfNitrogenInPrimaryMMS_NIRReference">_xlfn.LAMBDA("")</definedName>
    <definedName name="MMS_Swine_N2ODirect_Equations.VEERG_4_5_1_3__3_FractionOfNitrogenInPrimaryMMS_Source">_xlfn.LAMBDA("VEERG 2026: 4.5.1.3, Equation (3)")</definedName>
    <definedName name="MMS_Swine_N2ODirect_Equations.VEERG_4_5_1_3__3_FractionOfNitrogenInPrimaryMMS_Title">_xlfn.LAMBDA("Fraction of nitrogen in each primary MMS (excluding solid storage)")</definedName>
    <definedName name="MMS_Swine_N2ODirect_Equations.VEERG_4_5_1_3__3_FractionOfNitrogenInPrimaryMMS_Unit">_xlfn.LAMBDA("fraction")</definedName>
    <definedName name="MMS_Swine_N2ODirect_Equations.VEERG_4_5_1_3__3_FractionOfNitrogenInPrimaryMMS_Variable">_xlfn.LAMBDA("FN_jmT1")</definedName>
    <definedName name="MMS_Swine_N2ODirect_Equations.VEERG_4_5_1_3__4_FractionOfNitrogenInSolidStorage">_xlfn.LAMBDA(_xlpm.MMS_jm4T1,_xlpm.MMS_jm179T1,_xlpm.SN_m, _xlpm.MMS_jm4T1 + (_xlpm.MMS_jm179T1 * _xlpm.SN_m))</definedName>
    <definedName name="MMS_Swine_N2ODirect_Equations.VEERG_4_5_1_3__4_FractionOfNitrogenInSolidStorage_Arguments">_xlfn.LAMBDA(_xlfn.MAKEARRAY(3, 4, _xlfn.LAMBDA(_xlpm.r,_xlpm.c, INDEX({"MMS_jm4T1","fraction of manure in solid storage MMS","fraction","Input";"MMS_jm179T1","fraction of manure in primary liquid systems (m=1,7,9)","fraction","Input";"SN_m","fraction of nitrogen separated to solid storage for each MMS","fraction","Input"}, _xlpm.r, _xlpm.c))))</definedName>
    <definedName name="MMS_Swine_N2ODirect_Equations.VEERG_4_5_1_3__4_FractionOfNitrogenInSolidStorage_LatexEquation">_xlfn.LAMBDA("FN_{jm=4,T=1}=MMS_{jm=4,T=1}+(MMS_{jm=1,7,9,T=1}\times SN_{m})")</definedName>
    <definedName name="MMS_Swine_N2ODirect_Equations.VEERG_4_5_1_3__4_FractionOfNitrogenInSolidStorage_LatexEquationVariation">_xlfn.LAMBDA("FN_{jm=4,T=1}=MMS_{jm=4,T=1}+(MMS_{j,m=1,T=1}\times SS_{m=1,T=1})+(MMS_{j,m=7,T=1}\times SS_{m=7,T=1})+(MMS_{j,m=9,T=1}\times SS_{m=9,T=1})")</definedName>
    <definedName name="MMS_Swine_N2ODirect_Equations.VEERG_4_5_1_3__4_FractionOfNitrogenInSolidStorage_NIRReference">_xlfn.LAMBDA("")</definedName>
    <definedName name="MMS_Swine_N2ODirect_Equations.VEERG_4_5_1_3__4_FractionOfNitrogenInSolidStorage_Source">_xlfn.LAMBDA("VEERG 2026: 4.5.1.3, Equation (4)")</definedName>
    <definedName name="MMS_Swine_N2ODirect_Equations.VEERG_4_5_1_3__4_FractionOfNitrogenInSolidStorage_Title">_xlfn.LAMBDA("Fraction of nitrogen in solid storage")</definedName>
    <definedName name="MMS_Swine_N2ODirect_Equations.VEERG_4_5_1_3__4_FractionOfNitrogenInSolidStorage_Unit">_xlfn.LAMBDA("fraction")</definedName>
    <definedName name="MMS_Swine_N2ODirect_Equations.VEERG_4_5_1_3__4_FractionOfNitrogenInSolidStorage_Variable">_xlfn.LAMBDA("FN_jm4T1")</definedName>
    <definedName name="MMS_Swine_N2ODirect_Equations.VEERG_4_5_1_3__4_FractionOfNitrogenInSolidStorage_Variation">_xlfn.LAMBDA("VARIATION ON SOURCE: Split equation for MMSm=1,7,9 into separate items to allow for calculation")</definedName>
    <definedName name="MMS_Swine_N2ODirect_Equations.VEERG_4_5_1_3__4_FractionOfNitrogenInSolidStorageVariation">_xlfn.LAMBDA(_xlpm.MMS_jm4T1,_xlpm.MMSjmT1_1,_xlpm.MMSjmT1_2,_xlpm.MMSjmT1_3,_xlpm.MMSjmT1_4,_xlpm.MMSjmT1_5,_xlpm.SSjmT1_1,_xlpm.SSjmT1_2,_xlpm.SSjmT1_3,_xlpm.SSjmT1_4,_xlpm.SSjmT1_5, _xlpm.MMS_jm4T1 + (_xlpm.MMSjmT1_1 * _xlpm.SSjmT1_1) + (_xlpm.MMSjmT1_2 * _xlpm.SSjmT1_2) + (_xlpm.MMSjmT1_3 * _xlpm.SSjmT1_3) + (_xlpm.MMSjmT1_4 * _xlpm.SSjmT1_4) + (_xlpm.MMSjmT1_5 * _xlpm.SSjmT1_5))</definedName>
    <definedName name="MMS_Swine_N2ODirect_Equations.VEERG_4_5_1_3__5_AnnualNitrogenExcretion">_xlfn.LAMBDA(_xlpm.N_j,_xlpm.NW_j,_xlpm.D_j, _xlpm.N_j * _xlpm.NW_j * _xlpm.D_j)</definedName>
    <definedName name="MMS_Swine_N2ODirect_Equations.VEERG_4_5_1_3__5_AnnualNitrogenExcretion_Arguments">_xlfn.LAMBDA(_xlfn.MAKEARRAY(3, 4, _xlfn.LAMBDA(_xlpm.r,_xlpm.c, INDEX({"N_j","number of swine in each group","head","Input";"NW_j","nitrogen produced in swine manure and waste feed in each class","kg N/head/day","Input";"D_j","duration of stay of swine group","days","Input"}, _xlpm.r, _xlpm.c))))</definedName>
    <definedName name="MMS_Swine_N2ODirect_Equations.VEERG_4_5_1_3__5_AnnualNitrogenExcretion_LatexEquation">_xlfn.LAMBDA("AE_{j}=N_{j}\times NW_{j}\times D_{j}")</definedName>
    <definedName name="MMS_Swine_N2ODirect_Equations.VEERG_4_5_1_3__5_AnnualNitrogenExcretion_NIRReference">_xlfn.LAMBDA("")</definedName>
    <definedName name="MMS_Swine_N2ODirect_Equations.VEERG_4_5_1_3__5_AnnualNitrogenExcretion_Source">_xlfn.LAMBDA("VEERG 2026: 4.5.1.3, Equation (5)")</definedName>
    <definedName name="MMS_Swine_N2ODirect_Equations.VEERG_4_5_1_3__5_AnnualNitrogenExcretion_Title">_xlfn.LAMBDA("Annual nitrogen excretion from each swine group")</definedName>
    <definedName name="MMS_Swine_N2ODirect_Equations.VEERG_4_5_1_3__5_AnnualNitrogenExcretion_Unit">_xlfn.LAMBDA("kg N")</definedName>
    <definedName name="MMS_Swine_N2ODirect_Equations.VEERG_4_5_1_3__5_AnnualNitrogenExcretion_Variable">_xlfn.LAMBDA("AE_j")</definedName>
    <definedName name="MMS_Swine_N2ODirect_Equations.VEERG_4_5_1_3__6_Stage2NitrogenInMMS">_xlfn.LAMBDA(_xlpm.NT_jmT2,_xlpm.MMS_jmT2, _xlpm.NT_jmT2 * _xlpm.MMS_jmT2)</definedName>
    <definedName name="MMS_Swine_N2ODirect_Equations.VEERG_4_5_1_3__6_Stage2NitrogenInMMS_Arguments">_xlfn.LAMBDA(_xlfn.MAKEARRAY(2, 4, _xlfn.LAMBDA(_xlpm.r,_xlpm.c, INDEX({"NT_jmT2","nitrogen transferred to secondary treatment MMS","kg N","Calculated from 4.5.1.3 (7)";"MMS_jmT2","fraction of manure in each secondary system","fraction","Input"}, _xlpm.r, _xlpm.c))))</definedName>
    <definedName name="MMS_Swine_N2ODirect_Equations.VEERG_4_5_1_3__6_Stage2NitrogenInMMS_LatexEquation">_xlfn.LAMBDA("MN_{jm,T=2}=NT_{jm,T=2}\times MMS_{jm,T=2}")</definedName>
    <definedName name="MMS_Swine_N2ODirect_Equations.VEERG_4_5_1_3__6_Stage2NitrogenInMMS_NIRReference">_xlfn.LAMBDA("")</definedName>
    <definedName name="MMS_Swine_N2ODirect_Equations.VEERG_4_5_1_3__6_Stage2NitrogenInMMS_Source">_xlfn.LAMBDA("VEERG 2026: 4.5.1.3, Equation (6)")</definedName>
    <definedName name="MMS_Swine_N2ODirect_Equations.VEERG_4_5_1_3__6_Stage2NitrogenInMMS_Title">_xlfn.LAMBDA("Nitrogen in treatment stage 2 MMS")</definedName>
    <definedName name="MMS_Swine_N2ODirect_Equations.VEERG_4_5_1_3__6_Stage2NitrogenInMMS_Unit">_xlfn.LAMBDA("kg N")</definedName>
    <definedName name="MMS_Swine_N2ODirect_Equations.VEERG_4_5_1_3__6_Stage2NitrogenInMMS_Variable">_xlfn.LAMBDA("MN_jmT2")</definedName>
    <definedName name="MMS_Swine_N2ODirect_Equations.VEERG_4_5_1_3__7_NitrogenTransferredToStage2MMS">_xlfn.LAMBDA(_xlpm.MN_jmT1,_xlpm.FracGASMmT1,_xlpm.EF_mT1, _xlpm.MN_jmT1 * (1 - _xlpm.FracGASMmT1 - _xlpm.EF_mT1))</definedName>
    <definedName name="MMS_Swine_N2ODirect_Equations.VEERG_4_5_1_3__7_NitrogenTransferredToStage2MMS_Arguments">_xlfn.LAMBDA(_xlfn.MAKEARRAY(3, 4, _xlfn.LAMBDA(_xlpm.r,_xlpm.c, INDEX({"MN_jmT1","nitrogen per swine class in treatment stage 1 MMS","kg N","Calculated from 4.5.1.3 (2)(6)";"FracGASMmT1","fraction of N volatilised from MMS treatment at stage 1","fraction","Lookup";"EF_mT1","nitrous oxide emission factor for MMS treatment at stage 1","kg N2O-N/kg N","Lookup"}, _xlpm.r, _xlpm.c))))</definedName>
    <definedName name="MMS_Swine_N2ODirect_Equations.VEERG_4_5_1_3__7_NitrogenTransferredToStage2MMS_LatexEquation">_xlfn.LAMBDA("NT_{jm,T=2}=MN_{jm,T=1}\times(1-FracGASM_{m,T=1}-EF_{m,T=1})")</definedName>
    <definedName name="MMS_Swine_N2ODirect_Equations.VEERG_4_5_1_3__7_NitrogenTransferredToStage2MMS_NIRReference">_xlfn.LAMBDA("")</definedName>
    <definedName name="MMS_Swine_N2ODirect_Equations.VEERG_4_5_1_3__7_NitrogenTransferredToStage2MMS_Source">_xlfn.LAMBDA("VEERG 2026: 4.5.1.3, Equation (7)")</definedName>
    <definedName name="MMS_Swine_N2ODirect_Equations.VEERG_4_5_1_3__7_NitrogenTransferredToStage2MMS_Title">_xlfn.LAMBDA("Nitrogen transferred to treatment stage 2 MMS")</definedName>
    <definedName name="MMS_Swine_N2ODirect_Equations.VEERG_4_5_1_3__7_NitrogenTransferredToStage2MMS_Unit">_xlfn.LAMBDA("kg N")</definedName>
    <definedName name="MMS_Swine_N2ODirect_Equations.VEERG_4_5_1_3__7_NitrogenTransferredToStage2MMS_Variable">_xlfn.LAMBDA("NT_jmT2")</definedName>
    <definedName name="Result_CarbonRemovalsFromPlantings">'Input - Enterprise'!$E$73</definedName>
    <definedName name="Result_EmissionsForWholeProductionCycle_Method1">'Input - Enterprise'!$E$60</definedName>
    <definedName name="Result_EmissionsForWholeProductionCycle_Method2">'Input - Enterprise'!$F$60</definedName>
    <definedName name="Result_Enterprise_Gross_Method1">'Results - Activity period'!$E$67</definedName>
    <definedName name="Result_Enterprise_Gross_Method2">'Results - Activity period'!$F$67</definedName>
    <definedName name="Result_Enterprise_Net_Method1">'Results - Activity period'!$E$68</definedName>
    <definedName name="Result_Enterprise_Net_Method2">'Results - Activity period'!$F$68</definedName>
    <definedName name="Result_Enterprise_Removals">'Results - Activity period'!$E$61</definedName>
    <definedName name="Result_Enterprise_Scope1_Method1">'Results - Activity period'!$H$28</definedName>
    <definedName name="Result_Enterprise_Scope1_Method2">'Results - Activity period'!$I$28</definedName>
    <definedName name="Result_Enterprise_Scope2_Method1">'Results - Activity period'!$H$35</definedName>
    <definedName name="Result_Enterprise_Scope2_Method2">'Results - Activity period'!$I$35</definedName>
    <definedName name="Result_Enterprise_Scope3_Method1">'Results - Activity period'!$H$56</definedName>
    <definedName name="Result_Enterprise_Scope3_Method2">'Results - Activity period'!$I$56</definedName>
    <definedName name="Result_NetEmissions_Method1">'Results - Product EI'!$E$37</definedName>
    <definedName name="Result_NetEmissions_Method2">'Results - Product EI'!$F$37</definedName>
    <definedName name="Scope3_Equations.VEERG_15_1_1_1__1_EmissionsFromPurchasedLivestock">_xlfn.LAMBDA(_xlpm.N_co,_xlpm.W_co,_xlpm.EF_co, (_xlpm.N_co * _xlpm.W_co * _xlpm.EF_co) * 10 ^ -3)</definedName>
    <definedName name="Scope3_Equations.VEERG_15_1_1_1__1_EmissionsFromPurchasedLivestock_Arguments">_xlfn.LAMBDA(_xlfn.MAKEARRAY(5, 4, _xlfn.LAMBDA(_xlpm.r,_xlpm.c, INDEX({"N_co","number of animals purchased in livestock type c from origin o","head","Input";"W_co","average liveweight of purchased livestock at point of purchase","kg/head","Input";"EF_co","emission factor per livestock type and origin","kg CO2e/kg","Constant";"c","livestock type","","Input";"o","origin","","Input"}, _xlpm.r, _xlpm.c))))</definedName>
    <definedName name="Scope3_Equations.VEERG_15_1_1_1__1_EmissionsFromPurchasedLivestock_LatexEquation">_xlfn.LAMBDA("E=\sum\nolimits_c\sum\nolimits_o\left(N_{co}\times W_{co}\times EF_{co}\right)\times 10^{-3}")</definedName>
    <definedName name="Scope3_Equations.VEERG_15_1_1_1__1_EmissionsFromPurchasedLivestock_NIRReference">_xlfn.LAMBDA("")</definedName>
    <definedName name="Scope3_Equations.VEERG_15_1_1_1__1_EmissionsFromPurchasedLivestock_Source">_xlfn.LAMBDA("VEERG 2026: 15.1.1.1, Equation (1)")</definedName>
    <definedName name="Scope3_Equations.VEERG_15_1_1_1__1_EmissionsFromPurchasedLivestock_Title">_xlfn.LAMBDA("Total emissions from purchased livestock")</definedName>
    <definedName name="Scope3_Equations.VEERG_15_1_1_1__1_EmissionsFromPurchasedLivestock_Unit">_xlfn.LAMBDA("t CO2e")</definedName>
    <definedName name="Scope3_Equations.VEERG_15_1_1_1__1_EmissionsFromPurchasedLivestock_Variable">_xlfn.LAMBDA("E")</definedName>
    <definedName name="Scope3_Equations.VEERG_15_10_1_1__1_OtherPurchasedGoodsAndServices">_xlfn.LAMBDA(_xlpm.activity_data,_xlpm.emission_factor, _xlpm.activity_data * _xlpm.emission_factor)</definedName>
    <definedName name="Scope3_Equations.VEERG_15_10_1_1__1_OtherPurchasedGoodsAndServices_Arguments">_xlfn.LAMBDA(_xlfn.MAKEARRAY(2, 4, _xlfn.LAMBDA(_xlpm.r,_xlpm.c, INDEX({"activity_data","measured activity for the purchased good or service","varies","Input";"emission_factor","lifecycle emissions per unit of activity","varies","Constant"}, _xlpm.r, _xlpm.c))))</definedName>
    <definedName name="Scope3_Equations.VEERG_15_10_1_1__1_OtherPurchasedGoodsAndServices_LatexEquation">_xlfn.LAMBDA("emissions=activity\_data\times emission\_factor")</definedName>
    <definedName name="Scope3_Equations.VEERG_15_10_1_1__1_OtherPurchasedGoodsAndServices_NIRReference">_xlfn.LAMBDA("")</definedName>
    <definedName name="Scope3_Equations.VEERG_15_10_1_1__1_OtherPurchasedGoodsAndServices_Source">_xlfn.LAMBDA("VEERG 2026: 15.10, generic placeholder equation")</definedName>
    <definedName name="Scope3_Equations.VEERG_15_10_1_1__1_OtherPurchasedGoodsAndServices_Title">_xlfn.LAMBDA("Other purchased goods and services generic estimate")</definedName>
    <definedName name="Scope3_Equations.VEERG_15_10_1_1__1_OtherPurchasedGoodsAndServices_Unit">_xlfn.LAMBDA("t CO2e")</definedName>
    <definedName name="Scope3_Equations.VEERG_15_10_1_1__1_OtherPurchasedGoodsAndServices_Variable">_xlfn.LAMBDA("emissions")</definedName>
    <definedName name="Scope3_Equations.VEERG_15_11_1_1__1_TotalUpstreamEmissionsFromFuel">_xlfn.LAMBDA(_xlpm.E_WTTtransq,_xlpm.E_WTTSCq, _xlpm.E_WTTtransq + _xlpm.E_WTTSCq)</definedName>
    <definedName name="Scope3_Equations.VEERG_15_11_1_1__1_TotalUpstreamEmissionsFromFuel_Arguments">_xlfn.LAMBDA(_xlfn.MAKEARRAY(2, 4, _xlfn.LAMBDA(_xlpm.r,_xlpm.c, INDEX({"E_WTTtransq","upstream emissions from scope 1 transport fuel use","t CO2e","Calculated by 15.11.1.1 (2)";"E_WTTSCq","upstream emissions from scope 1 stationary combustion fuel use","t CO2e","Calculated by 15.11.1.1 (3)"}, _xlpm.r, _xlpm.c))))</definedName>
    <definedName name="Scope3_Equations.VEERG_15_11_1_1__1_TotalUpstreamEmissionsFromFuel_LatexEquation">_xlfn.LAMBDA("E=\sum\nolimits_qE_{WTT,trans,q}+\sum\nolimits_qE_{WTT,SC,q}")</definedName>
    <definedName name="Scope3_Equations.VEERG_15_11_1_1__1_TotalUpstreamEmissionsFromFuel_NIRReference">_xlfn.LAMBDA("")</definedName>
    <definedName name="Scope3_Equations.VEERG_15_11_1_1__1_TotalUpstreamEmissionsFromFuel_Source">_xlfn.LAMBDA("VEERG 2026: 15.11.1.1, Equation (1)")</definedName>
    <definedName name="Scope3_Equations.VEERG_15_11_1_1__1_TotalUpstreamEmissionsFromFuel_Title">_xlfn.LAMBDA("Total upstream emissions from scope 1 fuel consumption")</definedName>
    <definedName name="Scope3_Equations.VEERG_15_11_1_1__1_TotalUpstreamEmissionsFromFuel_Unit">_xlfn.LAMBDA("t CO2e")</definedName>
    <definedName name="Scope3_Equations.VEERG_15_11_1_1__1_TotalUpstreamEmissionsFromFuel_Variable">_xlfn.LAMBDA("E")</definedName>
    <definedName name="Scope3_Equations.VEERG_15_11_1_1__2_UpstreamTransportFuelEmissions">_xlfn.LAMBDA(_xlpm.Q_Transq,_xlpm.EC_Transq,_xlpm.EF_Trans3q, (_xlpm.Q_Transq * _xlpm.EC_Transq * _xlpm.EF_Trans3q) * 10 ^ -3)</definedName>
    <definedName name="Scope3_Equations.VEERG_15_11_1_1__2_UpstreamTransportFuelEmissions_Arguments">_xlfn.LAMBDA(_xlfn.MAKEARRAY(3, 4, _xlfn.LAMBDA(_xlpm.r,_xlpm.c, INDEX({"Q_Transq","amount of fuel q combusted for transport energy purposes","kL","Input";"EC_Transq","energy content factor for transport energy purposes","GJ/kL or GJ/m3","Constant";"EF_Trans3q","scope 3 emission factor for transport energy purposes","kg CO2e/GJ","Constant"}, _xlpm.r, _xlpm.c))))</definedName>
    <definedName name="Scope3_Equations.VEERG_15_11_1_1__2_UpstreamTransportFuelEmissions_LatexEquation">_xlfn.LAMBDA("E_{WTT,trans,q}=Q_{Trans,q}\times EC_{Trans,q}\times EF_{Trans,3,q}\times 10^{-3}")</definedName>
    <definedName name="Scope3_Equations.VEERG_15_11_1_1__2_UpstreamTransportFuelEmissions_NIRReference">_xlfn.LAMBDA("")</definedName>
    <definedName name="Scope3_Equations.VEERG_15_11_1_1__2_UpstreamTransportFuelEmissions_Source">_xlfn.LAMBDA("VEERG 2026: 15.11.1.1, Equation (2)")</definedName>
    <definedName name="Scope3_Equations.VEERG_15_11_1_1__2_UpstreamTransportFuelEmissions_Title">_xlfn.LAMBDA("Upstream emissions from scope 1 fuel use for transport purposes")</definedName>
    <definedName name="Scope3_Equations.VEERG_15_11_1_1__2_UpstreamTransportFuelEmissions_Unit">_xlfn.LAMBDA("t CO2e")</definedName>
    <definedName name="Scope3_Equations.VEERG_15_11_1_1__2_UpstreamTransportFuelEmissions_Variable">_xlfn.LAMBDA("E_WTTtransq")</definedName>
    <definedName name="Scope3_Equations.VEERG_15_11_1_1__3_UpstreamStationaryFuelEmissions">_xlfn.LAMBDA(_xlpm.Q_SCq,_xlpm.EC_SCq,_xlpm.EF_SC3q, (_xlpm.Q_SCq * _xlpm.EC_SCq * _xlpm.EF_SC3q) * 10 ^ -3)</definedName>
    <definedName name="Scope3_Equations.VEERG_15_11_1_1__3_UpstreamStationaryFuelEmissions_Arguments">_xlfn.LAMBDA(_xlfn.MAKEARRAY(5, 4, _xlfn.LAMBDA(_xlpm.r,_xlpm.c, INDEX({"Q_SCq","amount of fuel q used for stationary combustion operations","kL","Input";"EC_SCq","energy content factor for stationary combustion operations","GJ/kL","Constant";"EF_SC3q","scope 3 emission factor for stationary combustion operations","kg CO2e/GJ","Constant";"i","state","","Input";"m","metropolitan/non-metropolitan location","","Input"}, _xlpm.r, _xlpm.c))))</definedName>
    <definedName name="Scope3_Equations.VEERG_15_11_1_1__3_UpstreamStationaryFuelEmissions_LatexEquation">_xlfn.LAMBDA("E_{WTT,SC,q}=Q_{SC,q}\times EC_{SC,q}\times EF_{SC,3,q}\times 10^{-3}")</definedName>
    <definedName name="Scope3_Equations.VEERG_15_11_1_1__3_UpstreamStationaryFuelEmissions_NIRReference">_xlfn.LAMBDA("")</definedName>
    <definedName name="Scope3_Equations.VEERG_15_11_1_1__3_UpstreamStationaryFuelEmissions_Source">_xlfn.LAMBDA("VEERG 2026: 15.11.1.1, Equation (3)")</definedName>
    <definedName name="Scope3_Equations.VEERG_15_11_1_1__3_UpstreamStationaryFuelEmissions_Title">_xlfn.LAMBDA("Upstream emissions from scope 1 stationary combustion fuel use")</definedName>
    <definedName name="Scope3_Equations.VEERG_15_11_1_1__3_UpstreamStationaryFuelEmissions_Unit">_xlfn.LAMBDA("t CO2e")</definedName>
    <definedName name="Scope3_Equations.VEERG_15_11_1_1__3_UpstreamStationaryFuelEmissions_Variable">_xlfn.LAMBDA("E_WTTSCq")</definedName>
    <definedName name="Scope3_Equations.VEERG_15_11_1_1__3_UpstreamStationaryFuelEmissions_Variation">_xlfn.LAMBDA("VARIATION ON SOURCE: Added 'state' and 'metro/non-metro' arguments as gaseous scope 3 EFs are state and metro/non-metro location-based.")</definedName>
    <definedName name="Scope3_Equations.VEERG_15_12_1_1__1_UpstreamPurchasedElectricityLocationBased">_xlfn.LAMBDA(_xlpm.Q_elec,_xlpm.EF_3elec, (_xlpm.Q_elec * _xlpm.EF_3elec) * 10 ^ -3)</definedName>
    <definedName name="Scope3_Equations.VEERG_15_12_1_1__1_UpstreamPurchasedElectricityLocationBased_Arguments" localSheetId="33">_xlfn.LAMBDA(
    _xlfn.MAKEARRAY(3, 4,
      _xlfn.LAMBDA(_xlpm.r,_xlpm.c,
        INDEX({"Q_elec","amount of electricity purchased from the grid","kWh","Input";"EF_3elec","scope 3 emission factor for purchased electricity","kg CO2e/kWh","Constant";"g","grid electricity was purchased from","","Input"}, _xlpm.r, _xlpm.c)
      )
    )
  )</definedName>
    <definedName name="Scope3_Equations.VEERG_15_12_1_1__1_UpstreamPurchasedElectricityLocationBased_Arguments" localSheetId="34">_xlfn.LAMBDA(
    _xlfn.MAKEARRAY(3, 4,
      _xlfn.LAMBDA(_xlpm.r,_xlpm.c,
        INDEX({"Q_elec","amount of electricity purchased from the grid","kWh","Input";"EF_3elec","scope 3 emission factor for purchased electricity","kg CO2e/kWh","Constant";"g","grid electricity was purchased from","","Input"}, _xlpm.r, _xlpm.c)
      )
    )
  )</definedName>
    <definedName name="Scope3_Equations.VEERG_15_12_1_1__1_UpstreamPurchasedElectricityLocationBased_Arguments" localSheetId="44">_xlfn.LAMBDA(
    _xlfn.MAKEARRAY(3, 4,
      _xlfn.LAMBDA(_xlpm.r,_xlpm.c,
        INDEX({"Q_elec","amount of electricity purchased from the grid","kWh","Input";"EF_3elec","scope 3 emission factor for purchased electricity","kg CO2e/kWh","Constant";"g","grid electricity was purchased from","","Input"}, _xlpm.r, _xlpm.c)
      )
    )
  )</definedName>
    <definedName name="Scope3_Equations.VEERG_15_12_1_1__1_UpstreamPurchasedElectricityLocationBased_Arguments" localSheetId="11">_xlfn.LAMBDA(
    _xlfn.MAKEARRAY(3, 4,
      _xlfn.LAMBDA(_xlpm.r,_xlpm.c,
        INDEX({"Q_elec","amount of electricity purchased from the grid","kWh","Input";"EF_3elec","scope 3 emission factor for purchased electricity","kg CO2e/kWh","Constant";"g","grid electricity was purchased from","","Input"}, _xlpm.r, _xlpm.c)
      )
    )
  )</definedName>
    <definedName name="Scope3_Equations.VEERG_15_12_1_1__1_UpstreamPurchasedElectricityLocationBased_Arguments">_xlfn.LAMBDA(_xlfn.MAKEARRAY(3, 4, _xlfn.LAMBDA(_xlpm.r,_xlpm.c, INDEX({"Q_elec","amount of electricity purchased from the grid","kWh","Input";"EF_3elec","scope 3 emission factor for purchased electricity","kg CO2e/kWh","Constant";"g","grid electricity was purchased from","","Input"}, _xlpm.r, _xlpm.c))))</definedName>
    <definedName name="Scope3_Equations.VEERG_15_12_1_1__1_UpstreamPurchasedElectricityLocationBased_LatexEquation">_xlfn.LAMBDA("E_{3,elec}=Q_{elec}\times EF_{3,elec}\times 10^{-3}")</definedName>
    <definedName name="Scope3_Equations.VEERG_15_12_1_1__1_UpstreamPurchasedElectricityLocationBased_NIRReference">_xlfn.LAMBDA("")</definedName>
    <definedName name="Scope3_Equations.VEERG_15_12_1_1__1_UpstreamPurchasedElectricityLocationBased_Source">_xlfn.LAMBDA("VEERG 2026: 15.12.1.1, Equation (1)")</definedName>
    <definedName name="Scope3_Equations.VEERG_15_12_1_1__1_UpstreamPurchasedElectricityLocationBased_Title">_xlfn.LAMBDA("Scope 3 emissions from purchased electricity location based")</definedName>
    <definedName name="Scope3_Equations.VEERG_15_12_1_1__1_UpstreamPurchasedElectricityLocationBased_Unit">_xlfn.LAMBDA("t CO2e")</definedName>
    <definedName name="Scope3_Equations.VEERG_15_12_1_1__1_UpstreamPurchasedElectricityLocationBased_Variable">_xlfn.LAMBDA("E_3elec")</definedName>
    <definedName name="Scope3_Equations.VEERG_15_12_1_2__1_UpstreamPurchasedElectricityMarketBased">_xlfn.LAMBDA(_xlpm.Q_elec,_xlpm.RPP,_xlpm.JRPP,_xlpm.REC_surrendered,_xlpm.REC_onsite,_xlpm.EF_RMF3elec, ((_xlpm.Q_elec * (1 - (_xlpm.RPP + _xlpm.JRPP))) - ((_xlpm.REC_surrendered - _xlpm.REC_onsite) * 10 ^ -3)) * _xlpm.EF_RMF3elec * 10 ^ -3)</definedName>
    <definedName name="Scope3_Equations.VEERG_15_12_1_2__1_UpstreamPurchasedElectricityMarketBased_Arguments" localSheetId="33">_xlfn.LAMBDA(
    _xlfn.MAKEARRAY(7, 4,
      _xlfn.LAMBDA(_xlpm.r,_xlpm.c,
        INDEX({"Q_elec","amount of electricity purchased from the grid","kWh","Input";"RPP","renewable power percentage under LRET for the applicable period","fraction","Input";"JRPP","jurisdictional renewable power percentage for the applicable period","fraction","Input";"REC_surrendered","eligible renewable energy certificates voluntarily surrendered","MWh","Input";"REC_onsite","eligible renewable energy certificates issued for onsite generated electricity","MWh","Input";"EF_RMF3elec","scope 3 residual mix emission factor for electricity","kg CO2e/kWh","Constant";"i","state","","Input"}, _xlpm.r, _xlpm.c)
      )
    )
  )</definedName>
    <definedName name="Scope3_Equations.VEERG_15_12_1_2__1_UpstreamPurchasedElectricityMarketBased_Arguments" localSheetId="34">_xlfn.LAMBDA(
    _xlfn.MAKEARRAY(7, 4,
      _xlfn.LAMBDA(_xlpm.r,_xlpm.c,
        INDEX({"Q_elec","amount of electricity purchased from the grid","kWh","Input";"RPP","renewable power percentage under LRET for the applicable period","fraction","Input";"JRPP","jurisdictional renewable power percentage for the applicable period","fraction","Input";"REC_surrendered","eligible renewable energy certificates voluntarily surrendered","MWh","Input";"REC_onsite","eligible renewable energy certificates issued for onsite generated electricity","MWh","Input";"EF_RMF3elec","scope 3 residual mix emission factor for electricity","kg CO2e/kWh","Constant";"i","state","","Input"}, _xlpm.r, _xlpm.c)
      )
    )
  )</definedName>
    <definedName name="Scope3_Equations.VEERG_15_12_1_2__1_UpstreamPurchasedElectricityMarketBased_Arguments" localSheetId="44">_xlfn.LAMBDA(
    _xlfn.MAKEARRAY(7, 4,
      _xlfn.LAMBDA(_xlpm.r,_xlpm.c,
        INDEX({"Q_elec","amount of electricity purchased from the grid","kWh","Input";"RPP","renewable power percentage under LRET for the applicable period","fraction","Input";"JRPP","jurisdictional renewable power percentage for the applicable period","fraction","Input";"REC_surrendered","eligible renewable energy certificates voluntarily surrendered","MWh","Input";"REC_onsite","eligible renewable energy certificates issued for onsite generated electricity","MWh","Input";"EF_RMF3elec","scope 3 residual mix emission factor for electricity","kg CO2e/kWh","Constant";"i","state","","Input"}, _xlpm.r, _xlpm.c)
      )
    )
  )</definedName>
    <definedName name="Scope3_Equations.VEERG_15_12_1_2__1_UpstreamPurchasedElectricityMarketBased_Arguments" localSheetId="11">_xlfn.LAMBDA(
    _xlfn.MAKEARRAY(7, 4,
      _xlfn.LAMBDA(_xlpm.r,_xlpm.c,
        INDEX({"Q_elec","amount of electricity purchased from the grid","kWh","Input";"RPP","renewable power percentage under LRET for the applicable period","fraction","Input";"JRPP","jurisdictional renewable power percentage for the applicable period","fraction","Input";"REC_surrendered","eligible renewable energy certificates voluntarily surrendered","MWh","Input";"REC_onsite","eligible renewable energy certificates issued for onsite generated electricity","MWh","Input";"EF_RMF3elec","scope 3 residual mix emission factor for electricity","kg CO2e/kWh","Constant";"i","state","","Input"}, _xlpm.r, _xlpm.c)
      )
    )
  )</definedName>
    <definedName name="Scope3_Equations.VEERG_15_12_1_2__1_UpstreamPurchasedElectricityMarketBased_Arguments">_xlfn.LAMBDA(_xlfn.MAKEARRAY(7, 4, _xlfn.LAMBDA(_xlpm.r,_xlpm.c, INDEX({"Q_elec","amount of electricity purchased from the grid","kWh","Input";"RPP","renewable power percentage under LRET for the applicable period","fraction","Input";"JRPP","jurisdictional renewable power percentage for the applicable period","fraction","Input";"REC_surrendered","eligible renewable energy certificates voluntarily surrendered","MWh","Input";"REC_onsite","eligible renewable energy certificates issued for onsite generated electricity","MWh","Input";"EF_RMF3elec","scope 3 residual mix emission factor for electricity","kg CO2e/kWh","Constant";"i","state","","Input"}, _xlpm.r, _xlpm.c))))</definedName>
    <definedName name="Scope3_Equations.VEERG_15_12_1_2__1_UpstreamPurchasedElectricityMarketBased_LatexEquation">_xlfn.LAMBDA("E_{3,elec}= [ Q_{elec}\times\left(1-(RPP+JRPP)\right)-\left\left((REC_{surrendered}-REC_{onsite}\right)\times 10^{-3}\right)\right]\times EF_{RMF3,elec}\times 10^{-3}")</definedName>
    <definedName name="Scope3_Equations.VEERG_15_12_1_2__1_UpstreamPurchasedElectricityMarketBased_LatexEquationVariation">_xlfn.LAMBDA("E_{3,elec}= [ Q_{elec}\times\left(1-(RPP+JRPP)\right)-\left\left((REC_{surrendered}-REC_{onsite}\right)\times 10^{3}\right)\right]\times EF_{RMF3,elec}\times 10^{-3}")</definedName>
    <definedName name="Scope3_Equations.VEERG_15_12_1_2__1_UpstreamPurchasedElectricityMarketBased_NIRReference">_xlfn.LAMBDA("")</definedName>
    <definedName name="Scope3_Equations.VEERG_15_12_1_2__1_UpstreamPurchasedElectricityMarketBased_Source">_xlfn.LAMBDA("VEERG 2026: 15.12.1.2, Equation (1)")</definedName>
    <definedName name="Scope3_Equations.VEERG_15_12_1_2__1_UpstreamPurchasedElectricityMarketBased_Title">_xlfn.LAMBDA("Scope 3 emissions from purchased electricity market based")</definedName>
    <definedName name="Scope3_Equations.VEERG_15_12_1_2__1_UpstreamPurchasedElectricityMarketBased_Unit">_xlfn.LAMBDA("t CO2e")</definedName>
    <definedName name="Scope3_Equations.VEERG_15_12_1_2__1_UpstreamPurchasedElectricityMarketBased_Variable">_xlfn.LAMBDA("E_3elec")</definedName>
    <definedName name="Scope3_Equations.VEERG_15_12_1_2__1_UpstreamPurchasedElectricityMarketBased_Variation">_xlfn.LAMBDA("VARIATION ON SOURCE: In order to convert megawatt hours to kilowatt hours, the REC_surrendered and REC_onsite variables are multiplied by 10^3 instead of 10^-3.")</definedName>
    <definedName name="Scope3_Equations.VEERG_15_12_1_2__1_UpstreamPurchasedElectricityMarketBasedVariation" localSheetId="33">_xlfn.LAMBDA(_xlpm.Q_elec,_xlpm.RPP,_xlpm.JRPP,_xlpm.REC_surrendered,_xlpm.REC_onsite,_xlpm.EF_RMF3elec,
    ((_xlpm.Q_elec * (1 - (_xlpm.RPP + _xlpm.JRPP))) - ((_xlpm.REC_surrendered - _xlpm.REC_onsite) * 10 ^ 3)) * _xlpm.EF_RMF3elec * 10 ^ -3
  )</definedName>
    <definedName name="Scope3_Equations.VEERG_15_12_1_2__1_UpstreamPurchasedElectricityMarketBasedVariation" localSheetId="34">_xlfn.LAMBDA(_xlpm.Q_elec,_xlpm.RPP,_xlpm.JRPP,_xlpm.REC_surrendered,_xlpm.REC_onsite,_xlpm.EF_RMF3elec,
    ((_xlpm.Q_elec * (1 - (_xlpm.RPP + _xlpm.JRPP))) - ((_xlpm.REC_surrendered - _xlpm.REC_onsite) * 10 ^ 3)) * _xlpm.EF_RMF3elec * 10 ^ -3
  )</definedName>
    <definedName name="Scope3_Equations.VEERG_15_12_1_2__1_UpstreamPurchasedElectricityMarketBasedVariation" localSheetId="44">_xlfn.LAMBDA(_xlpm.Q_elec,_xlpm.RPP,_xlpm.JRPP,_xlpm.REC_surrendered,_xlpm.REC_onsite,_xlpm.EF_RMF3elec,
    ((_xlpm.Q_elec * (1 - (_xlpm.RPP + _xlpm.JRPP))) - ((_xlpm.REC_surrendered - _xlpm.REC_onsite) * 10 ^ 3)) * _xlpm.EF_RMF3elec * 10 ^ -3
  )</definedName>
    <definedName name="Scope3_Equations.VEERG_15_12_1_2__1_UpstreamPurchasedElectricityMarketBasedVariation" localSheetId="11">_xlfn.LAMBDA(_xlpm.Q_elec,_xlpm.RPP,_xlpm.JRPP,_xlpm.REC_surrendered,_xlpm.REC_onsite,_xlpm.EF_RMF3elec,
    ((_xlpm.Q_elec * (1 - (_xlpm.RPP + _xlpm.JRPP))) - ((_xlpm.REC_surrendered - _xlpm.REC_onsite) * 10 ^ 3)) * _xlpm.EF_RMF3elec * 10 ^ -3
  )</definedName>
    <definedName name="Scope3_Equations.VEERG_15_12_1_2__1_UpstreamPurchasedElectricityMarketBasedVariation">_xlfn.LAMBDA(_xlpm.Q_elec,_xlpm.RPP,_xlpm.JRPP,_xlpm.REC_surrendered,_xlpm.REC_onsite,_xlpm.EF_RMF3elec, ((_xlpm.Q_elec * (1 - (_xlpm.RPP + _xlpm.JRPP))) - ((_xlpm.REC_surrendered - _xlpm.REC_onsite) * 10 ^ 3)) * _xlpm.EF_RMF3elec * 10 ^ -3)</definedName>
    <definedName name="Scope3_Equations.VEERG_15_13_1_1__1_EmissionsFromManureSentOffSite">_xlfn.LAMBDA(_xlpm.E_N2O,_xlpm.E_ad,_xlpm.E_leach, _xlpm.E_N2O + _xlpm.E_ad + _xlpm.E_leach)</definedName>
    <definedName name="Scope3_Equations.VEERG_15_13_1_1__1_EmissionsFromManureSentOffSite_Arguments">_xlfn.LAMBDA(_xlfn.MAKEARRAY(3, 4, _xlfn.LAMBDA(_xlpm.r,_xlpm.c, INDEX({"E_N2O","direct nitrous oxide emissions from application of manure to soils outside of scope 1 boundary","t N2O","Calculated";"E_ad","nitrous oxide emissions from atmospheric deposition of manure to soils","t N2O","Calculated";"E_leach","nitrous oxide emissions from nitrogen leaching and runoff of manure to soils","t N2O","Calculated"}, _xlpm.r, _xlpm.c))))</definedName>
    <definedName name="Scope3_Equations.VEERG_15_13_1_1__1_EmissionsFromManureSentOffSite_LatexEquation">_xlfn.LAMBDA("E=E_{N2O}+E_{ad}+E_{leach}")</definedName>
    <definedName name="Scope3_Equations.VEERG_15_13_1_1__1_EmissionsFromManureSentOffSite_NIRReference">_xlfn.LAMBDA("")</definedName>
    <definedName name="Scope3_Equations.VEERG_15_13_1_1__1_EmissionsFromManureSentOffSite_Source">_xlfn.LAMBDA("VEERG 2026: 15.13.1.1, Equation (1)")</definedName>
    <definedName name="Scope3_Equations.VEERG_15_13_1_1__1_EmissionsFromManureSentOffSite_Title">_xlfn.LAMBDA("Emissions from manure sent off site applied to soils in another farming system or enterprise")</definedName>
    <definedName name="Scope3_Equations.VEERG_15_13_1_1__1_EmissionsFromManureSentOffSite_Unit">_xlfn.LAMBDA("t N2O")</definedName>
    <definedName name="Scope3_Equations.VEERG_15_13_1_1__1_EmissionsFromManureSentOffSite_Variable">_xlfn.LAMBDA("E")</definedName>
    <definedName name="Scope3_Equations.VEERG_15_13_1_3__1_EmissionsFromSolidWasteTreatmentFacility" localSheetId="33">_xlfn.LAMBDA(_xlpm.E_N2O,_xlpm.E_ad,_xlpm.E_leach,
    _xlpm.E_N2O + _xlpm.E_ad + _xlpm.E_leach
  )</definedName>
    <definedName name="Scope3_Equations.VEERG_15_13_1_3__1_EmissionsFromSolidWasteTreatmentFacility" localSheetId="34">_xlfn.LAMBDA(_xlpm.E_N2O,_xlpm.E_ad,_xlpm.E_leach,
    _xlpm.E_N2O + _xlpm.E_ad + _xlpm.E_leach
  )</definedName>
    <definedName name="Scope3_Equations.VEERG_15_13_1_3__1_EmissionsFromSolidWasteTreatmentFacility" localSheetId="44">_xlfn.LAMBDA(_xlpm.E_N2O,_xlpm.E_ad,_xlpm.E_leach,
    _xlpm.E_N2O + _xlpm.E_ad + _xlpm.E_leach
  )</definedName>
    <definedName name="Scope3_Equations.VEERG_15_13_1_3__1_EmissionsFromSolidWasteTreatmentFacility" localSheetId="11">_xlfn.LAMBDA(_xlpm.E_N2O,_xlpm.E_ad,_xlpm.E_leach,
    _xlpm.E_N2O + _xlpm.E_ad + _xlpm.E_leach
  )</definedName>
    <definedName name="Scope3_Equations.VEERG_15_13_1_3__1_EmissionsFromSolidWasteTreatmentFacility">_xlfn.LAMBDA(_xlpm.E_N2O,_xlpm.E_ad,_xlpm.E_leach, _xlpm.E_N2O + _xlpm.E_ad + _xlpm.E_leach)</definedName>
    <definedName name="Scope3_Equations.VEERG_15_13_1_3__1_EmissionsFromSolidWasteTreatmentFacility_Arguments">_xlfn.LAMBDA("")</definedName>
    <definedName name="Scope3_Equations.VEERG_15_13_1_3__1_EmissionsFromSolidWasteTreatmentFacility_LatexEquation">_xlfn.LAMBDA("")</definedName>
    <definedName name="Scope3_Equations.VEERG_15_13_1_3__1_EmissionsFromSolidWasteTreatmentFacility_NIRReference">_xlfn.LAMBDA("")</definedName>
    <definedName name="Scope3_Equations.VEERG_15_13_1_3__1_EmissionsFromSolidWasteTreatmentFacility_Source">_xlfn.LAMBDA("VEERG 2026: 15.13.1.3")</definedName>
    <definedName name="Scope3_Equations.VEERG_15_13_1_3__1_EmissionsFromSolidWasteTreatmentFacility_Title">_xlfn.LAMBDA("Emissions from solid waste sent to a treatment facility")</definedName>
    <definedName name="Scope3_Equations.VEERG_15_13_1_3__1_EmissionsFromSolidWasteTreatmentFacility_Unit">_xlfn.LAMBDA("t CO2e")</definedName>
    <definedName name="Scope3_Equations.VEERG_15_13_1_3__1_EmissionsFromSolidWasteTreatmentFacility_Variable">_xlfn.LAMBDA("E")</definedName>
    <definedName name="Scope3_Equations.VEERG_15_14_1_1__1_EmbeddedEmissionsFromUpstreamFreight">_xlfn.LAMBDA(_xlpm.W_f,_xlpm.D_f,_xlpm.EF_f, (_xlpm.W_f * _xlpm.D_f) * _xlpm.EF_f)</definedName>
    <definedName name="Scope3_Equations.VEERG_15_14_1_1__1_EmbeddedEmissionsFromUpstreamFreight_Arguments">_xlfn.LAMBDA(_xlfn.MAKEARRAY(4, 4, _xlfn.LAMBDA(_xlpm.r,_xlpm.c, INDEX({"W_f","total mass of goods transported per freight type f","t","Input";"D_f","total distance transported per freight type f","km","Input";"EF_f","emission factor for freight type f","t CO2e/(t km)","Constant";"f","freight type","","Input"}, _xlpm.r, _xlpm.c))))</definedName>
    <definedName name="Scope3_Equations.VEERG_15_14_1_1__1_EmbeddedEmissionsFromUpstreamFreight_LatexEquation">_xlfn.LAMBDA("E=\sum\nolimits_f\left((W_f\times D_f)\times EF_f\right)")</definedName>
    <definedName name="Scope3_Equations.VEERG_15_14_1_1__1_EmbeddedEmissionsFromUpstreamFreight_NIRReference">_xlfn.LAMBDA("")</definedName>
    <definedName name="Scope3_Equations.VEERG_15_14_1_1__1_EmbeddedEmissionsFromUpstreamFreight_Source">_xlfn.LAMBDA("VEERG 2026: 15.14.1.1, Equation (1)")</definedName>
    <definedName name="Scope3_Equations.VEERG_15_14_1_1__1_EmbeddedEmissionsFromUpstreamFreight_Title">_xlfn.LAMBDA("Embedded emissions from upstream freight")</definedName>
    <definedName name="Scope3_Equations.VEERG_15_14_1_1__1_EmbeddedEmissionsFromUpstreamFreight_Unit">_xlfn.LAMBDA("t CO2e")</definedName>
    <definedName name="Scope3_Equations.VEERG_15_14_1_1__1_EmbeddedEmissionsFromUpstreamFreight_Variable">_xlfn.LAMBDA("E")</definedName>
    <definedName name="Scope3_Equations.VEERG_15_2_1_1__1_EmissionsFromPurchasedFeed">_xlfn.LAMBDA(_xlpm.Q_j,_xlpm.EF_j, _xlpm.Q_j * _xlpm.EF_j)</definedName>
    <definedName name="Scope3_Equations.VEERG_15_2_1_1__1_EmissionsFromPurchasedFeed_Arguments">_xlfn.LAMBDA(_xlfn.MAKEARRAY(3, 4, _xlfn.LAMBDA(_xlpm.r,_xlpm.c, INDEX({"Q_j","quantity of feed type j purchased","t","Input";"EF_j","emission factor of purchased feed","kg CO2e/kg","Constant";"j","feed type","","Input"}, _xlpm.r, _xlpm.c))))</definedName>
    <definedName name="Scope3_Equations.VEERG_15_2_1_1__1_EmissionsFromPurchasedFeed_ArgumentsVariation">_xlfn.LAMBDA(_xlfn.MAKEARRAY(3, 4, _xlfn.LAMBDA(_xlpm.r,_xlpm.c, INDEX({"Q_j","quantity of feed type j purchased","kg","Input";"EF_j","emission factor of purchased feed","kg CO2e/kg","Constant";"j","feed type","","Input"}, _xlpm.r, _xlpm.c))))</definedName>
    <definedName name="Scope3_Equations.VEERG_15_2_1_1__1_EmissionsFromPurchasedFeed_LatexEquation">_xlfn.LAMBDA("E=\sum\nolimits_j\left(Q_j\times EF_j\right)")</definedName>
    <definedName name="Scope3_Equations.VEERG_15_2_1_1__1_EmissionsFromPurchasedFeed_LatexEquationVariation">_xlfn.LAMBDA("E=\sum\nolimits_j\left(Q_j\times EF_j\right) \times 10^{-3}")</definedName>
    <definedName name="Scope3_Equations.VEERG_15_2_1_1__1_EmissionsFromPurchasedFeed_NIRReference">_xlfn.LAMBDA("")</definedName>
    <definedName name="Scope3_Equations.VEERG_15_2_1_1__1_EmissionsFromPurchasedFeed_Source">_xlfn.LAMBDA("VEERG 2026: 15.2.1.1, Equation (1)")</definedName>
    <definedName name="Scope3_Equations.VEERG_15_2_1_1__1_EmissionsFromPurchasedFeed_Title">_xlfn.LAMBDA("Emissions from purchased feed")</definedName>
    <definedName name="Scope3_Equations.VEERG_15_2_1_1__1_EmissionsFromPurchasedFeed_Unit">_xlfn.LAMBDA("t CO2e")</definedName>
    <definedName name="Scope3_Equations.VEERG_15_2_1_1__1_EmissionsFromPurchasedFeed_Variable">_xlfn.LAMBDA("E")</definedName>
    <definedName name="Scope3_Equations.VEERG_15_2_1_1__1_EmissionsFromPurchasedFeed_Variation">_xlfn.LAMBDA("VARIATION ON SOURCE: Input Q_j in kg instead of t to match EF units. Multiply by 10^-3 to convert kg CO2e to t CO2e.")</definedName>
    <definedName name="Scope3_Equations.VEERG_15_2_1_1__1_EmissionsFromPurchasedFeedVariation">_xlfn.LAMBDA(_xlpm.Q_j,_xlpm.EF_j, (_xlpm.Q_j * _xlpm.EF_j) * 10 ^ -3)</definedName>
    <definedName name="Scope3_Equations.VEERG_15_3_1_1__1_EmissionsFromPurchasedMineralSupplements">_xlfn.LAMBDA(_xlpm.Q_m,_xlpm.EF_m, _xlpm.Q_m * _xlpm.EF_m)</definedName>
    <definedName name="Scope3_Equations.VEERG_15_3_1_1__1_EmissionsFromPurchasedMineralSupplements_Arguments">_xlfn.LAMBDA(_xlfn.MAKEARRAY(3, 4, _xlfn.LAMBDA(_xlpm.r,_xlpm.c, INDEX({"Q_m","total quantity of mineral supplement type m used","t","Input";"EF_m","emission factor of purchased mineral supplement","kg CO2e/kg","Constant";"m","mineral supplement type","","Input"}, _xlpm.r, _xlpm.c))))</definedName>
    <definedName name="Scope3_Equations.VEERG_15_3_1_1__1_EmissionsFromPurchasedMineralSupplements_ArgumentsVariation">_xlfn.LAMBDA(_xlfn.MAKEARRAY(3, 4, _xlfn.LAMBDA(_xlpm.r,_xlpm.c, INDEX({"Q_m","total quantity of mineral supplement type m used","kg","Input";"EF_m","emission factor of purchased mineral supplement","kg CO2e/kg","Constant";"m","mineral supplement type","","Input"}, _xlpm.r, _xlpm.c))))</definedName>
    <definedName name="Scope3_Equations.VEERG_15_3_1_1__1_EmissionsFromPurchasedMineralSupplements_LatexEquation">_xlfn.LAMBDA("E=\sum\nolimits_m\left(Q_m\times EF_m\right)")</definedName>
    <definedName name="Scope3_Equations.VEERG_15_3_1_1__1_EmissionsFromPurchasedMineralSupplements_LatexEquationVariation">_xlfn.LAMBDA("E=\sum\nolimits_m\left(Q_m\times EF_m\right) \times 10^{-3}")</definedName>
    <definedName name="Scope3_Equations.VEERG_15_3_1_1__1_EmissionsFromPurchasedMineralSupplements_NIRReference">_xlfn.LAMBDA("")</definedName>
    <definedName name="Scope3_Equations.VEERG_15_3_1_1__1_EmissionsFromPurchasedMineralSupplements_Source">_xlfn.LAMBDA("VEERG 2026: 15.3.1.1, Equation (1)")</definedName>
    <definedName name="Scope3_Equations.VEERG_15_3_1_1__1_EmissionsFromPurchasedMineralSupplements_Title">_xlfn.LAMBDA("Total emissions from purchased mineral supplements")</definedName>
    <definedName name="Scope3_Equations.VEERG_15_3_1_1__1_EmissionsFromPurchasedMineralSupplements_Unit">_xlfn.LAMBDA("t CO2e")</definedName>
    <definedName name="Scope3_Equations.VEERG_15_3_1_1__1_EmissionsFromPurchasedMineralSupplements_Variable">_xlfn.LAMBDA("E")</definedName>
    <definedName name="Scope3_Equations.VEERG_15_3_1_1__1_EmissionsFromPurchasedMineralSupplements_Variation">_xlfn.LAMBDA("VARIATION ON SOURCE: Input Q_j in kg instead of t to match EF units. Multiply by 10^-3 to convert kg CO2e to t CO2e.")</definedName>
    <definedName name="Scope3_Equations.VEERG_15_3_1_1__1_EmissionsFromPurchasedMineralSupplementsVariation">_xlfn.LAMBDA(_xlpm.Q_m,_xlpm.EF_m, (_xlpm.Q_m * _xlpm.EF_m) * 10 ^ -3)</definedName>
    <definedName name="Scope3_Equations.VEERG_15_4_1_1__1_EmissionsFromPurchasedFertiliser">_xlfn.LAMBDA(_xlpm.TM_jf,_xlpm.EF_f, (_xlpm.TM_jf * _xlpm.EF_f) * 10 ^ -3)</definedName>
    <definedName name="Scope3_Equations.VEERG_15_4_1_1__1_EmissionsFromPurchasedFertiliser_Arguments">_xlfn.LAMBDA(_xlfn.MAKEARRAY(4, 4, _xlfn.LAMBDA(_xlpm.r,_xlpm.c, INDEX({"TM_jf","quantity of inorganic fertiliser type f purchased and applied to production system j","kg","Input";"EF_f","emission factor of purchased inorganic fertiliser","kg CO2e/kg","Constant";"j","production system","","Input";"f","inorganic fertiliser type","","Input"}, _xlpm.r, _xlpm.c))))</definedName>
    <definedName name="Scope3_Equations.VEERG_15_4_1_1__1_EmissionsFromPurchasedFertiliser_LatexEquation">_xlfn.LAMBDA("E=\sum\nolimits_f\sum\nolimits_j\left(TM_{jf}\times EF_f\right)\times 10^{-3}")</definedName>
    <definedName name="Scope3_Equations.VEERG_15_4_1_1__1_EmissionsFromPurchasedFertiliser_NIRReference">_xlfn.LAMBDA("")</definedName>
    <definedName name="Scope3_Equations.VEERG_15_4_1_1__1_EmissionsFromPurchasedFertiliser_Source">_xlfn.LAMBDA("VEERG 2026: 15.4.1.1, Equation (1)")</definedName>
    <definedName name="Scope3_Equations.VEERG_15_4_1_1__1_EmissionsFromPurchasedFertiliser_Title">_xlfn.LAMBDA("Emissions from purchased fertiliser")</definedName>
    <definedName name="Scope3_Equations.VEERG_15_4_1_1__1_EmissionsFromPurchasedFertiliser_Unit">_xlfn.LAMBDA("t CO2e")</definedName>
    <definedName name="Scope3_Equations.VEERG_15_4_1_1__1_EmissionsFromPurchasedFertiliser_Variable">_xlfn.LAMBDA("E")</definedName>
    <definedName name="Scope3_Equations.VEERG_15_4_1_1__2_EmissionsFromPurchasedFertiliserComponents">_xlfn.LAMBDA(_xlpm.F_cf,_xlpm.TM_jf,_xlpm.EF_c, ((_xlpm.F_cf * _xlpm.TM_jf) / 100) * _xlpm.EF_c)</definedName>
    <definedName name="Scope3_Equations.VEERG_15_4_1_1__2_EmissionsFromPurchasedFertiliserComponents_Arguments">_xlfn.LAMBDA(_xlfn.MAKEARRAY(6, 4, _xlfn.LAMBDA(_xlpm.r,_xlpm.c, INDEX({"F_cf","fraction of component c contained within the inorganic fertiliser f","wt%","Input";"TM_jf","quantity of inorganic fertiliser type f purchased and applied to production system j","kg","Input";"EF_c","emission factor for the production of component c","kg CO2e/kg component","Constant";"c","fertiliser component","","Input";"f","inorganic fertiliser type","","Input";"j","production system","","Input"}, _xlpm.r, _xlpm.c))))</definedName>
    <definedName name="Scope3_Equations.VEERG_15_4_1_1__2_EmissionsFromPurchasedFertiliserComponents_LatexEquation">_xlfn.LAMBDA("E=\sum\nolimits_f\sum\nolimits_c\sum\nolimits_j\left(\frac{F_{cf}\times TM_{jf}}{100}\times EF_c\right)")</definedName>
    <definedName name="Scope3_Equations.VEERG_15_4_1_1__2_EmissionsFromPurchasedFertiliserComponents_LatexEquationVariation">_xlfn.LAMBDA("E=\sum\nolimits_f\sum\nolimits_c\sum\nolimits_j\left(F_{cf}\times TM_{jf}\times EF_c\right)\times 10^{-3}")</definedName>
    <definedName name="Scope3_Equations.VEERG_15_4_1_1__2_EmissionsFromPurchasedFertiliserComponents_NIRReference">_xlfn.LAMBDA("")</definedName>
    <definedName name="Scope3_Equations.VEERG_15_4_1_1__2_EmissionsFromPurchasedFertiliserComponents_Source">_xlfn.LAMBDA("VEERG 2026: 15.4.1.1, Equation (2)")</definedName>
    <definedName name="Scope3_Equations.VEERG_15_4_1_1__2_EmissionsFromPurchasedFertiliserComponents_Title">_xlfn.LAMBDA("Emissions from purchased fertiliser components")</definedName>
    <definedName name="Scope3_Equations.VEERG_15_4_1_1__2_EmissionsFromPurchasedFertiliserComponents_Unit">_xlfn.LAMBDA("t CO2e")</definedName>
    <definedName name="Scope3_Equations.VEERG_15_4_1_1__2_EmissionsFromPurchasedFertiliserComponents_Variable">_xlfn.LAMBDA("E")</definedName>
    <definedName name="Scope3_Equations.VEERG_15_4_1_1__2_EmissionsFromPurchasedFertiliserComponents_Variation">_xlfn.LAMBDA("VARIATION ON SOURCE: removes division by 100 for F_cf, treating F_cf as fraction instead of percent because it is a fraction in scope 1 equations. Convert kg to tonnes by mutiplying by 10^-3.")</definedName>
    <definedName name="Scope3_Equations.VEERG_15_4_1_1__2_EmissionsFromPurchasedFertiliserComponentsVariation">_xlfn.LAMBDA(_xlpm.F_cf,_xlpm.TM_jf,_xlpm.EF_c, (_xlpm.F_cf * _xlpm.TM_jf) * _xlpm.EF_c * 10 ^ -3)</definedName>
    <definedName name="Scope3_Equations.VEERG_15_4_1_1__X_EmissionFactorFromPurchasedFertiliserComponents">_xlfn.LAMBDA(_xlpm.F_cf,_xlpm.EF_c, _xlpm.F_cf * _xlpm.EF_c)</definedName>
    <definedName name="Scope3_Equations.VEERG_15_4_1_1__X_EmissionFactorFromPurchasedFertiliserComponents_Arguments">_xlfn.LAMBDA(_xlfn.MAKEARRAY(4, 4, _xlfn.LAMBDA(_xlpm.r,_xlpm.c, INDEX({"F_cf","fraction of component c contained within the inorganic fertiliser f","wt%","Input";"EF_c","emission factor for the production of component c","kg CO2e/kg component","Constant";"c","fertiliser component","","Input";"f","inorganic fertiliser type","","Input"}, _xlpm.r, _xlpm.c))))</definedName>
    <definedName name="Scope3_Equations.VEERG_15_4_1_1__X_EmissionFactorFromPurchasedFertiliserComponents_LatexEquation">_xlfn.LAMBDA("EF_f=\sum\nolimits_c\left(F_{cf}\times EF_c\right)")</definedName>
    <definedName name="Scope3_Equations.VEERG_15_4_1_1__X_EmissionFactorFromPurchasedFertiliserComponents_NIRReference">_xlfn.LAMBDA("")</definedName>
    <definedName name="Scope3_Equations.VEERG_15_4_1_1__X_EmissionFactorFromPurchasedFertiliserComponents_Source">_xlfn.LAMBDA("GAF")</definedName>
    <definedName name="Scope3_Equations.VEERG_15_4_1_1__X_EmissionFactorFromPurchasedFertiliserComponents_Title">_xlfn.LAMBDA("Emission factor for fertiliser product derived from components")</definedName>
    <definedName name="Scope3_Equations.VEERG_15_4_1_1__X_EmissionFactorFromPurchasedFertiliserComponents_Unit">_xlfn.LAMBDA("kg CO2e/kg fertiliser")</definedName>
    <definedName name="Scope3_Equations.VEERG_15_4_1_1__X_EmissionFactorFromPurchasedFertiliserComponents_Variable">_xlfn.LAMBDA("EF_f")</definedName>
    <definedName name="Scope3_Equations.VEERG_15_4_1_1__X_EmissionFactorFromPurchasedFertiliserComponents_Variation">_xlfn.LAMBDA("VARIATION ON SOURCE: This equation is added to calculate an EF value from fertiliser components that can be used in 15.4.1.1 (1)")</definedName>
    <definedName name="Scope3_Equations.VEERG_15_5_1_1__1_EmissionsFromPurchasedAgrichemicals">_xlfn.LAMBDA(_xlpm.Q_h,_xlpm.EF_h, (_xlpm.Q_h * _xlpm.EF_h) * 10 ^ -3)</definedName>
    <definedName name="Scope3_Equations.VEERG_15_5_1_1__1_EmissionsFromPurchasedAgrichemicals_Arguments">_xlfn.LAMBDA(_xlfn.MAKEARRAY(3, 4, _xlfn.LAMBDA(_xlpm.r,_xlpm.c, INDEX({"Q_h","quantity of active ingredients in agrichemical type h purchased and applied to soils","kg ai","Input";"EF_h","emission factor for purchased agrichemical active ingredient","kg CO2e/kg ai","Constant";"h","agrichemical type","","Input"}, _xlpm.r, _xlpm.c))))</definedName>
    <definedName name="Scope3_Equations.VEERG_15_5_1_1__1_EmissionsFromPurchasedAgrichemicals_LatexEquation">_xlfn.LAMBDA("E=\sum\nolimits_h\left(Q_h\times EF_h\right)\times 10^{-3}")</definedName>
    <definedName name="Scope3_Equations.VEERG_15_5_1_1__1_EmissionsFromPurchasedAgrichemicals_NIRReference">_xlfn.LAMBDA("")</definedName>
    <definedName name="Scope3_Equations.VEERG_15_5_1_1__1_EmissionsFromPurchasedAgrichemicals_Source">_xlfn.LAMBDA("VEERG 2026: 15.5.1.1, Equation (1)")</definedName>
    <definedName name="Scope3_Equations.VEERG_15_5_1_1__1_EmissionsFromPurchasedAgrichemicals_Title">_xlfn.LAMBDA("Total emissions from purchased agrichemicals")</definedName>
    <definedName name="Scope3_Equations.VEERG_15_5_1_1__1_EmissionsFromPurchasedAgrichemicals_Unit">_xlfn.LAMBDA("t CO2e")</definedName>
    <definedName name="Scope3_Equations.VEERG_15_5_1_1__1_EmissionsFromPurchasedAgrichemicals_Variable">_xlfn.LAMBDA("E")</definedName>
    <definedName name="Scope3_Equations.VEERG_15_6_1_1__1_EmissionsFromPurchasedLime">_xlfn.LAMBDA(_xlpm.M_lime,_xlpm.EF_l, _xlpm.M_lime * _xlpm.EF_l)</definedName>
    <definedName name="Scope3_Equations.VEERG_15_6_1_1__1_EmissionsFromPurchasedLime_Arguments">_xlfn.LAMBDA(_xlfn.MAKEARRAY(2, 4, _xlfn.LAMBDA(_xlpm.r,_xlpm.c, INDEX({"M_lime","total quantity of lime applied to soils","t","Input";"EF_l","emission factor for purchased lime","t CO2e/t","Constant"}, _xlpm.r, _xlpm.c))))</definedName>
    <definedName name="Scope3_Equations.VEERG_15_6_1_1__1_EmissionsFromPurchasedLime_LatexEquation">_xlfn.LAMBDA("E=M_{lime}\times EF_l")</definedName>
    <definedName name="Scope3_Equations.VEERG_15_6_1_1__1_EmissionsFromPurchasedLime_NIRReference">_xlfn.LAMBDA("")</definedName>
    <definedName name="Scope3_Equations.VEERG_15_6_1_1__1_EmissionsFromPurchasedLime_Source">_xlfn.LAMBDA("VEERG 2026: 15.6.1.1, Equation (1)")</definedName>
    <definedName name="Scope3_Equations.VEERG_15_6_1_1__1_EmissionsFromPurchasedLime_Title">_xlfn.LAMBDA("Embedded emissions for purchased lime")</definedName>
    <definedName name="Scope3_Equations.VEERG_15_6_1_1__1_EmissionsFromPurchasedLime_Unit">_xlfn.LAMBDA("t CO2e")</definedName>
    <definedName name="Scope3_Equations.VEERG_15_6_1_1__1_EmissionsFromPurchasedLime_Variable">_xlfn.LAMBDA("E")</definedName>
    <definedName name="Scope3_Equations.VEERG_15_7_1_1__1_EmissionsFromPurchasedServices">_xlfn.LAMBDA(_xlpm.A_p,_xlpm.EF_p, (_xlpm.A_p * _xlpm.EF_p) * 10 ^ -3)</definedName>
    <definedName name="Scope3_Equations.VEERG_15_7_1_1__1_EmissionsFromPurchasedServices_Arguments">_xlfn.LAMBDA(_xlfn.MAKEARRAY(3, 4, _xlfn.LAMBDA(_xlpm.r,_xlpm.c, INDEX({"A_p","activity data of the service that was purchased","ha or h","Input";"EF_p","life cycle emission factor for the purchased service","kg CO2e/ha or kg CO2e/h","Constant";"p","service type","","Input"}, _xlpm.r, _xlpm.c))))</definedName>
    <definedName name="Scope3_Equations.VEERG_15_7_1_1__1_EmissionsFromPurchasedServices_LatexEquation">_xlfn.LAMBDA("E=\sum\nolimits_p\left(A_p\times EF_p\right)\times 10^{-3}")</definedName>
    <definedName name="Scope3_Equations.VEERG_15_7_1_1__1_EmissionsFromPurchasedServices_NIRReference">_xlfn.LAMBDA("")</definedName>
    <definedName name="Scope3_Equations.VEERG_15_7_1_1__1_EmissionsFromPurchasedServices_Source">_xlfn.LAMBDA("VEERG 2026: 15.7.1.1, Equation (1)")</definedName>
    <definedName name="Scope3_Equations.VEERG_15_7_1_1__1_EmissionsFromPurchasedServices_Title">_xlfn.LAMBDA("Emissions of purchased services and contractor operations")</definedName>
    <definedName name="Scope3_Equations.VEERG_15_7_1_1__1_EmissionsFromPurchasedServices_Unit">_xlfn.LAMBDA("t CO2e")</definedName>
    <definedName name="Scope3_Equations.VEERG_15_7_1_1__1_EmissionsFromPurchasedServices_Variable">_xlfn.LAMBDA("E")</definedName>
    <definedName name="Scope3_Equations.VEERG_15_8_1_1__1_EmissionsFromPurchasedPackaging">_xlfn.LAMBDA(_xlpm.Q_p,_xlpm.EF_p, (_xlpm.Q_p * _xlpm.EF_p) * 10 ^ -3)</definedName>
    <definedName name="Scope3_Equations.VEERG_15_8_1_1__1_EmissionsFromPurchasedPackaging_Arguments">_xlfn.LAMBDA(_xlfn.MAKEARRAY(3, 4, _xlfn.LAMBDA(_xlpm.r,_xlpm.c, INDEX({"Q_p","units of packaging type p","units","Input";"EF_p","emission factor for packaging type p","kg CO2e/unit","Constant";"p","packaging type","","Input"}, _xlpm.r, _xlpm.c))))</definedName>
    <definedName name="Scope3_Equations.VEERG_15_8_1_1__1_EmissionsFromPurchasedPackaging_LatexEquation">_xlfn.LAMBDA("E=\sum\nolimits_p\left(Q_p\times EF_p\right)\times 10^{-3}")</definedName>
    <definedName name="Scope3_Equations.VEERG_15_8_1_1__1_EmissionsFromPurchasedPackaging_NIRReference">_xlfn.LAMBDA("")</definedName>
    <definedName name="Scope3_Equations.VEERG_15_8_1_1__1_EmissionsFromPurchasedPackaging_Source">_xlfn.LAMBDA("VEERG 2026: 15.8.1.1, Equation (1)")</definedName>
    <definedName name="Scope3_Equations.VEERG_15_8_1_1__1_EmissionsFromPurchasedPackaging_Title">_xlfn.LAMBDA("Embedded emissions from use of packaging materials")</definedName>
    <definedName name="Scope3_Equations.VEERG_15_8_1_1__1_EmissionsFromPurchasedPackaging_Unit">_xlfn.LAMBDA("t CO2e")</definedName>
    <definedName name="Scope3_Equations.VEERG_15_8_1_1__1_EmissionsFromPurchasedPackaging_Variable">_xlfn.LAMBDA("E")</definedName>
    <definedName name="Scope3_Equations.VEERG_15_8_1_1__1_EmissionsFromPurchasedPackaging_Variation">_xlfn.LAMBDA("VARIATION ON SOURCE: Changed unit of Q from 'units' to 'kg' as EF data is in kg.")</definedName>
    <definedName name="Scope3_Equations.VEERG_15_9_1_1__1_EmissionsFromPurchasedGrowMedia">_xlfn.LAMBDA(_xlpm.Q_g,_xlpm.EF_g, (_xlpm.Q_g * _xlpm.EF_g) * 10 ^ -3)</definedName>
    <definedName name="Scope3_Equations.VEERG_15_9_1_1__1_EmissionsFromPurchasedGrowMedia_Arguments">_xlfn.LAMBDA(_xlfn.MAKEARRAY(3, 4, _xlfn.LAMBDA(_xlpm.r,_xlpm.c, INDEX({"Q_g","total quantity of grow media type g","kg or m3","Input";"EF_g","emission factor for grow media type g","kg CO2e/kg or kg CO2e/m3","Constant";"g","grow media type","","Input"}, _xlpm.r, _xlpm.c))))</definedName>
    <definedName name="Scope3_Equations.VEERG_15_9_1_1__1_EmissionsFromPurchasedGrowMedia_LatexEquation">_xlfn.LAMBDA("E=\sum\nolimits_g\left(Q_g\times EF_g\right)\times 10^{-3}")</definedName>
    <definedName name="Scope3_Equations.VEERG_15_9_1_1__1_EmissionsFromPurchasedGrowMedia_NIRReference">_xlfn.LAMBDA("")</definedName>
    <definedName name="Scope3_Equations.VEERG_15_9_1_1__1_EmissionsFromPurchasedGrowMedia_Source">_xlfn.LAMBDA("VEERG 2026: 15.9.1.1, Equation (1)")</definedName>
    <definedName name="Scope3_Equations.VEERG_15_9_1_1__1_EmissionsFromPurchasedGrowMedia_Title">_xlfn.LAMBDA("Embedded emissions from use of grow media products")</definedName>
    <definedName name="Scope3_Equations.VEERG_15_9_1_1__1_EmissionsFromPurchasedGrowMedia_Unit">_xlfn.LAMBDA("t CO2e")</definedName>
    <definedName name="Scope3_Equations.VEERG_15_9_1_1__1_EmissionsFromPurchasedGrowMedia_Variable">_xlfn.LAMBDA("E")</definedName>
    <definedName name="Scope3_InputFunctions.GetLiveweight_PastureBeef">_xlfn.LAMBDA(_xlpm.PurchaseDate,_xlpm.LivestockClass,_xlpm.SourceRegion,_xlpm.SourceRegionLeftArray,_xlpm.SourceRegionRightArray,_xlpm.SeasonArray,_xlpm.LivestockClassArray,_xlpm.LiveweightArray, _xlfn.LET(_xlpm.Season, _xlfn.IFS(MONTH(_xlpm.PurchaseDate) &lt;= 2, "Summer", MONTH(_xlpm.PurchaseDate) &lt;= 5, "Autumn", MONTH(_xlpm.PurchaseDate) &lt;= 8, "Winter", MONTH(_xlpm.PurchaseDate) &lt;= 11, "Spring", MONTH(_xlpm.PurchaseDate) = 12, "Summer"), _xlpm.SourceRegionRight, IF(ISNUMBER(FIND(" - ", _xlpm.SourceRegion)), MID(_xlpm.SourceRegion, FIND(" - ", _xlpm.SourceRegion) + 3, LEN(_xlpm.SourceRegion)), "n/a"), _xlpm.SourceRegionLeft, IF(ISNUMBER(FIND(" - ", _xlpm.SourceRegion)), LEFT(_xlpm.SourceRegion, FIND(" - ", _xlpm.SourceRegion) - 1), _xlpm.SourceRegion), IFERROR(_xlfn.XLOOKUP(1, (_xlpm.SourceRegionLeftArray = _xlpm.SourceRegionLeft) * (_xlpm.SourceRegionRightArray = _xlpm.SourceRegionRight) * (_xlpm.SeasonArray = _xlpm.Season), _xlfn.XLOOKUP(_xlpm.LivestockClass, _xlpm.LivestockClassArray, _xlpm.LiveweightArray, 0), 0), 0)))</definedName>
    <definedName name="Scope3_SourceData.Scope3_Chemicals_Data">_xlfn.LAMBDA(_xlfn.MAKEARRAY(8, 7, _xlfn.LAMBDA(_xlpm.r,_xlpm.c, INDEX({"Category","Sub-category","Product name","Region of origin","Product Unit","GHG emission intensity","System boundary";"Chemicals","Cleaning chemicals","Alkaline cleaner","Global","kg",0.722,"at manufacturer";"Chemicals","Cleaning chemicals","Bleach","Global","kg",0.804,"at manufacturer";"Chemicals","Cleaning chemicals","Phosphoric acid","Global","kg",0.907,"at manufacturer";"Chemicals","Pharmacy chemicals","Parasite control for cattle (external), dipping","Global","p (head)",0.0547,"at manufacturer";"Chemicals","Pharmacy chemicals","Parasite control for cattle (internal)","Global","p (head)",0.0142,"at manufacturer";"Chemicals","Pharmacy chemicals","Parasite control for sheep (external)","Global","p (head)",0.0143,"at manufacturer";"Chemicals","Pharmacy chemicals","Parasite control for sheep (internal)","Global","p (head)",0.00426,"at manufacturer"}, _xlpm.r, _xlpm.c))))</definedName>
    <definedName name="Scope3_SourceData.Scope3_Chemicals_Source">_xlfn.LAMBDA(("Lifecycles. (2026). Greenhouse Gas Emission Intensities for Material Inputs to Australian Agriculture, Fisheries and Forestry. Version 48. doi 10.5281/zenodo.19656580"))</definedName>
    <definedName name="Scope3_SourceData.Scope3_Chemicals_Title">_xlfn.LAMBDA(("Chemicals scope 3"))</definedName>
    <definedName name="Scope3_SourceData.Scope3_Chemicals_Variation">_xlfn.LAMBDA((""))</definedName>
    <definedName name="Scope3_SourceData.Scope3_Feed_Data">_xlfn.LAMBDA(_xlfn.MAKEARRAY(78, 7, _xlfn.LAMBDA(_xlpm.r,_xlpm.c, INDEX({"Category","Sub-category","Product name","Region of origin","Product Unit","GHG emission intensity","System boundary";"Feed","Aquaculture feed","Sardines (whole)","SA","kg",0.376,"at market";"Feed","Grain","Barley grain","Australia","kg",0.239,"at market";"Feed","Grain","Barley grain","NSW","kg",0.256,"at market";"Feed","Grain","Barley grain","NT","kg",0.332,"at market";"Feed","Grain","Barley grain","QLD","kg",0.269,"at market";"Feed","Grain","Barley grain","SA","kg",0.223,"at market";"Feed","Grain","Barley grain","TAS","kg",0.307,"at market";"Feed","Grain","Barley grain","VIC","kg",0.241,"at market";"Feed","Grain","Barley grain","WA","kg",0.236,"at market";"Feed","Grain","Maize grain","Australia","kg",0.181,"at market";"Feed","Grain","Maize grain","NSW","kg",0.169,"at market";"Feed","Grain","Maize grain","NT","kg",0.256,"at market";"Feed","Grain","Maize grain","QLD","kg",0.186,"at market";"Feed","Grain","Maize grain","SA","kg",0.176,"at market";"Feed","Grain","Maize grain","VIC","kg",0.159,"at market";"Feed","Grain","Maize grain","WA","kg",0.285,"at market";"Feed","Grain","Sorghum grain","Australia","kg",0.232,"at market";"Feed","Grain","Sorghum grain","NSW","kg",0.232,"at market";"Feed","Grain","Sorghum grain","QLD","kg",0.231,"at market";"Feed","Grain","Sorghum grain","SA","kg",0.218,"at market";"Feed","Grain","Sorghum grain","VIC","kg",0.246,"at market";"Feed","Grain","Wheat grain","Australia","kg",0.268,"at market";"Feed","Grain","Wheat grain","NSW","kg",0.282,"at market";"Feed","Grain","Wheat grain","NT","kg",0.385,"at market";"Feed","Grain","Wheat grain","QLD","kg",0.296,"at market";"Feed","Grain","Wheat grain","SA","kg",0.241,"at market";"Feed","Grain","Wheat grain","TAS","kg",0.338,"at market";"Feed","Grain","Wheat grain","VIC","kg",0.266,"at market";"Feed","Grain","Wheat grain","WA","kg",0.261,"at market";"Feed","Hay","Cereal hay","Australia","kg",0.117,"at market";"Feed","Hay","Cereal hay","NSW","kg",0.116,"at market";"Feed","Hay","Cereal hay","QLD","kg",0.118,"at market";"Feed","Hay","Cereal hay","SA","kg",0.111,"at market";"Feed","Hay","Cereal hay","TAS","kg",0.139,"at market";"Feed","Hay","Cereal hay","VIC","kg",0.116,"at market";"Feed","Hay","Cereal hay","WA","kg",0.122,"at market";"Feed","Hay","Cereal silage","Australia","kg",0.0744,"at market";"Feed","Hay","Cereal silage","NSW","kg",0.0739,"at market";"Feed","Hay","Cereal silage","QLD","kg",0.079,"at market";"Feed","Hay","Cereal silage","SA","kg",0.0706,"at market";"Feed","Hay","Cereal silage","TAS","kg",0.0808,"at market";"Feed","Hay","Cereal silage","VIC","kg",0.0736,"at market";"Feed","Hay","Lucerne hay","Australia","kg",0.117,"at market";"Feed","Hay","Lucerne hay","NSW","kg",0.113,"at market";"Feed","Hay","Lucerne hay","QLD","kg",0.143,"at market";"Feed","Hay","Lucerne hay","SA","kg",0.106,"at market";"Feed","Hay","Lucerne hay","TAS","kg",0.113,"at market";"Feed","Hay","Lucerne hay","VIC","kg",0.106,"at market";"Feed","Hay","Maize silage","VIC","kg",0.163,"at market";"Feed","Hay","Oaten hay","Australia","kg",0.12,"at market";"Feed","Hay","Oaten hay","NSW","kg",0.119,"at market";"Feed","Hay","Oaten hay","QLD","kg",0.117,"at market";"Feed","Hay","Oaten hay","SA","kg",0.114,"at market";"Feed","Hay","Oaten hay","VIC","kg",0.118,"at market";"Feed","Hay","Oaten hay","WA","kg",0.124,"at market";"Feed","Hay","Pasture hay","Australia","kg",0.339,"at market";"Feed","Hay","Pasture hay","NSW","kg",0.311,"at market";"Feed","Hay","Pasture hay","QLD","kg",0.254,"at market";"Feed","Hay","Pasture hay","SA","kg",0.313,"at market";"Feed","Hay","Pasture hay","TAS","kg",0.398,"at market";"Feed","Hay","Pasture hay","VIC","kg",0.345,"at market";"Feed","Hay","Pasture hay","WA","kg",0.368,"at market";"Feed","Meal","Canola meal","Australia","kg",0.244,"at market";"Feed","Meal","Meat meal","Australia","kg",0.408,"at market";"Feed","Meal","Soybean meal","Brazil","kg",0.426,"at market";"Feed","Meal","Wheat bran","Australia","kg",0.196,"at market";"Feed","Mixed rations","Feed for chickens","Australia","kg",0.594,"at market";"Feed","Mixed rations","Feed for dairy calves","Australia","kg",0.419,"at market";"Feed","Mixed rations","Feed for dairy cows","Australia","kg",0.333,"at market";"Feed","Mixed rations","Feed for pigs","Australia","kg",0.403,"at market";"Feed","Other","Bentonite","Australia","kg",0.0652,"at market";"Feed","Other","Canola oil","Australia","kg",0.87,"at market";"Feed","Other","Cotton seed","Australia","kg",0.197,"at market";"Feed","Other","Lick block, dry season mix","Australia","kg",0.881,"at market";"Feed","Other","Lick block, mineral","Australia","kg",0.677,"at market";"Feed","Other","Lick block, weaner","Australia","kg",0.231,"at market";"Feed","Other","Molasses","QLD","kg",0.184,"at market"}, _xlpm.r, _xlpm.c))))</definedName>
    <definedName name="Scope3_SourceData.Scope3_Feed_Source">_xlfn.LAMBDA(("Lifecycles. (2026). Greenhouse Gas Emission Intensities for Material Inputs to Australian Agriculture, Fisheries and Forestry. Version 48. doi 10.5281/zenodo.19656580"))</definedName>
    <definedName name="Scope3_SourceData.Scope3_Feed_Title">_xlfn.LAMBDA(("Feed scope 3"))</definedName>
    <definedName name="Scope3_SourceData.Scope3_Feed_Variation">_xlfn.LAMBDA((""))</definedName>
    <definedName name="Scope3_SourceData.Scope3_FishFeedAndBait_Data">_xlfn.LAMBDA(_xlfn.MAKEARRAY(6, 6, _xlfn.LAMBDA(_xlpm.r,_xlpm.c, INDEX({"Category","Product name","Region of origin","Product Unit","GHG emission intensity","System boundary";"Fish feed and bait","Sardines (whole)","Australia","kg",0.3,"Not specified";"Fish feed and bait","Low Animal Protein Formulated Feed","Australia","kg",2.2,"Not specified";"Fish feed and bait","Squid","Australia","kg",0.3,"Not specified";"Fish feed and bait","Whole fish","Australia","kg",0.3,"Not specified";"Fish feed and bait","Custom Bait","Australia","kg",0.08,"Not specified"}, _xlpm.r, _xlpm.c))))</definedName>
    <definedName name="Scope3_SourceData.Scope3_FishFeedAndBait_Source">_xlfn.LAMBDA(("VEERG 2026: Table A.3.1.1: Life-cycle emission factors for purchased feed (kg CO2e/kg) (EFj)"))</definedName>
    <definedName name="Scope3_SourceData.Scope3_FishFeedAndBait_Title">_xlfn.LAMBDA(("Fish feed and bait scope 3"))</definedName>
    <definedName name="Scope3_SourceData.Scope3_FishFeedAndBait_Variation">_xlfn.LAMBDA((""))</definedName>
    <definedName name="Scope3_SourceData.Scope3_InorganicFertilisers_Data">_xlfn.LAMBDA(_xlfn.MAKEARRAY(26, 7, _xlfn.LAMBDA(_xlpm.r,_xlpm.c, INDEX({"Category","Sub-category","Product name","Region of origin","Product Unit","GHG emission intensity","System boundary";"Fertilisers","Inorganic fertilisers","Ammonia, AU market mix","Global","kg",2.32,"at market";"Fertilisers","Inorganic fertilisers","Ammonia, Canada","Canada","kg",2.12,"at market";"Fertilisers","Inorganic fertilisers","Ammonia, China","China","kg",4.17,"at market";"Fertilisers","Inorganic fertilisers","Ammonia, Yemen","Yemen","kg",2.26,"at market";"Fertilisers","Inorganic fertilisers","Ammonium nitrate, AU market mix","Global","kg",2.21,"at market";"Fertilisers","Inorganic fertilisers","Calcium ammonium nitrate, AU market mix","Global","kg",1.15,"at market";"Fertilisers","Inorganic fertilisers","Calcium nitrate","Global","kg",0.75,"at market";"Fertilisers","Inorganic fertilisers","Diammonium phosphate, AU market mix","Global","kg",1.34,"at market";"Fertilisers","Inorganic fertilisers","Double superphosphate, AU market mix","Global","kg",0.392,"at market";"Fertilisers","Inorganic fertilisers","Monoammonium phosphate, AU market mix","Global","kg",0.827,"at market";"Fertilisers","Inorganic fertilisers","Muriate of potash, AU market mix","Global","kg",0.549,"at market";"Fertilisers","Inorganic fertilisers","Nitrogen from ammonia, AU market mix","Global","kg N",2.83,"at market";"Fertilisers","Inorganic fertilisers","Nitrogen from fertilizer, AU market mix","Global","kg N",4.2,"at market";"Fertilisers","Inorganic fertilisers","Nitrogen from nitrate fertilizer, AU market mix","Global","kg N",5.47,"at market";"Fertilisers","Inorganic fertilisers","Phosphorus from fertilizer, AU market mix","Global","kg P",3.96,"at market";"Fertilisers","Inorganic fertilisers","Potassium from fertilizer, AU market mix","Global","kg K",0.909,"at market";"Fertilisers","Inorganic fertilisers","Single superphosphate, AU market mix","Global","kg",0.227,"at market";"Fertilisers","Inorganic fertilisers","Sulfur from fertilizer, AU market mix","Global","kg S",2.5,"at market";"Fertilisers","Inorganic fertilisers","Ammonium sulphate, AU market mix","Global","kg",0.865,"at market";"Fertilisers","Inorganic fertilisers","Urea ammonium nitrate, AU market mix","Global","kg",1.75,"at market";"Fertilisers","Inorganic fertilisers","Urea, AU market mix","Global","kg",0.968,"at market";"Fertilisers","Inorganic fertilisers","Urea, Canada","Canada","kg",0.823,"at market";"Fertilisers","Inorganic fertilisers","Urea, China","China","kg",2.09,"at market";"Fertilisers","Inorganic fertilisers","Urea, Yemen","Yemen","kg",0.963,"at market";"Fertilisers","Inorganic fertilisers","Zinc from fertilizer","Global","kg Zn",4.82,"at market"}, _xlpm.r, _xlpm.c))))</definedName>
    <definedName name="Scope3_SourceData.Scope3_InorganicFertilisers_Source">_xlfn.LAMBDA(("Lifecycles. (2026). Greenhouse Gas Emission Intensities for Material Inputs to Australian Agriculture, Fisheries and Forestry. Version 48. doi 10.5281/zenodo.19656580"))</definedName>
    <definedName name="Scope3_SourceData.Scope3_InorganicFertilisers_Title">_xlfn.LAMBDA(("Inorganic fertiliser chemical compound scope 3"))</definedName>
    <definedName name="Scope3_SourceData.Scope3_InorganicFertilisers_Variation">_xlfn.LAMBDA((""))</definedName>
    <definedName name="Scope3_SourceData.Scope3_Livestock_Data">_xlfn.LAMBDA(_xlfn.MAKEARRAY(42, 7, _xlfn.LAMBDA(_xlpm.r,_xlpm.c, INDEX({"Category","Sub-category","Product name","Region of origin","Product Unit","GHG emission intensity","System boundary";"Animals","Beef cattle","Cattle, for manufacturing beef","Australia","kg liveweight",11,"at market";"Animals","Beef cattle","Cattle, for manufacturing beef","NSW","kg liveweight",8.21,"at market";"Animals","Beef cattle","Cattle, for manufacturing beef","NT","kg liveweight",12.2,"at market";"Animals","Beef cattle","Cattle, for manufacturing beef","QLD","kg liveweight",10.9,"at market";"Animals","Beef cattle","Cattle, for manufacturing beef","SA","kg liveweight",7.63,"at market";"Animals","Beef cattle","Cattle, for manufacturing beef","TAS","kg liveweight",8.75,"at market";"Animals","Beef cattle","Cattle, for manufacturing beef","VIC","kg liveweight",8.17,"at market";"Animals","Beef cattle","Cattle, for manufacturing beef","WA","kg liveweight",13.1,"at market";"Animals","Beef cattle","Cattle, for prime beef","Australia","kg liveweight",14.5,"at market";"Animals","Beef cattle","Cattle, for prime beef","NSW","kg liveweight",11.3,"at market";"Animals","Beef cattle","Cattle, for prime beef","NT","kg liveweight",18.9,"at market";"Animals","Beef cattle","Cattle, for prime beef","QLD","kg liveweight",13.9,"at market";"Animals","Beef cattle","Cattle, for prime beef","SA","kg liveweight",12.3,"at market";"Animals","Beef cattle","Cattle, for prime beef","TAS","kg liveweight",11.5,"at market";"Animals","Beef cattle","Cattle, for prime beef","VIC","kg liveweight",11.5,"at market";"Animals","Beef cattle","Cattle, for prime beef","WA","kg liveweight",20.8,"at market";"Animals","Beef cattle","Cattle, weaners","Australia","kg liveweight",15.5,"at market";"Animals","Beef cattle","Cattle, weaners","NSW","kg liveweight",12.7,"at market";"Animals","Beef cattle","Cattle, weaners","NT","kg liveweight",19.1,"at market";"Animals","Beef cattle","Cattle, weaners","QLD","kg liveweight",20.5,"at market";"Animals","Beef cattle","Cattle, weaners","SA","kg liveweight",10.8,"at market";"Animals","Beef cattle","Cattle, weaners","TAS","kg liveweight",13.4,"at market";"Animals","Beef cattle","Cattle, weaners","VIC","kg liveweight",12,"at market";"Animals","Beef cattle","Cattle, weaners","WA","kg liveweight",12.4,"at market";"Animals","Chickens","Chickens","Australia","kg liveweight",1.36,"at market";"Animals","Dairy cattle","Dairy cows","VIC","kg liveweight",4.41,"at market";"Animals","Pigs","Pigs","Australia","kg liveweight",3.38,"at market";"Animals","Sheep","Sheep, for mutton","Australia","kg liveweight",6.81,"at market";"Animals","Sheep","Sheep, for mutton","NSW","kg liveweight",2.26,"at market";"Animals","Sheep","Sheep, for mutton","QLD","kg liveweight",6.33,"at market";"Animals","Sheep","Sheep, for mutton","SA","kg liveweight",6.18,"at market";"Animals","Sheep","Sheep, for mutton","TAS","kg liveweight",7.5,"at market";"Animals","Sheep","Sheep, for mutton","VIC","kg liveweight",8.08,"at market";"Animals","Sheep","Sheep, for mutton","WA","kg liveweight",5.45,"at market";"Animals","Sheep","Sheep, for prime lamb","Australia","kg liveweight",7.15,"at market";"Animals","Sheep","Sheep, for prime lamb","NSW","kg liveweight",8.29,"at market";"Animals","Sheep","Sheep, for prime lamb","QLD","kg liveweight",6.39,"at market";"Animals","Sheep","Sheep, for prime lamb","SA","kg liveweight",6.87,"at market";"Animals","Sheep","Sheep, for prime lamb","TAS","kg liveweight",8.66,"at market";"Animals","Sheep","Sheep, for prime lamb","VIC","kg liveweight",10,"at market";"Animals","Sheep","Sheep, for prime lamb","WA","kg liveweight",5.67,"at market"}, _xlpm.r, _xlpm.c))))</definedName>
    <definedName name="Scope3_SourceData.Scope3_Livestock_Source">_xlfn.LAMBDA(("Lifecycles. (2026). Greenhouse Gas Emission Intensities for Material Inputs to Australian Agriculture, Fisheries and Forestry. Version 48. doi 10.5281/zenodo.19656580"))</definedName>
    <definedName name="Scope3_SourceData.Scope3_Livestock_Title">_xlfn.LAMBDA(("Livestock scope 3"))</definedName>
    <definedName name="Scope3_SourceData.Scope3_Livestock_Variation">_xlfn.LAMBDA((""))</definedName>
    <definedName name="Scope3_SourceData.Scope3_Other_Data">_xlfn.LAMBDA(_xlfn.MAKEARRAY(9, 7, _xlfn.LAMBDA(_xlpm.r,_xlpm.c, INDEX({"Category","Sub-category","Product name","Region of origin","Product Unit","GHG emission intensity","System boundary";"Other","Other","Animal ear tags (large)","Australia","p",0.0424,"at market";"Other","Other","Animal ear tags (small)","Australia","p",0.0293,"at market";"Other","Other","Barley grain (for seed)","Australia","kg",0.239,"at market";"Other","Other","Maize grain (for seed)","Australia","kg",0.181,"at market";"Other","Other","Nylon netting","Global","kg",9.81,"at market";"Other","Other","Oat grain (for seed)","Australia","kg",0.27,"at market";"Other","Other","Sorghum grain (for seed)","Australia","kg",0.232,"at market";"Other","Other","Wheat grain (for seed)","Australia","kg",0.268,"at market"}, _xlpm.r, _xlpm.c))))</definedName>
    <definedName name="Scope3_SourceData.Scope3_Other_Source">_xlfn.LAMBDA(("Lifecycles. (2026). Greenhouse Gas Emission Intensities for Material Inputs to Australian Agriculture, Fisheries and Forestry. Version 48. doi 10.5281/zenodo.19656580"))</definedName>
    <definedName name="Scope3_SourceData.Scope3_Other_Title">_xlfn.LAMBDA(("Other agricultural inputs scope 3"))</definedName>
    <definedName name="Scope3_SourceData.Scope3_Other_Variation">_xlfn.LAMBDA((""))</definedName>
    <definedName name="Scope3_SourceData.Scope3_Packaging_Data">_xlfn.LAMBDA(_xlfn.MAKEARRAY(5, 7, _xlfn.LAMBDA(_xlpm.r,_xlpm.c, INDEX({"Category","Sub-category","Product name","Region of origin","Product Unit","GHG emission intensity","System boundary";"Packaging","Packaging","Corrugated board","Global","kg",1.05,"at manufacturer";"Packaging","Packaging","Plastic crate polypropylene","Global","p",3.99,"at manufacturer";"Packaging","Packaging","Plastic film LDPE","Global","kg",3.44,"at manufacturer";"Packaging","Packaging","Plastic sheet HDPE","Global","kg",3.72,"at manufacturer"}, _xlpm.r, _xlpm.c))))</definedName>
    <definedName name="Scope3_SourceData.Scope3_Packaging_Source">_xlfn.LAMBDA(("Lifecycles. (2026). Greenhouse Gas Emission Intensities for Material Inputs to Australian Agriculture, Fisheries and Forestry. Version 48. doi 10.5281/zenodo.19656580"))</definedName>
    <definedName name="Scope3_SourceData.Scope3_Packaging_Title">_xlfn.LAMBDA(("Packaging scope 3"))</definedName>
    <definedName name="Scope3_SourceData.Scope3_Packaging_Variation">_xlfn.LAMBDA((""))</definedName>
    <definedName name="Scope3_SourceData.Scope3_Pesticides_Data">_xlfn.LAMBDA(_xlfn.MAKEARRAY(13, 7, _xlfn.LAMBDA(_xlpm.r,_xlpm.c, INDEX({"Category","Sub-category","Product name","Region of origin","Product Unit","GHG emission intensity","System boundary";"Pesticides","Pesticides","2,4-D","Global","kg AI",5.2,"at market";"Pesticides","Pesticides","Atrazine","Global","kg AI",8.38,"at market";"Pesticides","Pesticides","Diuron","Global","kg AI",8.8,"at market";"Pesticides","Pesticides","Glyphosate","Global","kg AI",10.3,"at market";"Pesticides","Pesticides","Mancozeb","Global","kg AI",4.55,"at market";"Pesticides","Pesticides","MCPA","Global","kg AI",5.6,"at market";"Pesticides","Pesticides","Metolachlor","Global","kg AI",8.06,"at market";"Pesticides","Pesticides","Metsulfuron-methyl","Global","kg AI",8.8,"at market";"Pesticides","Pesticides","Pesticides (generic)","Global","kg AI",9.16,"at market";"Pesticides","Pesticides","Tri-allate","Global","kg AI",8.57,"at market";"Pesticides","Pesticides","Tribenuron methyl","Global","kg AI",8.8,"at market";"Pesticides","Pesticides","Trifluralin","Global","kg AI",6.16,"at market"}, _xlpm.r, _xlpm.c))))</definedName>
    <definedName name="Scope3_SourceData.Scope3_Pesticides_Source">_xlfn.LAMBDA(("Lifecycles. (2026). Greenhouse Gas Emission Intensities for Material Inputs to Australian Agriculture, Fisheries and Forestry. Version 48. doi 10.5281/zenodo.19656580"))</definedName>
    <definedName name="Scope3_SourceData.Scope3_Pesticides_Title">_xlfn.LAMBDA(("Pesticides scope 3"))</definedName>
    <definedName name="Scope3_SourceData.Scope3_Pesticides_Variation">_xlfn.LAMBDA((""))</definedName>
    <definedName name="Scope3_SourceData.Scope3_SoilAmendments_Data">_xlfn.LAMBDA(_xlfn.MAKEARRAY(4, 7, _xlfn.LAMBDA(_xlpm.r,_xlpm.c, INDEX({"Category","Sub-category","Product name","Region of origin","Product Unit","GHG emission intensity","System boundary";"Soil ameliorants","Soil ameliorants","Dolomite","Australia","kg",0.0652,"at market";"Soil ameliorants","Soil ameliorants","Gypsum","Australia","kg",0.0652,"at market";"Soil ameliorants","Soil ameliorants","Limestone (crushed)","Australia","kg",0.0485,"at market"}, _xlpm.r, _xlpm.c))))</definedName>
    <definedName name="Scope3_SourceData.Scope3_SoilAmendments_Source">_xlfn.LAMBDA(("Lifecycles. (2026). Greenhouse Gas Emission Intensities for Material Inputs to Australian Agriculture, Fisheries and Forestry. Version 48. doi 10.5281/zenodo.19656580"))</definedName>
    <definedName name="Scope3_SourceData.Scope3_SoilAmendments_Title">_xlfn.LAMBDA(("Soil amendments scope 3"))</definedName>
    <definedName name="Scope3_SourceData.Scope3_SoilAmendments_Variation">_xlfn.LAMBDA((""))</definedName>
    <definedName name="SourceData_Dairy.NIR_2023_Vol1_Dairy_3_B_1_a_AshContent_Data">_xlfn.LAMBDA(0.8)</definedName>
    <definedName name="SourceData_Dairy.NIR_2023_Vol1_Dairy_3_B_1_a_AshContent_Source">_xlfn.LAMBDA("Equation 3.B.1a_2")</definedName>
    <definedName name="SourceData_Dairy.NIR_2023_Vol1_Dairy_3_B_1_a_AshContent_Title">_xlfn.LAMBDA("A = ash content expressed as a fraction")</definedName>
    <definedName name="SourceData_Dairy.NIR_2023_Vol1_Dairy_3_B_1_a_AshContent_Unit">_xlfn.LAMBDA("fraction")</definedName>
    <definedName name="SourceData_Dairy.NIR_2023_Vol1_Dairy_3_B_1_a_EmissionsPotential_Data">_xlfn.LAMBDA(0.24)</definedName>
    <definedName name="SourceData_Dairy.NIR_2023_Vol1_Dairy_3_B_1_a_EmissionsPotential_Source">_xlfn.LAMBDA("Equation 3.B.1a_2")</definedName>
    <definedName name="SourceData_Dairy.NIR_2023_Vol1_Dairy_3_B_1_a_EmissionsPotential_Title">_xlfn.LAMBDA("B0 = emissions potential")</definedName>
    <definedName name="SourceData_Dairy.NIR_2023_Vol1_Dairy_3_B_1_a_EmissionsPotential_Unit">_xlfn.LAMBDA("m3 CH4/kg VS")</definedName>
    <definedName name="SourceData_Dairy.NIR_2023_Vol2_A5_5_1_1_DairyCattleLiveWeight_Data">_xlfn.LAMBDA(_xlfn.MAKEARRAY(2, 6, _xlfn.LAMBDA(_xlpm.r,_xlpm.c, INDEX({"Time period","Milking Cows","Heifers &gt;1","Heifers &lt;1 (weaned)","Bulls &gt;1","Bulls &lt;1 (weaned)";"2020–2023",550,370,179,600,225}, _xlpm.r, _xlpm.c))))</definedName>
    <definedName name="SourceData_Dairy.NIR_2023_Vol2_A5_5_1_1_DairyCattleLiveWeight_Source">_xlfn.LAMBDA("National Inventory Report 2023 Volume 2: Table A5.5.1.1")</definedName>
    <definedName name="SourceData_Dairy.NIR_2023_Vol2_A5_5_1_1_DairyCattleLiveWeight_Title">_xlfn.LAMBDA("Table A5.5.1.1 Dairy cattle – Liveweight")</definedName>
    <definedName name="SourceData_Dairy.NIR_2023_Vol2_A5_5_1_1_DairyCattleLiveWeight_Unit">_xlfn.LAMBDA("kg")</definedName>
    <definedName name="SourceData_Dairy.NIR_2023_Vol2_A5_5_1_2_DairyCattleLiveWeightGain_Data">_xlfn.LAMBDA(_xlfn.MAKEARRAY(2, 6, _xlfn.LAMBDA(_xlpm.r,_xlpm.c, INDEX({"Time period","Milking Cows","Heifers &gt;1","Heifers &lt;1 (weaned)","Bulls &gt;1","Bulls &lt;1 (weaned)";"2020–2023",0.016,0.6,0.57,0.1,0.8}, _xlpm.r, _xlpm.c))))</definedName>
    <definedName name="SourceData_Dairy.NIR_2023_Vol2_A5_5_1_2_DairyCattleLiveWeightGain_Source">_xlfn.LAMBDA("National Inventory Report 2023 Volume 2: Table A5.5.1.2")</definedName>
    <definedName name="SourceData_Dairy.NIR_2023_Vol2_A5_5_1_2_DairyCattleLiveWeightGain_Title">_xlfn.LAMBDA("Table A5.5.1.2 Dairy cattle – Liveweight gain")</definedName>
    <definedName name="SourceData_Dairy.NIR_2023_Vol2_A5_5_1_2_DairyCattleLiveWeightGain_Unit">_xlfn.LAMBDA("kg/day")</definedName>
    <definedName name="SourceData_Dairy.NIR_2023_Vol2_A5_5_1_3_DairyCattleStandardReferenceWeight_Data">_xlfn.LAMBDA(_xlfn.MAKEARRAY(2, 6, _xlfn.LAMBDA(_xlpm.r,_xlpm.c, INDEX({"Time period","Milking Cows","Heifers &gt;1","Heifers &lt;1 (weaned)","Bulls &gt;1","Bulls &lt;1 (weaned)";"2020–2023",590,590,590,770,770}, _xlpm.r, _xlpm.c))))</definedName>
    <definedName name="SourceData_Dairy.NIR_2023_Vol2_A5_5_1_3_DairyCattleStandardReferenceWeight_Source">_xlfn.LAMBDA("National Inventory Report 2023 Volume 2: Table A5.5.1.3")</definedName>
    <definedName name="SourceData_Dairy.NIR_2023_Vol2_A5_5_1_3_DairyCattleStandardReferenceWeight_Title">_xlfn.LAMBDA("Table A5.5.1.3 Dairy cattle – Standard reference weights")</definedName>
    <definedName name="SourceData_Dairy.NIR_2023_Vol2_A5_5_1_3_DairyCattleStandardReferenceWeight_Unit">_xlfn.LAMBDA("kg")</definedName>
    <definedName name="SourceData_Dairy.NIR_2023_Vol2_A5_5_1_4_DairyCattleDMDAndCP_Data">_xlfn.LAMBDA(_xlfn.MAKEARRAY(2, 3, _xlfn.LAMBDA(_xlpm.r,_xlpm.c, INDEX({"State","DMD","CP";"All",75,20}, _xlpm.r, _xlpm.c))))</definedName>
    <definedName name="SourceData_Dairy.NIR_2023_Vol2_A5_5_1_4_DairyCattleDMDAndCP_Source">_xlfn.LAMBDA("National Inventory Report 2023 Volume 2: Table A5.5.1.4")</definedName>
    <definedName name="SourceData_Dairy.NIR_2023_Vol2_A5_5_1_4_DairyCattleDMDAndCP_Title">_xlfn.LAMBDA("Table A5.5.1.4 Dairy cattle – Dry matter digestibility and crude protein content of feed intake")</definedName>
    <definedName name="SourceData_Dairy.NIR_2023_Vol2_A5_5_1_4_DairyCattleDMDAndCP_Unit">_xlfn.LAMBDA("per cent")</definedName>
    <definedName name="SourceData_Dairy.NIR_2023_Vol2_A5_5_1_5_DairyCattlePreWeanedData_Data">_xlfn.LAMBDA(_xlfn.MAKEARRAY(3, 6, _xlfn.LAMBDA(_xlpm.r,_xlpm.c, INDEX({"Date range","Class","CH4 production","Volatile solids","Faecal N","Urinary N";"2005+","Heifers&lt;1",0.0176,0.2685,0.0055,0.0082;"All years","Bulls&lt;1",0.0204,0.3003,0.005,0.0042}, _xlpm.r, _xlpm.c))))</definedName>
    <definedName name="SourceData_Dairy.NIR_2023_Vol2_A5_5_1_5_DairyCattlePreWeanedData_Source">_xlfn.LAMBDA("National Inventory Report 2023 Volume 2: Table A5.5.1.5")</definedName>
    <definedName name="SourceData_Dairy.NIR_2023_Vol2_A5_5_1_5_DairyCattlePreWeanedData_Title">_xlfn.LAMBDA("Table A5.5.1.5 Dairy cattle – Data for pre-weaned calves")</definedName>
    <definedName name="SourceData_Dairy.NIR_2023_Vol2_A5_5_1_5_DairyCattlePreWeanedData_Unit">_xlfn.LAMBDA("kg/day")</definedName>
    <definedName name="SourceData_Dairy.NIR_2023_Vol2_A5_5_1_7_DairyCattleMCFsForMMS_Data">_xlfn.LAMBDA(_xlfn.MAKEARRAY(6, 9, _xlfn.LAMBDA(_xlpm.r,_xlpm.c, INDEX({"MMS","ACT","NSW","NT","QLD","SA","TAS","VIC","WA";"Pasture",0.01,0.01,0.02,0.01,0.01,0.01,0.01,0.01;"Anaerobic lagoon",0.72,0.76,0.8,0.78,0.74,0.69,0.73,0.76;"Sump and dispersal systems (b)",0.005,0.005,0.01,0.005,0.005,0.001,0.005,0.005;"Drains to paddocks (c)",0.15,0.18,0.5,0.24,0.17,0.13,0.17,0.18;"Solid Storage",0.02,0.02,0.02,0.02,0.02,0.02,0.02,0.02}, _xlpm.r, _xlpm.c))))</definedName>
    <definedName name="SourceData_Dairy.NIR_2023_Vol2_A5_5_1_7_DairyCattleMCFsForMMS_Source">_xlfn.LAMBDA("National Inventory Report 2023 Volume 2: Table A5.5.1.7")</definedName>
    <definedName name="SourceData_Dairy.NIR_2023_Vol2_A5_5_1_7_DairyCattleMCFsForMMS_Title">_xlfn.LAMBDA("Table A5.5.1.7 Dairy cattle – MCFs")</definedName>
    <definedName name="SourceData_Dairy.NIR_2023_Vol2_A5_5_1_7_DairyCattleMCFsForMMS_Unit">_xlfn.LAMBDA("")</definedName>
    <definedName name="SourceData_Dairy.NIR_2023_Vol2_A5_5_1_9_DairyCattleNO2EFAndFracN_Data">_xlfn.LAMBDA(_xlfn.MAKEARRAY(6, 3, _xlfn.LAMBDA(_xlpm.r,_xlpm.c, INDEX({"MMS","EF (kg N2O-N/kg N excreted)","FracGASMm (kg N2O-N/kg N excreted)";"Void at Pasture",0,0;"Anaerobic lagoon",0,0.35;"Daily Spread – Sump and Dispersal",0,0.07;"Daily Spread – Drains to Paddock",0,0.2;"Solid Storage",0.005,0.3}, _xlpm.r, _xlpm.c))))</definedName>
    <definedName name="SourceData_Dairy.NIR_2023_Vol2_A5_5_1_9_DairyCattleNO2EFAndFracN_Source">_xlfn.LAMBDA("National Inventory Report 2023 Volume 2: Table A5.5.1.9")</definedName>
    <definedName name="SourceData_Dairy.NIR_2023_Vol2_A5_5_1_9_DairyCattleNO2EFAndFracN_Title">_xlfn.LAMBDA("Table A5.5.1.9 Dairy cattle – Nitrous oxide EFs and fraction of N volatilised by MMS")</definedName>
    <definedName name="SourceData_Dairy.NIR_2023_Vol2_A5_5_1_9_DairyCattleNO2EFAndFracN_Unit">_xlfn.LAMBDA("kg N2O-N/kg N excreted")</definedName>
    <definedName name="SourceData_Dairy.SourceData_Dairy_AllocationOfWasteToMMS_Data">_xlfn.LAMBDA(_xlfn.MAKEARRAY(6, 10, _xlfn.LAMBDA(_xlpm.r,_xlpm.c, INDEX({"MMSSymbol","MMS","ACT","NSW","NT","QLD","SA","TAS","VIC","WA";"14","Pasture",78.6,78.6,78.7,78.7,80.5,86.5,83.9,79.9;"1","Anaerobic lagoon",9,9,7.3,7.3,10.4,8.4,10.8,10;"3a","Daily Spread: Sump and dispersal",2,2,3.3,3.3,1.4,2.4,0.9,1.9;"3b","Daily Spread: Drains to paddocks",1.9,1.9,2.4,2.4,0.8,0.8,0.2,0.9;"4","Solid Storage",8.4,8.4,8.4,8.4,6.9,2,4.2,7.4}, _xlpm.r, _xlpm.c))))</definedName>
    <definedName name="SourceData_Dairy.SourceData_Dairy_AllocationOfWasteToMMS_Source">_xlfn.LAMBDA("National Inventory Report 2023 Volume 2 Table A5.5.1.8")</definedName>
    <definedName name="SourceData_Dairy.SourceData_Dairy_AllocationOfWasteToMMS_Title">_xlfn.LAMBDA("Table A5.5.1.8 Dairy cattle – Allocation of waste to MMS – Milking cows (per cent)")</definedName>
    <definedName name="SourceData_Dairy.SourceData_Dairy_AllocationOfWasteToMMS_Unit">_xlfn.LAMBDA("percent")</definedName>
    <definedName name="SourceData_Dairy.SourceData_Dairy_AllocationOfWasteToMMS_Variable">_xlfn.LAMBDA("")</definedName>
    <definedName name="SourceData_Dairy.SourceData_Dairy_AshContent_Data">_xlfn.LAMBDA(0.08)</definedName>
    <definedName name="SourceData_Dairy.SourceData_Dairy_AshContent_Source">_xlfn.LAMBDA("VEERG 2026: 4.3.2.3 CONSTANTS")</definedName>
    <definedName name="SourceData_Dairy.SourceData_Dairy_AshContent_Title">_xlfn.LAMBDA("Ash content of manure")</definedName>
    <definedName name="SourceData_Dairy.SourceData_Dairy_AshContent_Unit">_xlfn.LAMBDA("fraction")</definedName>
    <definedName name="SourceData_Dairy.SourceData_Dairy_AshContent_Variable">_xlfn.LAMBDA("A")</definedName>
    <definedName name="SourceData_Dairy.SourceData_Dairy_AshContent_Variation">_xlfn.LAMBDA("")</definedName>
    <definedName name="SourceData_Dairy.SourceData_Dairy_CrudeProtein_Data">_xlfn.LAMBDA(0.2)</definedName>
    <definedName name="SourceData_Dairy.SourceData_Dairy_CrudeProtein_Source">_xlfn.LAMBDA("VEERG 2026: 4.3.2.2	DATA (METHOD 1 AND 2 OPTIONS)")</definedName>
    <definedName name="SourceData_Dairy.SourceData_Dairy_CrudeProtein_Title">_xlfn.LAMBDA("Crude protein content of feed intake")</definedName>
    <definedName name="SourceData_Dairy.SourceData_Dairy_CrudeProtein_Unit">_xlfn.LAMBDA("fraction")</definedName>
    <definedName name="SourceData_Dairy.SourceData_Dairy_CrudeProtein_Variable">_xlfn.LAMBDA("CP")</definedName>
    <definedName name="SourceData_Dairy.SourceData_Dairy_CrudeProtein_Variation">_xlfn.LAMBDA("")</definedName>
    <definedName name="SourceData_Dairy.SourceData_Dairy_DryMatterDigestibility_Data">_xlfn.LAMBDA(0.75)</definedName>
    <definedName name="SourceData_Dairy.SourceData_Dairy_DryMatterDigestibility_Source">_xlfn.LAMBDA("VEERG 2026: 3.3.2.2	DATA (METHOD 1 AND 2 OPTIONS)")</definedName>
    <definedName name="SourceData_Dairy.SourceData_Dairy_DryMatterDigestibility_Title">_xlfn.LAMBDA("Dry matter digestibility")</definedName>
    <definedName name="SourceData_Dairy.SourceData_Dairy_DryMatterDigestibility_Unit">_xlfn.LAMBDA("fraction")</definedName>
    <definedName name="SourceData_Dairy.SourceData_Dairy_DryMatterDigestibility_Variable">_xlfn.LAMBDA("DMD")</definedName>
    <definedName name="SourceData_Dairy.SourceData_Dairy_DryMatterDigestibility_Variation">_xlfn.LAMBDA("")</definedName>
    <definedName name="SourceData_Dairy.SourceData_Dairy_DurationOfStay_Data">_xlfn.LAMBDA(_xlfn.MAKEARRAY(6, 3, _xlfn.LAMBDA(_xlpm.r,_xlpm.c, INDEX({"Animal class j","Duration (weaned)","Duration (pre-weaned)";"Milking cows",365,0;"Heifers &gt; 1 year",365,0;"Heifers &lt; 1 year",281,84;"Bulls &gt; 1 year",365,0;"Bulls &lt; 1 year",281,84}, _xlpm.r, _xlpm.c))))</definedName>
    <definedName name="SourceData_Dairy.SourceData_Dairy_DurationOfStay_Source">_xlfn.LAMBDA("VEERG 2026: 4.3.2.2	DATA (METHOD 1 AND 2 OPTIONS)")</definedName>
    <definedName name="SourceData_Dairy.SourceData_Dairy_DurationOfStay_Title">_xlfn.LAMBDA("Duration of stay for each dairy cattle input class")</definedName>
    <definedName name="SourceData_Dairy.SourceData_Dairy_DurationOfStay_Unit">_xlfn.LAMBDA("days")</definedName>
    <definedName name="SourceData_Dairy.SourceData_Dairy_DurationOfStay_Variable">_xlfn.LAMBDA("D")</definedName>
    <definedName name="SourceData_Dairy.SourceData_Dairy_DurationOfStay_Variation">_xlfn.LAMBDA("VARIATION OF SOURCE: Converted free text in document to table, matching livestock class names.")</definedName>
    <definedName name="SourceData_Dairy.SourceData_Dairy_EfficiencyOfUseOfMetabolizableEnergy_Data">_xlfn.LAMBDA(0.6)</definedName>
    <definedName name="SourceData_Dairy.SourceData_Dairy_EfficiencyOfUseOfMetabolizableEnergy_Source">_xlfn.LAMBDA("VEERG 2026: 3.3.2.3 CONSTANTS")</definedName>
    <definedName name="SourceData_Dairy.SourceData_Dairy_EfficiencyOfUseOfMetabolizableEnergy_Title">_xlfn.LAMBDA("Efficiency of use of metabolizable energy for milk production")</definedName>
    <definedName name="SourceData_Dairy.SourceData_Dairy_EfficiencyOfUseOfMetabolizableEnergy_Unit">_xlfn.LAMBDA("fraction")</definedName>
    <definedName name="SourceData_Dairy.SourceData_Dairy_EfficiencyOfUseOfMetabolizableEnergy_Variable">_xlfn.LAMBDA("k")</definedName>
    <definedName name="SourceData_Dairy.SourceData_Dairy_EfficiencyOfUseOfMetabolizableEnergy_Variation">_xlfn.LAMBDA("")</definedName>
    <definedName name="SourceData_Dairy.SourceData_Dairy_EFNitrousOxidePerMMS_Data">_xlfn.LAMBDA(_xlfn.MAKEARRAY(6, 3, _xlfn.LAMBDA(_xlpm.r,_xlpm.c, INDEX({"MMS m","EFm","NIR reference";"m=14 Pasture",0,"Pasture range and paddock";"m=1 Anerobic Lagoon",0,"Anaerobic lagoon";"m=2 Daily Spread: Sump and dispersal",0,"Sump and dispersal system";"m=3 Daily Spread: Drains to paddocks",0,"Drains to paddock";"m=4 Solid Storage",0.005,"Solid storage"}, _xlpm.r, _xlpm.c))))</definedName>
    <definedName name="SourceData_Dairy.SourceData_Dairy_EFNitrousOxidePerMMS_Source">_xlfn.LAMBDA("VEERG 2026: Table A.1.3.11")</definedName>
    <definedName name="SourceData_Dairy.SourceData_Dairy_EFNitrousOxidePerMMS_Title">_xlfn.LAMBDA("Table A.1.3.11: Dairy cattle - EF for nitrous oxide per MMS (kg N2O-N/kg N) (EFm)")</definedName>
    <definedName name="SourceData_Dairy.SourceData_Dairy_EFNitrousOxidePerMMS_Unit">_xlfn.LAMBDA("kg N2O-N/kg N")</definedName>
    <definedName name="SourceData_Dairy.SourceData_Dairy_EFNitrousOxidePerMMS_Variable">_xlfn.LAMBDA("EFm")</definedName>
    <definedName name="SourceData_Dairy.SourceData_Dairy_EFNitrousOxidePerMMS_Variation">_xlfn.LAMBDA("VARIATION OF SOURCE: Added 'NIR reference' column to aid lookup")</definedName>
    <definedName name="SourceData_Dairy.SourceData_Dairy_EmissionFactorForLeachingAndRunoff_Data">_xlfn.LAMBDA(0.011)</definedName>
    <definedName name="SourceData_Dairy.SourceData_Dairy_EmissionFactorForLeachingAndRunoff_Source">_xlfn.LAMBDA("VEERG 2026: 4.3.2.3 CONSTANTS")</definedName>
    <definedName name="SourceData_Dairy.SourceData_Dairy_EmissionFactorForLeachingAndRunoff_Title">_xlfn.LAMBDA("Emission factor for leaching and runoff")</definedName>
    <definedName name="SourceData_Dairy.SourceData_Dairy_EmissionFactorForLeachingAndRunoff_Unit">_xlfn.LAMBDA("kg N2O-N/kg N")</definedName>
    <definedName name="SourceData_Dairy.SourceData_Dairy_EmissionFactorForLeachingAndRunoff_Variable">_xlfn.LAMBDA("EF_leach")</definedName>
    <definedName name="SourceData_Dairy.SourceData_Dairy_EmissionFactorForLeachingAndRunoff_Variation">_xlfn.LAMBDA("")</definedName>
    <definedName name="SourceData_Dairy.SourceData_Dairy_FatContentInMilk_Data">_xlfn.LAMBDA(4)</definedName>
    <definedName name="SourceData_Dairy.SourceData_Dairy_FatContentInMilk_Source">_xlfn.LAMBDA("VEERG 2026: 3.3.2.2 DATA (METHOD 1 AND 2 OPTIONS)")</definedName>
    <definedName name="SourceData_Dairy.SourceData_Dairy_FatContentInMilk_Title">_xlfn.LAMBDA("Fat content in fat and protein corrected milk")</definedName>
    <definedName name="SourceData_Dairy.SourceData_Dairy_FatContentInMilk_Unit">_xlfn.LAMBDA("percent")</definedName>
    <definedName name="SourceData_Dairy.SourceData_Dairy_FatContentInMilk_Variable">_xlfn.LAMBDA("FC_j")</definedName>
    <definedName name="SourceData_Dairy.SourceData_Dairy_FatContentInMilk_Variation">_xlfn.LAMBDA("")</definedName>
    <definedName name="SourceData_Dairy.SourceData_Dairy_FracGASMSoil_Data">_xlfn.LAMBDA(0.21)</definedName>
    <definedName name="SourceData_Dairy.SourceData_Dairy_FracGASMSoil_Source">_xlfn.LAMBDA("VEERG 2026: 4.3.2.3 CONSTANTS")</definedName>
    <definedName name="SourceData_Dairy.SourceData_Dairy_FracGASMSoil_Title">_xlfn.LAMBDA("Fraction of nitrogen volatilized from urine and faeces deposited on pasture")</definedName>
    <definedName name="SourceData_Dairy.SourceData_Dairy_FracGASMSoil_Unit">_xlfn.LAMBDA("(kg NH3-N + NOx-N)/kg N")</definedName>
    <definedName name="SourceData_Dairy.SourceData_Dairy_FracGASMSoil_Variable">_xlfn.LAMBDA("FracGASMsoil")</definedName>
    <definedName name="SourceData_Dairy.SourceData_Dairy_FracGASMSoil_Variation">_xlfn.LAMBDA("")</definedName>
    <definedName name="SourceData_Dairy.SourceData_Dairy_FractionOfNitrogenLostThroughLeachingAndRunoff_Data" localSheetId="37">_xlfn.LAMBDA(0.24)</definedName>
    <definedName name="SourceData_Dairy.SourceData_Dairy_FractionOfNitrogenLostThroughLeachingAndRunoff_Data" localSheetId="38">_xlfn.LAMBDA(0.24)</definedName>
    <definedName name="SourceData_Dairy.SourceData_Dairy_FractionOfNitrogenLostThroughLeachingAndRunoff_Data" localSheetId="45">_xlfn.LAMBDA(0.24)</definedName>
    <definedName name="SourceData_Dairy.SourceData_Dairy_FractionOfNitrogenLostThroughLeachingAndRunoff_Data" localSheetId="7">_xlfn.LAMBDA(0.24)</definedName>
    <definedName name="SourceData_Dairy.SourceData_Dairy_FractionOfNitrogenLostThroughLeachingAndRunoff_Data" localSheetId="13">_xlfn.LAMBDA(0.24)</definedName>
    <definedName name="SourceData_Dairy.SourceData_Dairy_FractionOfNitrogenLostThroughLeachingAndRunoff_Data" localSheetId="14">_xlfn.LAMBDA(0.24)</definedName>
    <definedName name="SourceData_Dairy.SourceData_Dairy_FractionOfNitrogenLostThroughLeachingAndRunoff_Data" localSheetId="16">_xlfn.LAMBDA(0.24)</definedName>
    <definedName name="SourceData_Dairy.SourceData_Dairy_FractionOfNitrogenLostThroughLeachingAndRunoff_Data" localSheetId="15">_xlfn.LAMBDA(0.24)</definedName>
    <definedName name="SourceData_Dairy.SourceData_Dairy_FractionOfNitrogenLostThroughLeachingAndRunoff_Data" localSheetId="18">_xlfn.LAMBDA(0.24)</definedName>
    <definedName name="SourceData_Dairy.SourceData_Dairy_FractionOfNitrogenLostThroughLeachingAndRunoff_Data">_xlfn.LAMBDA(0.02)</definedName>
    <definedName name="SourceData_Dairy.SourceData_Dairy_FractionOfNitrogenLostThroughLeachingAndRunoff_Source">_xlfn.LAMBDA("VEERG 2026: 4.3.2.3 CONSTANTS")</definedName>
    <definedName name="SourceData_Dairy.SourceData_Dairy_FractionOfNitrogenLostThroughLeachingAndRunoff_Title" localSheetId="37">_xlfn.LAMBDA("Default fraction of N that is lost through leaching and runoff when manure is excreted to pasture, range and paddock (m=14).")</definedName>
    <definedName name="SourceData_Dairy.SourceData_Dairy_FractionOfNitrogenLostThroughLeachingAndRunoff_Title" localSheetId="38">_xlfn.LAMBDA("Default fraction of N that is lost through leaching and runoff when manure is excreted to pasture, range and paddock (m=14).")</definedName>
    <definedName name="SourceData_Dairy.SourceData_Dairy_FractionOfNitrogenLostThroughLeachingAndRunoff_Title" localSheetId="45">_xlfn.LAMBDA("Default fraction of N that is lost through leaching and runoff when manure is excreted to pasture, range and paddock (m=14).")</definedName>
    <definedName name="SourceData_Dairy.SourceData_Dairy_FractionOfNitrogenLostThroughLeachingAndRunoff_Title" localSheetId="7">_xlfn.LAMBDA("Default fraction of N that is lost through leaching and runoff when manure is excreted to pasture, range and paddock (m=14).")</definedName>
    <definedName name="SourceData_Dairy.SourceData_Dairy_FractionOfNitrogenLostThroughLeachingAndRunoff_Title" localSheetId="13">_xlfn.LAMBDA("Default fraction of N that is lost through leaching and runoff when manure is excreted to pasture, range and paddock (m=14).")</definedName>
    <definedName name="SourceData_Dairy.SourceData_Dairy_FractionOfNitrogenLostThroughLeachingAndRunoff_Title" localSheetId="14">_xlfn.LAMBDA("Default fraction of N that is lost through leaching and runoff when manure is excreted to pasture, range and paddock (m=14).")</definedName>
    <definedName name="SourceData_Dairy.SourceData_Dairy_FractionOfNitrogenLostThroughLeachingAndRunoff_Title" localSheetId="16">_xlfn.LAMBDA("Default fraction of N that is lost through leaching and runoff when manure is excreted to pasture, range and paddock (m=14).")</definedName>
    <definedName name="SourceData_Dairy.SourceData_Dairy_FractionOfNitrogenLostThroughLeachingAndRunoff_Title" localSheetId="15">_xlfn.LAMBDA("Default fraction of N that is lost through leaching and runoff when manure is excreted to pasture, range and paddock (m=14).")</definedName>
    <definedName name="SourceData_Dairy.SourceData_Dairy_FractionOfNitrogenLostThroughLeachingAndRunoff_Title" localSheetId="18">_xlfn.LAMBDA("Default fraction of N that is lost through leaching and runoff when manure is excreted to pasture, range and paddock (m=14).")</definedName>
    <definedName name="SourceData_Dairy.SourceData_Dairy_FractionOfNitrogenLostThroughLeachingAndRunoff_Title">_xlfn.LAMBDA("Fraction of N that is lost through leaching and runoff")</definedName>
    <definedName name="SourceData_Dairy.SourceData_Dairy_FractionOfNitrogenLostThroughLeachingAndRunoff_Unit" localSheetId="37">_xlfn.LAMBDA("Fraction")</definedName>
    <definedName name="SourceData_Dairy.SourceData_Dairy_FractionOfNitrogenLostThroughLeachingAndRunoff_Unit" localSheetId="38">_xlfn.LAMBDA("Fraction")</definedName>
    <definedName name="SourceData_Dairy.SourceData_Dairy_FractionOfNitrogenLostThroughLeachingAndRunoff_Unit" localSheetId="45">_xlfn.LAMBDA("Fraction")</definedName>
    <definedName name="SourceData_Dairy.SourceData_Dairy_FractionOfNitrogenLostThroughLeachingAndRunoff_Unit" localSheetId="7">_xlfn.LAMBDA("Fraction")</definedName>
    <definedName name="SourceData_Dairy.SourceData_Dairy_FractionOfNitrogenLostThroughLeachingAndRunoff_Unit" localSheetId="13">_xlfn.LAMBDA("Fraction")</definedName>
    <definedName name="SourceData_Dairy.SourceData_Dairy_FractionOfNitrogenLostThroughLeachingAndRunoff_Unit" localSheetId="14">_xlfn.LAMBDA("Fraction")</definedName>
    <definedName name="SourceData_Dairy.SourceData_Dairy_FractionOfNitrogenLostThroughLeachingAndRunoff_Unit" localSheetId="16">_xlfn.LAMBDA("Fraction")</definedName>
    <definedName name="SourceData_Dairy.SourceData_Dairy_FractionOfNitrogenLostThroughLeachingAndRunoff_Unit" localSheetId="15">_xlfn.LAMBDA("Fraction")</definedName>
    <definedName name="SourceData_Dairy.SourceData_Dairy_FractionOfNitrogenLostThroughLeachingAndRunoff_Unit" localSheetId="18">_xlfn.LAMBDA("Fraction")</definedName>
    <definedName name="SourceData_Dairy.SourceData_Dairy_FractionOfNitrogenLostThroughLeachingAndRunoff_Unit">_xlfn.LAMBDA("Dimensionless")</definedName>
    <definedName name="SourceData_Dairy.SourceData_Dairy_FractionOfNitrogenLostThroughLeachingAndRunoff_Variable">_xlfn.LAMBDA("Frac_LEACH_MS")</definedName>
    <definedName name="SourceData_Dairy.SourceData_Dairy_FractionOfNitrogenLostThroughLeachingAndRunoff_Variation">_xlfn.LAMBDA("")</definedName>
    <definedName name="SourceData_Dairy.SourceData_Dairy_FractionOfNitrogenLostThroughLeachingAndRunoffSolidStorage_Data">_xlfn.LAMBDA(0.02)</definedName>
    <definedName name="SourceData_Dairy.SourceData_Dairy_FractionOfNitrogenLostThroughLeachingAndRunoffSolidStorage_Source">_xlfn.LAMBDA("VEERG 2026: 4.3.2.3 CONSTANTS")</definedName>
    <definedName name="SourceData_Dairy.SourceData_Dairy_FractionOfNitrogenLostThroughLeachingAndRunoffSolidStorage_Title">_xlfn.LAMBDA("Fraction of nitrogen lost through leaching and runoff for solid storage MMS only")</definedName>
    <definedName name="SourceData_Dairy.SourceData_Dairy_FractionOfNitrogenLostThroughLeachingAndRunoffSolidStorage_Unit">_xlfn.LAMBDA("Fraction")</definedName>
    <definedName name="SourceData_Dairy.SourceData_Dairy_FractionOfNitrogenLostThroughLeachingAndRunoffSolidStorage_Variable">_xlfn.LAMBDA("Frac_LEACH_MS")</definedName>
    <definedName name="SourceData_Dairy.SourceData_Dairy_FractionOfNitrogenLostThroughLeachingAndRunoffSolidStorage_Variation">_xlfn.LAMBDA("")</definedName>
    <definedName name="SourceData_Dairy.SourceData_Dairy_FractionVolatileSolidsVoidedMMS_Data" localSheetId="37">_xlfn.LAMBDA(
    _xlfn.MAKEARRAY(5, 4,
      _xlfn.LAMBDA(_xlpm.r,_xlpm.c,
        INDEX({"Area","Pasture","Milking Shed","Feedpad";"System 1: Grazed Only",0.89,0.11,0;"System 2: On feedpad for &lt;10 hr/day for &lt;3 months/year",0.79,0.11,0.1;"System 3: Pasture-grazed 3-9 months/year",0.534,0.11,0.356;"System 4: Zero grazing",0,0.11,0.89}, _xlpm.r, _xlpm.c)
      )
    )
  )</definedName>
    <definedName name="SourceData_Dairy.SourceData_Dairy_FractionVolatileSolidsVoidedMMS_Data" localSheetId="38">_xlfn.LAMBDA(
    _xlfn.MAKEARRAY(5, 4,
      _xlfn.LAMBDA(_xlpm.r,_xlpm.c,
        INDEX({"Area","Pasture","Milking Shed","Feedpad";"System 1: Grazed Only",0.89,0.11,0;"System 2: On feedpad for &lt;10 hr/day for &lt;3 months/year",0.79,0.11,0.1;"System 3: Pasture-grazed 3-9 months/year",0.534,0.11,0.356;"System 4: Zero grazing",0,0.11,0.89}, _xlpm.r, _xlpm.c)
      )
    )
  )</definedName>
    <definedName name="SourceData_Dairy.SourceData_Dairy_FractionVolatileSolidsVoidedMMS_Data" localSheetId="45">_xlfn.LAMBDA(
    _xlfn.MAKEARRAY(5, 4,
      _xlfn.LAMBDA(_xlpm.r,_xlpm.c,
        INDEX({"Area","Pasture","Milking Shed","Feedpad";"System 1: Grazed Only",0.89,0.11,0;"System 2: On feedpad for &lt;10 hr/day for &lt;3 months/year",0.79,0.11,0.1;"System 3: Pasture-grazed 3-9 months/year",0.534,0.11,0.356;"System 4: Zero grazing",0,0.11,0.89}, _xlpm.r, _xlpm.c)
      )
    )
  )</definedName>
    <definedName name="SourceData_Dairy.SourceData_Dairy_FractionVolatileSolidsVoidedMMS_Data" localSheetId="7">_xlfn.LAMBDA(
    _xlfn.MAKEARRAY(5, 4,
      _xlfn.LAMBDA(_xlpm.r,_xlpm.c,
        INDEX({"Area","Pasture","Milking Shed","Feedpad";"System 1: Grazed Only",0.89,0.11,0;"System 2: On feedpad for &lt;10 hr/day for &lt;3 months/year",0.79,0.11,0.1;"System 3: Pasture-grazed 3-9 months/year",0.534,0.11,0.356;"System 4: Zero grazing",0,0.11,0.89}, _xlpm.r, _xlpm.c)
      )
    )
  )</definedName>
    <definedName name="SourceData_Dairy.SourceData_Dairy_FractionVolatileSolidsVoidedMMS_Data" localSheetId="13">_xlfn.LAMBDA(
    _xlfn.MAKEARRAY(5, 4,
      _xlfn.LAMBDA(_xlpm.r,_xlpm.c,
        INDEX({"Area","Pasture","Milking Shed","Feedpad";"System 1: Grazed Only",0.89,0.11,0;"System 2: On feedpad for &lt;10 hr/day for &lt;3 months/year",0.79,0.11,0.1;"System 3: Pasture-grazed 3-9 months/year",0.534,0.11,0.356;"System 4: Zero grazing",0,0.11,0.89}, _xlpm.r, _xlpm.c)
      )
    )
  )</definedName>
    <definedName name="SourceData_Dairy.SourceData_Dairy_FractionVolatileSolidsVoidedMMS_Data" localSheetId="14">_xlfn.LAMBDA(
    _xlfn.MAKEARRAY(5, 4,
      _xlfn.LAMBDA(_xlpm.r,_xlpm.c,
        INDEX({"Area","Pasture","Milking Shed","Feedpad";"System 1: Grazed Only",0.89,0.11,0;"System 2: On feedpad for &lt;10 hr/day for &lt;3 months/year",0.79,0.11,0.1;"System 3: Pasture-grazed 3-9 months/year",0.534,0.11,0.356;"System 4: Zero grazing",0,0.11,0.89}, _xlpm.r, _xlpm.c)
      )
    )
  )</definedName>
    <definedName name="SourceData_Dairy.SourceData_Dairy_FractionVolatileSolidsVoidedMMS_Data" localSheetId="16">_xlfn.LAMBDA(
    _xlfn.MAKEARRAY(5, 4,
      _xlfn.LAMBDA(_xlpm.r,_xlpm.c,
        INDEX({"Area","Pasture","Milking Shed","Feedpad";"System 1: Grazed Only",0.89,0.11,0;"System 2: On feedpad for &lt;10 hr/day for &lt;3 months/year",0.79,0.11,0.1;"System 3: Pasture-grazed 3-9 months/year",0.534,0.11,0.356;"System 4: Zero grazing",0,0.11,0.89}, _xlpm.r, _xlpm.c)
      )
    )
  )</definedName>
    <definedName name="SourceData_Dairy.SourceData_Dairy_FractionVolatileSolidsVoidedMMS_Data" localSheetId="15">_xlfn.LAMBDA(
    _xlfn.MAKEARRAY(5, 4,
      _xlfn.LAMBDA(_xlpm.r,_xlpm.c,
        INDEX({"Area","Pasture","Milking Shed","Feedpad";"System 1: Grazed Only",0.89,0.11,0;"System 2: On feedpad for &lt;10 hr/day for &lt;3 months/year",0.79,0.11,0.1;"System 3: Pasture-grazed 3-9 months/year",0.534,0.11,0.356;"System 4: Zero grazing",0,0.11,0.89}, _xlpm.r, _xlpm.c)
      )
    )
  )</definedName>
    <definedName name="SourceData_Dairy.SourceData_Dairy_FractionVolatileSolidsVoidedMMS_Data" localSheetId="18">_xlfn.LAMBDA(
    _xlfn.MAKEARRAY(5, 4,
      _xlfn.LAMBDA(_xlpm.r,_xlpm.c,
        INDEX({"Area","Pasture","Milking Shed","Feedpad";"System 1: Grazed Only",0.89,0.11,0;"System 2: On feedpad for &lt;10 hr/day for &lt;3 months/year",0.79,0.11,0.1;"System 3: Pasture-grazed 3-9 months/year",0.534,0.11,0.356;"System 4: Zero grazing",0,0.11,0.89}, _xlpm.r, _xlpm.c)
      )
    )
  )</definedName>
    <definedName name="SourceData_Dairy.SourceData_Dairy_FractionVolatileSolidsVoidedMMS_Data">_xlfn.LAMBDA(_xlfn.MAKEARRAY(5, 4, _xlfn.LAMBDA(_xlpm.r,_xlpm.c, INDEX({"Area","Pasture","Milking Shed","Feedpad";"System 1: Grazed Only",0.89,0.11,0;"System 2: On feedpad for &lt;10 hr/day for &lt;3 months/year",0.79,0.11,0.1;"System 3: Pasture-grazed 3-9 months/year",0.534,0.11,0.356;"System 4: Zero grazing",0,0.11,0.89}, _xlpm.r, _xlpm.c))))</definedName>
    <definedName name="SourceData_Dairy.SourceData_Dairy_FractionVolatileSolidsVoidedMMS_Source">_xlfn.LAMBDA("VEERG 2026: Table A.1.3.10")</definedName>
    <definedName name="SourceData_Dairy.SourceData_Dairy_FractionVolatileSolidsVoidedMMS_Title">_xlfn.LAMBDA("Table A.1.3.10: Dairy cattle - Fraction of volatile solids voided to each manure management system (fraction) (MMSjm)")</definedName>
    <definedName name="SourceData_Dairy.SourceData_Dairy_FractionVolatileSolidsVoidedMMS_Unit">_xlfn.LAMBDA("fraction")</definedName>
    <definedName name="SourceData_Dairy.SourceData_Dairy_FractionVolatileSolidsVoidedMMS_Variable">_xlfn.LAMBDA("MMSjm")</definedName>
    <definedName name="SourceData_Dairy.SourceData_Dairy_FractionVolatileSolidsVoidedMMS_Variation">_xlfn.LAMBDA("VARIATION OF SOURCE: Excluded 'Annual fraction of time spent per area' row as this information is in the table title.")</definedName>
    <definedName name="SourceData_Dairy.SourceData_Dairy_GrossEnergyContent_Data">_xlfn.LAMBDA(18.4)</definedName>
    <definedName name="SourceData_Dairy.SourceData_Dairy_GrossEnergyContent_Source">_xlfn.LAMBDA("VEERG 2026: 3.3.2.3 CONSTANTS")</definedName>
    <definedName name="SourceData_Dairy.SourceData_Dairy_GrossEnergyContent_Title">_xlfn.LAMBDA("Gross energy content of feed dry matter")</definedName>
    <definedName name="SourceData_Dairy.SourceData_Dairy_GrossEnergyContent_Unit">_xlfn.LAMBDA("MJ / kgDM")</definedName>
    <definedName name="SourceData_Dairy.SourceData_Dairy_GrossEnergyContent_Variable">_xlfn.LAMBDA("GEC")</definedName>
    <definedName name="SourceData_Dairy.SourceData_Dairy_GrossEnergyContent_Variation">_xlfn.LAMBDA("")</definedName>
    <definedName name="SourceData_Dairy.SourceData_Dairy_IncreasedMetabolicRateMilk_Data" localSheetId="37">_xlfn.LAMBDA(
    _xlfn.MAKEARRAY(3, 2,
      _xlfn.LAMBDA(_xlpm.r,_xlpm.c,
        INDEX({"Animal Class j","MRj";"Milking cows, and house cows",1.1;"All other cattle classes",1}, _xlpm.r, _xlpm.c)
      )
    )
  )</definedName>
    <definedName name="SourceData_Dairy.SourceData_Dairy_IncreasedMetabolicRateMilk_Data" localSheetId="38">_xlfn.LAMBDA(
    _xlfn.MAKEARRAY(3, 2,
      _xlfn.LAMBDA(_xlpm.r,_xlpm.c,
        INDEX({"Animal Class j","MRj";"Milking cows, and house cows",1.1;"All other cattle classes",1}, _xlpm.r, _xlpm.c)
      )
    )
  )</definedName>
    <definedName name="SourceData_Dairy.SourceData_Dairy_IncreasedMetabolicRateMilk_Data" localSheetId="45">_xlfn.LAMBDA(
    _xlfn.MAKEARRAY(3, 2,
      _xlfn.LAMBDA(_xlpm.r,_xlpm.c,
        INDEX({"Animal Class j","MRj";"Milking cows, and house cows",1.1;"All other cattle classes",1}, _xlpm.r, _xlpm.c)
      )
    )
  )</definedName>
    <definedName name="SourceData_Dairy.SourceData_Dairy_IncreasedMetabolicRateMilk_Data" localSheetId="7">_xlfn.LAMBDA(
    _xlfn.MAKEARRAY(3, 2,
      _xlfn.LAMBDA(_xlpm.r,_xlpm.c,
        INDEX({"Animal Class j","MRj";"Milking cows, and house cows",1.1;"All other cattle classes",1}, _xlpm.r, _xlpm.c)
      )
    )
  )</definedName>
    <definedName name="SourceData_Dairy.SourceData_Dairy_IncreasedMetabolicRateMilk_Data" localSheetId="13">_xlfn.LAMBDA(
    _xlfn.MAKEARRAY(3, 2,
      _xlfn.LAMBDA(_xlpm.r,_xlpm.c,
        INDEX({"Animal Class j","MRj";"Milking cows, and house cows",1.1;"All other cattle classes",1}, _xlpm.r, _xlpm.c)
      )
    )
  )</definedName>
    <definedName name="SourceData_Dairy.SourceData_Dairy_IncreasedMetabolicRateMilk_Data" localSheetId="14">_xlfn.LAMBDA(
    _xlfn.MAKEARRAY(3, 2,
      _xlfn.LAMBDA(_xlpm.r,_xlpm.c,
        INDEX({"Animal Class j","MRj";"Milking cows, and house cows",1.1;"All other cattle classes",1}, _xlpm.r, _xlpm.c)
      )
    )
  )</definedName>
    <definedName name="SourceData_Dairy.SourceData_Dairy_IncreasedMetabolicRateMilk_Data" localSheetId="16">_xlfn.LAMBDA(
    _xlfn.MAKEARRAY(3, 2,
      _xlfn.LAMBDA(_xlpm.r,_xlpm.c,
        INDEX({"Animal Class j","MRj";"Milking cows, and house cows",1.1;"All other cattle classes",1}, _xlpm.r, _xlpm.c)
      )
    )
  )</definedName>
    <definedName name="SourceData_Dairy.SourceData_Dairy_IncreasedMetabolicRateMilk_Data" localSheetId="15">_xlfn.LAMBDA(
    _xlfn.MAKEARRAY(3, 2,
      _xlfn.LAMBDA(_xlpm.r,_xlpm.c,
        INDEX({"Animal Class j","MRj";"Milking cows, and house cows",1.1;"All other cattle classes",1}, _xlpm.r, _xlpm.c)
      )
    )
  )</definedName>
    <definedName name="SourceData_Dairy.SourceData_Dairy_IncreasedMetabolicRateMilk_Data" localSheetId="18">_xlfn.LAMBDA(
    _xlfn.MAKEARRAY(3, 2,
      _xlfn.LAMBDA(_xlpm.r,_xlpm.c,
        INDEX({"Animal Class j","MRj";"Milking cows, and house cows",1.1;"All other cattle classes",1}, _xlpm.r, _xlpm.c)
      )
    )
  )</definedName>
    <definedName name="SourceData_Dairy.SourceData_Dairy_IncreasedMetabolicRateMilk_Data">_xlfn.LAMBDA(_xlfn.MAKEARRAY(3, 2, _xlfn.LAMBDA(_xlpm.r,_xlpm.c, INDEX({"Animal Class j","MRj";"Milking cows, and house cows",1.1;"All other cattle classes",1}, _xlpm.r, _xlpm.c))))</definedName>
    <definedName name="SourceData_Dairy.SourceData_Dairy_IncreasedMetabolicRateMilk_Source">_xlfn.LAMBDA("VEERG 2026: Table A.1.3.9")</definedName>
    <definedName name="SourceData_Dairy.SourceData_Dairy_IncreasedMetabolicRateMilk_Title">_xlfn.LAMBDA("Table A.1.3.9: Dairy cattle - Increased metabolic rate when producing milk (MRj)")</definedName>
    <definedName name="SourceData_Dairy.SourceData_Dairy_IncreasedMetabolicRateMilk_Unit">_xlfn.LAMBDA("")</definedName>
    <definedName name="SourceData_Dairy.SourceData_Dairy_IncreasedMetabolicRateMilk_Variable">_xlfn.LAMBDA("MRj")</definedName>
    <definedName name="SourceData_Dairy.SourceData_Dairy_IncreasedMetabolicRateMilk_Variation">_xlfn.LAMBDA("")</definedName>
    <definedName name="SourceData_Dairy.SourceData_Dairy_LiveweightBulls_Data">_xlfn.LAMBDA(_xlfn.MAKEARRAY(2, 3, _xlfn.LAMBDA(_xlpm.r,_xlpm.c, INDEX({"Breed","Bulls &gt;1","Bulls &lt;1 (weaned)";"All breeds",600,225}, _xlpm.r, _xlpm.c))))</definedName>
    <definedName name="SourceData_Dairy.SourceData_Dairy_LiveweightBulls_Source">_xlfn.LAMBDA("VEERG 2026: Table A.1.3.2")</definedName>
    <definedName name="SourceData_Dairy.SourceData_Dairy_LiveweightBulls_Title">_xlfn.LAMBDA("Table A.1.3.2: Dairy cattle - Liveweight (kg) - Bulls (Wj)")</definedName>
    <definedName name="SourceData_Dairy.SourceData_Dairy_LiveweightBulls_Unit">_xlfn.LAMBDA("kg")</definedName>
    <definedName name="SourceData_Dairy.SourceData_Dairy_LiveweightBulls_Variable">_xlfn.LAMBDA("Wj")</definedName>
    <definedName name="SourceData_Dairy.SourceData_Dairy_LiveweightBulls_Variation">_xlfn.LAMBDA("")</definedName>
    <definedName name="SourceData_Dairy.SourceData_Dairy_LiveweightCowsAndHeifers_Data">_xlfn.LAMBDA(_xlfn.MAKEARRAY(11, 4, _xlfn.LAMBDA(_xlpm.r,_xlpm.c, INDEX({"Breed","Milking Cows","Heifers &gt;1","Heifers &lt;1 (weaned)";"Medium Friesian",550,380,155;"Large Friesian",600,415,170;"Holstein-Friesian",650,450,185;"Friesian crossbred",500,350,145;"Jersey",400,275,115;"Jersey crossbred",450,315,130;"Ayrshire",540,375,150;"Guernsey",480,335,140;"Brown Swiss",600,415,170;"Illawarra/Aussie Red",550,375,150}, _xlpm.r, _xlpm.c))))</definedName>
    <definedName name="SourceData_Dairy.SourceData_Dairy_LiveweightCowsAndHeifers_Source">_xlfn.LAMBDA("VEERG 2026: Table A.1.3.1")</definedName>
    <definedName name="SourceData_Dairy.SourceData_Dairy_LiveweightCowsAndHeifers_Title">_xlfn.LAMBDA("Table A.1.3.1: Dairy cattle - Liveweight (kg) - Cows and Heifers (Wj)")</definedName>
    <definedName name="SourceData_Dairy.SourceData_Dairy_LiveweightCowsAndHeifers_Unit">_xlfn.LAMBDA("kg")</definedName>
    <definedName name="SourceData_Dairy.SourceData_Dairy_LiveweightCowsAndHeifers_Variable">_xlfn.LAMBDA("Wj")</definedName>
    <definedName name="SourceData_Dairy.SourceData_Dairy_LiveweightGain_Data">_xlfn.LAMBDA(_xlfn.MAKEARRAY(2, 5, _xlfn.LAMBDA(_xlpm.r,_xlpm.c, INDEX({"Milking Cows","Heifers &gt;1","Heifers &lt;1 (weaned)","Bulls &gt;1","Bulls &lt;1 (weaned)";0.016,0.6,0.57,0.1,0.8}, _xlpm.r, _xlpm.c))))</definedName>
    <definedName name="SourceData_Dairy.SourceData_Dairy_LiveweightGain_Source">_xlfn.LAMBDA("VEERG 2026: Table A.1.3.3")</definedName>
    <definedName name="SourceData_Dairy.SourceData_Dairy_LiveweightGain_Title">_xlfn.LAMBDA("Table A.1.3.3: Dairy cattle - Liveweight gain (kg) (LWGj)")</definedName>
    <definedName name="SourceData_Dairy.SourceData_Dairy_LiveweightGain_Unit">_xlfn.LAMBDA("kg")</definedName>
    <definedName name="SourceData_Dairy.SourceData_Dairy_LiveweightGain_Variable">_xlfn.LAMBDA("LWGj")</definedName>
    <definedName name="SourceData_Dairy.SourceData_Dairy_LiveweightGain_Variation">_xlfn.LAMBDA("")</definedName>
    <definedName name="SourceData_Dairy.SourceData_Dairy_MCF_Data" localSheetId="37">_xlfn.LAMBDA(
    _xlfn.MAKEARRAY(7, 10,
      _xlfn.LAMBDA(_xlpm.r,_xlpm.c,
        INDEX({"MMS m","ACT","NSW","NT","QLD","SA","TAS","VIC","WA","NIR reference";"Pasture",0.01,0.01,0.02,0.01,0.01,0.01,0.01,0.01,"Pasture range and paddock";"Anaerobic lagoon",0.72,0.76,0.8,0.78,0.74,0.69,0.73,0.76,"Anaerobic lagoon";"Daily spread - Sump and dispersal systems",0.005,0.005,0.01,0.005,0.005,0.001,0.005,0.005,"Sump and dispersal system";"Daily spread - Drains to paddocks (a)",0.15,0.18,0.5,0.24,0.17,0.13,0.17,0.18,"Drains to paddock";"Solid Storage",0.02,0.02,0.02,0.02,0.02,0.02,0.02,0.02,"Solid storage";"Direct Application to soil",0,0,0,0,0,0,0,0,"Direct application"}, _xlpm.r, _xlpm.c)
      )
    )
  )</definedName>
    <definedName name="SourceData_Dairy.SourceData_Dairy_MCF_Data" localSheetId="38">_xlfn.LAMBDA(
    _xlfn.MAKEARRAY(7, 10,
      _xlfn.LAMBDA(_xlpm.r,_xlpm.c,
        INDEX({"MMS m","ACT","NSW","NT","QLD","SA","TAS","VIC","WA","NIR reference";"Pasture",0.01,0.01,0.02,0.01,0.01,0.01,0.01,0.01,"Pasture range and paddock";"Anaerobic lagoon",0.72,0.76,0.8,0.78,0.74,0.69,0.73,0.76,"Anaerobic lagoon";"Daily spread - Sump and dispersal systems",0.005,0.005,0.01,0.005,0.005,0.001,0.005,0.005,"Sump and dispersal system";"Daily spread - Drains to paddocks (a)",0.15,0.18,0.5,0.24,0.17,0.13,0.17,0.18,"Drains to paddock";"Solid Storage",0.02,0.02,0.02,0.02,0.02,0.02,0.02,0.02,"Solid storage";"Direct Application to soil",0,0,0,0,0,0,0,0,"Direct application"}, _xlpm.r, _xlpm.c)
      )
    )
  )</definedName>
    <definedName name="SourceData_Dairy.SourceData_Dairy_MCF_Data" localSheetId="45">_xlfn.LAMBDA(
    _xlfn.MAKEARRAY(7, 10,
      _xlfn.LAMBDA(_xlpm.r,_xlpm.c,
        INDEX({"MMS m","ACT","NSW","NT","QLD","SA","TAS","VIC","WA","NIR reference";"Pasture",0.01,0.01,0.02,0.01,0.01,0.01,0.01,0.01,"Pasture range and paddock";"Anaerobic lagoon",0.72,0.76,0.8,0.78,0.74,0.69,0.73,0.76,"Anaerobic lagoon";"Daily spread - Sump and dispersal systems",0.005,0.005,0.01,0.005,0.005,0.001,0.005,0.005,"Sump and dispersal system";"Daily spread - Drains to paddocks (a)",0.15,0.18,0.5,0.24,0.17,0.13,0.17,0.18,"Drains to paddock";"Solid Storage",0.02,0.02,0.02,0.02,0.02,0.02,0.02,0.02,"Solid storage";"Direct Application to soil",0,0,0,0,0,0,0,0,"Direct application"}, _xlpm.r, _xlpm.c)
      )
    )
  )</definedName>
    <definedName name="SourceData_Dairy.SourceData_Dairy_MCF_Data" localSheetId="7">_xlfn.LAMBDA(
    _xlfn.MAKEARRAY(7, 10,
      _xlfn.LAMBDA(_xlpm.r,_xlpm.c,
        INDEX({"MMS m","ACT","NSW","NT","QLD","SA","TAS","VIC","WA","NIR reference";"Pasture",0.01,0.01,0.02,0.01,0.01,0.01,0.01,0.01,"Pasture range and paddock";"Anaerobic lagoon",0.72,0.76,0.8,0.78,0.74,0.69,0.73,0.76,"Anaerobic lagoon";"Daily spread - Sump and dispersal systems",0.005,0.005,0.01,0.005,0.005,0.001,0.005,0.005,"Sump and dispersal system";"Daily spread - Drains to paddocks (a)",0.15,0.18,0.5,0.24,0.17,0.13,0.17,0.18,"Drains to paddock";"Solid Storage",0.02,0.02,0.02,0.02,0.02,0.02,0.02,0.02,"Solid storage";"Direct Application to soil",0,0,0,0,0,0,0,0,"Direct application"}, _xlpm.r, _xlpm.c)
      )
    )
  )</definedName>
    <definedName name="SourceData_Dairy.SourceData_Dairy_MCF_Data" localSheetId="13">_xlfn.LAMBDA(
    _xlfn.MAKEARRAY(7, 10,
      _xlfn.LAMBDA(_xlpm.r,_xlpm.c,
        INDEX({"MMS m","ACT","NSW","NT","QLD","SA","TAS","VIC","WA","NIR reference";"Pasture",0.01,0.01,0.02,0.01,0.01,0.01,0.01,0.01,"Pasture range and paddock";"Anaerobic lagoon",0.72,0.76,0.8,0.78,0.74,0.69,0.73,0.76,"Anaerobic lagoon";"Daily spread - Sump and dispersal systems",0.005,0.005,0.01,0.005,0.005,0.001,0.005,0.005,"Sump and dispersal system";"Daily spread - Drains to paddocks (a)",0.15,0.18,0.5,0.24,0.17,0.13,0.17,0.18,"Drains to paddock";"Solid Storage",0.02,0.02,0.02,0.02,0.02,0.02,0.02,0.02,"Solid storage";"Direct Application to soil",0,0,0,0,0,0,0,0,"Direct application"}, _xlpm.r, _xlpm.c)
      )
    )
  )</definedName>
    <definedName name="SourceData_Dairy.SourceData_Dairy_MCF_Data" localSheetId="14">_xlfn.LAMBDA(
    _xlfn.MAKEARRAY(7, 10,
      _xlfn.LAMBDA(_xlpm.r,_xlpm.c,
        INDEX({"MMS m","ACT","NSW","NT","QLD","SA","TAS","VIC","WA","NIR reference";"Pasture",0.01,0.01,0.02,0.01,0.01,0.01,0.01,0.01,"Pasture range and paddock";"Anaerobic lagoon",0.72,0.76,0.8,0.78,0.74,0.69,0.73,0.76,"Anaerobic lagoon";"Daily spread - Sump and dispersal systems",0.005,0.005,0.01,0.005,0.005,0.001,0.005,0.005,"Sump and dispersal system";"Daily spread - Drains to paddocks (a)",0.15,0.18,0.5,0.24,0.17,0.13,0.17,0.18,"Drains to paddock";"Solid Storage",0.02,0.02,0.02,0.02,0.02,0.02,0.02,0.02,"Solid storage";"Direct Application to soil",0,0,0,0,0,0,0,0,"Direct application"}, _xlpm.r, _xlpm.c)
      )
    )
  )</definedName>
    <definedName name="SourceData_Dairy.SourceData_Dairy_MCF_Data" localSheetId="16">_xlfn.LAMBDA(
    _xlfn.MAKEARRAY(7, 10,
      _xlfn.LAMBDA(_xlpm.r,_xlpm.c,
        INDEX({"MMS m","ACT","NSW","NT","QLD","SA","TAS","VIC","WA","NIR reference";"Pasture",0.01,0.01,0.02,0.01,0.01,0.01,0.01,0.01,"Pasture range and paddock";"Anaerobic lagoon",0.72,0.76,0.8,0.78,0.74,0.69,0.73,0.76,"Anaerobic lagoon";"Daily spread - Sump and dispersal systems",0.005,0.005,0.01,0.005,0.005,0.001,0.005,0.005,"Sump and dispersal system";"Daily spread - Drains to paddocks (a)",0.15,0.18,0.5,0.24,0.17,0.13,0.17,0.18,"Drains to paddock";"Solid Storage",0.02,0.02,0.02,0.02,0.02,0.02,0.02,0.02,"Solid storage";"Direct Application to soil",0,0,0,0,0,0,0,0,"Direct application"}, _xlpm.r, _xlpm.c)
      )
    )
  )</definedName>
    <definedName name="SourceData_Dairy.SourceData_Dairy_MCF_Data" localSheetId="15">_xlfn.LAMBDA(
    _xlfn.MAKEARRAY(7, 10,
      _xlfn.LAMBDA(_xlpm.r,_xlpm.c,
        INDEX({"MMS m","ACT","NSW","NT","QLD","SA","TAS","VIC","WA","NIR reference";"Pasture",0.01,0.01,0.02,0.01,0.01,0.01,0.01,0.01,"Pasture range and paddock";"Anaerobic lagoon",0.72,0.76,0.8,0.78,0.74,0.69,0.73,0.76,"Anaerobic lagoon";"Daily spread - Sump and dispersal systems",0.005,0.005,0.01,0.005,0.005,0.001,0.005,0.005,"Sump and dispersal system";"Daily spread - Drains to paddocks (a)",0.15,0.18,0.5,0.24,0.17,0.13,0.17,0.18,"Drains to paddock";"Solid Storage",0.02,0.02,0.02,0.02,0.02,0.02,0.02,0.02,"Solid storage";"Direct Application to soil",0,0,0,0,0,0,0,0,"Direct application"}, _xlpm.r, _xlpm.c)
      )
    )
  )</definedName>
    <definedName name="SourceData_Dairy.SourceData_Dairy_MCF_Data" localSheetId="18">_xlfn.LAMBDA(
    _xlfn.MAKEARRAY(7, 10,
      _xlfn.LAMBDA(_xlpm.r,_xlpm.c,
        INDEX({"MMS m","ACT","NSW","NT","QLD","SA","TAS","VIC","WA","NIR reference";"Pasture",0.01,0.01,0.02,0.01,0.01,0.01,0.01,0.01,"Pasture range and paddock";"Anaerobic lagoon",0.72,0.76,0.8,0.78,0.74,0.69,0.73,0.76,"Anaerobic lagoon";"Daily spread - Sump and dispersal systems",0.005,0.005,0.01,0.005,0.005,0.001,0.005,0.005,"Sump and dispersal system";"Daily spread - Drains to paddocks (a)",0.15,0.18,0.5,0.24,0.17,0.13,0.17,0.18,"Drains to paddock";"Solid Storage",0.02,0.02,0.02,0.02,0.02,0.02,0.02,0.02,"Solid storage";"Direct Application to soil",0,0,0,0,0,0,0,0,"Direct application"}, _xlpm.r, _xlpm.c)
      )
    )
  )</definedName>
    <definedName name="SourceData_Dairy.SourceData_Dairy_MCF_Data">_xlfn.LAMBDA(_xlfn.MAKEARRAY(7, 10, _xlfn.LAMBDA(_xlpm.r,_xlpm.c, INDEX({"MMS m","ACT","NSW","NT","QLD","SA","TAS","VIC","WA","NIR reference";"Pasture",0.01,0.01,0.02,0.01,0.01,0.01,0.01,0.01,"Pasture range and paddock";"Anaerobic lagoon",0.72,0.76,0.8,0.78,0.74,0.69,0.73,0.76,"Anaerobic lagoon";"Daily spread - Sump and dispersal systems",0.005,0.005,0.01,0.005,0.005,0.001,0.005,0.005,"Sump and dispersal system";"Daily spread - Drains to paddocks (a)",0.15,0.18,0.5,0.24,0.17,0.13,0.17,0.18,"Drains to paddock";"Solid Storage",0.02,0.02,0.02,0.02,0.02,0.02,0.02,0.02,"Solid storage";"Direct Application to soil",0,0,0,0,0,0,0,0,"Direct application"}, _xlpm.r, _xlpm.c))))</definedName>
    <definedName name="SourceData_Dairy.SourceData_Dairy_MCF_Source">_xlfn.LAMBDA("VEERG 2026: Table A.1.3.6")</definedName>
    <definedName name="SourceData_Dairy.SourceData_Dairy_MCF_Title">_xlfn.LAMBDA("Table A.1.3.6: Dairy cattle - Dairy cattle - MCFs (fraction) (MCFjm)")</definedName>
    <definedName name="SourceData_Dairy.SourceData_Dairy_MCF_Unit">_xlfn.LAMBDA("fraction")</definedName>
    <definedName name="SourceData_Dairy.SourceData_Dairy_MCF_Variable">_xlfn.LAMBDA("MCFjm")</definedName>
    <definedName name="SourceData_Dairy.SourceData_Dairy_MCF_Variation">_xlfn.LAMBDA("VARIATION OF SOURCE: Added 'NIR reference' column to aid lookup")</definedName>
    <definedName name="SourceData_Dairy.SourceData_Dairy_MethaneEmissionsPotential_Data">_xlfn.LAMBDA(0.24)</definedName>
    <definedName name="SourceData_Dairy.SourceData_Dairy_MethaneEmissionsPotential_Source">_xlfn.LAMBDA("VEERG 2026: 4.3.2.3 CONSTANTS")</definedName>
    <definedName name="SourceData_Dairy.SourceData_Dairy_MethaneEmissionsPotential_Title">_xlfn.LAMBDA("Methane emissions potential")</definedName>
    <definedName name="SourceData_Dairy.SourceData_Dairy_MethaneEmissionsPotential_Unit">_xlfn.LAMBDA("m3 CH4/kgVS")</definedName>
    <definedName name="SourceData_Dairy.SourceData_Dairy_MethaneEmissionsPotential_Variable">_xlfn.LAMBDA("B_o")</definedName>
    <definedName name="SourceData_Dairy.SourceData_Dairy_MethaneEmissionsPotential_Variation">_xlfn.LAMBDA("")</definedName>
    <definedName name="SourceData_Dairy.SourceData_Dairy_MethaneProductionPreWeanedCalves_Data">_xlfn.LAMBDA(_xlfn.MAKEARRAY(3, 2, _xlfn.LAMBDA(_xlpm.r,_xlpm.c, INDEX({"Animal Class j","MPWENTERIC";"Heifers &lt; 1 year",0.0176;"Bulls &lt; 1 year",0.0204}, _xlpm.r, _xlpm.c))))</definedName>
    <definedName name="SourceData_Dairy.SourceData_Dairy_MethaneProductionPreWeanedCalves_Source">_xlfn.LAMBDA("VEERG 2026: Table A.1.3.8")</definedName>
    <definedName name="SourceData_Dairy.SourceData_Dairy_MethaneProductionPreWeanedCalves_Title">_xlfn.LAMBDA("Table A.1.3.8: Dairy cattle - Methane production for pre-weaned heifer and bull calves (kg CH4/head/day) (MPWENTERIC,j=3,5)")</definedName>
    <definedName name="SourceData_Dairy.SourceData_Dairy_MethaneProductionPreWeanedCalves_Unit">_xlfn.LAMBDA("kg CH4/head/day")</definedName>
    <definedName name="SourceData_Dairy.SourceData_Dairy_MethaneProductionPreWeanedCalves_Variable">_xlfn.LAMBDA("MPWENTERIC,j=3,5")</definedName>
    <definedName name="SourceData_Dairy.SourceData_Dairy_MethaneProductionPreWeanedCalves_Variation">_xlfn.LAMBDA("")</definedName>
    <definedName name="SourceData_Dairy.SourceData_Dairy_NetEnergy_Data">_xlfn.LAMBDA(3.054)</definedName>
    <definedName name="SourceData_Dairy.SourceData_Dairy_NetEnergy_Source">_xlfn.LAMBDA("VEERG 2026: 3.3.2.3 CONSTANTS")</definedName>
    <definedName name="SourceData_Dairy.SourceData_Dairy_NetEnergy_Title">_xlfn.LAMBDA("Net energy required for milk production")</definedName>
    <definedName name="SourceData_Dairy.SourceData_Dairy_NetEnergy_Unit">_xlfn.LAMBDA("MJ net energy / kg milk")</definedName>
    <definedName name="SourceData_Dairy.SourceData_Dairy_NetEnergy_Variable">_xlfn.LAMBDA("NE")</definedName>
    <definedName name="SourceData_Dairy.SourceData_Dairy_NetEnergy_Variation">_xlfn.LAMBDA("")</definedName>
    <definedName name="SourceData_Dairy.SourceData_Dairy_NitrousOxideEFsAndFracGASM_Data">_xlfn.LAMBDA(_xlfn.MAKEARRAY(6, 4, _xlfn.LAMBDA(_xlpm.r,_xlpm.c, INDEX({"MMS m","EFm (kg N2O-N/kg N excreted)","FracGASMm (kg N2O-N/kg N excreted)","NIR reference";"M=14 Pasture",0,0,"Pasture range and paddock";"M=1 Anaerobic lagoon",0,0.35,"Anaerobic lagoon";"M=2 Daily Spread - Sump and Dispersal",0,0.07,"Sump and dispersal system";"M=3 Daily Spread - Drains to Paddock",0,0.2,"Drains to paddock";"M=3 Solid Storage",0.005,0.3,"Solid storage"}, _xlpm.r, _xlpm.c))))</definedName>
    <definedName name="SourceData_Dairy.SourceData_Dairy_NitrousOxideEFsAndFracGASM_Source">_xlfn.LAMBDA("VEERG 2026: Table A.1.3.7")</definedName>
    <definedName name="SourceData_Dairy.SourceData_Dairy_NitrousOxideEFsAndFracGASM_Title">_xlfn.LAMBDA("Table A.1.3.7: Dairy cattle - Nitrous oxide EFs and fraction of N volatilised by MMS")</definedName>
    <definedName name="SourceData_Dairy.SourceData_Dairy_NitrousOxideEFsAndFracGASM_Unit">_xlfn.LAMBDA("kg N2O-N/kg N excreted")</definedName>
    <definedName name="SourceData_Dairy.SourceData_Dairy_NitrousOxideEFsAndFracGASM_Variable">_xlfn.LAMBDA("EFm; FracGASMm")</definedName>
    <definedName name="SourceData_Dairy.SourceData_Dairy_NitrousOxideEFsAndFracGASM_Variation">_xlfn.LAMBDA("VARIATION OF SOURCE: Added 'NIR reference' column to aid lookup")</definedName>
    <definedName name="SourceData_Dairy.SourceData_Dairy_PreWeanedCalves_Data">_xlfn.LAMBDA(_xlfn.MAKEARRAY(4, 4, _xlfn.LAMBDA(_xlpm.r,_xlpm.c, INDEX({"Animal class j","CH4 production","Volatile solids (VSj=3,5)","Nitrogen Excreted (NPWj=3,5)";"","(kg/day)","(kg/day)","(kg/day)";"Heifers&lt;1",0.0176,0.2685,0.0137;"Bulls&lt;1",0.0204,0.3003,0.0092}, _xlpm.r, _xlpm.c))))</definedName>
    <definedName name="SourceData_Dairy.SourceData_Dairy_PreWeanedCalves_Source">_xlfn.LAMBDA("VEERG 2026: Table A.1.3.5")</definedName>
    <definedName name="SourceData_Dairy.SourceData_Dairy_PreWeanedCalves_Title">_xlfn.LAMBDA("Table A.1.3.5: Dairy cattle - Data for pre - weaned calves")</definedName>
    <definedName name="SourceData_Dairy.SourceData_Dairy_PreWeanedCalves_Unit">_xlfn.LAMBDA("kg/day")</definedName>
    <definedName name="SourceData_Dairy.SourceData_Dairy_PreWeanedCalves_Variable">_xlfn.LAMBDA("VSj=3,5; NPWj=3,5")</definedName>
    <definedName name="SourceData_Dairy.SourceData_Dairy_PreWeanedCalves_Variation">_xlfn.LAMBDA("VARIATION OF SOURCE: Added 'Animal class j' column header")</definedName>
    <definedName name="SourceData_Dairy.SourceData_Dairy_ProteinContentInMilk_Data">_xlfn.LAMBDA(3.3)</definedName>
    <definedName name="SourceData_Dairy.SourceData_Dairy_ProteinContentInMilk_Source">_xlfn.LAMBDA("VEERG 2026: 3.3.2.2 DATA (METHOD 1 AND 2 OPTIONS)")</definedName>
    <definedName name="SourceData_Dairy.SourceData_Dairy_ProteinContentInMilk_Title">_xlfn.LAMBDA("Protein content in fat and protein corrected milk")</definedName>
    <definedName name="SourceData_Dairy.SourceData_Dairy_ProteinContentInMilk_Unit">_xlfn.LAMBDA("percent")</definedName>
    <definedName name="SourceData_Dairy.SourceData_Dairy_ProteinContentInMilk_Variable">_xlfn.LAMBDA("PC_j")</definedName>
    <definedName name="SourceData_Dairy.SourceData_Dairy_ProteinContentInMilk_Variation">_xlfn.LAMBDA("")</definedName>
    <definedName name="SourceData_Dairy.SourceData_Dairy_ReferenceWeights_Data">_xlfn.LAMBDA(_xlfn.MAKEARRAY(2, 5, _xlfn.LAMBDA(_xlpm.r,_xlpm.c, INDEX({"Milking Cows","Heifers &gt;1","Heifers &lt;1 (weaned)","Bulls &gt;1","Bulls &lt;1 (weaned)";590,590,590,770,770}, _xlpm.r, _xlpm.c))))</definedName>
    <definedName name="SourceData_Dairy.SourceData_Dairy_ReferenceWeights_Source">_xlfn.LAMBDA("VEERG 2026: Table A.1.3.4")</definedName>
    <definedName name="SourceData_Dairy.SourceData_Dairy_ReferenceWeights_Title">_xlfn.LAMBDA("Table A.1.3.4: Dairy cattle - Reference weights (kg) (WRj)")</definedName>
    <definedName name="SourceData_Dairy.SourceData_Dairy_ReferenceWeights_Unit">_xlfn.LAMBDA("kg")</definedName>
    <definedName name="SourceData_Dairy.SourceData_Dairy_ReferenceWeights_Variable">_xlfn.LAMBDA("WRj")</definedName>
    <definedName name="SourceData_Dairy.SourceData_Dairy_ReferenceWeights_Variation">_xlfn.LAMBDA("")</definedName>
    <definedName name="SourceData_Dairy.SourceData_Dairy_Symbols_Livestock_Dairy_DairyCattleClasses_Data">_xlfn.LAMBDA(_xlfn.MAKEARRAY(6, 3, _xlfn.LAMBDA(_xlpm.r,_xlpm.c, INDEX({"Symbol","State/ territory (i)","";1,"Milking cows","Milking cows (1)";2,"Heifers &gt; 1 year","Heifers &gt; 1 year (2)";3,"Heifers &lt; 1 year","Heifers &lt; 1 year (3)";4,"Bulls &gt; 1 year","Bulls &gt; 1 year (4)";5,"Bulls &lt; 1 year","Bulls &lt; 1 year (5)"}, _xlpm.r, _xlpm.c))))</definedName>
    <definedName name="SourceData_Dairy.SourceData_Dairy_Symbols_Livestock_Dairy_DairyCattleClasses_Source">_xlfn.LAMBDA("National Inventory Report 2023 Volume 1")</definedName>
    <definedName name="SourceData_Dairy.SourceData_Dairy_Symbols_Livestock_Dairy_DairyCattleClasses_Title">_xlfn.LAMBDA("Table 5.2 Symbols used in algorithms for dairy cattle - Dairy cattle classes (j)")</definedName>
    <definedName name="SourceData_Dairy.SourceData_Dairy_Symbols_Livestock_Dairy_DairyCattleClasses_Unit">_xlfn.LAMBDA("")</definedName>
    <definedName name="SourceData_Dairy.SourceData_Dairy_Symbols_Livestock_Dairy_DairyCattleClasses_Variable">_xlfn.LAMBDA("j")</definedName>
    <definedName name="SourceData_Dairy.SourceData_Dairy_Symbols_Livestock_Dairy_StateTerritory_Data">_xlfn.LAMBDA(_xlfn.MAKEARRAY(9, 2, _xlfn.LAMBDA(_xlpm.r,_xlpm.c, INDEX({"Symbol","State/ territory (i)";1,"ACT";2,"Northern Territory";3,"NSW";4,"Queensland";5,"Tasmania";6,"South Australia";7,"Victoria";8,"Western Australia"}, _xlpm.r, _xlpm.c))))</definedName>
    <definedName name="SourceData_Dairy.SourceData_Dairy_Symbols_Livestock_Dairy_StateTerritory_Source">_xlfn.LAMBDA("National Inventory Report 2023 Volume 1")</definedName>
    <definedName name="SourceData_Dairy.SourceData_Dairy_Symbols_Livestock_Dairy_StateTerritory_Title">_xlfn.LAMBDA("Table 5.2 Symbols used in algorithms for dairy cattle - State/Territory (i)")</definedName>
    <definedName name="SourceData_Dairy.SourceData_Dairy_Symbols_Livestock_Dairy_StateTerritory_Unit">_xlfn.LAMBDA("")</definedName>
    <definedName name="SourceData_Dairy.SourceData_Dairy_Symbols_Livestock_Dairy_StateTerritory_Variable">_xlfn.LAMBDA("s")</definedName>
    <definedName name="SourceData_Feedlot.SourceData_Feedlot_AshContent_Data">_xlfn.LAMBDA(0.16)</definedName>
    <definedName name="SourceData_Feedlot.SourceData_Feedlot_AshContent_Source">_xlfn.LAMBDA("VEERG 2026: 4.1.2.3 CONSTANTS")</definedName>
    <definedName name="SourceData_Feedlot.SourceData_Feedlot_AshContent_Title">_xlfn.LAMBDA("Ash content of manure.")</definedName>
    <definedName name="SourceData_Feedlot.SourceData_Feedlot_AshContent_Unit">_xlfn.LAMBDA("Fraction")</definedName>
    <definedName name="SourceData_Feedlot.SourceData_Feedlot_AshContent_Variable">_xlfn.LAMBDA("A")</definedName>
    <definedName name="SourceData_Feedlot.SourceData_Feedlot_AshContent_Variation">_xlfn.LAMBDA("")</definedName>
    <definedName name="SourceData_Feedlot.SourceData_Feedlot_MCF_Data">_xlfn.LAMBDA(_xlfn.MAKEARRAY(6, 11, _xlfn.LAMBDA(_xlpm.r,_xlpm.c, INDEX({"Treatment stage T","MMS m","NSW","ACT","QLD","NT","SA","VIC","WA","TAS","NIR definition";"Primary","Dry lot (Feedpad)",0.01,0.01,0.03,"No data",0.01,0.01,0.01,"No data","Drylot (feed pad)";"Secondary","Solid Storage (Stockpile)",0.02,0.02,0.02,"No data",0.02,0.02,0.02,"No data","Solid storage";"Secondary","Composting (Passive Windrow)",0.01,0.01,0.01,"No data",0.01,0.01,0.01,"No data","Composting (passive windrow)";"Secondary","Direct Application to soil",0,0,0,"No data",0,0,0,"No data","Direct application";"Tertiary","Uncovered anaerobic lagoon (Effluent pond)",0.75,0.75,0.77,"No data",0.75,0.75,0.77,"No data","Anaerobic lagoon"}, _xlpm.r, _xlpm.c))))</definedName>
    <definedName name="SourceData_Feedlot.SourceData_Feedlot_MCF_Source">_xlfn.LAMBDA("VEERG 2026: Table A.1.7.4: Feedlot - MCFs")</definedName>
    <definedName name="SourceData_Feedlot.SourceData_Feedlot_MCF_Title">_xlfn.LAMBDA("Feedlot - MCFs")</definedName>
    <definedName name="SourceData_Feedlot.SourceData_Feedlot_MCF_Unit">_xlfn.LAMBDA("")</definedName>
    <definedName name="SourceData_Feedlot.SourceData_Feedlot_MCF_Variation">_xlfn.LAMBDA(_xlfn.MAKEARRAY(4, 1, _xlfn.LAMBDA(_xlpm.r,_xlpm.c, INDEX({"VARIATION ON SOURCE:";"Duplicated NSW values for ACT";"Added NT and TAS columns with 'no data' values";"Added 'NIR definition' column with MMS names that match NIR definitions."}, _xlpm.r, _xlpm.c))))</definedName>
    <definedName name="SourceData_Feedlot.SourceData_Feedlot_MethaneEmissionsPotential_Data">_xlfn.LAMBDA(0.19)</definedName>
    <definedName name="SourceData_Feedlot.SourceData_Feedlot_MethaneEmissionsPotential_Source">_xlfn.LAMBDA("VEERG 2026: 4.1.2.3 CONSTANTS")</definedName>
    <definedName name="SourceData_Feedlot.SourceData_Feedlot_MethaneEmissionsPotential_Title">_xlfn.LAMBDA("Methane emissions potential.")</definedName>
    <definedName name="SourceData_Feedlot.SourceData_Feedlot_MethaneEmissionsPotential_Unit">_xlfn.LAMBDA("m3 CH4 / kg VS")</definedName>
    <definedName name="SourceData_Feedlot.SourceData_Feedlot_MethaneEmissionsPotential_Variable">_xlfn.LAMBDA("B0")</definedName>
    <definedName name="SourceData_Feedlot.SourceData_Feedlot_MethaneEmissionsPotential_Variation">_xlfn.LAMBDA("")</definedName>
    <definedName name="SourceData_Feedlot.SourceData_Feedlot_MMSm1T3_Data">_xlfn.LAMBDA(0.02)</definedName>
    <definedName name="SourceData_Feedlot.SourceData_Feedlot_MMSm1T3_Source">_xlfn.LAMBDA("VEERG 2026: 4.1.2.3 CONSTANTS")</definedName>
    <definedName name="SourceData_Feedlot.SourceData_Feedlot_MMSm1T3_Title">_xlfn.LAMBDA("Fraction of volatile solids to each tertiary system assumed that 2 per cent is run - off from the feed pad.")</definedName>
    <definedName name="SourceData_Feedlot.SourceData_Feedlot_MMSm1T3_Unit">_xlfn.LAMBDA("Fraction")</definedName>
    <definedName name="SourceData_Feedlot.SourceData_Feedlot_MMSm1T3_Variable">_xlfn.LAMBDA("MMSm1T3")</definedName>
    <definedName name="SourceData_Feedlot.SourceData_Feedlot_MMSm1T3_Variation">_xlfn.LAMBDA("")</definedName>
    <definedName name="SourceData_Feedlot.SourceData_Feedlot_VSL_Data">_xlfn.LAMBDA(0.5)</definedName>
    <definedName name="SourceData_Feedlot.SourceData_Feedlot_VSL_Source">_xlfn.LAMBDA("VEERG 2026: 4.1.2.3 CONSTANTS")</definedName>
    <definedName name="SourceData_Feedlot.SourceData_Feedlot_VSL_Title">_xlfn.LAMBDA("Feedlot - Fraction of volatile solids lost during storage in the primary system")</definedName>
    <definedName name="SourceData_Feedlot.SourceData_Feedlot_VSL_Unit">_xlfn.LAMBDA("Fraction")</definedName>
    <definedName name="SourceData_Feedlot.SourceData_Feedlot_VSL_Variable">_xlfn.LAMBDA("VSL")</definedName>
    <definedName name="SourceData_Feedlot.SourceData_Feedlot_VSL_Variation">_xlfn.LAMBDA("")</definedName>
    <definedName name="SourceData_PastureBeef.NIR_2023_Vol2_A5_5_2_1_PastureBeef_Liveweight_Data">_xlfn.LAMBDA(_xlfn.MAKEARRAY(61, 15, _xlfn.LAMBDA(_xlpm.r,_xlpm.c, INDEX({"State","Region","Season","Bulls &lt; 1","Bulls &gt; 1","Cows &lt; 1","Cows 1-2","Cows &gt; 2","Cows 2-3","Cows &gt; 3","Steers &lt; 1","Steers &gt; 1","Steers 1-2","Steers 2-3","Steers &gt; 3";"ACT","","Spring",80,480,75,300,440,"","",75,380,"","","";"ACT","","Summer",170,520,160,360,470,"","",160,420,"","","";"ACT","","Autumn",240,550,220,390,490,"","",220,450,"","","";"ACT","","Winter",280,560,260,410,500,"","",260,460,"","","";"NSW","","Spring",80,480,75,300,440,"","",75,380,"","","";"NSW","","Summer",170,520,160,360,470,"","",160,420,"","","";"NSW","","Autumn",240,550,220,390,490,"","",220,450,"","","";"NSW","","Winter",280,560,260,410,500,"","",260,460,"","","";"SA","","Spring",250,800,220,400,500,"","",230,420,"","","";"SA","","Summer",320,800,280,420,500,"","",290,420,"","","";"SA","","Autumn",80,700,70,300,450,"","",75,400,"","","";"SA","","Winter",160,700,140,350,450,"","",150,400,"","","";"TAS","","Spring",105,700,85,300,490,"","",90,480,"","","";"TAS","","Summer",480,750,150,350,530,"","",160,460,"","","";"TAS","","Autumn",250,725,200,360,500,"","",215,490,"","","";"TAS","","Winter",260,700,210,380,460,"","",230,470,"","","";"VIC","","Spring",250,820,240,410,560,"","",240,510,"","","";"VIC","","Summer",280,850,260,440,550,"","",270,520,"","","";"VIC","","Autumn",100,700,95,300,450,"","",95,410,"","","";"VIC","","Winter",150,720,140,320,470,"","",140,440,"","","";"WA","South West","Spring",340,800,260,420,550,"","",300,480,"","","";"WA","South West","Summer",380,780,300,450,530,"","",340,470,"","","";"WA","South West","Autumn",100,680,80,320,480,"","",100,340,"","","";"WA","South West","Winter",190,700,150,330,490,"","",170,360,"","","";"WA","Pilbara","Spring",80,450,70,260,340,"","",80,370,"","","";"WA","Pilbara","Summer",150,500,140,310,360,"","",150,400,"","","";"WA","Pilbara","Autumn",230,550,220,330,380,"","",230,420,"","","";"WA","Pilbara","Winter",250,500,240,340,360,"","",250,390,"","","";"WA","Kimberley","Spring:",220,500,180,300,320,"","",210,340,"","","";"WA","Kimberley","Summer:",110,550,90,220,380,"","",100,390,"","","";"WA","Kimberley","Autumn:",170,600,140,270,390,"","",160,430,"","","";"WA","Kimberley","Winter:",200,550,150,280,350,"","",190,400,"","","";"NT","Alice Springs","Spring",220,706,208,323,"",415,467,223,"",371,493,585;"NT","Alice Springs","Summer",110,703,112,256,"",368,465,108,"",280,421,543;"NT","Alice Springs","Autumn",170,721,169,306,"",392,464,176,"",339,470,580;"NT","Alice Springs","Winter",200,727,211,338,"",432,492,222,"",377,498,590;"NT","Barkly","Spring",220,620,227,319,"",398,452,216,"",334,0,0;"NT","Barkly","Summer",110,650,108,262,"",346,430,111,"",236,0,0;"NT","Barkly","Autumn",170,670,170,266,"",363,444,169,"",282,0,0;"NT","Barkly","Winter",200,660,225,307,"",398,452,214,"",326,0,0;"NT","Northern","Spring",220,620,177,267,"",365,406,231,"",249,324,0;"NT","Northern","Summer",110,650,102,203,"",299,380,102,"",218,263,0;"NT","Northern","Autumn",170,670,173,250,"",336,414,175,"",243,304,0;"NT","Northern","Winter",200,660,202,272,"",365,390,208,"",260,337,0;"QLD","High","Spring",260,705,215,302,"",416,519,234,"",455,551,660;"QLD","High","Summer",153,703,118,277,"",397,483,111,"",304,521,547;"QLD","High","Autumn",168,718,191,319,"",440,506,188,"",326,520,582;"QLD","High","Winter",235,722,207,352,"",470,514,209,"",421,512,605;"QLD","Moderate/High","Spring",230,674,217,"",344,357,467,242,"",370,550,620;"QLD","Moderate/High","Summer",113,669,113,"",283,361,477,120,"",273,545,553;"QLD","Moderate/High","Autumn",172,685,172,"",309,376,471,238,"",329,573,620;"QLD","Moderate/High","Winter",241,692,208,"",344,364,484,260,"",350,567,620;"QLD","Moderate/Low","Spring",236,674,178,"",310,428,466,193,"",370,519,565;"QLD","Moderate/Low","Summer",120,669,112,"",250,390,448,115,"",273,433,556;"QLD","Moderate/Low","Autumn",125,685,140,"",277,407,455,141,"",296,445,593;"QLD","Moderate/Low","Winter",180,692,183,"",316,438,468,189,"",354,500,553;"QLD","Low","Spring",190,617,174,"",265,371,415,170,"",272,392,531;"QLD","Low","Summer",119,591,140,"",205,310,405,133,"",218,315,445;"QLD","Low","Autumn",175,610,163,"",232,351,427,146,"",242,320,471;"QLD","Low","Winter",192,615,162,"",255,364,420,157,"",261,342,484}, _xlpm.r, _xlpm.c))))</definedName>
    <definedName name="SourceData_PastureBeef.NIR_2023_Vol2_A5_5_2_1_PastureBeef_Liveweight_Source">_xlfn.LAMBDA("National Inventory Report 2023 Volume 2 - Table A5.5.2.1")</definedName>
    <definedName name="SourceData_PastureBeef.NIR_2023_Vol2_A5_5_2_1_PastureBeef_Liveweight_Title">_xlfn.LAMBDA("Beef cattle - Liveweight")</definedName>
    <definedName name="SourceData_PastureBeef.NIR_2023_Vol2_A5_5_2_1_PastureBeef_Liveweight_Unit">_xlfn.LAMBDA("kg/head/day")</definedName>
    <definedName name="SourceData_PastureBeef.NIR_2023_Vol2_A5_5_2_1_PastureBeef_Liveweight_Variation">_xlfn.LAMBDA("")</definedName>
    <definedName name="SourceData_PastureBeef.NIR_2023_Vol2_A5_5_2_2_PastureBeef_LiveweightGain_Data">_xlfn.LAMBDA(_xlfn.MAKEARRAY(61, 15, _xlfn.LAMBDA(_xlpm.r,_xlpm.c, INDEX({"State","Region","Season","Bulls &lt; 1","Bulls &gt; 1","Cows &lt; 1","Cows 1-2","Cows &gt; 2","Cows 2-3","Cows &gt; 3","Steers &lt; 1","Steers &gt; 1","Steers 1-2","Steers 2-3","Steers &gt; 3";"ACT","","Spring",0.5,0.2,0.5,0.4,0.3,"","",0.5,0.4,"","","";"ACT","","Summer",1,0.4,0.9,0.7,0.3,"","",0.9,0.4,"","","";"ACT","","Autumn",0.8,0.3,0.7,0.3,0.2,"","",0.7,0.3,"","","";"ACT","","Winter",0.4,0.1,0.4,0.2,0.1,"","",0.4,0.1,"","","";"NSW","","Spring",0.5,0.2,0.5,0.4,0.3,"","",0.5,0.4,"","","";"NSW","","Summer",1,0.4,0.9,0.7,0.3,"","",0.9,0.4,"","","";"NSW","","Autumn",0.8,0.3,0.7,0.3,0.2,"","",0.7,0.3,"","","";"NSW","","Winter",0.4,0.1,0.4,0.2,0.1,"","",0.4,0.1,"","","";"SA","","Spring",0.99,1.1,0.88,0.55,0.55,"","",0.88,0.22,"","","";"SA","","Summer",0.77,0,0.66,0.22,0,"","",0.66,0,"","","";"SA","","Autumn",0.9,-1.1,0.7,0.22,-0.55,"","",0.8,-0.22,"","","";"SA","","Winter",0.88,0,0.77,0.55,0,"","",0.82,0,"","","";"TAS","","Spring",1,0.5,1,1,-0.44,"","",1,0.5,"","","";"TAS","","Summer",0.82,0.55,0.71,0.55,0.99,"","",0.77,0.5,"","","";"TAS","","Autumn",0.77,0.5,0.55,0.11,-0.33,"","",0.6,0.33,"","","";"TAS","","Winter",0.11,-0.27,0.11,0.22,-0.44,"","",0.16,-0.22,"","","";"VIC","","Spring",1.1,1.1,1.1,0.99,0.99,"","",1.1,0.77,"","","";"VIC","","Summer",0.33,0.33,0.22,0.33,-0.1,"","",0.33,0.11,"","","";"VIC","","Autumn",0.5,0.2,0.55,0.44,0.2,"","",0.55,0.2,"","","";"VIC","","Winter",0.55,0.22,0.49,0.22,0.22,"","",0.49,0.33,"","","";"WA","South West","Spring",1.64,1.1,1.21,0.99,0.66,"","",1.42,1.1,"","","";"WA","South West","Summer",0.44,-0.22,0.44,0.33,-0.22,"","",0.44,-0.11,"","","";"WA","South West","Autumn",0.6,0,0.6,0.22,-0.55,"","",0.6,0,"","","";"WA","South West","Winter",0.99,0.22,0.77,0.11,0.11,"","",0.77,0.44,"","","";"WA","Pilbara","Spring",0.7,-0.55,0.7,0.22,-0.22,"","",0.7,-0.22,"","","";"WA","Pilbara","Summer",0.77,0.55,0.77,0.66,0.55,"","",0.77,0.33,"","","";"WA","Pilbara","Autumn",0.88,0.55,0.88,0.22,0.22,"","",0.88,0.22,"","","";"WA","Pilbara","Winter",0.22,-0.55,0.22,0.11,-0.22,"","",0.22,-0.33,"","","";"WA","Kimberley","Spring",0.22,-0.55,0.33,0.22,-0.33,"","",0.22,-0.55,"","","";"WA","Kimberley","Summer",0.8,0.55,0.7,0.44,0.66,"","",0.8,0.55,"","","";"WA","Kimberley","Autumn",0.66,0.55,0.55,0.55,0.11,"","",0.66,0.55,"","","";"WA","Kimberley","Winter",0.33,-0.55,0.11,0.11,-0.44,"","",0.33,-0.55,"","","";"NT","Alice Springs","Spring",0.22,-0.23,0.25,0.17,"",0.18,-0.28,0.32,"",0.24,0.25,-0.05;"NT","Alice Springs","Summer",0.66,0.2,0.62,0.54,"",0.38,0.27,0.75,"",0.64,0.55,0.48;"NT","Alice Springs","Autumn",0.49,0.13,0.54,0.45,"",0.35,0.15,0.63,"",0.54,0.42,0.26;"NT","Alice Springs","Winter",0.27,-0.8,0.22,0.09,"",0.12,0.02,0.25,"",0.18,0.12,0.03;"NT","Barkly","Spring",0.22,-0.44,0.2,0.21,"",0.18,0.01,0.12,"",0.09,0,0;"NT","Barkly","Summer",0.66,0.22,0.68,0.22,"",0.24,0.25,0.64,"",0.37,0,0;"NT","Barkly","Autumn",0.49,0.05,0.64,0.25,"",0.29,0.12,0.57,"",0.49,0,0;"NT","Barkly","Winter",0.27,-0.27,0.31,0.29,"",0.19,0.04,0.26,"",0.28,0,0;"NT","Northern","Spring",0.22,-0.44,0,0.15,"",0.08,0.17,0.06,"",0.02,-0.14,0;"NT","Northern","Summer",0.66,0.22,0.79,0.4,"",0.38,0.27,0.8,"",0.16,0.3,0;"NT","Northern","Autumn",0.49,0.05,0.55,0.38,"",0.36,0.06,0.58,"",0.23,0.4,0;"NT","Northern","Winter",0.27,-0.27,0.02,0.09,"",0.16,-0.04,0.21,"",0.03,0.11,0;"QLD","High","Spring",0.27,-0.19,0.38,0.25,"",0.07,0.05,0.52,"",0.55,0.19,0.6;"QLD","High","Summer",0.16,0.16,0.8,0.57,"",0.76,0.49,0.84,"",0.51,0.36,0.17;"QLD","High","Autumn",0.45,0.1,0.49,0.41,"",0.4,0.17,0.54,"",0.64,-0.05,0.32;"QLD","High","Winter",0.51,-0.07,0.13,-0.09,"",-0.13,0.07,0.25,"",0.71,0.17,0.43;"QLD","Moderate/High","Spring",-0.12,-0.19,0.41,0.09,"",0.41,-0.19,0.07,"",1.07,-0.08,0;"QLD","Moderate/High","Summer",0.65,0.19,0.65,0.51,"",0.18,0.63,1.3,"",0.48,1.12,0.38;"QLD","Moderate/High","Autumn",0.7,0.13,0.52,0.34,"",0.02,0.04,0.77,"",0.42,0.12,0.74;"QLD","Moderate/High","Winter",0.32,-0.06,0.25,0.19,"",-0.1,-0.02,0.02,"",0.23,-0.13,0;"QLD","Moderate/Low","Spring",0.62,-0.19,0.37,0.41,"",0.06,-0.02,0.47,"",0.44,0.3,0.13;"QLD","Moderate/Low","Summer",0.05,0.19,0.31,0.54,"",0.53,0.15,0.28,"",0.57,0.42,0.4;"QLD","Moderate/Low","Autumn",0.33,0.13,0.39,0.36,"",0.26,0.11,0.4,"",0.44,0.37,-0.01;"QLD","Moderate/Low","Winter",0.61,-0.06,0.21,0.18,"",0.12,0.06,0.29,"",0.41,0.41,-0.15;"QLD","Low","Spring",-0.2,0.02,0.24,0.3,"",0.23,-0.05,0.34,"",0.3,0.57,0.52;"QLD","Low","Summer",0.62,0.21,0.25,0.32,"",0.47,0.31,0.14,"",0.4,0.26,0.43;"QLD","Low","Autumn",0.4,0.13,0.12,0.27,"",0.3,0.08,0.13,"",0.24,0.15,0.21;"QLD","Low","Winter",0.08,0.04,0.06,0.18,"",0.11,-0.07,0.13,"",0.16,0.4,0.33}, _xlpm.r, _xlpm.c))))</definedName>
    <definedName name="SourceData_PastureBeef.NIR_2023_Vol2_A5_5_2_2_PastureBeef_LiveweightGain_Source">_xlfn.LAMBDA("National Inventory Report 2023 Volume 2 - Table A5.5.2.2")</definedName>
    <definedName name="SourceData_PastureBeef.NIR_2023_Vol2_A5_5_2_2_PastureBeef_LiveweightGain_Title">_xlfn.LAMBDA("Beef cattle - Liveweight gain")</definedName>
    <definedName name="SourceData_PastureBeef.NIR_2023_Vol2_A5_5_2_2_PastureBeef_LiveweightGain_Unit">_xlfn.LAMBDA("kg/head/day")</definedName>
    <definedName name="SourceData_PastureBeef.NIR_2023_Vol2_A5_5_2_2_PastureBeef_LiveweightGain_Variation">_xlfn.LAMBDA("VARIATION OF SOURCE DATA: ACT and NSW split. 'NO' replaced with 0.")</definedName>
    <definedName name="SourceData_PastureBeef.NIR_2023_Vol2_A5_5_2_3_PastureBeef_DryMatterDigestibility_Data">_xlfn.LAMBDA(_xlfn.MAKEARRAY(11, 6, _xlfn.LAMBDA(_xlpm.r,_xlpm.c, INDEX({"State","Region","Spring","Summer","Autumn","Winter";"ACT","",55,65,60,50;"NSW","",55,65,60,50;"NT","",55,61,57,54;"QLD","",53,57,55,51;"SA","",70,55,55,75;"TAS","",75,60,70,75;"VIC","",80,55,60,76;"WA","South West",80,58,50,75;"WA","Pilbara",40,65,55,45;"WA","Kimberley",40,65,55,45}, _xlpm.r, _xlpm.c))))</definedName>
    <definedName name="SourceData_PastureBeef.NIR_2023_Vol2_A5_5_2_3_PastureBeef_DryMatterDigestibility_Source">_xlfn.LAMBDA("National Inventory Report 2023 Volume 2 - Table A5.5.2.3")</definedName>
    <definedName name="SourceData_PastureBeef.NIR_2023_Vol2_A5_5_2_3_PastureBeef_DryMatterDigestibility_Title">_xlfn.LAMBDA("Beef cattle - Dry matter digestibility of feed intake (per cent)")</definedName>
    <definedName name="SourceData_PastureBeef.NIR_2023_Vol2_A5_5_2_3_PastureBeef_DryMatterDigestibility_Unit">_xlfn.LAMBDA("per cent")</definedName>
    <definedName name="SourceData_PastureBeef.NIR_2023_Vol2_A5_5_2_3_PastureBeef_DryMatterDigestibility_Variation">_xlfn.LAMBDA("VARIATION OF SOURCE DATA: ACT and NSW split.")</definedName>
    <definedName name="SourceData_PastureBeef.NIR_2023_Vol2_A5_5_2_4_PastureBeef_CrudeProteinContent_Data">_xlfn.LAMBDA(_xlfn.MAKEARRAY(11, 6, _xlfn.LAMBDA(_xlpm.r,_xlpm.c, INDEX({"State","Region","Spring","Summer","Autumn","Winter";"ACT","",0.07,0.13,0.1,0.06;"NSW","",0.07,0.13,0.1,0.06;"NT","",0.058,0.092,0.075,0.053;"QLD","",0.072,0.099,0.078,0.059;"SA","",0.16,0.07,0.09,0.2;"TAS","",0.2,0.1,0.16,0.2;"VIC","",0.25,0.07,0.1,0.21;"WA","South West",0.2,0.09,0.06,0.2;"WA","Pilbara",0.04,0.12,0.09,0.06;"WA","Kimberley",0.04,0.12,0.09,0.06}, _xlpm.r, _xlpm.c))))</definedName>
    <definedName name="SourceData_PastureBeef.NIR_2023_Vol2_A5_5_2_4_PastureBeef_CrudeProteinContent_Source">_xlfn.LAMBDA("National Inventory Report 2023 Volume 2 - Table A5.5.2.4")</definedName>
    <definedName name="SourceData_PastureBeef.NIR_2023_Vol2_A5_5_2_4_PastureBeef_CrudeProteinContent_Title">_xlfn.LAMBDA("Beef cattle - Crude protein content of feed intake (fraction)")</definedName>
    <definedName name="SourceData_PastureBeef.NIR_2023_Vol2_A5_5_2_4_PastureBeef_CrudeProteinContent_Unit">_xlfn.LAMBDA("fraction")</definedName>
    <definedName name="SourceData_PastureBeef.NIR_2023_Vol2_A5_5_2_4_PastureBeef_CrudeProteinContent_Variation">_xlfn.LAMBDA("VARIATION OF SOURCE DATA: ACT and NSW split.")</definedName>
    <definedName name="SourceData_PastureBeef.NIR_2023_Vol2_A5_5_2_5_PastureBeef_CrudeProteinContent_Data">_xlfn.LAMBDA(_xlfn.MAKEARRAY(41, 5, _xlfn.LAMBDA(_xlpm.r,_xlpm.c, INDEX({"State","Region","Season","Feed adjustment","Milk intake / production (kg/day)";"ACT","","Spring",1.3,6;"ACT","","Summer",1.1,4;"ACT","","Autumn",0,0;"ACT","","Winter",0,0;"NSW","","Spring",1.3,6;"NSW","","Summer",1.1,4;"NSW","","Autumn",0,0;"NSW","","Winter",0,0;"NT","","Spring",0,0;"NT","","Summer",1.3,4;"NT","","Autumn",1.1,3;"NT","","Winter",0,0;"QLD","","Spring",0,0;"QLD","","Summer",1.3,4;"QLD","","Autumn",1.1,3;"QLD","","Winter",0,0;"SA","","Spring",0,0;"SA","","Summer",0,0;"SA","","Autumn",1.3,6;"SA","","Winter",1.1,4;"TAS","","Spring",1.3,6;"TAS","","Summer",1.1,4;"TAS","","Autumn",0,0;"TAS","","Winter",0,0;"VIC","","Spring",0,0;"VIC","","Summer",0,0;"VIC","","Autumn",1.3,6;"VIC","","Winter",1.1,4;"WA","South West","Spring",0,0;"WA","South West","Summer",0,0;"WA","South West","Autumn",1.3,6;"WA","South West","Winter",1.1,4;"WA","Pilbara","Spring",1.3,4;"WA","Pilbara","Summer",1.1,3;"WA","Pilbara","Autumn",0,0;"WA","Pilbara","Winter",0,0;"WA","Kimberley","Spring",0,0;"WA","Kimberley","Summer",1.3,4;"WA","Kimberley","Autumn",1.1,3;"WA","Kimberley","Winter",0,0}, _xlpm.r, _xlpm.c))))</definedName>
    <definedName name="SourceData_PastureBeef.NIR_2023_Vol2_A5_5_2_5_PastureBeef_CrudeProteinContent_Source">_xlfn.LAMBDA("National Inventory Report 2023 Volume 2 - Table A5.5.2.5")</definedName>
    <definedName name="SourceData_PastureBeef.NIR_2023_Vol2_A5_5_2_5_PastureBeef_CrudeProteinContent_Title">_xlfn.LAMBDA("Beef Cattle - Feed intake adjustment and milk production and production")</definedName>
    <definedName name="SourceData_PastureBeef.NIR_2023_Vol2_A5_5_2_5_PastureBeef_CrudeProteinContent_Unit">_xlfn.LAMBDA("")</definedName>
    <definedName name="SourceData_PastureBeef.NIR_2023_Vol2_A5_5_2_5_PastureBeef_CrudeProteinContent_Variation">_xlfn.LAMBDA("VARIATION OF SOURCE DATA: ACT and NSW split. State names replaced by abbreviations to aid data lookup.")</definedName>
    <definedName name="SourceData_PastureBeef.NIR_2023_Vol2_A5_5_2_6_PastureBeef_StandardReferenceWeights_Data">_xlfn.LAMBDA(_xlfn.MAKEARRAY(9, 8, _xlfn.LAMBDA(_xlpm.r,_xlpm.c, INDEX({"State","Bulls &lt; 1","Bulls &gt; 1","Cows &lt; 1","Cows 1-2","Cows &gt; 2","Steers &lt; 1","Steers &gt; 1";"ACT",700,700,600,500,500,500,600;"NSW",700,700,600,500,500,500,600;"Northern Territory",770,770,660,550,550,550,660;"Queensland",770,770,660,550,550,550,660;"South Australia",770,770,660,550,550,550,660;"Tasmania",770,770,660,550,550,550,660;"Victoria",770,770,660,550,550,550,660;"Western Australia",770,770,660,550,550,550,660}, _xlpm.r, _xlpm.c))))</definedName>
    <definedName name="SourceData_PastureBeef.NIR_2023_Vol2_A5_5_2_6_PastureBeef_StandardReferenceWeights_Source">_xlfn.LAMBDA("National Inventory Report 2023 Volume 2 - Table A5.5.2.6")</definedName>
    <definedName name="SourceData_PastureBeef.NIR_2023_Vol2_A5_5_2_6_PastureBeef_StandardReferenceWeights_Title">_xlfn.LAMBDA("Beef cattle - Standard reference weights (kg)")</definedName>
    <definedName name="SourceData_PastureBeef.NIR_2023_Vol2_A5_5_2_6_PastureBeef_StandardReferenceWeights_Unit">_xlfn.LAMBDA("kg")</definedName>
    <definedName name="SourceData_PastureBeef.NIR_2023_Vol2_A5_5_2_6_PastureBeef_StandardReferenceWeights_Variation">_xlfn.LAMBDA(_xlfn.MAKEARRAY(4, 1, _xlfn.LAMBDA(_xlpm.r,_xlpm.c, INDEX({"VARIATION OF SOURCE DATA:";"ACT and NSW split.";"State names replaced by abbreviations to aid data lookup.";"Pluralised 'Steer' to 'Steers' for consistency."}, _xlpm.r, _xlpm.c))))</definedName>
    <definedName name="SourceData_PastureBeef.SourceData_PastureBeef_AshContentOfFeedIntake_Data">_xlfn.LAMBDA(0.08)</definedName>
    <definedName name="SourceData_PastureBeef.SourceData_PastureBeef_AshContentOfFeedIntake_Source">_xlfn.LAMBDA("VEERG 2026: 4.2.2.3 CONSTANTS")</definedName>
    <definedName name="SourceData_PastureBeef.SourceData_PastureBeef_AshContentOfFeedIntake_Title">_xlfn.LAMBDA("Ash content of feed intake")</definedName>
    <definedName name="SourceData_PastureBeef.SourceData_PastureBeef_AshContentOfFeedIntake_Unit">_xlfn.LAMBDA("fraction")</definedName>
    <definedName name="SourceData_PastureBeef.SourceData_PastureBeef_AshContentOfFeedIntake_Variable">_xlfn.LAMBDA("A")</definedName>
    <definedName name="SourceData_PastureBeef.SourceData_PastureBeef_AshContentOfFeedIntake_Variation">_xlfn.LAMBDA("")</definedName>
    <definedName name="SourceData_PastureBeef.SourceData_PastureBeef_CrudeProteinContent_Data">_xlfn.LAMBDA(_xlfn.MAKEARRAY(16, 6, _xlfn.LAMBDA(_xlpm.r,_xlpm.c, INDEX({"State","Region","Spring","Summer","Autumn","Winter";"ACT","n/a",0.07,0.13,0.1,0.06;"NSW","n/a",0.07,0.13,0.1,0.06;"NT","Alice Springs",0.058,0.092,0.075,0.053;"NT","Barkly",0.058,0.092,0.075,0.053;"NT","Northern",0.058,0.092,0.075,0.053;"QLD","High",0.072,0.099,0.078,0.059;"QLD","Moderate/High",0.072,0.099,0.078,0.059;"QLD","Moderate/Low",0.072,0.099,0.078,0.059;"QLD","Low",0.072,0.099,0.078,0.059;"SA","n/a",0.16,0.07,0.09,0.2;"TAS","n/a",0.2,0.1,0.16,0.2;"VIC","n/a",0.25,0.07,0.1,0.21;"WA","South West",0.2,0.09,0.06,0.2;"WA","Pilbara",0.04,0.12,0.09,0.06;"WA","Kimberley",0.04,0.12,0.09,0.06}, _xlpm.r, _xlpm.c))))</definedName>
    <definedName name="SourceData_PastureBeef.SourceData_PastureBeef_CrudeProteinContent_Source">_xlfn.LAMBDA("VEERG 2026: Table A.1.2.6")</definedName>
    <definedName name="SourceData_PastureBeef.SourceData_PastureBeef_CrudeProteinContent_Title">_xlfn.LAMBDA("Beef pasture cattle - Crude protein content of feed intake (fraction) (CPj)")</definedName>
    <definedName name="SourceData_PastureBeef.SourceData_PastureBeef_CrudeProteinContent_Unit">_xlfn.LAMBDA("fraction")</definedName>
    <definedName name="SourceData_PastureBeef.SourceData_PastureBeef_CrudeProteinContent_Variable">_xlfn.LAMBDA("CPj")</definedName>
    <definedName name="SourceData_PastureBeef.SourceData_PastureBeef_CrudeProteinContent_Variation">_xlfn.LAMBDA("VARIATION ON SOURCE: Split ACT and NSW into separate rows. Duplicated QLD and NT rows with regions from table A.1.2.2 to aid lookup")</definedName>
    <definedName name="SourceData_PastureBeef.SourceData_PastureBeef_DryMatterDigestibility_Data">_xlfn.LAMBDA(
    _xlfn.MAKEARRAY(16, 6,
      _xlfn.LAMBDA(_xlpm.r,_xlpm.c,
        INDEX({"State","Region","Spring","Summer","Autumn","Winter";"ACT","n/a",0.55,0.65,0.6,0.5;"NSW","n/a",0.55,0.65,0.6,0.5;"NT","Alice Springs",0.55,0.61,0.57,0.54;"NT","Barkly",0.55,0.61,0.57,0.54;"NT","Northern",0.55,0.61,0.57,0.54;"QLD","High",0.53,0.57,0.55,0.51;"QLD","Moderate/High",0.53,0.57,0.55,0.51;"QLD","Moderate/Low",0.53,0.57,0.55,0.51;"QLD","Low",0.53,0.57,0.55,0.51;"SA","n/a",0.7,0.55,0.55,0.75;"TAS","n/a",0.75,0.6,0.7,0.75;"VIC","n/a",0.8,0.55,0.6,0.76;"WA","South West",0.8,0.58,0.5,0.75;"WA","Pilbara",0.4,0.65,0.55,0.45;"WA","Kimberley",0.4,0.65,0.55,0.45}, _xlpm.r, _xlpm.c)
      )
    )
  )</definedName>
    <definedName name="SourceData_PastureBeef.SourceData_PastureBeef_DryMatterDigestibility_Source">_xlfn.LAMBDA("VEERG 2026: Table A.1.2.5")</definedName>
    <definedName name="SourceData_PastureBeef.SourceData_PastureBeef_DryMatterDigestibility_Title">_xlfn.LAMBDA("Beef pasture cattle - Dry matter digestibility of feed intake (fraction) (DMDj)")</definedName>
    <definedName name="SourceData_PastureBeef.SourceData_PastureBeef_DryMatterDigestibility_Unit">_xlfn.LAMBDA("fraction")</definedName>
    <definedName name="SourceData_PastureBeef.SourceData_PastureBeef_DryMatterDigestibility_Variable">_xlfn.LAMBDA("DMDj")</definedName>
    <definedName name="SourceData_PastureBeef.SourceData_PastureBeef_DryMatterDigestibility_Variation">_xlfn.LAMBDA("VARIATION ON SOURCE: Split ACT and NSW into separate rows. Duplicated QLD and NT rows with regions from table A.1.2.2 to aid lookup")</definedName>
    <definedName name="SourceData_PastureBeef.SourceData_PastureBeef_FeedAdjustmentAndMilkProduction_Data">_xlfn.LAMBDA(_xlfn.MAKEARRAY(9, 4, _xlfn.LAMBDA(_xlpm.r,_xlpm.c, INDEX({"Breed","Season","Feed adjustment (MCjk=1,3,6)","Milk intake / production (DMPjk=5)";"Hereford or Shorthorn breeds","Spring",1.3,6;"Hereford or Shorthorn breeds","Summer",1.1,4;"Hereford or Shorthorn breeds","Autumn",0,0;"Hereford or Shorthorn breeds","Winter",0,0;"Northern Brahman cross breed","Spring",0,0;"Northern Brahman cross breed","Summer",1.3,4;"Northern Brahman cross breed","Autumn",1.1,3;"Northern Brahman cross breed","Winter",0,0}, _xlpm.r, _xlpm.c))))</definedName>
    <definedName name="SourceData_PastureBeef.SourceData_PastureBeef_FeedAdjustmentAndMilkProduction_Source">_xlfn.LAMBDA("VEERG 2026: Table A.1.2.7")</definedName>
    <definedName name="SourceData_PastureBeef.SourceData_PastureBeef_FeedAdjustmentAndMilkProduction_Title">_xlfn.LAMBDA("Beef pasture cattle - Feed intake adjustment and milk production (kg/head/day)")</definedName>
    <definedName name="SourceData_PastureBeef.SourceData_PastureBeef_FeedAdjustmentAndMilkProduction_Unit">_xlfn.LAMBDA("")</definedName>
    <definedName name="SourceData_PastureBeef.SourceData_PastureBeef_FeedAdjustmentAndMilkProduction_Variable">_xlfn.LAMBDA("MCjk=1,3,6; DMPjk=5")</definedName>
    <definedName name="SourceData_PastureBeef.SourceData_PastureBeef_FeedAdjustmentAndMilkProduction_Variation">_xlfn.LAMBDA("")</definedName>
    <definedName name="SourceData_PastureBeef.SourceData_PastureBeef_FracGASMSoil_Data">_xlfn.LAMBDA(0.21)</definedName>
    <definedName name="SourceData_PastureBeef.SourceData_PastureBeef_FracGASMSoil_Source">_xlfn.LAMBDA("VEERG 2026: 4.2.2.3 CONSTANTS")</definedName>
    <definedName name="SourceData_PastureBeef.SourceData_PastureBeef_FracGASMSoil_Title">_xlfn.LAMBDA("Fraction of nitrogen volatilised from urine and faeces deposited on pasture")</definedName>
    <definedName name="SourceData_PastureBeef.SourceData_PastureBeef_FracGASMSoil_Unit">_xlfn.LAMBDA("fraction")</definedName>
    <definedName name="SourceData_PastureBeef.SourceData_PastureBeef_FracGASMSoil_Variable">_xlfn.LAMBDA("FracGASMSoil")</definedName>
    <definedName name="SourceData_PastureBeef.SourceData_PastureBeef_FracGASMSoil_Variation">_xlfn.LAMBDA("")</definedName>
    <definedName name="SourceData_PastureBeef.SourceData_PastureBeef_FracLEACH_Data">_xlfn.LAMBDA(0.24)</definedName>
    <definedName name="SourceData_PastureBeef.SourceData_PastureBeef_FracLEACH_Source">_xlfn.LAMBDA("VEERG 2026: 4.2.2.3 CONSTANTS")</definedName>
    <definedName name="SourceData_PastureBeef.SourceData_PastureBeef_FracLEACH_Title">_xlfn.LAMBDA("Default fraction of N that is lost through leaching and runoff")</definedName>
    <definedName name="SourceData_PastureBeef.SourceData_PastureBeef_FracLEACH_Unit">_xlfn.LAMBDA("fraction")</definedName>
    <definedName name="SourceData_PastureBeef.SourceData_PastureBeef_FracLEACH_Variable">_xlfn.LAMBDA("FracLEACH")</definedName>
    <definedName name="SourceData_PastureBeef.SourceData_PastureBeef_FracLEACH_Variation">_xlfn.LAMBDA("")</definedName>
    <definedName name="SourceData_PastureBeef.SourceData_PastureBeef_FractionOfManureToMMS_Data">_xlfn.LAMBDA(_xlfn.MAKEARRAY(16, 4, _xlfn.LAMBDA(_xlpm.r,_xlpm.c, INDEX({"State","Region","Pasture range and paddock","Uncovered Anaerobic lagoon";"ACT","n/a",99.192,0.808;"NSW","n/a",99.452,0.548;"SA","n/a",99.759,0.241;"TAS","n/a",99.122,0.878;"VIC","n/a",98.894,1.106;"WA","South West",99.622,0.378;"WA","Pilbara",99.999,0.001;"WA","Kimberley",99.999,0.001;"NT","Alice Springs",99.999,0.001;"NT","Barkly",99.994,0.006;"NT","Northern",99.999,0.001;"QLD","High",99.773,0.227;"QLD","Moderate/High",99.898,0.102;"QLD","Moderate/Low",99.979,0.021;"QLD","Low",99.977,0.023}, _xlpm.r, _xlpm.c))))</definedName>
    <definedName name="SourceData_PastureBeef.SourceData_PastureBeef_FractionOfManureToMMS_Source">_xlfn.LAMBDA("VEERG 2026: Table A.1.2.9")</definedName>
    <definedName name="SourceData_PastureBeef.SourceData_PastureBeef_FractionOfManureToMMS_Title">_xlfn.LAMBDA("Beef pasture cattle - Fraction of manure to each manure management system (fraction) (MMSm)")</definedName>
    <definedName name="SourceData_PastureBeef.SourceData_PastureBeef_FractionOfManureToMMS_Unit">_xlfn.LAMBDA("fraction")</definedName>
    <definedName name="SourceData_PastureBeef.SourceData_PastureBeef_FractionOfManureToMMS_Variable">_xlfn.LAMBDA("MMSm")</definedName>
    <definedName name="SourceData_PastureBeef.SourceData_PastureBeef_FractionOfManureToMMS_Variation">_xlfn.LAMBDA("VARIATION ON SOURCE: Removed comma from 'Pasture range and paddock' to aid lookup")</definedName>
    <definedName name="SourceData_PastureBeef.SourceData_PastureBeef_Liveweight_Data">_xlfn.LAMBDA(_xlfn.MAKEARRAY(29, 10, _xlfn.LAMBDA(_xlpm.r,_xlpm.c, INDEX({"State","Region","Season","Bull &lt; 1","Bull &gt; 1","Cow &lt; 1","Cow 1-2","Cow &gt; 2","Steer &lt; 1","Steer &gt; 1";"ACT/NSW","n/a","Spring",80,480,75,300,440,75,380;"ACT/NSW","n/a","Summer",170,520,160,360,470,160,420;"ACT/NSW","n/a","Autumn",240,550,220,390,490,220,450;"ACT/NSW","n/a","Winter",280,560,260,410,500,260,460;"South Australia","n/a","Spring",250,800,220,400,500,230,420;"South Australia","n/a","Summer",320,800,280,420,500,290,420;"South Australia","n/a","Autumn",80,700,70,300,450,75,400;"South Australia","n/a","Winter",160,700,140,350,450,150,400;"Tasmania","n/a","Spring",105,700,85,300,490,90,480;"Tasmania","n/a","Summer",480,750,150,350,530,160,460;"Tasmania","n/a","Autumn",250,725,200,360,500,215,490;"Tasmania","n/a","Winter",260,700,210,380,460,230,470;"Victoria","n/a","Spring",250,820,240,410,560,240,510;"Victoria","n/a","Summer",280,850,260,440,550,270,520;"Victoria","n/a","Autumn",100,700,95,300,450,95,410;"Victoria","n/a","Winter",150,720,140,320,470,140,440;"Western Australia","South West","Spring",340,800,260,420,550,300,480;"Western Australia","South West","Summer",380,780,300,450,530,340,470;"Western Australia","South West","Autumn",100,680,80,320,480,100,340;"Western Australia","South West","Winter",190,700,150,330,490,170,360;"Western Australia","Pilbara","Spring",80,450,70,260,340,80,370;"Western Australia","Pilbara","Summer",150,500,140,310,360,150,400;"Western Australia","Pilbara","Autumn",230,550,220,330,380,230,420;"Western Australia","Pilbara","Winter",250,500,240,340,360,250,390;"Western Australia","Kimberley","Spring",220,500,180,300,320,210,340;"Western Australia","Kimberley","Summer",110,550,90,220,380,100,390;"Western Australia","Kimberley","Autumn",170,600,140,270,390,160,430;"Western Australia","Kimberley","Winter",200,550,150,280,350,190,400}, _xlpm.r, _xlpm.c))))</definedName>
    <definedName name="SourceData_PastureBeef.SourceData_PastureBeef_Liveweight_Source">_xlfn.LAMBDA("VEERG 2026: Table A.1.2.1")</definedName>
    <definedName name="SourceData_PastureBeef.SourceData_PastureBeef_Liveweight_Title">_xlfn.LAMBDA("Beef pasture cattle - Liveweight (kg) (Wjkl)")</definedName>
    <definedName name="SourceData_PastureBeef.SourceData_PastureBeef_Liveweight_Unit">_xlfn.LAMBDA("kg")</definedName>
    <definedName name="SourceData_PastureBeef.SourceData_PastureBeef_Liveweight_Variable">_xlfn.LAMBDA("Wjkl")</definedName>
    <definedName name="SourceData_PastureBeef.SourceData_PastureBeef_Liveweight_Variation">_xlfn.LAMBDA("")</definedName>
    <definedName name="SourceData_PastureBeef.SourceData_PastureBeef_LiveweightGain_Data">_xlfn.LAMBDA(
    _xlfn.MAKEARRAY(29, 10,
      _xlfn.LAMBDA(_xlpm.r,_xlpm.c,
        INDEX({"State","Region","Season","Bull &lt;1","Bull &gt;1","Cow &lt;1","Cow 1-2","Cow &gt;2","Steer &lt;1","Steer &gt;1";"ACT/NSW","n/a","Spring",0.5,0.2,0.5,0.4,0.3,0.5,0.4;"ACT/NSW","n/a","Summer",1,0.4,0.9,0.7,0.3,0.9,0.4;"ACT/NSW","n/a","Autumn",0.8,0.3,0.7,0.3,0.2,0.7,0.3;"ACT/NSW","n/a","Winter",0.4,0.1,0.4,0.2,0.1,0.4,0.1;"South Australia","n/a","Spring",0.99,1.1,0.88,0.55,0.55,0.88,0.22;"South Australia","n/a","Summer",0.77,0,0.66,0.22,0,0.66,0;"South Australia","n/a","Autumn",0.9,-1.1,0.7,0.22,-0.55,0.8,-0.22;"South Australia","n/a","Winter",0.88,0,0.77,0.55,0,0.82,0;"Tasmania","n/a","Spring",1,0.5,1,1,-0.44,1,0.5;"Tasmania","n/a","Summer",0.82,0.55,0.71,0.55,0.99,0.77,0.5;"Tasmania","n/a","Autumn",0.77,0.5,0.55,0.11,-0.33,0.6,0.33;"Tasmania","n/a","Winter",0.11,-0.27,0.11,0.22,-0.44,0.16,-0.22;"Victoria","n/a","Spring",1.1,1.1,1.1,0.99,0.99,1.1,0.77;"Victoria","n/a","Summer",0.33,0.33,0.22,0.33,-0.1,0.33,0.11;"Victoria","n/a","Autumn",0.5,0.2,0.55,0.44,0.2,0.55,0.2;"Victoria","n/a","Winter",0.55,0.22,0.49,0.22,0.22,0.49,0.33;"Western Australia","South West","Spring",1.64,1.1,1.21,0.99,0.66,1.42,1.1;"Western Australia","South West","Summer",0.44,-0.22,0.44,0.33,-0.22,0.44,-0.11;"Western Australia","South West","Autumn",0.6,0,0.6,0.22,-0.55,0.6,0;"Western Australia","South West","Winter",0.99,0.22,0.77,0.11,0.11,0.77,0.44;"Western Australia","Pilbara","Spring",0.7,-0.55,0.7,0.22,-0.22,0.7,-0.22;"Western Australia","Pilbara","Summer",0.77,0.55,0.77,0.66,0.55,0.77,0.33;"Western Australia","Pilbara","Autumn",0.88,0.55,0.88,0.22,0.22,0.88,0.22;"Western Australia","Pilbara","Winter",0.22,-0.55,0.22,0.11,-0.22,0.22,-0.33;"Western Australia","Kimberley","Spring",0.22,-0.55,0.33,0.22,-0.33,0.22,-0.55;"Western Australia","Kimberley","Summer",0.8,0.55,0.7,0.44,0.66,0.8,0.55;"Western Australia","Kimberley","Autumn",0.66,0.55,0.55,0.55,0.11,0.66,0.55;"Western Australia","Kimberley","Winter",0.33,-0.55,0.11,0.11,-0.44,0.33,-0.55}, _xlpm.r, _xlpm.c)
      )
    )
  )</definedName>
    <definedName name="SourceData_PastureBeef.SourceData_PastureBeef_LiveweightGain_Source">_xlfn.LAMBDA("VEERG 2026: Table A.1.2.3")</definedName>
    <definedName name="SourceData_PastureBeef.SourceData_PastureBeef_LiveweightGain_Title">_xlfn.LAMBDA("Beef pasture cattle - Liveweight gain (kg) (LWGjkl)")</definedName>
    <definedName name="SourceData_PastureBeef.SourceData_PastureBeef_LiveweightGain_Unit">_xlfn.LAMBDA("kg")</definedName>
    <definedName name="SourceData_PastureBeef.SourceData_PastureBeef_LiveweightGain_Variable">_xlfn.LAMBDA("LWGjkl")</definedName>
    <definedName name="SourceData_PastureBeef.SourceData_PastureBeef_LiveweightGain_Variation">_xlfn.LAMBDA("VARIATION ON SOURCE: Replaced 'n/a' with 'South West' for first four rows of Western Australia to be consistent with table A.1.2.1")</definedName>
    <definedName name="SourceData_PastureBeef.SourceData_PastureBeef_LiveweightGainNTQLD_Data">_xlfn.LAMBDA(
    _xlfn.MAKEARRAY(29, 13,
      _xlfn.LAMBDA(_xlpm.r,_xlpm.c,
        INDEX({"State","Region","Season","Bull &lt;1","Bull &gt;1","Cow &lt;1","Cow 1-2","Cow 2-3","Cow &gt;3","Steer &lt;1","Steer 1-2","Steer 2-3","Steer &gt;3";"Northern Territory","Alice Springs","Spring",0.22,-0.23,0.25,0.17,0.18,-0.28,0.32,0.24,0.25,-0.05;"Northern Territory","Alice Springs","Summer",0.66,0.2,0.62,0.54,0.38,0.27,0.75,0.64,0.55,0.48;"Northern Territory","Alice Springs","Autumn",0.49,0.13,0.54,0.45,0.35,0.15,0.63,0.54,0.42,0.26;"Northern Territory","Alice Springs","Winter",0.27,-0.8,0.22,0.09,0.12,0.02,0.25,0.18,0.12,0.03;"Northern Territory","Barkly","Spring",0.22,-0.44,0.2,0.21,0.18,0.01,0.12,0.09,"NO","NO";"Northern Territory","Barkly","Summer",0.66,0.22,0.68,0.22,0.24,0.25,0.64,0.37,"NO","NO";"Northern Territory","Barkly","Autumn",0.49,0.05,0.64,0.25,0.29,0.12,0.57,0.49,"NO","NO";"Northern Territory","Barkly","Winter",0.27,-0.27,0.31,0.29,0.19,0.04,0.26,0.28,"NO","NO";"Northern Territory","Northern","Spring",0.22,-0.44,0,0.15,0.08,0.17,0.06,0.02,-0.14,"NO";"Northern Territory","Northern","Summer",0.66,0.22,0.79,0.4,0.38,0.27,0.8,0.16,0.3,"NO";"Northern Territory","Northern","Autumn",0.49,0.05,0.55,0.38,0.36,0.06,0.58,0.23,0.4,"NO";"Northern Territory","Northern","Winter",0.27,-0.27,0.02,0.09,0.16,-0.04,0.21,0.03,0.11,"NO";"Queensland","High","Spring",0.27,-0.19,0.38,0.25,0.07,0.05,0.52,0.55,0.19,0.6;"Queensland","High","Summer",0.16,0.16,0.8,0.57,0.76,0.49,0.84,0.51,0.36,0.17;"Queensland","High","Autumn",0.45,0.1,0.49,0.41,0.4,0.17,0.54,0.64,-0.05,0.32;"Queensland","High","Winter",0.51,-0.07,0.13,-0.09,-0.13,0.07,0.25,0.71,0.17,0.43;"Queensland","Moderate/High","Spring",-0.12,-0.19,0.41,0.09,0.41,-0.19,0.07,1.07,-0.08,0;"Queensland","Moderate/High","Summer",0.65,0.19,0.65,0.51,0.18,0.63,1.3,0.48,1.12,0.38;"Queensland","Moderate/High","Autumn",0.7,0.13,0.52,0.34,0.02,0.04,0.77,0.42,0.12,0.74;"Queensland","Moderate/High","Winter",0.32,-0.06,0.25,0.19,-0.1,-0.02,0.02,0.23,-0.13,0;"Queensland","Moderate/Low","Spring",0.62,-0.19,0.37,0.41,0.06,-0.02,0.47,0.44,0.3,0.13;"Queensland","Moderate/Low","Summer",0.05,0.19,0.31,0.54,0.53,0.15,0.28,0.57,0.42,0.4;"Queensland","Moderate/Low","Autumn",0.33,0.13,0.39,0.36,0.26,0.11,0.4,0.44,0.37,-0.01;"Queensland","Moderate/Low","Winter",0.61,-0.06,0.21,0.18,0.12,0.06,0.29,0.41,0.41,-0.15;"Queensland","Low","Spring",-0.2,0.02,0.24,0.3,0.23,-0.05,0.34,0.3,0.57,0.52;"Queensland","Low","Summer",0.62,0.21,0.25,0.32,0.47,0.31,0.14,0.4,0.26,0.43;"Queensland","Low","Autumn",0.4,0.13,0.12,0.27,0.3,0.08,0.13,0.24,0.15,0.21;"Queensland","Low","Winter",0.08,0.04,0.06,0.18,0.11,-0.07,0.13,0.16,0.4,0.33}, _xlpm.r, _xlpm.c)
      )
    )
  )</definedName>
    <definedName name="SourceData_PastureBeef.SourceData_PastureBeef_LiveweightGainNTQLD_Source">_xlfn.LAMBDA("VEERG 2026: Table A.1.2.4")</definedName>
    <definedName name="SourceData_PastureBeef.SourceData_PastureBeef_LiveweightGainNTQLD_Title">_xlfn.LAMBDA("Beef pasture cattle - Liveweight gain (kg) (LWGjkl) for NT and QLD")</definedName>
    <definedName name="SourceData_PastureBeef.SourceData_PastureBeef_LiveweightGainNTQLD_Unit">_xlfn.LAMBDA("kg")</definedName>
    <definedName name="SourceData_PastureBeef.SourceData_PastureBeef_LiveweightGainNTQLD_Variable">_xlfn.LAMBDA("LWGjkl")</definedName>
    <definedName name="SourceData_PastureBeef.SourceData_PastureBeef_LiveweightGainNTQLD_Variation">_xlfn.LAMBDA("")</definedName>
    <definedName name="SourceData_PastureBeef.SourceData_PastureBeef_LiveweightNTQLD_Data">_xlfn.LAMBDA(_xlfn.MAKEARRAY(29, 13, _xlfn.LAMBDA(_xlpm.r,_xlpm.c, INDEX({"State","Region","Season","Bull &lt;1","Bull &gt;1","Cows &lt;1","Cows 1-2","Cows 2-3","Cows &gt;3","Steer &lt;1","Steer 1-2","Steer 2-3","Steer &gt;3";"Northern Territory","Alice Springs","Spring",220,706,208,323,415,467,223,371,493,585;"Northern Territory","Alice Springs","Summer",110,703,112,256,368,465,108,280,421,543;"Northern Territory","Alice Springs","Autumn",170,721,169,306,392,464,176,339,470,580;"Northern Territory","Alice Springs","Winter",200,727,211,338,432,492,222,377,498,590;"Northern Territory","Barkly","Spring",220,620,227,319,398,452,216,334,"NO","NO";"Northern Territory","Barkly","Summer",110,650,108,262,346,430,111,236,"NO","NO";"Northern Territory","Barkly","Autumn",170,670,170,266,363,444,169,282,"NO","NO";"Northern Territory","Barkly","Winter",200,660,225,307,398,452,214,326,"NO","NO";"Northern Territory","Northern","Spring",220,620,177,267,365,406,231,249,324,"NO";"Northern Territory","Northern","Summer",110,650,102,203,299,380,102,218,263,"NO";"Northern Territory","Northern","Autumn",170,670,173,250,336,414,175,243,304,"NO";"Northern Territory","Northern","Winter",200,660,202,272,365,390,208,260,337,"NO";"Queensland","High","Spring",260,705,215,302,416,519,234,455,551,660;"Queensland","High","Summer",153,703,118,277,397,483,111,304,521,547;"Queensland","High","Autumn",168,718,191,319,440,506,188,326,520,582;"Queensland","High","Winter",235,722,207,352,470,514,209,421,512,605;"Queensland","Moderate/High","Spring",230,674,217,344,357,467,242,370,550,620;"Queensland","Moderate/High","Summer",113,669,113,283,361,477,120,273,545,553;"Queensland","Moderate/High","Autumn",172,685,172,309,376,471,238,329,573,620;"Queensland","Moderate/High","Winter",241,692,208,344,364,484,260,350,567,620;"Queensland","Moderate/Low","Spring",236,674,178,310,428,466,193,370,519,565;"Queensland","Moderate/Low","Summer",120,669,112,250,390,448,115,273,433,556;"Queensland","Moderate/Low","Autumn",125,685,140,277,407,455,141,296,445,593;"Queensland","Moderate/Low","Winter",180,692,183,316,438,468,189,354,500,553;"Queensland","Low","Spring",190,617,174,265,371,415,170,272,392,531;"Queensland","Low","Summer",119,591,140,205,310,405,133,218,315,445;"Queensland","Low","Autumn",175,610,163,232,351,427,146,242,320,471;"Queensland","Low","Winter",192,615,162,255,364,420,157,261,342,484}, _xlpm.r, _xlpm.c))))</definedName>
    <definedName name="SourceData_PastureBeef.SourceData_PastureBeef_LiveweightNTQLD_Source">_xlfn.LAMBDA("VEERG 2026: Table A.1.2.2")</definedName>
    <definedName name="SourceData_PastureBeef.SourceData_PastureBeef_LiveweightNTQLD_Title">_xlfn.LAMBDA("Beef pasture cattle - Liveweight (kg) (Wjkl) for NT and QLD")</definedName>
    <definedName name="SourceData_PastureBeef.SourceData_PastureBeef_LiveweightNTQLD_Unit">_xlfn.LAMBDA("kg")</definedName>
    <definedName name="SourceData_PastureBeef.SourceData_PastureBeef_LiveweightNTQLD_Variable">_xlfn.LAMBDA("Wjkl")</definedName>
    <definedName name="SourceData_PastureBeef.SourceData_PastureBeef_LiveweightNTQLD_Variation">_xlfn.LAMBDA("")</definedName>
    <definedName name="SourceData_PastureBeef.SourceData_PastureBeef_MethaneConversionFactorPerRegion_Data">_xlfn.LAMBDA(_xlfn.MAKEARRAY(16, 4, _xlfn.LAMBDA(_xlpm.r,_xlpm.c, INDEX({"State","Region","Pasture range and paddock","Uncovered Anaerobic lagoon";"ACT","n/a",0.0047,0.71;"NSW","n/a",0.0047,0.75;"SA","n/a",0.0047,0.74;"TAS","n/a",0.0047,0.7;"VIC","n/a",0.0047,0.74;"WA","South West",0.0047,0.76;"WA","Pilbara",0.0047,0.76;"WA","Kimberley",0.0047,0.76;"NT","Alice Springs",0.0047,0.8;"NT","Barkly",0.0047,0.8;"NT","Northern",0.0047,0.8;"QLD","High",0.0047,0.78;"QLD","Moderate/High",0.0047,0.78;"QLD","Moderate/Low",0.0047,0.78;"QLD","Low",0.0047,0.78}, _xlpm.r, _xlpm.c))))</definedName>
    <definedName name="SourceData_PastureBeef.SourceData_PastureBeef_MethaneConversionFactorPerRegion_Source">_xlfn.LAMBDA("VEERG 2026: Table A.1.2.10")</definedName>
    <definedName name="SourceData_PastureBeef.SourceData_PastureBeef_MethaneConversionFactorPerRegion_Title">_xlfn.LAMBDA("Beef pasture cattle - Methane conversion factor per region (fraction) (MCFim)")</definedName>
    <definedName name="SourceData_PastureBeef.SourceData_PastureBeef_MethaneConversionFactorPerRegion_Unit">_xlfn.LAMBDA("fraction")</definedName>
    <definedName name="SourceData_PastureBeef.SourceData_PastureBeef_MethaneConversionFactorPerRegion_Variable">_xlfn.LAMBDA("MCFim")</definedName>
    <definedName name="SourceData_PastureBeef.SourceData_PastureBeef_MethaneConversionFactorPerRegion_Variation">_xlfn.LAMBDA("VARIATION ON SOURCE: Removed comma from 'Pasture range and paddock' to aid lookup")</definedName>
    <definedName name="SourceData_PastureBeef.SourceData_PastureBeef_MethaneEmissionsPotential_Data">_xlfn.LAMBDA(0.19)</definedName>
    <definedName name="SourceData_PastureBeef.SourceData_PastureBeef_MethaneEmissionsPotential_Source">_xlfn.LAMBDA("VEERG 2026: 4.2.2.3 CONSTANTS")</definedName>
    <definedName name="SourceData_PastureBeef.SourceData_PastureBeef_MethaneEmissionsPotential_Title">_xlfn.LAMBDA("Methane emissions potential")</definedName>
    <definedName name="SourceData_PastureBeef.SourceData_PastureBeef_MethaneEmissionsPotential_Unit">_xlfn.LAMBDA("m3 CH4 / kg VS")</definedName>
    <definedName name="SourceData_PastureBeef.SourceData_PastureBeef_MethaneEmissionsPotential_Variable">_xlfn.LAMBDA("B0")</definedName>
    <definedName name="SourceData_PastureBeef.SourceData_PastureBeef_MethaneEmissionsPotential_Variation">_xlfn.LAMBDA("")</definedName>
    <definedName name="SourceData_PastureBeef.SourceData_PastureBeef_StandardReferenceWeights_Data">_xlfn.LAMBDA(_xlfn.MAKEARRAY(9, 9, _xlfn.LAMBDA(_xlpm.r,_xlpm.c, INDEX({"State","Bulls &lt;1","Bulls &gt;1","Cows &lt;1","Cows 1-2","Cows &gt;2","Steer &lt;1","Steer &gt;1","State abbreviation";"ACT",700,700,500,500,500,600,600,"ACT";"NSW",700,700,500,500,500,600,600,"NSW";"Northern Territory",770,770,550,550,550,660,660,"NT";"Queensland",770,770,550,550,550,660,660,"QLD";"South Australia",770,770,550,550,550,660,660,"SA";"Tasmania",770,770,550,550,550,660,660,"TAS";"Victoria",770,770,550,550,550,660,660,"VIC";"Western Australia",770,770,550,550,550,660,660,"WA"}, _xlpm.r, _xlpm.c))))</definedName>
    <definedName name="SourceData_PastureBeef.SourceData_PastureBeef_StandardReferenceWeights_Source">_xlfn.LAMBDA("VEERG 2026: Table A.1.2.8")</definedName>
    <definedName name="SourceData_PastureBeef.SourceData_PastureBeef_StandardReferenceWeights_Title">_xlfn.LAMBDA("Beef pasture cattle - Standard reference weights (kg) (SRWk)")</definedName>
    <definedName name="SourceData_PastureBeef.SourceData_PastureBeef_StandardReferenceWeights_Unit">_xlfn.LAMBDA("kg")</definedName>
    <definedName name="SourceData_PastureBeef.SourceData_PastureBeef_StandardReferenceWeights_Variable">_xlfn.LAMBDA("SRWk")</definedName>
    <definedName name="SourceData_PastureBeef.SourceData_PastureBeef_StandardReferenceWeights_Variation">_xlfn.LAMBDA("VARIATION ON SOURCE: Split ACT and NSW into separate rows. Added 'State abbreviation' column to aid lookup.")</definedName>
    <definedName name="SourceData_PastureBeef_AshContentOfFeedIntake_Data">'Constants - Pasture Beef'!$D$422</definedName>
    <definedName name="SourceData_PastureBeef_FracGASMSoil_Data">'Constants - Pasture Beef'!$D$434</definedName>
    <definedName name="SourceData_PastureBeef_FracLEACH_Data">'Constants - Pasture Beef'!$D$440</definedName>
    <definedName name="SourceData_PastureBeef_MethaneEmissionsPotential_Data">'Constants - Pasture Beef'!$D$428</definedName>
    <definedName name="SourceData_Poultry.SourceData_Poultry_DietProperties_Data" localSheetId="37">_xlfn.LAMBDA(
    _xlfn.MAKEARRAY(6, 5,
      _xlfn.LAMBDA(_xlpm.r,_xlpm.c,
        INDEX({"Nutrient analysis","Layers","Meat chicken growers","Meat chicken breeder","Meat other";"Dry matter intake (kg/head/day)",0.086,0.093,0.103,0.093;"Dry matter digestibility",0.8,0.8,0.8,0.8;"Crude protein",0.19,0.23,0.19,0.23;"Nitrogen retention rate",0.35,0.47,0.32,0.47;"Manure ash",0.18,0.15,0.18,0.15}, _xlpm.r, _xlpm.c)
      )
    )
  )</definedName>
    <definedName name="SourceData_Poultry.SourceData_Poultry_DietProperties_Data" localSheetId="38">_xlfn.LAMBDA(
    _xlfn.MAKEARRAY(6, 5,
      _xlfn.LAMBDA(_xlpm.r,_xlpm.c,
        INDEX({"Nutrient analysis","Layers","Meat chicken growers","Meat chicken breeder","Meat other";"Dry matter intake (kg/head/day)",0.086,0.093,0.103,0.093;"Dry matter digestibility",0.8,0.8,0.8,0.8;"Crude protein",0.19,0.23,0.19,0.23;"Nitrogen retention rate",0.35,0.47,0.32,0.47;"Manure ash",0.18,0.15,0.18,0.15}, _xlpm.r, _xlpm.c)
      )
    )
  )</definedName>
    <definedName name="SourceData_Poultry.SourceData_Poultry_DietProperties_Data" localSheetId="45">_xlfn.LAMBDA(
    _xlfn.MAKEARRAY(6, 5,
      _xlfn.LAMBDA(_xlpm.r,_xlpm.c,
        INDEX({"Nutrient analysis","Layers","Meat chicken growers","Meat chicken breeder","Meat other";"Dry matter intake (kg/head/day)",0.086,0.093,0.103,0.093;"Dry matter digestibility",0.8,0.8,0.8,0.8;"Crude protein",0.19,0.23,0.19,0.23;"Nitrogen retention rate",0.35,0.47,0.32,0.47;"Manure ash",0.18,0.15,0.18,0.15}, _xlpm.r, _xlpm.c)
      )
    )
  )</definedName>
    <definedName name="SourceData_Poultry.SourceData_Poultry_DietProperties_Data" localSheetId="7">_xlfn.LAMBDA(
    _xlfn.MAKEARRAY(6, 5,
      _xlfn.LAMBDA(_xlpm.r,_xlpm.c,
        INDEX({"Nutrient analysis","Layers","Meat chicken growers","Meat chicken breeder","Meat other";"Dry matter intake (kg/head/day)",0.086,0.093,0.103,0.093;"Dry matter digestibility",0.8,0.8,0.8,0.8;"Crude protein",0.19,0.23,0.19,0.23;"Nitrogen retention rate",0.35,0.47,0.32,0.47;"Manure ash",0.18,0.15,0.18,0.15}, _xlpm.r, _xlpm.c)
      )
    )
  )</definedName>
    <definedName name="SourceData_Poultry.SourceData_Poultry_DietProperties_Data" localSheetId="13">_xlfn.LAMBDA(
    _xlfn.MAKEARRAY(6, 5,
      _xlfn.LAMBDA(_xlpm.r,_xlpm.c,
        INDEX({"Nutrient analysis","Layers","Meat chicken growers","Meat chicken breeder","Meat other";"Dry matter intake (kg/head/day)",0.086,0.093,0.103,0.093;"Dry matter digestibility",0.8,0.8,0.8,0.8;"Crude protein",0.19,0.23,0.19,0.23;"Nitrogen retention rate",0.35,0.47,0.32,0.47;"Manure ash",0.18,0.15,0.18,0.15}, _xlpm.r, _xlpm.c)
      )
    )
  )</definedName>
    <definedName name="SourceData_Poultry.SourceData_Poultry_DietProperties_Data" localSheetId="14">_xlfn.LAMBDA(
    _xlfn.MAKEARRAY(6, 5,
      _xlfn.LAMBDA(_xlpm.r,_xlpm.c,
        INDEX({"Nutrient analysis","Layers","Meat chicken growers","Meat chicken breeder","Meat other";"Dry matter intake (kg/head/day)",0.086,0.093,0.103,0.093;"Dry matter digestibility",0.8,0.8,0.8,0.8;"Crude protein",0.19,0.23,0.19,0.23;"Nitrogen retention rate",0.35,0.47,0.32,0.47;"Manure ash",0.18,0.15,0.18,0.15}, _xlpm.r, _xlpm.c)
      )
    )
  )</definedName>
    <definedName name="SourceData_Poultry.SourceData_Poultry_DietProperties_Data" localSheetId="16">_xlfn.LAMBDA(
    _xlfn.MAKEARRAY(6, 5,
      _xlfn.LAMBDA(_xlpm.r,_xlpm.c,
        INDEX({"Nutrient analysis","Layers","Meat chicken growers","Meat chicken breeder","Meat other";"Dry matter intake (kg/head/day)",0.086,0.093,0.103,0.093;"Dry matter digestibility",0.8,0.8,0.8,0.8;"Crude protein",0.19,0.23,0.19,0.23;"Nitrogen retention rate",0.35,0.47,0.32,0.47;"Manure ash",0.18,0.15,0.18,0.15}, _xlpm.r, _xlpm.c)
      )
    )
  )</definedName>
    <definedName name="SourceData_Poultry.SourceData_Poultry_DietProperties_Data" localSheetId="15">_xlfn.LAMBDA(
    _xlfn.MAKEARRAY(6, 5,
      _xlfn.LAMBDA(_xlpm.r,_xlpm.c,
        INDEX({"Nutrient analysis","Layers","Meat chicken growers","Meat chicken breeder","Meat other";"Dry matter intake (kg/head/day)",0.086,0.093,0.103,0.093;"Dry matter digestibility",0.8,0.8,0.8,0.8;"Crude protein",0.19,0.23,0.19,0.23;"Nitrogen retention rate",0.35,0.47,0.32,0.47;"Manure ash",0.18,0.15,0.18,0.15}, _xlpm.r, _xlpm.c)
      )
    )
  )</definedName>
    <definedName name="SourceData_Poultry.SourceData_Poultry_DietProperties_Data" localSheetId="18">_xlfn.LAMBDA(
    _xlfn.MAKEARRAY(6, 5,
      _xlfn.LAMBDA(_xlpm.r,_xlpm.c,
        INDEX({"Nutrient analysis","Layers","Meat chicken growers","Meat chicken breeder","Meat other";"Dry matter intake (kg/head/day)",0.086,0.093,0.103,0.093;"Dry matter digestibility",0.8,0.8,0.8,0.8;"Crude protein",0.19,0.23,0.19,0.23;"Nitrogen retention rate",0.35,0.47,0.32,0.47;"Manure ash",0.18,0.15,0.18,0.15}, _xlpm.r, _xlpm.c)
      )
    )
  )</definedName>
    <definedName name="SourceData_Poultry.SourceData_Poultry_DietProperties_Data">_xlfn.LAMBDA(_xlfn.MAKEARRAY(6, 5, _xlfn.LAMBDA(_xlpm.r,_xlpm.c, INDEX({"Nutrient analysis","Layers","Meat chicken growers","Meat chicken breeder","Meat other";"Dry matter intake (kg/head/day)",0.086,0.093,0.103,0.093;"Dry matter digestibility",0.8,0.8,0.8,0.8;"Crude protein",0.19,0.23,0.19,0.23;"Nitrogen retention rate",0.35,0.47,0.32,0.47;"Manure ash",0.18,0.15,0.18,0.15}, _xlpm.r, _xlpm.c))))</definedName>
    <definedName name="SourceData_Poultry.SourceData_Poultry_DietProperties_Source">_xlfn.LAMBDA("VEERG 2026: Table A.1.7.1: Poultry - Diet properties")</definedName>
    <definedName name="SourceData_Poultry.SourceData_Poultry_DietProperties_Title">_xlfn.LAMBDA("Poultry - Diet properties")</definedName>
    <definedName name="SourceData_Poultry.SourceData_Poultry_DietProperties_Unit">_xlfn.LAMBDA("")</definedName>
    <definedName name="SourceData_Poultry.SourceData_Poultry_DietProperties_Variation">_xlfn.LAMBDA("")</definedName>
    <definedName name="SourceData_Poultry.SourceData_Poultry_EFmT_Data">_xlfn.LAMBDA(_xlfn.MAKEARRAY(9, 3, _xlfn.LAMBDA(_xlpm.r,_xlpm.c, INDEX({"MMS m","EFmT","NIR reference";"Poultry manure with litter (housing)",0.001,"Poultry manure with bedding";"Poultry manure without litter (housing)",0.001,"Belt manure removal";"Poultry manure without litter (housing)",0.001,"Manure stored in house";"Pasture range and paddock (free range)",0.02,"Pasture range and paddock";"Solid storage (stockpile)",0.005,"Solid storage";"Composting (passive windrow)",0.01,"Composting (passive windrow)";"Direct processing",0,"Direct processing";"Anaerobic digester / covered pond",0,"Digester / covered lagoons"}, _xlpm.r, _xlpm.c))))</definedName>
    <definedName name="SourceData_Poultry.SourceData_Poultry_EFmT_Source">_xlfn.LAMBDA("VEERG 2026: Table A.1.7.3")</definedName>
    <definedName name="SourceData_Poultry.SourceData_Poultry_EFmT_Title">_xlfn.LAMBDA("Poultry - Nitrous oxide EFs by MMS (kgN2O-N/kgN) (EFmT)")</definedName>
    <definedName name="SourceData_Poultry.SourceData_Poultry_EFmT_Unit">_xlfn.LAMBDA("kgN2O - N / kgN")</definedName>
    <definedName name="SourceData_Poultry.SourceData_Poultry_EFmT_Variation">_xlfn.LAMBDA("VARIATION ON SOURCE: Added 'NIR definition column'. Duplicated 'Poultry manure without litter' row for NIR MMS 'Belt manure removal' and 'Manure stored in house'.")</definedName>
    <definedName name="SourceData_Poultry.SourceData_Poultry_FracGAMSSoil_Data">_xlfn.LAMBDA(0.21)</definedName>
    <definedName name="SourceData_Poultry.SourceData_Poultry_FracGAMSSoil_Source">_xlfn.LAMBDA("VEERG 2026: 4.6.2.3 CONSTANTS")</definedName>
    <definedName name="SourceData_Poultry.SourceData_Poultry_FracGAMSSoil_Title">_xlfn.LAMBDA("Fraction of nitrogen volatilised from urine and faeces deposited on pasture")</definedName>
    <definedName name="SourceData_Poultry.SourceData_Poultry_FracGAMSSoil_Unit">_xlfn.LAMBDA("(kg NH3-N + NOx-N)/kg N")</definedName>
    <definedName name="SourceData_Poultry.SourceData_Poultry_FracGAMSSoil_Variable">_xlfn.LAMBDA("FracGASM_soil")</definedName>
    <definedName name="SourceData_Poultry.SourceData_Poultry_FracGAMSSoil_Variation">_xlfn.LAMBDA("VARIATION ON SOURCE: This constant is not documented in the draft, used the same value of 0.21 as all other livestock.")</definedName>
    <definedName name="SourceData_Poultry.SourceData_Poultry_FracGASMmT_Data">_xlfn.LAMBDA(_xlfn.MAKEARRAY(8, 3, _xlfn.LAMBDA(_xlpm.r,_xlpm.c, INDEX({"MMS m","FracGASMmT","NIR reference";"Poultry manure with litter (housing)",0.3,"Poultry manure with bedding";"Poultry manure without litter (housing) Belt manure removal",0.05,"Belt manure removal";"Poultry manure without litter (housing) Manure stored in house under cages or slat",0.4,"Manure stored in house";"Solid storage (stockpile)",0.2,"Solid storage";"Composting (passive windrow)",0.2,"Composting (passive windrow)";"Direct processing",0,"Direct processing";"Anaerobic digester / covered pond",0,"Digester / covered lagoons"}, _xlpm.r, _xlpm.c))))</definedName>
    <definedName name="SourceData_Poultry.SourceData_Poultry_FracGASMmT_Source">_xlfn.LAMBDA("VEERG 2026: Table A.1.7.2")</definedName>
    <definedName name="SourceData_Poultry.SourceData_Poultry_FracGASMmT_Title">_xlfn.LAMBDA("Poultry - Fraction of N volatilised by MMS ((kg NH3-N + NOx-N)/kgN) (FracGASMmT)")</definedName>
    <definedName name="SourceData_Poultry.SourceData_Poultry_FracGASMmT_Unit">_xlfn.LAMBDA("(kg NH3-N + NOx-N)/kgN")</definedName>
    <definedName name="SourceData_Poultry.SourceData_Poultry_FracGASMmT_Variation">_xlfn.LAMBDA("VARIATION ON SOURCE: Added 'NIR definition column'.")</definedName>
    <definedName name="SourceData_Poultry.SourceData_Poultry_FractionOfNitrogenLostThroughLeachingAndRunoff_Data">_xlfn.LAMBDA(0.02)</definedName>
    <definedName name="SourceData_Poultry.SourceData_Poultry_FractionOfNitrogenLostThroughLeachingAndRunoff_Source">_xlfn.LAMBDA("VEERG 2026: 4.6.2.3 CONSTANTS")</definedName>
    <definedName name="SourceData_Poultry.SourceData_Poultry_FractionOfNitrogenLostThroughLeachingAndRunoff_Title">_xlfn.LAMBDA("Fraction of N that is lost through leaching and runoff")</definedName>
    <definedName name="SourceData_Poultry.SourceData_Poultry_FractionOfNitrogenLostThroughLeachingAndRunoff_Unit">_xlfn.LAMBDA("Dimensionless")</definedName>
    <definedName name="SourceData_Poultry.SourceData_Poultry_FractionOfNitrogenLostThroughLeachingAndRunoff_Variable">_xlfn.LAMBDA("Frac_LEACH_MS")</definedName>
    <definedName name="SourceData_Poultry.SourceData_Poultry_FractionOfNitrogenLostThroughLeachingAndRunoff_Variation">_xlfn.LAMBDA("")</definedName>
    <definedName name="SourceData_Poultry.SourceData_Poultry_Liveweights_Data" localSheetId="37">_xlfn.LAMBDA(
    _xlfn.MAKEARRAY(5, 2,
      _xlfn.LAMBDA(_xlpm.r,_xlpm.c,
        INDEX({"Livestock Class j","Average Liveweight (kg)";"Chicken",1.3;"Hen &gt;/=1 yr",2;"Pullets",1.4;"Broilers",1.2}, _xlpm.r, _xlpm.c)
      )
    )
  )</definedName>
    <definedName name="SourceData_Poultry.SourceData_Poultry_Liveweights_Data" localSheetId="38">_xlfn.LAMBDA(
    _xlfn.MAKEARRAY(5, 2,
      _xlfn.LAMBDA(_xlpm.r,_xlpm.c,
        INDEX({"Livestock Class j","Average Liveweight (kg)";"Chicken",1.3;"Hen &gt;/=1 yr",2;"Pullets",1.4;"Broilers",1.2}, _xlpm.r, _xlpm.c)
      )
    )
  )</definedName>
    <definedName name="SourceData_Poultry.SourceData_Poultry_Liveweights_Data" localSheetId="45">_xlfn.LAMBDA(
    _xlfn.MAKEARRAY(5, 2,
      _xlfn.LAMBDA(_xlpm.r,_xlpm.c,
        INDEX({"Livestock Class j","Average Liveweight (kg)";"Chicken",1.3;"Hen &gt;/=1 yr",2;"Pullets",1.4;"Broilers",1.2}, _xlpm.r, _xlpm.c)
      )
    )
  )</definedName>
    <definedName name="SourceData_Poultry.SourceData_Poultry_Liveweights_Data" localSheetId="7">_xlfn.LAMBDA(
    _xlfn.MAKEARRAY(5, 2,
      _xlfn.LAMBDA(_xlpm.r,_xlpm.c,
        INDEX({"Livestock Class j","Average Liveweight (kg)";"Chicken",1.3;"Hen &gt;/=1 yr",2;"Pullets",1.4;"Broilers",1.2}, _xlpm.r, _xlpm.c)
      )
    )
  )</definedName>
    <definedName name="SourceData_Poultry.SourceData_Poultry_Liveweights_Data" localSheetId="13">_xlfn.LAMBDA(
    _xlfn.MAKEARRAY(5, 2,
      _xlfn.LAMBDA(_xlpm.r,_xlpm.c,
        INDEX({"Livestock Class j","Average Liveweight (kg)";"Chicken",1.3;"Hen &gt;/=1 yr",2;"Pullets",1.4;"Broilers",1.2}, _xlpm.r, _xlpm.c)
      )
    )
  )</definedName>
    <definedName name="SourceData_Poultry.SourceData_Poultry_Liveweights_Data" localSheetId="14">_xlfn.LAMBDA(
    _xlfn.MAKEARRAY(5, 2,
      _xlfn.LAMBDA(_xlpm.r,_xlpm.c,
        INDEX({"Livestock Class j","Average Liveweight (kg)";"Chicken",1.3;"Hen &gt;/=1 yr",2;"Pullets",1.4;"Broilers",1.2}, _xlpm.r, _xlpm.c)
      )
    )
  )</definedName>
    <definedName name="SourceData_Poultry.SourceData_Poultry_Liveweights_Data" localSheetId="16">_xlfn.LAMBDA(
    _xlfn.MAKEARRAY(5, 2,
      _xlfn.LAMBDA(_xlpm.r,_xlpm.c,
        INDEX({"Livestock Class j","Average Liveweight (kg)";"Chicken",1.3;"Hen &gt;/=1 yr",2;"Pullets",1.4;"Broilers",1.2}, _xlpm.r, _xlpm.c)
      )
    )
  )</definedName>
    <definedName name="SourceData_Poultry.SourceData_Poultry_Liveweights_Data" localSheetId="15">_xlfn.LAMBDA(
    _xlfn.MAKEARRAY(5, 2,
      _xlfn.LAMBDA(_xlpm.r,_xlpm.c,
        INDEX({"Livestock Class j","Average Liveweight (kg)";"Chicken",1.3;"Hen &gt;/=1 yr",2;"Pullets",1.4;"Broilers",1.2}, _xlpm.r, _xlpm.c)
      )
    )
  )</definedName>
    <definedName name="SourceData_Poultry.SourceData_Poultry_Liveweights_Data" localSheetId="18">_xlfn.LAMBDA(
    _xlfn.MAKEARRAY(5, 2,
      _xlfn.LAMBDA(_xlpm.r,_xlpm.c,
        INDEX({"Livestock Class j","Average Liveweight (kg)";"Chicken",1.3;"Hen &gt;/=1 yr",2;"Pullets",1.4;"Broilers",1.2}, _xlpm.r, _xlpm.c)
      )
    )
  )</definedName>
    <definedName name="SourceData_Poultry.SourceData_Poultry_Liveweights_Data">_xlfn.LAMBDA(_xlfn.MAKEARRAY(9, 3, _xlfn.LAMBDA(_xlpm.r,_xlpm.c, INDEX({"Livestock Class j","Average Liveweight (kg)";"Chicken",1.3;"Hen &gt;/=1 yr",2;"Pullets",1.4;"Broilers",1.2}, _xlpm.r, _xlpm.c))))</definedName>
    <definedName name="SourceData_Poultry.SourceData_Poultry_Liveweights_Source">_xlfn.LAMBDA("VEERG 2026: Table A.1.7.5")</definedName>
    <definedName name="SourceData_Poultry.SourceData_Poultry_Liveweights_Title">_xlfn.LAMBDA("Poultry - Liveweights (Wco) (kg)")</definedName>
    <definedName name="SourceData_Poultry.SourceData_Poultry_Liveweights_Unit">_xlfn.LAMBDA("kg")</definedName>
    <definedName name="SourceData_Poultry.SourceData_Poultry_Liveweights_Variation">_xlfn.LAMBDA("")</definedName>
    <definedName name="SourceData_Poultry.SourceData_Poultry_MCF_Data">_xlfn.LAMBDA(_xlfn.MAKEARRAY(10, 11, _xlfn.LAMBDA(_xlpm.r,_xlpm.c, INDEX({"MMS m","All states","NSW","ACT","QLD","NT","VIC","SA","WA","TAS","NIR definition";"Poultry manure with litter",0.015,0.015,0.015,0.015,0.015,0.015,0.015,0.015,0.015,"Poultry manure with bedding";"Poultry manure without litter",0.015,0.015,0.015,0.015,0.015,0.015,0.015,0.015,0.015,"Belt manure removal";"Poultry manure without litter",0.015,0.015,0.015,0.015,0.015,0.015,0.015,0.015,0.015,"Manure stored in house";"Pasture range and paddock","n/a",0.01,0.01,0.03,0.03,0.01,0.01,0.01,0.01,"Pasture range and paddock";"Solid storage",0.02,0.02,0.02,0.02,0.02,0.02,0.02,0.02,0.02,"Solid storage";"Composting (passive windrow)","n/a",0.01,0.01,0.01,0.01,0.01,0.01,0.01,0.005,"Composting (passive windrow)";"Anaerobic digester / Covered pond",0.1,0.1,0.1,0.1,0.1,0.1,0.1,0.1,0.1,"Digester / covered lagoons";"Direct processing",0,0,0,0,0,0,0,0,0,"Direct processing";"Direct application to soil",0,0,0,0,0,0,0,0,0,"Direct application"}, _xlpm.r, _xlpm.c))))</definedName>
    <definedName name="SourceData_Poultry.SourceData_Poultry_MCF_Notes">_xlfn.LAMBDA("'Pasture range and paddock' applies MCF for drylot.")</definedName>
    <definedName name="SourceData_Poultry.SourceData_Poultry_MCF_Source">_xlfn.LAMBDA("VEERG 2026: Table A.1.7.4: Poultry - MCFs")</definedName>
    <definedName name="SourceData_Poultry.SourceData_Poultry_MCF_Title">_xlfn.LAMBDA("Poultry - MCFs")</definedName>
    <definedName name="SourceData_Poultry.SourceData_Poultry_MCF_Unit">_xlfn.LAMBDA("")</definedName>
    <definedName name="SourceData_Poultry.SourceData_Poultry_MCF_Variation">_xlfn.LAMBDA(_xlfn.MAKEARRAY(5, 1, _xlfn.LAMBDA(_xlpm.r,_xlpm.c, INDEX({"VARIATION ON SOURCE:";"Split NSW and ACT into separate states. Split QLD and NT into separate states.";"Included values for each state when 'All states' value is given.";"Added 'NIR definition' column with MMS names that match NIR definitions.";"Duplicated 'Poultry manure without litter' row for NIR MMS 'Belt manure removal' and 'Manure stored in house'"}, _xlpm.r, _xlpm.c))))</definedName>
    <definedName name="SourceData_Poultry.SourceData_Poultry_MethaneEmissionsPotential_Data">_xlfn.LAMBDA(_xlfn.MAKEARRAY(3, 2, _xlfn.LAMBDA(_xlpm.r,_xlpm.c, INDEX({"Poultry class","B0";"Layers",0.39;"Meat chickens",0.36}, _xlpm.r, _xlpm.c))))</definedName>
    <definedName name="SourceData_Poultry.SourceData_Poultry_MethaneEmissionsPotential_Source">_xlfn.LAMBDA("VEERG 2026: 4.6.2.3 CONSTANT: Poultry - Methane emissions potential per class")</definedName>
    <definedName name="SourceData_Poultry.SourceData_Poultry_MethaneEmissionsPotential_Title">_xlfn.LAMBDA("Poultry - Methane emissions potential per class")</definedName>
    <definedName name="SourceData_Poultry.SourceData_Poultry_MethaneEmissionsPotential_Unit">_xlfn.LAMBDA("m3 CH4/kg VS")</definedName>
    <definedName name="SourceData_Poultry.SourceData_Poultry_MethaneEmissionsPotential_Variation">_xlfn.LAMBDA("")</definedName>
    <definedName name="SourceData_Poultry.SourceData_Poultry_ProductionSystems_Data">_xlfn.LAMBDA(_xlfn.MAKEARRAY(4, 1, _xlfn.LAMBDA(_xlpm.r,_xlpm.c, INDEX({"Production system";"Free range";"Barn";"Cage"}, _xlpm.r, _xlpm.c))))</definedName>
    <definedName name="SourceData_Poultry.SourceData_Poultry_ProductionSystems_Source">_xlfn.LAMBDA("VEERG 2026: 4.6 Poultry")</definedName>
    <definedName name="SourceData_Poultry.SourceData_Poultry_ProductionSystems_Title">_xlfn.LAMBDA("Poultry - Production systems")</definedName>
    <definedName name="SourceData_Poultry.SourceData_Poultry_ProductionSystems_Unit">_xlfn.LAMBDA("")</definedName>
    <definedName name="SourceData_Poultry.SourceData_Poultry_ProductionSystems_Variation">_xlfn.LAMBDA("")</definedName>
    <definedName name="SourceData_Poultry.SourceData_Poultry_VSL_Data">_xlfn.LAMBDA(_xlfn.MAKEARRAY(4, 3, _xlfn.LAMBDA(_xlpm.r,_xlpm.c, INDEX({"MMS","VSL","NIR definition";"Poultry manure with litter",0.15,"Poultry manure with bedding";"Poultry manure without litter - stored in house",0.2,"Manure stored in house";"Poultry manure without litter - belt removal",0,"Belt manure removal"}, _xlpm.r, _xlpm.c))))</definedName>
    <definedName name="SourceData_Poultry.SourceData_Poultry_VSL_Source">_xlfn.LAMBDA("VEERG 2026: 4.6.2.3 CONSTANT")</definedName>
    <definedName name="SourceData_Poultry.SourceData_Poultry_VSL_Title">_xlfn.LAMBDA("Poultry - Fraction of volatile solids lost in the primary MMS")</definedName>
    <definedName name="SourceData_Poultry.SourceData_Poultry_VSL_Unit">_xlfn.LAMBDA("")</definedName>
    <definedName name="SourceData_Poultry.SourceData_Poultry_VSL_Variation">_xlfn.LAMBDA("VARIATION ON SOURCE: Table generated from line items. Added 'NIR definition column'.")</definedName>
    <definedName name="SourceData_Swine.SourceData_Swine_AverageLiveweight_Data">_xlfn.LAMBDA(_xlfn.MAKEARRAY(6, 2, _xlfn.LAMBDA(_xlpm.r,_xlpm.c, INDEX({"Livestock Type j","Average Liveweight (kg)";"Sows",188;"Boars",206;"Gilts",125;"Slaughter pigs",39;"Slaughter pigs at turnoff",97}, _xlpm.r, _xlpm.c))))</definedName>
    <definedName name="SourceData_Swine.SourceData_Swine_AverageLiveweight_Source">_xlfn.LAMBDA("VEERG 2026: Table A.1.6.5: Swine - Average liveweight (inventory defaults) (kg) (Wco)")</definedName>
    <definedName name="SourceData_Swine.SourceData_Swine_AverageLiveweight_Title">_xlfn.LAMBDA("Swine - Average liveweight (inventory defaults) (kg) (Wco)")</definedName>
    <definedName name="SourceData_Swine.SourceData_Swine_AverageLiveweight_Unit">_xlfn.LAMBDA("kg")</definedName>
    <definedName name="SourceData_Swine.SourceData_Swine_AverageLiveweight_Variation">_xlfn.LAMBDA(".")</definedName>
    <definedName name="SourceData_Swine.SourceData_Swine_FeedIntake_Data" localSheetId="37">_xlfn.LAMBDA(
    _xlfn.MAKEARRAY(5, 2,
      _xlfn.LAMBDA(_xlpm.r,_xlpm.c,
        INDEX({"Class","Ij";"Boars",2.62;"Sows",2.3;"Gilts",2.5;"Others",1.71}, _xlpm.r, _xlpm.c)
      )
    )
  )</definedName>
    <definedName name="SourceData_Swine.SourceData_Swine_FeedIntake_Data" localSheetId="38">_xlfn.LAMBDA(
    _xlfn.MAKEARRAY(5, 2,
      _xlfn.LAMBDA(_xlpm.r,_xlpm.c,
        INDEX({"Class","Ij";"Boars",2.62;"Sows",2.3;"Gilts",2.5;"Others",1.71}, _xlpm.r, _xlpm.c)
      )
    )
  )</definedName>
    <definedName name="SourceData_Swine.SourceData_Swine_FeedIntake_Data" localSheetId="45">_xlfn.LAMBDA(
    _xlfn.MAKEARRAY(5, 2,
      _xlfn.LAMBDA(_xlpm.r,_xlpm.c,
        INDEX({"Class","Ij";"Boars",2.62;"Sows",2.3;"Gilts",2.5;"Others",1.71}, _xlpm.r, _xlpm.c)
      )
    )
  )</definedName>
    <definedName name="SourceData_Swine.SourceData_Swine_FeedIntake_Data" localSheetId="7">_xlfn.LAMBDA(
    _xlfn.MAKEARRAY(5, 2,
      _xlfn.LAMBDA(_xlpm.r,_xlpm.c,
        INDEX({"Class","Ij";"Boars",2.62;"Sows",2.3;"Gilts",2.5;"Others",1.71}, _xlpm.r, _xlpm.c)
      )
    )
  )</definedName>
    <definedName name="SourceData_Swine.SourceData_Swine_FeedIntake_Data" localSheetId="13">_xlfn.LAMBDA(
    _xlfn.MAKEARRAY(5, 2,
      _xlfn.LAMBDA(_xlpm.r,_xlpm.c,
        INDEX({"Class","Ij";"Boars",2.62;"Sows",2.3;"Gilts",2.5;"Others",1.71}, _xlpm.r, _xlpm.c)
      )
    )
  )</definedName>
    <definedName name="SourceData_Swine.SourceData_Swine_FeedIntake_Data" localSheetId="14">_xlfn.LAMBDA(
    _xlfn.MAKEARRAY(5, 2,
      _xlfn.LAMBDA(_xlpm.r,_xlpm.c,
        INDEX({"Class","Ij";"Boars",2.62;"Sows",2.3;"Gilts",2.5;"Others",1.71}, _xlpm.r, _xlpm.c)
      )
    )
  )</definedName>
    <definedName name="SourceData_Swine.SourceData_Swine_FeedIntake_Data" localSheetId="16">_xlfn.LAMBDA(
    _xlfn.MAKEARRAY(5, 2,
      _xlfn.LAMBDA(_xlpm.r,_xlpm.c,
        INDEX({"Class","Ij";"Boars",2.62;"Sows",2.3;"Gilts",2.5;"Others",1.71}, _xlpm.r, _xlpm.c)
      )
    )
  )</definedName>
    <definedName name="SourceData_Swine.SourceData_Swine_FeedIntake_Data" localSheetId="15">_xlfn.LAMBDA(
    _xlfn.MAKEARRAY(5, 2,
      _xlfn.LAMBDA(_xlpm.r,_xlpm.c,
        INDEX({"Class","Ij";"Boars",2.62;"Sows",2.3;"Gilts",2.5;"Others",1.71}, _xlpm.r, _xlpm.c)
      )
    )
  )</definedName>
    <definedName name="SourceData_Swine.SourceData_Swine_FeedIntake_Data" localSheetId="18">_xlfn.LAMBDA(
    _xlfn.MAKEARRAY(5, 2,
      _xlfn.LAMBDA(_xlpm.r,_xlpm.c,
        INDEX({"Class","Ij";"Boars",2.62;"Sows",2.3;"Gilts",2.5;"Others",1.71}, _xlpm.r, _xlpm.c)
      )
    )
  )</definedName>
    <definedName name="SourceData_Swine.SourceData_Swine_FeedIntake_Data">_xlfn.LAMBDA(_xlfn.MAKEARRAY(5, 2, _xlfn.LAMBDA(_xlpm.r,_xlpm.c, INDEX({"Class","Ij";"Boars",2.62;"Sows",2.3;"Gilts",2.5;"Others",1.71}, _xlpm.r, _xlpm.c))))</definedName>
    <definedName name="SourceData_Swine.SourceData_Swine_FeedIntake_Source">_xlfn.LAMBDA("VEERG 2026: Table A.1.6.1: Swine - Intake and manure characteristics derived from PigBal")</definedName>
    <definedName name="SourceData_Swine.SourceData_Swine_FeedIntake_Title">_xlfn.LAMBDA("Swine - Feed intake - ingested as fed  (Ij) - 2020 to 2024")</definedName>
    <definedName name="SourceData_Swine.SourceData_Swine_FeedIntake_Unit">_xlfn.LAMBDA("kg/head/day")</definedName>
    <definedName name="SourceData_Swine.SourceData_Swine_FeedIntake_Variation">_xlfn.LAMBDA("VARIATION ON SOURCE DATA: Only uses data for 2020-2024. Use 'Slaughter pigs' data for 'Other j=4' class.")</definedName>
    <definedName name="SourceData_Swine.SourceData_Swine_FracLEACH_DrylotMMS_Data">_xlfn.LAMBDA(0.02)</definedName>
    <definedName name="SourceData_Swine.SourceData_Swine_FracLEACH_DrylotMMS_Source">_xlfn.LAMBDA("VEERG 2026: 4.5.2.3 CONSTANT")</definedName>
    <definedName name="SourceData_Swine.SourceData_Swine_FracLEACH_DrylotMMS_Title">_xlfn.LAMBDA("Fraction of nitrogen lost through leaching and runoff for drylot MMS")</definedName>
    <definedName name="SourceData_Swine.SourceData_Swine_FracLEACH_DrylotMMS_Unit">_xlfn.LAMBDA("fraction")</definedName>
    <definedName name="SourceData_Swine.SourceData_Swine_FracLEACH_DrylotMMS_Variable">_xlfn.LAMBDA("FracLEACH_MS")</definedName>
    <definedName name="SourceData_Swine.SourceData_Swine_FracLEACH_DrylotMMS_Variation">_xlfn.LAMBDA("VARIATION ON SOURCE: Text refers to 'solid storage' MMS, but equation refers to 'drylot' MMS.")</definedName>
    <definedName name="SourceData_Swine.SourceData_Swine_FractionNVolatilised_Data">_xlfn.LAMBDA(_xlfn.MAKEARRAY(7, 3, _xlfn.LAMBDA(_xlpm.r,_xlpm.c, INDEX({"MMSm","FracGASMmT","NIR reference";"Outdoor (Dry lot)",0.3,"Drylot (feed pad)";"Deep litter",0.125,"Deep litter";"Stockpile (Solid storage)",0.2,"Solid storage";"Effluent pond (Uncovered anaerobic lagoon)",0.55,"Anaerobic lagoon";"Anaerobic digester / Covered lagoon",0,"Digester / covered lagoons";"Short HRT tank storage &lt; 1 month (pit storage)",0.25,"Pit storage"}, _xlpm.r, _xlpm.c))))</definedName>
    <definedName name="SourceData_Swine.SourceData_Swine_FractionNVolatilised_Source">_xlfn.LAMBDA("VEERG 2026: Table A.1.6.2: Swine - Fraction of N volatilised by MMS ((kg NH3-N + NOx-N)/kgN) (FracGASMmT)")</definedName>
    <definedName name="SourceData_Swine.SourceData_Swine_FractionNVolatilised_Title">_xlfn.LAMBDA("Swine - Fraction of nitrogen volatilised (FracGASMmT)")</definedName>
    <definedName name="SourceData_Swine.SourceData_Swine_FractionNVolatilised_Unit">_xlfn.LAMBDA("(kg NH3-N + NOx-N)/kgN")</definedName>
    <definedName name="SourceData_Swine.SourceData_Swine_FractionNVolatilised_Variation">_xlfn.LAMBDA("VARIATION ON SOURCE DATA: Added 'NIR reference column to aid lookup.")</definedName>
    <definedName name="SourceData_Swine.SourceData_Swine_MegajoulesPerKilogramMethane_Data">_xlfn.LAMBDA(55.22)</definedName>
    <definedName name="SourceData_Swine.SourceData_Swine_MegajoulesPerKilogramMethane_Source">_xlfn.LAMBDA("VEERG 2026: 3.5.2.3 CONSTANT")</definedName>
    <definedName name="SourceData_Swine.SourceData_Swine_MegajoulesPerKilogramMethane_Title">_xlfn.LAMBDA("Megajoules per kilogram of methane")</definedName>
    <definedName name="SourceData_Swine.SourceData_Swine_MegajoulesPerKilogramMethane_Unit">_xlfn.LAMBDA("MJ / kg CH4")</definedName>
    <definedName name="SourceData_Swine.SourceData_Swine_MegajoulesPerKilogramMethane_Variable">_xlfn.LAMBDA("F")</definedName>
    <definedName name="SourceData_Swine.SourceData_Swine_MegajoulesPerKilogramMethane_Variation">_xlfn.LAMBDA("")</definedName>
    <definedName name="SourceData_Swine.SourceData_Swine_MethaneVolatileSolidsEmissionsPotential_Data">_xlfn.LAMBDA(0.19)</definedName>
    <definedName name="SourceData_Swine.SourceData_Swine_MethaneVolatileSolidsEmissionsPotential_Title">_xlfn.LAMBDA("Emissions potential of methane per kilogram of volatile solids")</definedName>
    <definedName name="SourceData_Swine.SourceData_Swine_MethaneVolatileSolidsEmissionsPotential_Unit">_xlfn.LAMBDA("m3 CH4 / kg VS")</definedName>
    <definedName name="SourceData_Swine.SourceData_Swine_MethaneVolatileSolidsEmissionsPotential_Variable">_xlfn.LAMBDA("B0")</definedName>
    <definedName name="SourceData_Swine.SourceData_Swine_MethaneVolatileSolidsEmissionsPotential_Variation">_xlfn.LAMBDA("")</definedName>
    <definedName name="SourceData_Swine.SourceData_Swine_MMS_MCFs_Data" localSheetId="37">_xlfn.LAMBDA(
    _xlfn.MAKEARRAY(8, 10,
      _xlfn.LAMBDA(_xlpm.r,_xlpm.c,
        INDEX({"MMS","NSW","ACT","QLD","NT","SA","TAS","VIC","WA","NIR definition";"Outdoor (Dry lot)",0.01,0.01,0.03,0.03,0.01,0.01,0.01,0.01,"Drylot (feed pad)";"Deep litter",0.04,0.04,0.04,0.04,0.04,0.04,0.04,0.04,"Deep litter";"Stockpile (Solid storage)",0.02,0.02,0.02,0.02,0.02,0.02,0.02,0.02,"Solid storage";"Effluent pond (Uncovered anaerobic lagoon)",0.75,0.75,0.78,0.78,0.75,0.7,0.74,0.76,"Anaerobic lagoon";"Anaerobic digester / Covered lagoon",0.1,0.1,0.1,0.1,0.1,0.1,0.1,0.1,"Digester / covered lagoons";"Short HRT tank storage &lt; 1 month (pit storage)",0.03,0.03,0.03,0.03,0.03,0.03,0.03,0.03,"Pit storage";"Direct Application to soil",0,0,0,0,0,0,0,0,"Direct application"}, _xlpm.r, _xlpm.c)
      )
    )
  )</definedName>
    <definedName name="SourceData_Swine.SourceData_Swine_MMS_MCFs_Data" localSheetId="38">_xlfn.LAMBDA(
    _xlfn.MAKEARRAY(8, 10,
      _xlfn.LAMBDA(_xlpm.r,_xlpm.c,
        INDEX({"MMS","NSW","ACT","QLD","NT","SA","TAS","VIC","WA","NIR definition";"Outdoor (Dry lot)",0.01,0.01,0.03,0.03,0.01,0.01,0.01,0.01,"Drylot (feed pad)";"Deep litter",0.04,0.04,0.04,0.04,0.04,0.04,0.04,0.04,"Deep litter";"Stockpile (Solid storage)",0.02,0.02,0.02,0.02,0.02,0.02,0.02,0.02,"Solid storage";"Effluent pond (Uncovered anaerobic lagoon)",0.75,0.75,0.78,0.78,0.75,0.7,0.74,0.76,"Anaerobic lagoon";"Anaerobic digester / Covered lagoon",0.1,0.1,0.1,0.1,0.1,0.1,0.1,0.1,"Digester / covered lagoons";"Short HRT tank storage &lt; 1 month (pit storage)",0.03,0.03,0.03,0.03,0.03,0.03,0.03,0.03,"Pit storage";"Direct Application to soil",0,0,0,0,0,0,0,0,"Direct application"}, _xlpm.r, _xlpm.c)
      )
    )
  )</definedName>
    <definedName name="SourceData_Swine.SourceData_Swine_MMS_MCFs_Data" localSheetId="45">_xlfn.LAMBDA(
    _xlfn.MAKEARRAY(8, 10,
      _xlfn.LAMBDA(_xlpm.r,_xlpm.c,
        INDEX({"MMS","NSW","ACT","QLD","NT","SA","TAS","VIC","WA","NIR definition";"Outdoor (Dry lot)",0.01,0.01,0.03,0.03,0.01,0.01,0.01,0.01,"Drylot (feed pad)";"Deep litter",0.04,0.04,0.04,0.04,0.04,0.04,0.04,0.04,"Deep litter";"Stockpile (Solid storage)",0.02,0.02,0.02,0.02,0.02,0.02,0.02,0.02,"Solid storage";"Effluent pond (Uncovered anaerobic lagoon)",0.75,0.75,0.78,0.78,0.75,0.7,0.74,0.76,"Anaerobic lagoon";"Anaerobic digester / Covered lagoon",0.1,0.1,0.1,0.1,0.1,0.1,0.1,0.1,"Digester / covered lagoons";"Short HRT tank storage &lt; 1 month (pit storage)",0.03,0.03,0.03,0.03,0.03,0.03,0.03,0.03,"Pit storage";"Direct Application to soil",0,0,0,0,0,0,0,0,"Direct application"}, _xlpm.r, _xlpm.c)
      )
    )
  )</definedName>
    <definedName name="SourceData_Swine.SourceData_Swine_MMS_MCFs_Data" localSheetId="7">_xlfn.LAMBDA(
    _xlfn.MAKEARRAY(8, 10,
      _xlfn.LAMBDA(_xlpm.r,_xlpm.c,
        INDEX({"MMS","NSW","ACT","QLD","NT","SA","TAS","VIC","WA","NIR definition";"Outdoor (Dry lot)",0.01,0.01,0.03,0.03,0.01,0.01,0.01,0.01,"Drylot (feed pad)";"Deep litter",0.04,0.04,0.04,0.04,0.04,0.04,0.04,0.04,"Deep litter";"Stockpile (Solid storage)",0.02,0.02,0.02,0.02,0.02,0.02,0.02,0.02,"Solid storage";"Effluent pond (Uncovered anaerobic lagoon)",0.75,0.75,0.78,0.78,0.75,0.7,0.74,0.76,"Anaerobic lagoon";"Anaerobic digester / Covered lagoon",0.1,0.1,0.1,0.1,0.1,0.1,0.1,0.1,"Digester / covered lagoons";"Short HRT tank storage &lt; 1 month (pit storage)",0.03,0.03,0.03,0.03,0.03,0.03,0.03,0.03,"Pit storage";"Direct Application to soil",0,0,0,0,0,0,0,0,"Direct application"}, _xlpm.r, _xlpm.c)
      )
    )
  )</definedName>
    <definedName name="SourceData_Swine.SourceData_Swine_MMS_MCFs_Data" localSheetId="13">_xlfn.LAMBDA(
    _xlfn.MAKEARRAY(8, 10,
      _xlfn.LAMBDA(_xlpm.r,_xlpm.c,
        INDEX({"MMS","NSW","ACT","QLD","NT","SA","TAS","VIC","WA","NIR definition";"Outdoor (Dry lot)",0.01,0.01,0.03,0.03,0.01,0.01,0.01,0.01,"Drylot (feed pad)";"Deep litter",0.04,0.04,0.04,0.04,0.04,0.04,0.04,0.04,"Deep litter";"Stockpile (Solid storage)",0.02,0.02,0.02,0.02,0.02,0.02,0.02,0.02,"Solid storage";"Effluent pond (Uncovered anaerobic lagoon)",0.75,0.75,0.78,0.78,0.75,0.7,0.74,0.76,"Anaerobic lagoon";"Anaerobic digester / Covered lagoon",0.1,0.1,0.1,0.1,0.1,0.1,0.1,0.1,"Digester / covered lagoons";"Short HRT tank storage &lt; 1 month (pit storage)",0.03,0.03,0.03,0.03,0.03,0.03,0.03,0.03,"Pit storage";"Direct Application to soil",0,0,0,0,0,0,0,0,"Direct application"}, _xlpm.r, _xlpm.c)
      )
    )
  )</definedName>
    <definedName name="SourceData_Swine.SourceData_Swine_MMS_MCFs_Data" localSheetId="14">_xlfn.LAMBDA(
    _xlfn.MAKEARRAY(8, 10,
      _xlfn.LAMBDA(_xlpm.r,_xlpm.c,
        INDEX({"MMS","NSW","ACT","QLD","NT","SA","TAS","VIC","WA","NIR definition";"Outdoor (Dry lot)",0.01,0.01,0.03,0.03,0.01,0.01,0.01,0.01,"Drylot (feed pad)";"Deep litter",0.04,0.04,0.04,0.04,0.04,0.04,0.04,0.04,"Deep litter";"Stockpile (Solid storage)",0.02,0.02,0.02,0.02,0.02,0.02,0.02,0.02,"Solid storage";"Effluent pond (Uncovered anaerobic lagoon)",0.75,0.75,0.78,0.78,0.75,0.7,0.74,0.76,"Anaerobic lagoon";"Anaerobic digester / Covered lagoon",0.1,0.1,0.1,0.1,0.1,0.1,0.1,0.1,"Digester / covered lagoons";"Short HRT tank storage &lt; 1 month (pit storage)",0.03,0.03,0.03,0.03,0.03,0.03,0.03,0.03,"Pit storage";"Direct Application to soil",0,0,0,0,0,0,0,0,"Direct application"}, _xlpm.r, _xlpm.c)
      )
    )
  )</definedName>
    <definedName name="SourceData_Swine.SourceData_Swine_MMS_MCFs_Data" localSheetId="16">_xlfn.LAMBDA(
    _xlfn.MAKEARRAY(8, 10,
      _xlfn.LAMBDA(_xlpm.r,_xlpm.c,
        INDEX({"MMS","NSW","ACT","QLD","NT","SA","TAS","VIC","WA","NIR definition";"Outdoor (Dry lot)",0.01,0.01,0.03,0.03,0.01,0.01,0.01,0.01,"Drylot (feed pad)";"Deep litter",0.04,0.04,0.04,0.04,0.04,0.04,0.04,0.04,"Deep litter";"Stockpile (Solid storage)",0.02,0.02,0.02,0.02,0.02,0.02,0.02,0.02,"Solid storage";"Effluent pond (Uncovered anaerobic lagoon)",0.75,0.75,0.78,0.78,0.75,0.7,0.74,0.76,"Anaerobic lagoon";"Anaerobic digester / Covered lagoon",0.1,0.1,0.1,0.1,0.1,0.1,0.1,0.1,"Digester / covered lagoons";"Short HRT tank storage &lt; 1 month (pit storage)",0.03,0.03,0.03,0.03,0.03,0.03,0.03,0.03,"Pit storage";"Direct Application to soil",0,0,0,0,0,0,0,0,"Direct application"}, _xlpm.r, _xlpm.c)
      )
    )
  )</definedName>
    <definedName name="SourceData_Swine.SourceData_Swine_MMS_MCFs_Data" localSheetId="15">_xlfn.LAMBDA(
    _xlfn.MAKEARRAY(8, 10,
      _xlfn.LAMBDA(_xlpm.r,_xlpm.c,
        INDEX({"MMS","NSW","ACT","QLD","NT","SA","TAS","VIC","WA","NIR definition";"Outdoor (Dry lot)",0.01,0.01,0.03,0.03,0.01,0.01,0.01,0.01,"Drylot (feed pad)";"Deep litter",0.04,0.04,0.04,0.04,0.04,0.04,0.04,0.04,"Deep litter";"Stockpile (Solid storage)",0.02,0.02,0.02,0.02,0.02,0.02,0.02,0.02,"Solid storage";"Effluent pond (Uncovered anaerobic lagoon)",0.75,0.75,0.78,0.78,0.75,0.7,0.74,0.76,"Anaerobic lagoon";"Anaerobic digester / Covered lagoon",0.1,0.1,0.1,0.1,0.1,0.1,0.1,0.1,"Digester / covered lagoons";"Short HRT tank storage &lt; 1 month (pit storage)",0.03,0.03,0.03,0.03,0.03,0.03,0.03,0.03,"Pit storage";"Direct Application to soil",0,0,0,0,0,0,0,0,"Direct application"}, _xlpm.r, _xlpm.c)
      )
    )
  )</definedName>
    <definedName name="SourceData_Swine.SourceData_Swine_MMS_MCFs_Data" localSheetId="18">_xlfn.LAMBDA(
    _xlfn.MAKEARRAY(8, 10,
      _xlfn.LAMBDA(_xlpm.r,_xlpm.c,
        INDEX({"MMS","NSW","ACT","QLD","NT","SA","TAS","VIC","WA","NIR definition";"Outdoor (Dry lot)",0.01,0.01,0.03,0.03,0.01,0.01,0.01,0.01,"Drylot (feed pad)";"Deep litter",0.04,0.04,0.04,0.04,0.04,0.04,0.04,0.04,"Deep litter";"Stockpile (Solid storage)",0.02,0.02,0.02,0.02,0.02,0.02,0.02,0.02,"Solid storage";"Effluent pond (Uncovered anaerobic lagoon)",0.75,0.75,0.78,0.78,0.75,0.7,0.74,0.76,"Anaerobic lagoon";"Anaerobic digester / Covered lagoon",0.1,0.1,0.1,0.1,0.1,0.1,0.1,0.1,"Digester / covered lagoons";"Short HRT tank storage &lt; 1 month (pit storage)",0.03,0.03,0.03,0.03,0.03,0.03,0.03,0.03,"Pit storage";"Direct Application to soil",0,0,0,0,0,0,0,0,"Direct application"}, _xlpm.r, _xlpm.c)
      )
    )
  )</definedName>
    <definedName name="SourceData_Swine.SourceData_Swine_MMS_MCFs_Data">_xlfn.LAMBDA(_xlfn.MAKEARRAY(8, 10, _xlfn.LAMBDA(_xlpm.r,_xlpm.c, INDEX({"MMS","NSW","ACT","QLD","NT","SA","TAS","VIC","WA","NIR definition";"Outdoor (Dry lot)",0.01,0.01,0.03,0.03,0.01,0.01,0.01,0.01,"Drylot (feed pad)";"Deep litter",0.04,0.04,0.04,0.04,0.04,0.04,0.04,0.04,"Deep litter";"Stockpile (Solid storage)",0.02,0.02,0.02,0.02,0.02,0.02,0.02,0.02,"Solid storage";"Effluent pond (Uncovered anaerobic lagoon)",0.75,0.75,0.78,0.78,0.75,0.7,0.74,0.76,"Anaerobic lagoon";"Anaerobic digester / Covered lagoon",0.1,0.1,0.1,0.1,0.1,0.1,0.1,0.1,"Digester / covered lagoons";"Short HRT tank storage &lt; 1 month (pit storage)",0.03,0.03,0.03,0.03,0.03,0.03,0.03,0.03,"Pit storage";"Direct Application to soil",0,0,0,0,0,0,0,0,"Direct application"}, _xlpm.r, _xlpm.c))))</definedName>
    <definedName name="SourceData_Swine.SourceData_Swine_MMS_MCFs_Source">_xlfn.LAMBDA("VEERG 2026: Table A.1.6.4: Swine - MCFs (MCFim)")</definedName>
    <definedName name="SourceData_Swine.SourceData_Swine_MMS_MCFs_Title">_xlfn.LAMBDA("Methane conversion factor for temperature zone and manure management system.")</definedName>
    <definedName name="SourceData_Swine.SourceData_Swine_MMS_MCFs_Unit">_xlfn.LAMBDA("")</definedName>
    <definedName name="SourceData_Swine.SourceData_Swine_MMS_MCFs_Variation">_xlfn.LAMBDA("VARIATION ON SOURCE DATA: Added columns for ACT, split QLD and NT. Added extra column with MMS names that match NIR definitions")</definedName>
    <definedName name="SourceData_Swine.SourceData_Swine_NitrogenInWaste_Data">_xlfn.LAMBDA(_xlfn.MAKEARRAY(5, 4, _xlfn.LAMBDA(_xlpm.r,_xlpm.c, INDEX({"Class","NWj","NWj daily","Class name";"Boars",0.046,0.046,"Boars";"Sows",0.049,0.049,"Sows";"Gilts",0.046,0.046,"Gilts";"Others (kg/head/year)",11.4,0.0312,"Others"}, _xlpm.r, _xlpm.c))))</definedName>
    <definedName name="SourceData_Swine.SourceData_Swine_NitrogenInWaste_Source">_xlfn.LAMBDA("VEERG 2026: Table A.1.6.1: Swine - Intake and manure characteristics derived from PigBal")</definedName>
    <definedName name="SourceData_Swine.SourceData_Swine_NitrogenInWaste_Title">_xlfn.LAMBDA("Swine - Nitrogen in waste (NWj) - 2020 to 2024")</definedName>
    <definedName name="SourceData_Swine.SourceData_Swine_NitrogenInWaste_Unit">_xlfn.LAMBDA("kg/head/day")</definedName>
    <definedName name="SourceData_Swine.SourceData_Swine_NitrogenInWaste_Variation">_xlfn.LAMBDA("VARIATION ON SOURCE DATA: Only uses data for 2020-2024. Use 'Slaughter pigs' data for 'Other j=4' class. Added 'NWj daily' column to provide daily value for Others class. Added 'Class name' column to aid lookup.")</definedName>
    <definedName name="SourceData_Swine.SourceData_Swine_NitrousOxideEFs_Data">_xlfn.LAMBDA(_xlfn.MAKEARRAY(7, 3, _xlfn.LAMBDA(_xlpm.r,_xlpm.c, INDEX({"MMSm","EFmT","NIR reference";"Outdoor (Dry lot)",0.02,"Drylot (feed pad)";"Deep litter",0.01,"Deep litter";"Stockpile (Solid storage)",0.005,"Solid storage";"Effluent pond (Uncovered anaerobic lagoon)",0,"Anaerobic lagoon";"Anaerobic digestor / Covered lagoon",0,"Digester / covered lagoons";"Short HRT tank storage &lt; 1 month (pit storage)",0.002,"Pit storage"}, _xlpm.r, _xlpm.c))))</definedName>
    <definedName name="SourceData_Swine.SourceData_Swine_NitrousOxideEFs_Source">_xlfn.LAMBDA("VEERG 2026: Table A.1.6.3: Swine - Nitrous oxide EFs by MMS (kgN2O-N/kgN) (EFmT)")</definedName>
    <definedName name="SourceData_Swine.SourceData_Swine_NitrousOxideEFs_Title">_xlfn.LAMBDA("Swine - Nitrous oxide EFs by MMS (EFmT)")</definedName>
    <definedName name="SourceData_Swine.SourceData_Swine_NitrousOxideEFs_Unit">_xlfn.LAMBDA("kgN2O - N / kgN")</definedName>
    <definedName name="SourceData_Swine.SourceData_Swine_NitrousOxideEFs_Variation">_xlfn.LAMBDA("VARIATION ON SOURCE DATA: Added 'NIR reference column to aid lookup.")</definedName>
    <definedName name="SourceData_Swine.SourceData_Swine_ProductionSystems_Data">_xlfn.LAMBDA(_xlfn.MAKEARRAY(4, 1, _xlfn.LAMBDA(_xlpm.r,_xlpm.c, INDEX({"Production system";"Conventional housing";"Deep litter housing";"Outdoor/free range"}, _xlpm.r, _xlpm.c))))</definedName>
    <definedName name="SourceData_Swine.SourceData_Swine_ProductionSystems_Source">_xlfn.LAMBDA("VEERG 2026: 4.5 Swine Figure 4.8")</definedName>
    <definedName name="SourceData_Swine.SourceData_Swine_ProductionSystems_Title">_xlfn.LAMBDA("Swine production systems")</definedName>
    <definedName name="SourceData_Swine.SourceData_Swine_ProductionSystems_Unit">_xlfn.LAMBDA("")</definedName>
    <definedName name="SourceData_Swine.SourceData_Swine_ProductionSystems_Variation">_xlfn.LAMBDA("")</definedName>
    <definedName name="SourceData_Swine.SourceData_Swine_VolatileSolids_Data" localSheetId="37">_xlfn.LAMBDA(
    _xlfn.MAKEARRAY(5, 2,
      _xlfn.LAMBDA(_xlpm.r,_xlpm.c,
        INDEX({"Class","VSj";"Boars",0.4;"Sows",0.46;"Gilts",0.55;"Others",0.39}, _xlpm.r, _xlpm.c)
      )
    )
  )</definedName>
    <definedName name="SourceData_Swine.SourceData_Swine_VolatileSolids_Data" localSheetId="38">_xlfn.LAMBDA(
    _xlfn.MAKEARRAY(5, 2,
      _xlfn.LAMBDA(_xlpm.r,_xlpm.c,
        INDEX({"Class","VSj";"Boars",0.4;"Sows",0.46;"Gilts",0.55;"Others",0.39}, _xlpm.r, _xlpm.c)
      )
    )
  )</definedName>
    <definedName name="SourceData_Swine.SourceData_Swine_VolatileSolids_Data" localSheetId="45">_xlfn.LAMBDA(
    _xlfn.MAKEARRAY(5, 2,
      _xlfn.LAMBDA(_xlpm.r,_xlpm.c,
        INDEX({"Class","VSj";"Boars",0.4;"Sows",0.46;"Gilts",0.55;"Others",0.39}, _xlpm.r, _xlpm.c)
      )
    )
  )</definedName>
    <definedName name="SourceData_Swine.SourceData_Swine_VolatileSolids_Data" localSheetId="7">_xlfn.LAMBDA(
    _xlfn.MAKEARRAY(5, 2,
      _xlfn.LAMBDA(_xlpm.r,_xlpm.c,
        INDEX({"Class","VSj";"Boars",0.4;"Sows",0.46;"Gilts",0.55;"Others",0.39}, _xlpm.r, _xlpm.c)
      )
    )
  )</definedName>
    <definedName name="SourceData_Swine.SourceData_Swine_VolatileSolids_Data" localSheetId="13">_xlfn.LAMBDA(
    _xlfn.MAKEARRAY(5, 2,
      _xlfn.LAMBDA(_xlpm.r,_xlpm.c,
        INDEX({"Class","VSj";"Boars",0.4;"Sows",0.46;"Gilts",0.55;"Others",0.39}, _xlpm.r, _xlpm.c)
      )
    )
  )</definedName>
    <definedName name="SourceData_Swine.SourceData_Swine_VolatileSolids_Data" localSheetId="14">_xlfn.LAMBDA(
    _xlfn.MAKEARRAY(5, 2,
      _xlfn.LAMBDA(_xlpm.r,_xlpm.c,
        INDEX({"Class","VSj";"Boars",0.4;"Sows",0.46;"Gilts",0.55;"Others",0.39}, _xlpm.r, _xlpm.c)
      )
    )
  )</definedName>
    <definedName name="SourceData_Swine.SourceData_Swine_VolatileSolids_Data" localSheetId="16">_xlfn.LAMBDA(
    _xlfn.MAKEARRAY(5, 2,
      _xlfn.LAMBDA(_xlpm.r,_xlpm.c,
        INDEX({"Class","VSj";"Boars",0.4;"Sows",0.46;"Gilts",0.55;"Others",0.39}, _xlpm.r, _xlpm.c)
      )
    )
  )</definedName>
    <definedName name="SourceData_Swine.SourceData_Swine_VolatileSolids_Data" localSheetId="15">_xlfn.LAMBDA(
    _xlfn.MAKEARRAY(5, 2,
      _xlfn.LAMBDA(_xlpm.r,_xlpm.c,
        INDEX({"Class","VSj";"Boars",0.4;"Sows",0.46;"Gilts",0.55;"Others",0.39}, _xlpm.r, _xlpm.c)
      )
    )
  )</definedName>
    <definedName name="SourceData_Swine.SourceData_Swine_VolatileSolids_Data" localSheetId="18">_xlfn.LAMBDA(
    _xlfn.MAKEARRAY(5, 2,
      _xlfn.LAMBDA(_xlpm.r,_xlpm.c,
        INDEX({"Class","VSj";"Boars",0.4;"Sows",0.46;"Gilts",0.55;"Others",0.39}, _xlpm.r, _xlpm.c)
      )
    )
  )</definedName>
    <definedName name="SourceData_Swine.SourceData_Swine_VolatileSolids_Data">_xlfn.LAMBDA(_xlfn.MAKEARRAY(5, 2, _xlfn.LAMBDA(_xlpm.r,_xlpm.c, INDEX({"Class","VSj";"Boars",0.4;"Sows",0.46;"Gilts",0.55;"Others",0.39}, _xlpm.r, _xlpm.c))))</definedName>
    <definedName name="SourceData_Swine.SourceData_Swine_VolatileSolids_Source">_xlfn.LAMBDA("VEERG 2026: Table A.1.6.1: Swine - Intake and manure characteristics derived from PigBal")</definedName>
    <definedName name="SourceData_Swine.SourceData_Swine_VolatileSolids_Title">_xlfn.LAMBDA("Swine - Volatile solids (VSj) - 2020 to 2024")</definedName>
    <definedName name="SourceData_Swine.SourceData_Swine_VolatileSolids_Unit">_xlfn.LAMBDA("kg/head/day")</definedName>
    <definedName name="SourceData_Swine.SourceData_Swine_VolatileSolids_Variation">_xlfn.LAMBDA("VARIATION ON SOURCE DATA: Only uses data for 2020-2024. Use 'Slaughter pigs' data for 'Other j=4' class.")</definedName>
    <definedName name="Table_E_ad_inorganic">'5.4.1.1-4 Atmos deposition'!$D$58:$F$77</definedName>
    <definedName name="Table_E_ad_organic">'5.4.1.1-4 Atmos deposition'!$D$133:$F$136</definedName>
    <definedName name="Table_E_g">'8.2.1.1-2 Stationary fuel'!$D$24:$Q$40</definedName>
    <definedName name="Table_E_g_Consumer_1">'8.1.1.1-2 Transport fuel'!$D$24:$Q$39</definedName>
    <definedName name="Table_E_g_offsite">'10.1.1-2 Solid waste treatment'!$D$156:$E$190</definedName>
    <definedName name="Table_E_g_onsite">'10.1.1-2 Solid waste treatment'!$D$115:$E$149</definedName>
    <definedName name="Table_E_lime">'5.3.1.1-2 Lime CO2'!$D$24:$H$27</definedName>
    <definedName name="Table_M_leach_inorganic_j">'5.5.1.1-2 Leaching and runoff'!$D$22:$F$41</definedName>
    <definedName name="Table_M_leach_organic_j">'5.5.1.1-2 Leaching and runoff'!$D$64:$F$75</definedName>
    <definedName name="Table_M_vol_inorganic_j_f">'5.4.1.1-4 Atmos deposition'!$D$18:$H$37</definedName>
    <definedName name="Table_M_vol_organic_j_f">'5.4.1.1-4 Atmos deposition'!$D$101:$F$104</definedName>
    <definedName name="Table_MMS_m">'4.2.1.1-2 Methane'!$D$164:$F$166</definedName>
    <definedName name="Table_MN_j_f">'5.1.1.1-2 Inorganic fert N2O'!$D$18:$G$37</definedName>
    <definedName name="Table_MNSoil_j_f">'5.2.1.1-2 Organic Fert N2O'!$D$19:$I$22</definedName>
    <definedName name="Table_MU_j_f">'5.1.1.3-4 Inorganic fert CO2'!$D$18:$G$37</definedName>
    <definedName name="Table_SRW_k">'4.2.1.3-4 Soil direct N20'!$D$27:$M$28</definedName>
    <definedName name="Table_V_w_t_offsite">'10.1.1-2 Solid waste treatment'!$D$58:$E$92</definedName>
    <definedName name="Table_V_w_t_onsite">'10.1.1-2 Solid waste treatment'!$D$20:$E$54</definedName>
    <definedName name="ValidLivestockClass">_xlfn.UNIQUE(_xlfn._xlws.FILTER(#REF!,#REF! =#REF!))</definedName>
    <definedName name="VEERG_10_1_1_1__1_EmissionsFromWasteManagement_Scope1_Result_Method1">'10.1.1-2 Solid waste treatment'!$E$151</definedName>
    <definedName name="VEERG_10_1_1_1__1_EmissionsFromWasteManagement_Scope3_Result_Method1">'10.1.1-2 Solid waste treatment'!$E$192</definedName>
    <definedName name="VEERG_14_1_1__1_LocationBasedScopeElectricityEmissions_Result_Method1">'14.1.1-2 Purchased electricity'!$E$18</definedName>
    <definedName name="VEERG_14_1_2__1_MarketBasedScopeElectricityEmissionsVariation_Result_Method1">'14.1.1-2 Purchased electricity'!$E$39</definedName>
    <definedName name="VEERG_15_1_1_1__1_EmissionsFromPurchasedLivestock_BeefCattle_Result_Method1">'15 Scope 3'!$E$34</definedName>
    <definedName name="VEERG_15_1_1_1__1_EmissionsFromPurchasedLivestock_BeefCattle_Result_Method2">'15 Scope 3'!$E$35</definedName>
    <definedName name="VEERG_15_1_1_1__1_EmissionsFromPurchasedLivestock_DairyCattle_Result_Method1">'15 Scope 3'!$E$53</definedName>
    <definedName name="VEERG_15_1_1_1__1_EmissionsFromPurchasedLivestock_DairyCattle_Result_Method2">'15 Scope 3'!$E$54</definedName>
    <definedName name="VEERG_15_1_1_1__1_EmissionsFromPurchasedLivestock_Pigs_Result_Method1">'15 Scope 3'!$E$72</definedName>
    <definedName name="VEERG_15_1_1_1__1_EmissionsFromPurchasedLivestock_Pigs_Result_Method2">'15 Scope 3'!$E$73</definedName>
    <definedName name="VEERG_15_1_1_1__1_EmissionsFromPurchasedLivestock_Poultry_Result_Method1">'15 Scope 3'!$E$90</definedName>
    <definedName name="VEERG_15_1_1_1__1_EmissionsFromPurchasedLivestock_Poultry_Result_Method2">'15 Scope 3'!$E$91</definedName>
    <definedName name="VEERG_15_1_1_1__1_EmissionsFromPurchasedLivestock_Result_Method1">'15 Scope 3'!$E$93</definedName>
    <definedName name="VEERG_15_1_1_1__1_EmissionsFromPurchasedLivestock_Result_Method2">'15 Scope 3'!$E$94</definedName>
    <definedName name="VEERG_15_10_1_1__1_OtherPurchasedGoodsAndServices_CleaningChemicals_Result_Method1">'15 Scope 3'!$E$456</definedName>
    <definedName name="VEERG_15_10_1_1__1_OtherPurchasedGoodsAndServices_CleaningChemicals_Result_Method2">'15 Scope 3'!$E$457</definedName>
    <definedName name="VEERG_15_10_1_1__1_OtherPurchasedGoodsAndServices_Misc_Result_Method1">'15 Scope 3'!$E$498</definedName>
    <definedName name="VEERG_15_10_1_1__1_OtherPurchasedGoodsAndServices_Misc_Result_Method2">'15 Scope 3'!$E$499</definedName>
    <definedName name="VEERG_15_10_1_1__1_OtherPurchasedGoodsAndServices_PharmacyChemicals_Result_Method1">'15 Scope 3'!$E$474</definedName>
    <definedName name="VEERG_15_10_1_1__1_OtherPurchasedGoodsAndServices_PharmacyChemicals_Result_Method2">'15 Scope 3'!$E$475</definedName>
    <definedName name="VEERG_15_10_1_1__1_OtherPurchasedGoodsAndServices_Seed_Result_Method1">'15 Scope 3'!$E$487</definedName>
    <definedName name="VEERG_15_10_1_1__1_OtherPurchasedGoodsAndServices_Seed_Result_Method2">'15 Scope 3'!$E$488</definedName>
    <definedName name="VEERG_15_10_1_1__1_OtherPurchasedGoodsAndServices_Uncategorised_Result_Method1">'15 Scope 3'!$E$516</definedName>
    <definedName name="VEERG_15_10_1_1__1_OtherPurchasedGoodsAndServices_Uncategorised_Result_Method2">'15 Scope 3'!$E$517</definedName>
    <definedName name="VEERG_15_11_1_1__1_TotalUpstreamEmissionsFromFuel_Result">'15 Scope 3'!$E$533</definedName>
    <definedName name="VEERG_15_12_1_1__1_UpstreamPurchasedElectricityLocationBased_Result">'15 Scope 3'!$E$548</definedName>
    <definedName name="VEERG_15_12_1_2__1_UpstreamPurchasedElectricityMarketBasedVariation_Result">'15 Scope 3'!$E$570</definedName>
    <definedName name="VEERG_15_13_1_1__1_EmissionsFromManureSentOffSite_Result_Method1_CO2e">'15 Scope 3'!$E$593</definedName>
    <definedName name="VEERG_15_13_1_1__1_EmissionsFromManureSentOffSite_Result_Method2_CO2e">'15 Scope 3'!$M$593</definedName>
    <definedName name="VEERG_15_14_1_1__1_EmbeddedEmissionsFromUpstreamFreight_Incoming_Result_Method1">'15 Scope 3'!$E$635</definedName>
    <definedName name="VEERG_15_14_1_1__1_EmbeddedEmissionsFromUpstreamFreight_Incoming_Result_Method2">'15 Scope 3'!$E$636</definedName>
    <definedName name="VEERG_15_14_1_1__1_EmbeddedEmissionsFromUpstreamFreight_Outgoing_Result_Method1">'15 Scope 3'!$E$653</definedName>
    <definedName name="VEERG_15_14_1_1__1_EmbeddedEmissionsFromUpstreamFreight_Outgoing_Result_Method2">'15 Scope 3'!$E$654</definedName>
    <definedName name="VEERG_15_2_1_1__1_EmissionsFromPurchasedFeed_Result_Method1">'15 Scope 3'!$E$159</definedName>
    <definedName name="VEERG_15_2_1_1__1_EmissionsFromPurchasedFeed_Result_Method2">'15 Scope 3'!$E$160</definedName>
    <definedName name="VEERG_15_3_1_1__1_EmissionsFromPurchasedMineralSupplements_Result_Method1">'15 Scope 3'!$E$181</definedName>
    <definedName name="VEERG_15_3_1_1__1_EmissionsFromPurchasedMineralSupplements_Result_Method2">'15 Scope 3'!$E$182</definedName>
    <definedName name="VEERG_15_4_1_1__2_EmissionsFromPurchasedFertiliserComponentsVariation_Result_Method1">'15 Scope 3'!$E$266</definedName>
    <definedName name="VEERG_15_4_1_1__2_EmissionsFromPurchasedFertiliserComponentsVariation_Result_Method2">'15 Scope 3'!$E$267</definedName>
    <definedName name="VEERG_15_5_1_1__1_EmissionsFromPurchasedAgrichemicals_Result_Method1">'15 Scope 3'!$E$298</definedName>
    <definedName name="VEERG_15_5_1_1__1_EmissionsFromPurchasedAgrichemicals_Result_Method2">'15 Scope 3'!$E$299</definedName>
    <definedName name="VEERG_15_6_1_1__1_EmissionsFromPurchasedLime_Result_Method1">'15 Scope 3'!$E$331</definedName>
    <definedName name="VEERG_15_6_1_1__1_EmissionsFromPurchasedLime_Result_Method2">'15 Scope 3'!$E$332</definedName>
    <definedName name="VEERG_15_7_1_1__1_EmissionsFromPurchasedServices_Result_Method1">'15 Scope 3'!$E$362</definedName>
    <definedName name="VEERG_15_7_1_1__1_EmissionsFromPurchasedServices_Result_Method2">'15 Scope 3'!$E$363</definedName>
    <definedName name="VEERG_15_8_1_1__1_EmissionsFromPurchasedPackaging_Result_Method1">'15 Scope 3'!$E$393</definedName>
    <definedName name="VEERG_15_8_1_1__1_EmissionsFromPurchasedPackaging_Result_Method2">'15 Scope 3'!$E$394</definedName>
    <definedName name="VEERG_15_9_1_1__1_EmissionsFromPurchasedGrowMedia_Result_Method1">'15 Scope 3'!$E$425</definedName>
    <definedName name="VEERG_15_9_1_1__1_EmissionsFromPurchasedGrowMedia_Result_Method2">'15 Scope 3'!$E$426</definedName>
    <definedName name="VEERG_3_2_1_1__1_TotalAnnualMethaneFromEntericFermentation_Result_Method1">'3.2.1.1-2 Enteric Methane'!$E$128</definedName>
    <definedName name="VEERG_3_2_1_1__1_TotalAnnualMethaneFromEntericFermentation_Result_Method2">'3.2.1.1-2 Enteric Methane'!$V$162</definedName>
    <definedName name="VEERG_4_2_1_1__1_TotalAnnualMethaneProductionFromManureManagement_Result_Method1">'4.2.1.1-2 Methane'!$E$244</definedName>
    <definedName name="VEERG_4_2_1_1__1_TotalAnnualMethaneProductionFromManureManagement_Result_Method2">'4.2.1.1-2 Methane'!$X$276</definedName>
    <definedName name="VEERG_4_2_1_3__1_DirectNitrousOxideEmissionsOnPasture_Result_Method1">'4.2.1.3-4 Soil direct N20'!$E$229</definedName>
    <definedName name="VEERG_4_2_1_3__1_DirectNitrousOxideEmissionsOnPasture_Result_Method2">'4.2.1.3-4 Soil direct N20'!$V$267</definedName>
    <definedName name="VEERG_4_2_1_3__2_TotalNitrogenExcretedToPastureRangeAndPaddock_Result_Method1">'4.2.1.3-4 Soil direct N20'!$E$212</definedName>
    <definedName name="VEERG_4_2_1_3__2_TotalNitrogenExcretedToPastureRangeAndPaddock_Result_Method2">'4.2.1.3-4 Soil direct N20'!$V$261</definedName>
    <definedName name="VEERG_4_2_1_5__1_AtmosphericDepositionEmissionsFromUrineAndDungOnPasture_Result_Method1">'4.2.1.5-6 Soil Atmos Dep'!$E$35</definedName>
    <definedName name="VEERG_4_2_1_5__1_AtmosphericDepositionEmissionsFromUrineAndDungOnPasture_Result_Method2">'4.2.1.5-6 Soil Atmos Dep'!$O$35</definedName>
    <definedName name="VEERG_4_2_1_7__1_LeachingAndRunoffEmissionsFromUrineAndDungOnPasture_Result_Method1">'4.2.1.7-8 Soil leach runoff'!$E$36</definedName>
    <definedName name="VEERG_4_2_1_7__1_LeachingAndRunoffEmissionsFromUrineAndDungOnPasture_Result_Method2">'4.2.1.7-8 Soil leach runoff'!$N$36</definedName>
    <definedName name="VEERG_5_1_1_1__1_InorganicFertiliserApplicationN2OEmissions_Result_Method1">'5.1.1.1-2 Inorganic fert N2O'!$E$80</definedName>
    <definedName name="VEERG_5_1_1_1__1_InorganicFertiliserApplicationN2OEmissions_Result_Method2">'5.1.1.1-2 Inorganic fert N2O'!$N$110</definedName>
    <definedName name="VEERG_5_1_1_3__1_InorganicFertiliserApplicationCO2Emissions_Result_Method1">'5.1.1.3-4 Inorganic fert CO2'!$E$78</definedName>
    <definedName name="VEERG_5_2_1_1__1_OrganicFertiliserApplicationN2OEmissions_Result_Method1">'Calcs - Manure sent off-site'!$E$19</definedName>
    <definedName name="VEERG_5_2_1_1__1_OrganicFertiliserApplicationN2OEmissions_Result_Method2">'Calcs - Manure sent off-site'!$O$19</definedName>
    <definedName name="VEERG_5_2_1_1__2_MassOfNitrogenInOrganicFertiliser_Result_Method1">'5.2.1.1-2 Organic Fert N2O'!$E$50</definedName>
    <definedName name="VEERG_5_3_1_1__1_LimeApplicationCO2Emissions_Result_Method1">'5.3.1.1-2 Lime CO2'!$E$31</definedName>
    <definedName name="VEERG_5_4_1_1__1_InorganicFertiliserAtmosphericDepositionN2OEmissions_Result_Method1">'5.4.1.1-4 Atmos deposition'!$E$79</definedName>
    <definedName name="VEERG_5_4_1_3__1_OrganicFertiliserAtmosphericDepositionN2OEmissions_Result_Method1" localSheetId="37">'Calcs - Manure sent off-site'!$E$55</definedName>
    <definedName name="VEERG_5_4_1_3__1_OrganicFertiliserAtmosphericDepositionN2OEmissions_Result_Method1" localSheetId="38">'Calcs - Manure sent off-site'!$E$55</definedName>
    <definedName name="VEERG_5_4_1_3__1_OrganicFertiliserAtmosphericDepositionN2OEmissions_Result_Method1" localSheetId="45">'Calcs - Manure sent off-site'!$E$55</definedName>
    <definedName name="VEERG_5_4_1_3__1_OrganicFertiliserAtmosphericDepositionN2OEmissions_Result_Method1" localSheetId="7">'Calcs - Manure sent off-site'!$E$55</definedName>
    <definedName name="VEERG_5_4_1_3__1_OrganicFertiliserAtmosphericDepositionN2OEmissions_Result_Method1" localSheetId="13">'Calcs - Manure sent off-site'!$E$55</definedName>
    <definedName name="VEERG_5_4_1_3__1_OrganicFertiliserAtmosphericDepositionN2OEmissions_Result_Method1" localSheetId="14">'Calcs - Manure sent off-site'!$E$55</definedName>
    <definedName name="VEERG_5_4_1_3__1_OrganicFertiliserAtmosphericDepositionN2OEmissions_Result_Method1" localSheetId="16">'Calcs - Manure sent off-site'!$E$55</definedName>
    <definedName name="VEERG_5_4_1_3__1_OrganicFertiliserAtmosphericDepositionN2OEmissions_Result_Method1" localSheetId="15">'Calcs - Manure sent off-site'!$E$55</definedName>
    <definedName name="VEERG_5_4_1_3__1_OrganicFertiliserAtmosphericDepositionN2OEmissions_Result_Method1" localSheetId="18">'Calcs - Manure sent off-site'!$E$55</definedName>
    <definedName name="VEERG_5_4_1_3__1_OrganicFertiliserAtmosphericDepositionN2OEmissions_Result_Method1">'5.4.1.1-4 Atmos deposition'!$E$146</definedName>
    <definedName name="VEERG_5_4_1_3__1_OrganicFertiliserAtmosphericDepositionN2OEmissions_Result_Method2">'Calcs - Manure sent off-site'!$O$55</definedName>
    <definedName name="VEERG_5_5_1_1__1_FertiliserLeachingAndRunoffN2OEmissions_Result_Method1" localSheetId="37">'Calcs - Manure sent off-site'!$E$90</definedName>
    <definedName name="VEERG_5_5_1_1__1_FertiliserLeachingAndRunoffN2OEmissions_Result_Method1" localSheetId="38">'Calcs - Manure sent off-site'!$E$90</definedName>
    <definedName name="VEERG_5_5_1_1__1_FertiliserLeachingAndRunoffN2OEmissions_Result_Method1" localSheetId="45">'Calcs - Manure sent off-site'!$E$90</definedName>
    <definedName name="VEERG_5_5_1_1__1_FertiliserLeachingAndRunoffN2OEmissions_Result_Method1" localSheetId="7">'Calcs - Manure sent off-site'!$E$90</definedName>
    <definedName name="VEERG_5_5_1_1__1_FertiliserLeachingAndRunoffN2OEmissions_Result_Method1" localSheetId="13">'Calcs - Manure sent off-site'!$E$90</definedName>
    <definedName name="VEERG_5_5_1_1__1_FertiliserLeachingAndRunoffN2OEmissions_Result_Method1" localSheetId="14">'Calcs - Manure sent off-site'!$E$90</definedName>
    <definedName name="VEERG_5_5_1_1__1_FertiliserLeachingAndRunoffN2OEmissions_Result_Method1" localSheetId="16">'Calcs - Manure sent off-site'!$E$90</definedName>
    <definedName name="VEERG_5_5_1_1__1_FertiliserLeachingAndRunoffN2OEmissions_Result_Method1" localSheetId="15">'Calcs - Manure sent off-site'!$E$90</definedName>
    <definedName name="VEERG_5_5_1_1__1_FertiliserLeachingAndRunoffN2OEmissions_Result_Method1" localSheetId="18">'Calcs - Manure sent off-site'!$E$90</definedName>
    <definedName name="VEERG_5_5_1_1__1_FertiliserLeachingAndRunoffN2OEmissions_result_Method1">'5.5.1.1-2 Leaching and runoff'!$E$94</definedName>
    <definedName name="VEERG_5_5_1_1__1_FertiliserLeachingAndRunoffN2OEmissions_Result_Method2">'Calcs - Manure sent off-site'!$O$90</definedName>
    <definedName name="VEERG_6_2_1_1__1__NitrousOxideEmissionsFromPastureResidues_Result_Method1">'6.2.1.1-2 Pasture residue N2O'!$E$40</definedName>
    <definedName name="VEERG_6_2_1_1__1__NitrousOxideEmissionsFromPastureResidues_Result_Method2">'6.2.1.1-2 Pasture residue N2O'!$O$40</definedName>
    <definedName name="VEERG_6_3_1_1__1__LeachingAndRunoffEmissionsCropAndPastureResidue_PastureOnly_Result_Method1">'6.3.1.1-2 Leach runoff pasture'!$E$48</definedName>
    <definedName name="VEERG_6_3_1_1__1__LeachingAndRunoffEmissionsCropAndPastureResidue_PastureOnly_Result_Method2">'6.3.1.1-2 Leach runoff pasture'!$O$48</definedName>
    <definedName name="VEERG_6_3_1_1__1__LeachingAndRunoffEmissionsCropAndPastureResidue_Result_Method1" localSheetId="32">'6.3.1.1-2 Leach runoff pasture'!$E$48</definedName>
    <definedName name="VEERG_6_3_1_1__1__LeachingAndRunoffEmissionsCropAndPastureResidue_Result_Method2" localSheetId="32">'6.3.1.1-2 Leach runoff pasture'!$O$48</definedName>
    <definedName name="VEERG_8_1_1_1__1_FuelCombustionTransport_Result">'8.1.1.1-2 Transport fuel'!$E$70</definedName>
    <definedName name="VEERG_8_1_1_1__1_FuelCombustionTransport_Result_CH4">'8.1.1.1-2 Transport fuel'!$E$68</definedName>
    <definedName name="VEERG_8_1_1_1__1_FuelCombustionTransport_Result_CO2">'8.1.1.1-2 Transport fuel'!$E$67</definedName>
    <definedName name="VEERG_8_1_1_1__1_FuelCombustionTransport_Result_N2O">'8.1.1.1-2 Transport fuel'!$E$69</definedName>
    <definedName name="VEERG_8_1_1_1__1_FuelCombustionTransport_Result_Scope3">'8.1.1.1-2 Transport fuel'!$E$70</definedName>
    <definedName name="VEERG_8_2_1_1__1_FuelCombustionStationary_Result">'8.2.1.1-2 Stationary fuel'!$E$58</definedName>
    <definedName name="VEERG_8_2_1_1__1_FuelCombustionStationary_Result_CH4">'8.2.1.1-2 Stationary fuel'!$E$56</definedName>
    <definedName name="VEERG_8_2_1_1__1_FuelCombustionStationary_Result_CO2">'8.2.1.1-2 Stationary fuel'!$E$55</definedName>
    <definedName name="VEERG_8_2_1_1__1_FuelCombustionStationary_Result_N2O">'8.2.1.1-2 Stationary fuel'!$E$57</definedName>
    <definedName name="VEERG_8_2_1_1__1_FuelCombustionStationary_Result_Scope3">'8.2.1.1-2 Stationary fuel'!$E$58</definedName>
    <definedName name="WasteSolid_Equations.VEERG_10_1_1_1__1_EmissionsFromWasteManagement">_xlfn.LAMBDA(_xlpm.Q_wt,_xlpm.EF_wtg, _xlpm.Q_wt * _xlpm.EF_wtg)</definedName>
    <definedName name="WasteSolid_Equations.VEERG_10_1_1_1__1_EmissionsFromWasteManagement_Arguments">_xlfn.LAMBDA(_xlfn.MAKEARRAY(7, 4, _xlfn.LAMBDA(_xlpm.r,_xlpm.c, INDEX({"Q_wt","quantity of solid waste of type w being sent to treatment facility t, on a wet weight basis","t","Sum of Q_volwt and Q_masswt";"EF_wtg","emission factor for greenhouse gas g for the management of waste at treatment facility t","t CO2e/t","Constant";"w","waste type","","Input";"t","treatment facility","","Input";"g","greenhouse gas","","Input";"Q_volwt","quantity of sold waste input as volume and converted to tonnes","tonnes","Calculated from 10.1.1.1 (2)";"Q_masswt","quantity of solid waste input as mass","tonnes","Input"}, _xlpm.r, _xlpm.c))))</definedName>
    <definedName name="WasteSolid_Equations.VEERG_10_1_1_1__1_EmissionsFromWasteManagement_LatexEquation">_xlfn.LAMBDA("E_g=\sum\nolimits_t\sum\nolimits_w(Q_{wt}\times EF_{wtg})")</definedName>
    <definedName name="WasteSolid_Equations.VEERG_10_1_1_1__1_EmissionsFromWasteManagement_NIRReference">_xlfn.LAMBDA("")</definedName>
    <definedName name="WasteSolid_Equations.VEERG_10_1_1_1__1_EmissionsFromWasteManagement_Source">_xlfn.LAMBDA("VEERG 2026: 10.1.1.1, Equation (1)")</definedName>
    <definedName name="WasteSolid_Equations.VEERG_10_1_1_1__1_EmissionsFromWasteManagement_Title">_xlfn.LAMBDA("Emissions from waste management by greenhouse gas")</definedName>
    <definedName name="WasteSolid_Equations.VEERG_10_1_1_1__1_EmissionsFromWasteManagement_Unit">_xlfn.LAMBDA("t CO2e")</definedName>
    <definedName name="WasteSolid_Equations.VEERG_10_1_1_1__1_EmissionsFromWasteManagement_Variable">_xlfn.LAMBDA("E_g")</definedName>
    <definedName name="WasteSolid_Equations.VEERG_10_1_1_1__1_EmissionsFromWasteManagement_Variation">_xlfn.LAMBDA("VARIATION ON SOURCE: Added Q_volwt and Q_masswt variables to clearly track input or calculated Q values")</definedName>
    <definedName name="WasteSolid_Equations.VEERG_10_1_1_1__2_MassOfWasteFromVolume">_xlfn.LAMBDA(_xlpm.V_wt,_xlpm.VTM_w, _xlpm.V_wt * _xlpm.VTM_w)</definedName>
    <definedName name="WasteSolid_Equations.VEERG_10_1_1_1__2_MassOfWasteFromVolume_Arguments">_xlfn.LAMBDA(_xlfn.MAKEARRAY(4, 4, _xlfn.LAMBDA(_xlpm.r,_xlpm.c, INDEX({"V_wt","volume of solid waste type w being sent to treatment facility t","m3","Input";"VTM_w","conversion factor of volume to mass for waste type w","t/m3","Constant";"w","waste type","","Input";"t","treatment facility","","Input"}, _xlpm.r, _xlpm.c))))</definedName>
    <definedName name="WasteSolid_Equations.VEERG_10_1_1_1__2_MassOfWasteFromVolume_LatexEquation">_xlfn.LAMBDA("Q_{wt}=V_{wt}\times VTM_w")</definedName>
    <definedName name="WasteSolid_Equations.VEERG_10_1_1_1__2_MassOfWasteFromVolume_NIRReference">_xlfn.LAMBDA("")</definedName>
    <definedName name="WasteSolid_Equations.VEERG_10_1_1_1__2_MassOfWasteFromVolume_Source">_xlfn.LAMBDA("VEERG 2026: 10.1.1.1, Equation (2)")</definedName>
    <definedName name="WasteSolid_Equations.VEERG_10_1_1_1__2_MassOfWasteFromVolume_Title">_xlfn.LAMBDA("Mass of waste from waste volume")</definedName>
    <definedName name="WasteSolid_Equations.VEERG_10_1_1_1__2_MassOfWasteFromVolume_Unit">_xlfn.LAMBDA("t")</definedName>
    <definedName name="WasteSolid_Equations.VEERG_10_1_1_1__2_MassOfWasteFromVolume_Variable">_xlfn.LAMBDA("Q_wt")</definedName>
    <definedName name="WasteSolid_InputFunctions.WasteSolid_InputFunctions_SumWasteTreatment">_xlfn.LAMBDA(_xlpm.TreatmentArray,_xlpm.WasteArray,_xlpm.TreatmentLocationArray,_xlpm.UnitArray,_xlpm.AmountArray,_xlpm.TreatmentType,_xlpm.WasteType,_xlpm.TreatmentLocationType,_xlpm.UnitType, SUMIFS(_xlpm.AmountArray, _xlpm.TreatmentArray, _xlpm.TreatmentType, _xlpm.WasteArray, _xlpm.WasteType, _xlpm.TreatmentLocationArray, _xlpm.TreatmentLocationType, _xlpm.UnitArray, _xlpm.UnitType))</definedName>
    <definedName name="WasteSolid_SourceData.Waste_EmissionFactorsForWasteTreatment_Data" localSheetId="35">_xlfn.LAMBDA(_xlfn.MAKEARRAY(35, 4, _xlfn.LAMBDA(_xlpm.r,_xlpm.c, INDEX({"Treatment type t","Waste type w","EFwt","EF source";"Landfill","Food waste (including animal carcasses, spoiled animal feed or crop)",2.1,"NGAF 2025 table 15";"Landfill","Paper and cardboard",3.3,"NGAF 2025 table 15";"Landfill","Green waste (including crop residues or prunings)",1.6,"NGAF 2025 table 15";"Landfill","Wood",0.7,"NGAF 2025 table 15";"Landfill","Textiles",2,"NGAF 2025 table 15";"Landfill","Sludge",0.4,"NGAF 2025 table 15";"Landfill","Rubber and leather",3.3,"NGAF 2025 table 15";"Landfill","Inert waste (including concrete, metal, plastic or glass)",0,"NGAF 2025 table 15";"Landfill","Municipal solid waste",1.6,"NGAF 2025 table 15";"Landfill","Commercial and industrial waste",1.3,"NGAF 2025 table 15";"Landfill","Construction and demolition waste",0.2,"NGAF 2025 table 15";"Incineration","Food waste, green waste, wood, sludge",0,"";"Incineration","Food waste (including animal carcasses, spoiled animal feed or crop)",0,"";"Incineration","Green waste (including crop residues or prunings)",0,"";"Incineration","Wood",0,"";"Incineration","Sludge",0,"";"Incineration","Paper and cardboard",0.0169,"";"Incineration","Textiles",0.3667,"";"Incineration","Rubber and leather",0.4919,"";"Incineration","Inert waste (including concrete, metal, plastic or glass)",0.11,"";"Incineration","Municipal solid waste",0.0537,"NGAF 2025 Table 18";"Incineration","Commercial and industrial waste",1.649,"NGAF 2025 Table 18";"Composting","All organic waste",0.046,"NGAF 2025 Table 19";"Composting","Food waste (including animal carcasses, spoiled animal feed or crop)",0.046,"";"Composting","Green waste (including crop residues or prunings)",0.046,"";"Composting","Wood",0.046,"";"Composting","Sludge",0.046,"";"Composting","Paper and cardboard",0.046,"";"Anaerobic digestion","All organic waste",0.028,"NGAF 2025 Table 19";"Anaerobic digestion","Food waste (including animal carcasses, spoiled animal feed or crop)",0.028,"";"Anaerobic digestion","Green waste (including crop residues or prunings)",0.028,"";"Anaerobic digestion","Wood",0.028,"";"Anaerobic digestion","Sludge",0.028,"";"Anaerobic digestion","Paper and cardboard",0.028,""}, _xlpm.r, _xlpm.c))))</definedName>
    <definedName name="WasteSolid_SourceData.Waste_EmissionFactorsForWasteTreatment_Data" localSheetId="37">_xlfn.LAMBDA(_xlfn.MAKEARRAY(35, 4, _xlfn.LAMBDA(_xlpm.r,_xlpm.c, INDEX({"Treatment type t","Waste type w","EFwt","EF source";"Landfill","Food waste (including animal carcasses, spoiled animal feed or crop)",2.1,"NGAF 2025 table 15";"Landfill","Paper and cardboard",3.3,"NGAF 2025 table 15";"Landfill","Green waste (including crop residues or prunings)",1.6,"NGAF 2025 table 15";"Landfill","Wood",0.7,"NGAF 2025 table 15";"Landfill","Textiles",2,"NGAF 2025 table 15";"Landfill","Sludge",0.4,"NGAF 2025 table 15";"Landfill","Rubber and leather",3.3,"NGAF 2025 table 15";"Landfill","Inert waste (including concrete, metal, plastic or glass)",0,"NGAF 2025 table 15";"Landfill","Municipal solid waste",1.6,"NGAF 2025 table 15";"Landfill","Commercial and industrial waste",1.3,"NGAF 2025 table 15";"Landfill","Construction and demolition waste",0.2,"NGAF 2025 table 15";"Incineration","Food waste, green waste, wood, sludge",0,"";"Incineration","Food waste (including animal carcasses, spoiled animal feed or crop)",0,"";"Incineration","Green waste (including crop residues or prunings)",0,"";"Incineration","Wood",0,"";"Incineration","Sludge",0,"";"Incineration","Paper and cardboard",0.0169,"";"Incineration","Textiles",0.3667,"";"Incineration","Rubber and leather",0.4919,"";"Incineration","Inert waste (including concrete, metal, plastic or glass)",0.11,"";"Incineration","Municipal solid waste",0.0537,"NGAF 2025 Table 18";"Incineration","Commercial and industrial waste",1.649,"NGAF 2025 Table 18";"Composting","All organic waste",0.046,"NGAF 2025 Table 19";"Composting","Food waste (including animal carcasses, spoiled animal feed or crop)",0.046,"";"Composting","Green waste (including crop residues or prunings)",0.046,"";"Composting","Wood",0.046,"";"Composting","Sludge",0.046,"";"Composting","Paper and cardboard",0.046,"";"Anaerobic digestion","All organic waste",0.028,"NGAF 2025 Table 19";"Anaerobic digestion","Food waste (including animal carcasses, spoiled animal feed or crop)",0.028,"";"Anaerobic digestion","Green waste (including crop residues or prunings)",0.028,"";"Anaerobic digestion","Wood",0.028,"";"Anaerobic digestion","Sludge",0.028,"";"Anaerobic digestion","Paper and cardboard",0.028,""}, _xlpm.r, _xlpm.c))))</definedName>
    <definedName name="WasteSolid_SourceData.Waste_EmissionFactorsForWasteTreatment_Data" localSheetId="38">_xlfn.LAMBDA(_xlfn.MAKEARRAY(35, 4, _xlfn.LAMBDA(_xlpm.r,_xlpm.c, INDEX({"Treatment type t","Waste type w","EFwt","EF source";"Landfill","Food waste (including animal carcasses, spoiled animal feed or crop)",2.1,"NGAF 2025 table 15";"Landfill","Paper and cardboard",3.3,"NGAF 2025 table 15";"Landfill","Green waste (including crop residues or prunings)",1.6,"NGAF 2025 table 15";"Landfill","Wood",0.7,"NGAF 2025 table 15";"Landfill","Textiles",2,"NGAF 2025 table 15";"Landfill","Sludge",0.4,"NGAF 2025 table 15";"Landfill","Rubber and leather",3.3,"NGAF 2025 table 15";"Landfill","Inert waste (including concrete, metal, plastic or glass)",0,"NGAF 2025 table 15";"Landfill","Municipal solid waste",1.6,"NGAF 2025 table 15";"Landfill","Commercial and industrial waste",1.3,"NGAF 2025 table 15";"Landfill","Construction and demolition waste",0.2,"NGAF 2025 table 15";"Incineration","Food waste, green waste, wood, sludge",0,"";"Incineration","Food waste (including animal carcasses, spoiled animal feed or crop)",0,"";"Incineration","Green waste (including crop residues or prunings)",0,"";"Incineration","Wood",0,"";"Incineration","Sludge",0,"";"Incineration","Paper and cardboard",0.0169,"";"Incineration","Textiles",0.3667,"";"Incineration","Rubber and leather",0.4919,"";"Incineration","Inert waste (including concrete, metal, plastic or glass)",0.11,"";"Incineration","Municipal solid waste",0.0537,"NGAF 2025 Table 18";"Incineration","Commercial and industrial waste",1.649,"NGAF 2025 Table 18";"Composting","All organic waste",0.046,"NGAF 2025 Table 19";"Composting","Food waste (including animal carcasses, spoiled animal feed or crop)",0.046,"";"Composting","Green waste (including crop residues or prunings)",0.046,"";"Composting","Wood",0.046,"";"Composting","Sludge",0.046,"";"Composting","Paper and cardboard",0.046,"";"Anaerobic digestion","All organic waste",0.028,"NGAF 2025 Table 19";"Anaerobic digestion","Food waste (including animal carcasses, spoiled animal feed or crop)",0.028,"";"Anaerobic digestion","Green waste (including crop residues or prunings)",0.028,"";"Anaerobic digestion","Wood",0.028,"";"Anaerobic digestion","Sludge",0.028,"";"Anaerobic digestion","Paper and cardboard",0.028,""}, _xlpm.r, _xlpm.c))))</definedName>
    <definedName name="WasteSolid_SourceData.Waste_EmissionFactorsForWasteTreatment_Data" localSheetId="45">_xlfn.LAMBDA(_xlfn.MAKEARRAY(35, 4, _xlfn.LAMBDA(_xlpm.r,_xlpm.c, INDEX({"Treatment type t","Waste type w","EFwt","EF source";"Landfill","Food waste (including animal carcasses, spoiled animal feed or crop)",2.1,"NGAF 2025 table 15";"Landfill","Paper and cardboard",3.3,"NGAF 2025 table 15";"Landfill","Green waste (including crop residues or prunings)",1.6,"NGAF 2025 table 15";"Landfill","Wood",0.7,"NGAF 2025 table 15";"Landfill","Textiles",2,"NGAF 2025 table 15";"Landfill","Sludge",0.4,"NGAF 2025 table 15";"Landfill","Rubber and leather",3.3,"NGAF 2025 table 15";"Landfill","Inert waste (including concrete, metal, plastic or glass)",0,"NGAF 2025 table 15";"Landfill","Municipal solid waste",1.6,"NGAF 2025 table 15";"Landfill","Commercial and industrial waste",1.3,"NGAF 2025 table 15";"Landfill","Construction and demolition waste",0.2,"NGAF 2025 table 15";"Incineration","Food waste, green waste, wood, sludge",0,"";"Incineration","Food waste (including animal carcasses, spoiled animal feed or crop)",0,"";"Incineration","Green waste (including crop residues or prunings)",0,"";"Incineration","Wood",0,"";"Incineration","Sludge",0,"";"Incineration","Paper and cardboard",0.0169,"";"Incineration","Textiles",0.3667,"";"Incineration","Rubber and leather",0.4919,"";"Incineration","Inert waste (including concrete, metal, plastic or glass)",0.11,"";"Incineration","Municipal solid waste",0.0537,"NGAF 2025 Table 18";"Incineration","Commercial and industrial waste",1.649,"NGAF 2025 Table 18";"Composting","All organic waste",0.046,"NGAF 2025 Table 19";"Composting","Food waste (including animal carcasses, spoiled animal feed or crop)",0.046,"";"Composting","Green waste (including crop residues or prunings)",0.046,"";"Composting","Wood",0.046,"";"Composting","Sludge",0.046,"";"Composting","Paper and cardboard",0.046,"";"Anaerobic digestion","All organic waste",0.028,"NGAF 2025 Table 19";"Anaerobic digestion","Food waste (including animal carcasses, spoiled animal feed or crop)",0.028,"";"Anaerobic digestion","Green waste (including crop residues or prunings)",0.028,"";"Anaerobic digestion","Wood",0.028,"";"Anaerobic digestion","Sludge",0.028,"";"Anaerobic digestion","Paper and cardboard",0.028,""}, _xlpm.r, _xlpm.c))))</definedName>
    <definedName name="WasteSolid_SourceData.Waste_EmissionFactorsForWasteTreatment_Data" localSheetId="46">_xlfn.LAMBDA(_xlfn.MAKEARRAY(35, 4, _xlfn.LAMBDA(_xlpm.r,_xlpm.c, INDEX({"Treatment type t","Waste type w","EFwt","EF source";"Landfill","Food waste (including animal carcasses, spoiled animal feed or crop)",2.1,"NGAF 2025 table 15";"Landfill","Paper and cardboard",3.3,"NGAF 2025 table 15";"Landfill","Green waste (including crop residues or prunings)",1.6,"NGAF 2025 table 15";"Landfill","Wood",0.7,"NGAF 2025 table 15";"Landfill","Textiles",2,"NGAF 2025 table 15";"Landfill","Sludge",0.4,"NGAF 2025 table 15";"Landfill","Rubber and leather",3.3,"NGAF 2025 table 15";"Landfill","Inert waste (including concrete, metal, plastic or glass)",0,"NGAF 2025 table 15";"Landfill","Municipal solid waste",1.6,"NGAF 2025 table 15";"Landfill","Commercial and industrial waste",1.3,"NGAF 2025 table 15";"Landfill","Construction and demolition waste",0.2,"NGAF 2025 table 15";"Incineration","Food waste, green waste, wood, sludge",0,"";"Incineration","Food waste (including animal carcasses, spoiled animal feed or crop)",0,"";"Incineration","Green waste (including crop residues or prunings)",0,"";"Incineration","Wood",0,"";"Incineration","Sludge",0,"";"Incineration","Paper and cardboard",0.0169,"";"Incineration","Textiles",0.3667,"";"Incineration","Rubber and leather",0.4919,"";"Incineration","Inert waste (including concrete, metal, plastic or glass)",0.11,"";"Incineration","Municipal solid waste",0.0537,"NGAF 2025 Table 18";"Incineration","Commercial and industrial waste",1.649,"NGAF 2025 Table 18";"Composting","All organic waste",0.046,"NGAF 2025 Table 19";"Composting","Food waste (including animal carcasses, spoiled animal feed or crop)",0.046,"";"Composting","Green waste (including crop residues or prunings)",0.046,"";"Composting","Wood",0.046,"";"Composting","Sludge",0.046,"";"Composting","Paper and cardboard",0.046,"";"Anaerobic digestion","All organic waste",0.028,"NGAF 2025 Table 19";"Anaerobic digestion","Food waste (including animal carcasses, spoiled animal feed or crop)",0.028,"";"Anaerobic digestion","Green waste (including crop residues or prunings)",0.028,"";"Anaerobic digestion","Wood",0.028,"";"Anaerobic digestion","Sludge",0.028,"";"Anaerobic digestion","Paper and cardboard",0.028,""}, _xlpm.r, _xlpm.c))))</definedName>
    <definedName name="WasteSolid_SourceData.Waste_EmissionFactorsForWasteTreatment_Data" localSheetId="7">_xlfn.LAMBDA(_xlfn.MAKEARRAY(35, 4, _xlfn.LAMBDA(_xlpm.r,_xlpm.c, INDEX({"Treatment type t","Waste type w","EFwt","EF source";"Landfill","Food waste (including animal carcasses, spoiled animal feed or crop)",2.1,"NGAF 2025 table 15";"Landfill","Paper and cardboard",3.3,"NGAF 2025 table 15";"Landfill","Green waste (including crop residues or prunings)",1.6,"NGAF 2025 table 15";"Landfill","Wood",0.7,"NGAF 2025 table 15";"Landfill","Textiles",2,"NGAF 2025 table 15";"Landfill","Sludge",0.4,"NGAF 2025 table 15";"Landfill","Rubber and leather",3.3,"NGAF 2025 table 15";"Landfill","Inert waste (including concrete, metal, plastic or glass)",0,"NGAF 2025 table 15";"Landfill","Municipal solid waste",1.6,"NGAF 2025 table 15";"Landfill","Commercial and industrial waste",1.3,"NGAF 2025 table 15";"Landfill","Construction and demolition waste",0.2,"NGAF 2025 table 15";"Incineration","Food waste, green waste, wood, sludge",0,"";"Incineration","Food waste (including animal carcasses, spoiled animal feed or crop)",0,"";"Incineration","Green waste (including crop residues or prunings)",0,"";"Incineration","Wood",0,"";"Incineration","Sludge",0,"";"Incineration","Paper and cardboard",0.0169,"";"Incineration","Textiles",0.3667,"";"Incineration","Rubber and leather",0.4919,"";"Incineration","Inert waste (including concrete, metal, plastic or glass)",0.11,"";"Incineration","Municipal solid waste",0.0537,"NGAF 2025 Table 18";"Incineration","Commercial and industrial waste",1.649,"NGAF 2025 Table 18";"Composting","All organic waste",0.046,"NGAF 2025 Table 19";"Composting","Food waste (including animal carcasses, spoiled animal feed or crop)",0.046,"";"Composting","Green waste (including crop residues or prunings)",0.046,"";"Composting","Wood",0.046,"";"Composting","Sludge",0.046,"";"Composting","Paper and cardboard",0.046,"";"Anaerobic digestion","All organic waste",0.028,"NGAF 2025 Table 19";"Anaerobic digestion","Food waste (including animal carcasses, spoiled animal feed or crop)",0.028,"";"Anaerobic digestion","Green waste (including crop residues or prunings)",0.028,"";"Anaerobic digestion","Wood",0.028,"";"Anaerobic digestion","Sludge",0.028,"";"Anaerobic digestion","Paper and cardboard",0.028,""}, _xlpm.r, _xlpm.c))))</definedName>
    <definedName name="WasteSolid_SourceData.Waste_EmissionFactorsForWasteTreatment_Data" localSheetId="13">_xlfn.LAMBDA(_xlfn.MAKEARRAY(35, 4, _xlfn.LAMBDA(_xlpm.r,_xlpm.c, INDEX({"Treatment type t","Waste type w","EFwt","EF source";"Landfill","Food waste (including animal carcasses, spoiled animal feed or crop)",2.1,"NGAF 2025 table 15";"Landfill","Paper and cardboard",3.3,"NGAF 2025 table 15";"Landfill","Green waste (including crop residues or prunings)",1.6,"NGAF 2025 table 15";"Landfill","Wood",0.7,"NGAF 2025 table 15";"Landfill","Textiles",2,"NGAF 2025 table 15";"Landfill","Sludge",0.4,"NGAF 2025 table 15";"Landfill","Rubber and leather",3.3,"NGAF 2025 table 15";"Landfill","Inert waste (including concrete, metal, plastic or glass)",0,"NGAF 2025 table 15";"Landfill","Municipal solid waste",1.6,"NGAF 2025 table 15";"Landfill","Commercial and industrial waste",1.3,"NGAF 2025 table 15";"Landfill","Construction and demolition waste",0.2,"NGAF 2025 table 15";"Incineration","Food waste, green waste, wood, sludge",0,"";"Incineration","Food waste (including animal carcasses, spoiled animal feed or crop)",0,"";"Incineration","Green waste (including crop residues or prunings)",0,"";"Incineration","Wood",0,"";"Incineration","Sludge",0,"";"Incineration","Paper and cardboard",0.0169,"";"Incineration","Textiles",0.3667,"";"Incineration","Rubber and leather",0.4919,"";"Incineration","Inert waste (including concrete, metal, plastic or glass)",0.11,"";"Incineration","Municipal solid waste",0.0537,"NGAF 2025 Table 18";"Incineration","Commercial and industrial waste",1.649,"NGAF 2025 Table 18";"Composting","All organic waste",0.046,"NGAF 2025 Table 19";"Composting","Food waste (including animal carcasses, spoiled animal feed or crop)",0.046,"";"Composting","Green waste (including crop residues or prunings)",0.046,"";"Composting","Wood",0.046,"";"Composting","Sludge",0.046,"";"Composting","Paper and cardboard",0.046,"";"Anaerobic digestion","All organic waste",0.028,"NGAF 2025 Table 19";"Anaerobic digestion","Food waste (including animal carcasses, spoiled animal feed or crop)",0.028,"";"Anaerobic digestion","Green waste (including crop residues or prunings)",0.028,"";"Anaerobic digestion","Wood",0.028,"";"Anaerobic digestion","Sludge",0.028,"";"Anaerobic digestion","Paper and cardboard",0.028,""}, _xlpm.r, _xlpm.c))))</definedName>
    <definedName name="WasteSolid_SourceData.Waste_EmissionFactorsForWasteTreatment_Data" localSheetId="14">_xlfn.LAMBDA(_xlfn.MAKEARRAY(35, 4, _xlfn.LAMBDA(_xlpm.r,_xlpm.c, INDEX({"Treatment type t","Waste type w","EFwt","EF source";"Landfill","Food waste (including animal carcasses, spoiled animal feed or crop)",2.1,"NGAF 2025 table 15";"Landfill","Paper and cardboard",3.3,"NGAF 2025 table 15";"Landfill","Green waste (including crop residues or prunings)",1.6,"NGAF 2025 table 15";"Landfill","Wood",0.7,"NGAF 2025 table 15";"Landfill","Textiles",2,"NGAF 2025 table 15";"Landfill","Sludge",0.4,"NGAF 2025 table 15";"Landfill","Rubber and leather",3.3,"NGAF 2025 table 15";"Landfill","Inert waste (including concrete, metal, plastic or glass)",0,"NGAF 2025 table 15";"Landfill","Municipal solid waste",1.6,"NGAF 2025 table 15";"Landfill","Commercial and industrial waste",1.3,"NGAF 2025 table 15";"Landfill","Construction and demolition waste",0.2,"NGAF 2025 table 15";"Incineration","Food waste, green waste, wood, sludge",0,"";"Incineration","Food waste (including animal carcasses, spoiled animal feed or crop)",0,"";"Incineration","Green waste (including crop residues or prunings)",0,"";"Incineration","Wood",0,"";"Incineration","Sludge",0,"";"Incineration","Paper and cardboard",0.0169,"";"Incineration","Textiles",0.3667,"";"Incineration","Rubber and leather",0.4919,"";"Incineration","Inert waste (including concrete, metal, plastic or glass)",0.11,"";"Incineration","Municipal solid waste",0.0537,"NGAF 2025 Table 18";"Incineration","Commercial and industrial waste",1.649,"NGAF 2025 Table 18";"Composting","All organic waste",0.046,"NGAF 2025 Table 19";"Composting","Food waste (including animal carcasses, spoiled animal feed or crop)",0.046,"";"Composting","Green waste (including crop residues or prunings)",0.046,"";"Composting","Wood",0.046,"";"Composting","Sludge",0.046,"";"Composting","Paper and cardboard",0.046,"";"Anaerobic digestion","All organic waste",0.028,"NGAF 2025 Table 19";"Anaerobic digestion","Food waste (including animal carcasses, spoiled animal feed or crop)",0.028,"";"Anaerobic digestion","Green waste (including crop residues or prunings)",0.028,"";"Anaerobic digestion","Wood",0.028,"";"Anaerobic digestion","Sludge",0.028,"";"Anaerobic digestion","Paper and cardboard",0.028,""}, _xlpm.r, _xlpm.c))))</definedName>
    <definedName name="WasteSolid_SourceData.Waste_EmissionFactorsForWasteTreatment_Data" localSheetId="16">_xlfn.LAMBDA(_xlfn.MAKEARRAY(35, 4, _xlfn.LAMBDA(_xlpm.r,_xlpm.c, INDEX({"Treatment type t","Waste type w","EFwt","EF source";"Landfill","Food waste (including animal carcasses, spoiled animal feed or crop)",2.1,"NGAF 2025 table 15";"Landfill","Paper and cardboard",3.3,"NGAF 2025 table 15";"Landfill","Green waste (including crop residues or prunings)",1.6,"NGAF 2025 table 15";"Landfill","Wood",0.7,"NGAF 2025 table 15";"Landfill","Textiles",2,"NGAF 2025 table 15";"Landfill","Sludge",0.4,"NGAF 2025 table 15";"Landfill","Rubber and leather",3.3,"NGAF 2025 table 15";"Landfill","Inert waste (including concrete, metal, plastic or glass)",0,"NGAF 2025 table 15";"Landfill","Municipal solid waste",1.6,"NGAF 2025 table 15";"Landfill","Commercial and industrial waste",1.3,"NGAF 2025 table 15";"Landfill","Construction and demolition waste",0.2,"NGAF 2025 table 15";"Incineration","Food waste, green waste, wood, sludge",0,"";"Incineration","Food waste (including animal carcasses, spoiled animal feed or crop)",0,"";"Incineration","Green waste (including crop residues or prunings)",0,"";"Incineration","Wood",0,"";"Incineration","Sludge",0,"";"Incineration","Paper and cardboard",0.0169,"";"Incineration","Textiles",0.3667,"";"Incineration","Rubber and leather",0.4919,"";"Incineration","Inert waste (including concrete, metal, plastic or glass)",0.11,"";"Incineration","Municipal solid waste",0.0537,"NGAF 2025 Table 18";"Incineration","Commercial and industrial waste",1.649,"NGAF 2025 Table 18";"Composting","All organic waste",0.046,"NGAF 2025 Table 19";"Composting","Food waste (including animal carcasses, spoiled animal feed or crop)",0.046,"";"Composting","Green waste (including crop residues or prunings)",0.046,"";"Composting","Wood",0.046,"";"Composting","Sludge",0.046,"";"Composting","Paper and cardboard",0.046,"";"Anaerobic digestion","All organic waste",0.028,"NGAF 2025 Table 19";"Anaerobic digestion","Food waste (including animal carcasses, spoiled animal feed or crop)",0.028,"";"Anaerobic digestion","Green waste (including crop residues or prunings)",0.028,"";"Anaerobic digestion","Wood",0.028,"";"Anaerobic digestion","Sludge",0.028,"";"Anaerobic digestion","Paper and cardboard",0.028,""}, _xlpm.r, _xlpm.c))))</definedName>
    <definedName name="WasteSolid_SourceData.Waste_EmissionFactorsForWasteTreatment_Data" localSheetId="15">_xlfn.LAMBDA(_xlfn.MAKEARRAY(35, 4, _xlfn.LAMBDA(_xlpm.r,_xlpm.c, INDEX({"Treatment type t","Waste type w","EFwt","EF source";"Landfill","Food waste (including animal carcasses, spoiled animal feed or crop)",2.1,"NGAF 2025 table 15";"Landfill","Paper and cardboard",3.3,"NGAF 2025 table 15";"Landfill","Green waste (including crop residues or prunings)",1.6,"NGAF 2025 table 15";"Landfill","Wood",0.7,"NGAF 2025 table 15";"Landfill","Textiles",2,"NGAF 2025 table 15";"Landfill","Sludge",0.4,"NGAF 2025 table 15";"Landfill","Rubber and leather",3.3,"NGAF 2025 table 15";"Landfill","Inert waste (including concrete, metal, plastic or glass)",0,"NGAF 2025 table 15";"Landfill","Municipal solid waste",1.6,"NGAF 2025 table 15";"Landfill","Commercial and industrial waste",1.3,"NGAF 2025 table 15";"Landfill","Construction and demolition waste",0.2,"NGAF 2025 table 15";"Incineration","Food waste, green waste, wood, sludge",0,"";"Incineration","Food waste (including animal carcasses, spoiled animal feed or crop)",0,"";"Incineration","Green waste (including crop residues or prunings)",0,"";"Incineration","Wood",0,"";"Incineration","Sludge",0,"";"Incineration","Paper and cardboard",0.0169,"";"Incineration","Textiles",0.3667,"";"Incineration","Rubber and leather",0.4919,"";"Incineration","Inert waste (including concrete, metal, plastic or glass)",0.11,"";"Incineration","Municipal solid waste",0.0537,"NGAF 2025 Table 18";"Incineration","Commercial and industrial waste",1.649,"NGAF 2025 Table 18";"Composting","All organic waste",0.046,"NGAF 2025 Table 19";"Composting","Food waste (including animal carcasses, spoiled animal feed or crop)",0.046,"";"Composting","Green waste (including crop residues or prunings)",0.046,"";"Composting","Wood",0.046,"";"Composting","Sludge",0.046,"";"Composting","Paper and cardboard",0.046,"";"Anaerobic digestion","All organic waste",0.028,"NGAF 2025 Table 19";"Anaerobic digestion","Food waste (including animal carcasses, spoiled animal feed or crop)",0.028,"";"Anaerobic digestion","Green waste (including crop residues or prunings)",0.028,"";"Anaerobic digestion","Wood",0.028,"";"Anaerobic digestion","Sludge",0.028,"";"Anaerobic digestion","Paper and cardboard",0.028,""}, _xlpm.r, _xlpm.c))))</definedName>
    <definedName name="WasteSolid_SourceData.Waste_EmissionFactorsForWasteTreatment_Data" localSheetId="18">_xlfn.LAMBDA(_xlfn.MAKEARRAY(35, 4, _xlfn.LAMBDA(_xlpm.r,_xlpm.c, INDEX({"Treatment type t","Waste type w","EFwt","EF source";"Landfill","Food waste (including animal carcasses, spoiled animal feed or crop)",2.1,"NGAF 2025 table 15";"Landfill","Paper and cardboard",3.3,"NGAF 2025 table 15";"Landfill","Green waste (including crop residues or prunings)",1.6,"NGAF 2025 table 15";"Landfill","Wood",0.7,"NGAF 2025 table 15";"Landfill","Textiles",2,"NGAF 2025 table 15";"Landfill","Sludge",0.4,"NGAF 2025 table 15";"Landfill","Rubber and leather",3.3,"NGAF 2025 table 15";"Landfill","Inert waste (including concrete, metal, plastic or glass)",0,"NGAF 2025 table 15";"Landfill","Municipal solid waste",1.6,"NGAF 2025 table 15";"Landfill","Commercial and industrial waste",1.3,"NGAF 2025 table 15";"Landfill","Construction and demolition waste",0.2,"NGAF 2025 table 15";"Incineration","Food waste, green waste, wood, sludge",0,"";"Incineration","Food waste (including animal carcasses, spoiled animal feed or crop)",0,"";"Incineration","Green waste (including crop residues or prunings)",0,"";"Incineration","Wood",0,"";"Incineration","Sludge",0,"";"Incineration","Paper and cardboard",0.0169,"";"Incineration","Textiles",0.3667,"";"Incineration","Rubber and leather",0.4919,"";"Incineration","Inert waste (including concrete, metal, plastic or glass)",0.11,"";"Incineration","Municipal solid waste",0.0537,"NGAF 2025 Table 18";"Incineration","Commercial and industrial waste",1.649,"NGAF 2025 Table 18";"Composting","All organic waste",0.046,"NGAF 2025 Table 19";"Composting","Food waste (including animal carcasses, spoiled animal feed or crop)",0.046,"";"Composting","Green waste (including crop residues or prunings)",0.046,"";"Composting","Wood",0.046,"";"Composting","Sludge",0.046,"";"Composting","Paper and cardboard",0.046,"";"Anaerobic digestion","All organic waste",0.028,"NGAF 2025 Table 19";"Anaerobic digestion","Food waste (including animal carcasses, spoiled animal feed or crop)",0.028,"";"Anaerobic digestion","Green waste (including crop residues or prunings)",0.028,"";"Anaerobic digestion","Wood",0.028,"";"Anaerobic digestion","Sludge",0.028,"";"Anaerobic digestion","Paper and cardboard",0.028,""}, _xlpm.r, _xlpm.c))))</definedName>
    <definedName name="WasteSolid_SourceData.Waste_EmissionFactorsForWasteTreatment_Data" localSheetId="17">_xlfn.LAMBDA(_xlfn.MAKEARRAY(35, 4, _xlfn.LAMBDA(_xlpm.r,_xlpm.c, INDEX({"Treatment type t","Waste type w","EFwt","EF source";"Landfill","Food waste (including animal carcasses, spoiled animal feed or crop)",2.1,"NGAF 2025 table 15";"Landfill","Paper and cardboard",3.3,"NGAF 2025 table 15";"Landfill","Green waste (including crop residues or prunings)",1.6,"NGAF 2025 table 15";"Landfill","Wood",0.7,"NGAF 2025 table 15";"Landfill","Textiles",2,"NGAF 2025 table 15";"Landfill","Sludge",0.4,"NGAF 2025 table 15";"Landfill","Rubber and leather",3.3,"NGAF 2025 table 15";"Landfill","Inert waste (including concrete, metal, plastic or glass)",0,"NGAF 2025 table 15";"Landfill","Municipal solid waste",1.6,"NGAF 2025 table 15";"Landfill","Commercial and industrial waste",1.3,"NGAF 2025 table 15";"Landfill","Construction and demolition waste",0.2,"NGAF 2025 table 15";"Incineration","Food waste, green waste, wood, sludge",0,"";"Incineration","Food waste (including animal carcasses, spoiled animal feed or crop)",0,"";"Incineration","Green waste (including crop residues or prunings)",0,"";"Incineration","Wood",0,"";"Incineration","Sludge",0,"";"Incineration","Paper and cardboard",0.0169,"";"Incineration","Textiles",0.3667,"";"Incineration","Rubber and leather",0.4919,"";"Incineration","Inert waste (including concrete, metal, plastic or glass)",0.11,"";"Incineration","Municipal solid waste",0.0537,"NGAF 2025 Table 18";"Incineration","Commercial and industrial waste",1.649,"NGAF 2025 Table 18";"Composting","All organic waste",0.046,"NGAF 2025 Table 19";"Composting","Food waste (including animal carcasses, spoiled animal feed or crop)",0.046,"";"Composting","Green waste (including crop residues or prunings)",0.046,"";"Composting","Wood",0.046,"";"Composting","Sludge",0.046,"";"Composting","Paper and cardboard",0.046,"";"Anaerobic digestion","All organic waste",0.028,"NGAF 2025 Table 19";"Anaerobic digestion","Food waste (including animal carcasses, spoiled animal feed or crop)",0.028,"";"Anaerobic digestion","Green waste (including crop residues or prunings)",0.028,"";"Anaerobic digestion","Wood",0.028,"";"Anaerobic digestion","Sludge",0.028,"";"Anaerobic digestion","Paper and cardboard",0.028,""}, _xlpm.r, _xlpm.c))))</definedName>
    <definedName name="WasteSolid_SourceData.Waste_EmissionFactorsForWasteTreatment_Data">_xlfn.LAMBDA(
  _xlfn.MAKEARRAY(35, 4,
    _xlfn.LAMBDA(_xlpm.r,_xlpm.c,
      INDEX({"Treatment type t","Waste type w","EFwt","EF source";"Landfill","Food waste (including animal carcasses, spoiled animal feed or crop)",2.1,"NGAF 2025 table 15";"Landfill","Paper and cardboard",3.3,"NGAF 2025 table 15";"Landfill","Green waste (including crop residues or prunings)",1.6,"NGAF 2025 table 15";"Landfill","Wood",0.7,"NGAF 2025 table 15";"Landfill","Textiles",2,"NGAF 2025 table 15";"Landfill","Sludge",0.4,"NGAF 2025 table 15";"Landfill","Rubber and leather",3.3,"NGAF 2025 table 15";"Landfill","Inert waste (including concrete, metal, plastic or glass)",0,"NGAF 2025 table 15";"Landfill","Municipal solid waste",1.6,"NGAF 2025 table 15";"Landfill","Commercial and industrial waste",1.3,"NGAF 2025 table 15";"Landfill","Construction and demolition waste",0.2,"NGAF 2025 table 15";"Incineration","Food waste, green waste, wood, sludge",0,"";"Incineration","Food waste (including animal carcasses, spoiled animal feed or crop)",0,"";"Incineration","Green waste (including crop residues or prunings)",0,"";"Incineration","Wood",0,"";"Incineration","Sludge",0,"";"Incineration","Paper and cardboard",0.0169,"";"Incineration","Textiles",0.3667,"";"Incineration","Rubber and leather",0.4919,"";"Incineration","Inert waste (including concrete, metal, plastic or glass)",0.11,"";"Incineration","Municipal solid waste",0.0537,"NGAF 2025 Table 18";"Incineration","Commercial and industrial waste",1.649,"NGAF 2025 Table 18";"Composting","All organic waste",0.046,"NGAF 2025 Table 19";"Composting","Food waste (including animal carcasses, spoiled animal feed or crop)",0.046,"";"Composting","Green waste (including crop residues or prunings)",0.046,"";"Composting","Wood",0.046,"";"Composting","Sludge",0.046,"";"Composting","Paper and cardboard",0.046,"";"Anaerobic digestion","All organic waste",0.028,"NGAF 2025 Table 19";"Anaerobic digestion","Food waste (including animal carcasses, spoiled animal feed or crop)",0.028,"";"Anaerobic digestion","Green waste (including crop residues or prunings)",0.028,"";"Anaerobic digestion","Wood",0.028,"";"Anaerobic digestion","Sludge",0.028,"";"Anaerobic digestion","Paper and cardboard",0.028,""}, _xlpm.r, _xlpm.c)
)))</definedName>
    <definedName name="WasteSolid_SourceData.Waste_EmissionFactorsForWasteTreatment_Source">_xlfn.LAMBDA(("VEERG 2026: Table A.4.1.1"))</definedName>
    <definedName name="WasteSolid_SourceData.Waste_EmissionFactorsForWasteTreatment_Title">_xlfn.LAMBDA(("Emission factors for wastes disposed of at different treatment facilities"))</definedName>
    <definedName name="WasteSolid_SourceData.Waste_EmissionFactorsForWasteTreatment_Unit">_xlfn.LAMBDA(("t CO2e / t"))</definedName>
    <definedName name="WasteSolid_SourceData.Waste_EmissionFactorsForWasteTreatment_Variable">_xlfn.LAMBDA(("EFwt"))</definedName>
    <definedName name="WasteSolid_SourceData.Waste_EmissionFactorsForWasteTreatment_Variation" localSheetId="35">_xlfn.LAMBDA(_xlfn.MAKEARRAY(7, 1, _xlfn.LAMBDA(_xlpm.r,_xlpm.c, INDEX({"VARIATION ON SOURCE:";"Fixed typo 'paper and carboard' to 'paper and cardboard'";"Fixed typo 'prunnings' to 'prunings'";"Added EF source column with specific references";"Added sub-categories for 'Incineration: Food waste, green waste, wood, sludge' in order to use volume to mass conversion factor values";"Added sub-categories for 'Composting: All organic waste' in order to use volume to mass conversion factor values";"Added sub-categories for 'Anaerobic digestion: All organic waste' in order to use volume to mass conversion factor values"}, _xlpm.r, _xlpm.c))))</definedName>
    <definedName name="WasteSolid_SourceData.Waste_EmissionFactorsForWasteTreatment_Variation" localSheetId="37">_xlfn.LAMBDA(_xlfn.MAKEARRAY(7, 1, _xlfn.LAMBDA(_xlpm.r,_xlpm.c, INDEX({"VARIATION ON SOURCE:";"Fixed typo 'paper and carboard' to 'paper and cardboard'";"Fixed typo 'prunnings' to 'prunings'";"Added EF source column with specific references";"Added sub-categories for 'Incineration: Food waste, green waste, wood, sludge' in order to use volume to mass conversion factor values";"Added sub-categories for 'Composting: All organic waste' in order to use volume to mass conversion factor values";"Added sub-categories for 'Anaerobic digestion: All organic waste' in order to use volume to mass conversion factor values"}, _xlpm.r, _xlpm.c))))</definedName>
    <definedName name="WasteSolid_SourceData.Waste_EmissionFactorsForWasteTreatment_Variation" localSheetId="38">_xlfn.LAMBDA(_xlfn.MAKEARRAY(7, 1, _xlfn.LAMBDA(_xlpm.r,_xlpm.c, INDEX({"VARIATION ON SOURCE:";"Fixed typo 'paper and carboard' to 'paper and cardboard'";"Fixed typo 'prunnings' to 'prunings'";"Added EF source column with specific references";"Added sub-categories for 'Incineration: Food waste, green waste, wood, sludge' in order to use volume to mass conversion factor values";"Added sub-categories for 'Composting: All organic waste' in order to use volume to mass conversion factor values";"Added sub-categories for 'Anaerobic digestion: All organic waste' in order to use volume to mass conversion factor values"}, _xlpm.r, _xlpm.c))))</definedName>
    <definedName name="WasteSolid_SourceData.Waste_EmissionFactorsForWasteTreatment_Variation" localSheetId="45">_xlfn.LAMBDA(_xlfn.MAKEARRAY(7, 1, _xlfn.LAMBDA(_xlpm.r,_xlpm.c, INDEX({"VARIATION ON SOURCE:";"Fixed typo 'paper and carboard' to 'paper and cardboard'";"Fixed typo 'prunnings' to 'prunings'";"Added EF source column with specific references";"Added sub-categories for 'Incineration: Food waste, green waste, wood, sludge' in order to use volume to mass conversion factor values";"Added sub-categories for 'Composting: All organic waste' in order to use volume to mass conversion factor values";"Added sub-categories for 'Anaerobic digestion: All organic waste' in order to use volume to mass conversion factor values"}, _xlpm.r, _xlpm.c))))</definedName>
    <definedName name="WasteSolid_SourceData.Waste_EmissionFactorsForWasteTreatment_Variation" localSheetId="46">_xlfn.LAMBDA(_xlfn.MAKEARRAY(7, 1, _xlfn.LAMBDA(_xlpm.r,_xlpm.c, INDEX({"VARIATION ON SOURCE:";"Fixed typo 'paper and carboard' to 'paper and cardboard'";"Fixed typo 'prunnings' to 'prunings'";"Added EF source column with specific references";"Added sub-categories for 'Incineration: Food waste, green waste, wood, sludge' in order to use volume to mass conversion factor values";"Added sub-categories for 'Composting: All organic waste' in order to use volume to mass conversion factor values";"Added sub-categories for 'Anaerobic digestion: All organic waste' in order to use volume to mass conversion factor values"}, _xlpm.r, _xlpm.c))))</definedName>
    <definedName name="WasteSolid_SourceData.Waste_EmissionFactorsForWasteTreatment_Variation" localSheetId="7">_xlfn.LAMBDA(_xlfn.MAKEARRAY(7, 1, _xlfn.LAMBDA(_xlpm.r,_xlpm.c, INDEX({"VARIATION ON SOURCE:";"Fixed typo 'paper and carboard' to 'paper and cardboard'";"Fixed typo 'prunnings' to 'prunings'";"Added EF source column with specific references";"Added sub-categories for 'Incineration: Food waste, green waste, wood, sludge' in order to use volume to mass conversion factor values";"Added sub-categories for 'Composting: All organic waste' in order to use volume to mass conversion factor values";"Added sub-categories for 'Anaerobic digestion: All organic waste' in order to use volume to mass conversion factor values"}, _xlpm.r, _xlpm.c))))</definedName>
    <definedName name="WasteSolid_SourceData.Waste_EmissionFactorsForWasteTreatment_Variation" localSheetId="13">_xlfn.LAMBDA(_xlfn.MAKEARRAY(7, 1, _xlfn.LAMBDA(_xlpm.r,_xlpm.c, INDEX({"VARIATION ON SOURCE:";"Fixed typo 'paper and carboard' to 'paper and cardboard'";"Fixed typo 'prunnings' to 'prunings'";"Added EF source column with specific references";"Added sub-categories for 'Incineration: Food waste, green waste, wood, sludge' in order to use volume to mass conversion factor values";"Added sub-categories for 'Composting: All organic waste' in order to use volume to mass conversion factor values";"Added sub-categories for 'Anaerobic digestion: All organic waste' in order to use volume to mass conversion factor values"}, _xlpm.r, _xlpm.c))))</definedName>
    <definedName name="WasteSolid_SourceData.Waste_EmissionFactorsForWasteTreatment_Variation" localSheetId="14">_xlfn.LAMBDA(_xlfn.MAKEARRAY(7, 1, _xlfn.LAMBDA(_xlpm.r,_xlpm.c, INDEX({"VARIATION ON SOURCE:";"Fixed typo 'paper and carboard' to 'paper and cardboard'";"Fixed typo 'prunnings' to 'prunings'";"Added EF source column with specific references";"Added sub-categories for 'Incineration: Food waste, green waste, wood, sludge' in order to use volume to mass conversion factor values";"Added sub-categories for 'Composting: All organic waste' in order to use volume to mass conversion factor values";"Added sub-categories for 'Anaerobic digestion: All organic waste' in order to use volume to mass conversion factor values"}, _xlpm.r, _xlpm.c))))</definedName>
    <definedName name="WasteSolid_SourceData.Waste_EmissionFactorsForWasteTreatment_Variation" localSheetId="16">_xlfn.LAMBDA(_xlfn.MAKEARRAY(7, 1, _xlfn.LAMBDA(_xlpm.r,_xlpm.c, INDEX({"VARIATION ON SOURCE:";"Fixed typo 'paper and carboard' to 'paper and cardboard'";"Fixed typo 'prunnings' to 'prunings'";"Added EF source column with specific references";"Added sub-categories for 'Incineration: Food waste, green waste, wood, sludge' in order to use volume to mass conversion factor values";"Added sub-categories for 'Composting: All organic waste' in order to use volume to mass conversion factor values";"Added sub-categories for 'Anaerobic digestion: All organic waste' in order to use volume to mass conversion factor values"}, _xlpm.r, _xlpm.c))))</definedName>
    <definedName name="WasteSolid_SourceData.Waste_EmissionFactorsForWasteTreatment_Variation" localSheetId="15">_xlfn.LAMBDA(_xlfn.MAKEARRAY(7, 1, _xlfn.LAMBDA(_xlpm.r,_xlpm.c, INDEX({"VARIATION ON SOURCE:";"Fixed typo 'paper and carboard' to 'paper and cardboard'";"Fixed typo 'prunnings' to 'prunings'";"Added EF source column with specific references";"Added sub-categories for 'Incineration: Food waste, green waste, wood, sludge' in order to use volume to mass conversion factor values";"Added sub-categories for 'Composting: All organic waste' in order to use volume to mass conversion factor values";"Added sub-categories for 'Anaerobic digestion: All organic waste' in order to use volume to mass conversion factor values"}, _xlpm.r, _xlpm.c))))</definedName>
    <definedName name="WasteSolid_SourceData.Waste_EmissionFactorsForWasteTreatment_Variation" localSheetId="18">_xlfn.LAMBDA(_xlfn.MAKEARRAY(7, 1, _xlfn.LAMBDA(_xlpm.r,_xlpm.c, INDEX({"VARIATION ON SOURCE:";"Fixed typo 'paper and carboard' to 'paper and cardboard'";"Fixed typo 'prunnings' to 'prunings'";"Added EF source column with specific references";"Added sub-categories for 'Incineration: Food waste, green waste, wood, sludge' in order to use volume to mass conversion factor values";"Added sub-categories for 'Composting: All organic waste' in order to use volume to mass conversion factor values";"Added sub-categories for 'Anaerobic digestion: All organic waste' in order to use volume to mass conversion factor values"}, _xlpm.r, _xlpm.c))))</definedName>
    <definedName name="WasteSolid_SourceData.Waste_EmissionFactorsForWasteTreatment_Variation" localSheetId="17">_xlfn.LAMBDA(_xlfn.MAKEARRAY(7, 1, _xlfn.LAMBDA(_xlpm.r,_xlpm.c, INDEX({"VARIATION ON SOURCE:";"Fixed typo 'paper and carboard' to 'paper and cardboard'";"Fixed typo 'prunnings' to 'prunings'";"Added EF source column with specific references";"Added sub-categories for 'Incineration: Food waste, green waste, wood, sludge' in order to use volume to mass conversion factor values";"Added sub-categories for 'Composting: All organic waste' in order to use volume to mass conversion factor values";"Added sub-categories for 'Anaerobic digestion: All organic waste' in order to use volume to mass conversion factor values"}, _xlpm.r, _xlpm.c))))</definedName>
    <definedName name="WasteSolid_SourceData.Waste_EmissionFactorsForWasteTreatment_Variation">_xlfn.LAMBDA(
  _xlfn.MAKEARRAY(7, 1,
    _xlfn.LAMBDA(_xlpm.r,_xlpm.c,
      INDEX({"VARIATION ON SOURCE:";"Fixed typo 'paper and carboard' to 'paper and cardboard'";"Fixed typo 'prunnings' to 'prunings'";"Added EF source column with specific references";"Added sub-categories for 'Incineration: Food waste, green waste, wood, sludge' in order to use volume to mass conversion factor values";"Added sub-categories for 'Composting: All organic waste' in order to use volume to mass conversion factor values";"Added sub-categories for 'Anaerobic digestion: All organic waste' in order to use volume to mass conversion factor values"}, _xlpm.r, _xlpm.c)
)))</definedName>
    <definedName name="WasteSolid_SourceData.Waste_WasteVolumeToMassConversion_Data">_xlfn.LAMBDA(_xlfn.MAKEARRAY(12, 2, _xlfn.LAMBDA(_xlpm.r,_xlpm.c, INDEX({"Waste type w","VTMw";"Food waste (including animal carcasses, spoiled animal feed or crop)",0.5;"Paper and cardboard",0.09;"Green waste (including crop residues or prunings)",0.24;"Wood",0.15;"Textiles",0.14;"Sludge",0.72;"Rubber and leather",0.14;"Inert waste (including concrete, metal, plastic or glass)",0.42;"Municipal solid waste",0.36;"Commercial and industrial waste",0.33;"Construction and demolition waste",0.39}, _xlpm.r, _xlpm.c))))</definedName>
    <definedName name="WasteSolid_SourceData.Waste_WasteVolumeToMassConversion_Source">_xlfn.LAMBDA(("VEERG 2026: Table A.4.1.2"))</definedName>
    <definedName name="WasteSolid_SourceData.Waste_WasteVolumeToMassConversion_Title">_xlfn.LAMBDA(("Volume to mass conversion factor for various waste types"))</definedName>
    <definedName name="WasteSolid_SourceData.Waste_WasteVolumeToMassConversion_Unit">_xlfn.LAMBDA(("t/m3"))</definedName>
    <definedName name="WasteSolid_SourceData.Waste_WasteVolumeToMassConversion_Variable">_xlfn.LAMBDA(("VTMw"))</definedName>
    <definedName name="WasteSolid_SourceData.Waste_WasteVolumeToMassConversion_Variation">_xlfn.LAMBDA(("VARIATION OF SOURCE: Changed column header CFw to VTMw to match title variable."))</definedName>
    <definedName name="X_Cell_Electricity_CalculationMethod">'Input - Electricity'!$E$5</definedName>
    <definedName name="X_Cell_Electricity_Location_AmountPurchasedInkWh">'Input - Electricity'!$E$15</definedName>
    <definedName name="X_Cell_Electricity_Location_GridElectricityPurchasedFrom">'Input - Electricity'!$E$17</definedName>
    <definedName name="X_Cell_Electricity_Market_AmountPurchasedExcludingGreenPower">'Input - Electricity'!$E$23</definedName>
    <definedName name="X_Cell_Electricity_Market_AmountPurchasedGreenPower">'Input - Electricity'!$E$27</definedName>
    <definedName name="X_Cell_Electricity_Market_JurisdictionalRenewablePowerPercentage">'Input - Electricity'!$E$25</definedName>
    <definedName name="X_Cell_Electricity_Market_RenewablePowerPercentage">'Input - Electricity'!$E$24</definedName>
    <definedName name="X_Cell_Enteprise_LiveweightGrown_Method1">'Input - Enterprise'!$E$23</definedName>
    <definedName name="X_Cell_Enteprise_LiveweightGrown_Method2">'Input - Enterprise'!$E$24</definedName>
    <definedName name="X_Cell_Enteprise_ManureProduced_Method1">'Input - Enterprise'!$E$25</definedName>
    <definedName name="X_Cell_Enteprise_ManureProduced_Method2">'Input - Enterprise'!$E$26</definedName>
    <definedName name="X_Cell_Enteprise_PercentIncomeFromLiveweight">'Input - Enterprise'!$E$31</definedName>
    <definedName name="X_Cell_Enteprise_PercentIncomeFromManure">'Input - Enterprise'!$E$32</definedName>
    <definedName name="X_Cell_Enteprise_PercentManureAppliedAsFertiliserOwnFarm">'Input - Enterprise'!$E$28</definedName>
    <definedName name="X_Cell_Enteprise_PercentManureAppliedAsWaste">'Input - Enterprise'!$E$29</definedName>
    <definedName name="X_Cell_Enteprise_PercentManureSold">'Input - Enterprise'!$E$27</definedName>
    <definedName name="X_Cell_Enterprise_LiveweightSold">'Input - Enterprise'!$E$22</definedName>
    <definedName name="X_Cell_Enterprise_ProductionTimeframeEnd">'Input - Enterprise'!$E$19</definedName>
    <definedName name="X_Cell_Enterprise_ProductionTimeframeLength">'Input - Enterprise'!$E$20</definedName>
    <definedName name="X_Cell_Enterprise_ProductionTimeframeStart">'Input - Enterprise'!$E$18</definedName>
    <definedName name="X_Cell_FarmInputs_FeedRations_Chickens">'Input - Livestock farm Inputs'!$E$12</definedName>
    <definedName name="X_Cell_FarmInputs_FeedRations_DairyCalves">'Input - Livestock farm Inputs'!$E$13</definedName>
    <definedName name="X_Cell_FarmInputs_FeedRations_DairyCows">'Input - Livestock farm Inputs'!$E$14</definedName>
    <definedName name="X_Cell_FarmInputs_FeedRations_Pigs">'Input - Livestock farm Inputs'!$E$15</definedName>
    <definedName name="X_Cell_FarmInputs_LickBlocks_DrySeasonMix">'Input - Livestock farm Inputs'!$E$7</definedName>
    <definedName name="X_Cell_FarmInputs_LickBlocks_Mineral">'Input - Livestock farm Inputs'!$E$8</definedName>
    <definedName name="X_Cell_FarmInputs_LickBlocks_Weaner">'Input - Livestock farm Inputs'!$E$9</definedName>
    <definedName name="X_Cell_FarmInputs_Misc_AnimalEarTagsLarge">'Input - Livestock farm Inputs'!$E$47</definedName>
    <definedName name="X_Cell_FarmInputs_Misc_AnimalEarTagsSmall">'Input - Livestock farm Inputs'!$E$48</definedName>
    <definedName name="X_Cell_FarmInputs_Seed_BarleyGrain">'Input - Crop pasture farm input'!$E$23</definedName>
    <definedName name="X_Cell_FarmInputs_Seed_MaizeGrain">'Input - Crop pasture farm input'!$E$24</definedName>
    <definedName name="X_Cell_FarmInputs_Seed_OatGrain">'Input - Crop pasture farm input'!$E$25</definedName>
    <definedName name="X_Cell_FarmInputs_Seed_SorghumGrain">'Input - Crop pasture farm input'!$E$26</definedName>
    <definedName name="X_Cell_FarmInputs_Seed_WheatGrain">'Input - Crop pasture farm input'!$E$27</definedName>
    <definedName name="X_Cell_Fertiliser_AreaUnderCropping">'Input - Fert Prod System'!$E$10</definedName>
    <definedName name="X_Cell_Fertiliser_CropType">'Input - Fert Prod System'!$E$8</definedName>
    <definedName name="X_Cell_Fertiliser_IrrigationMethod">'Input - Fert Prod System'!$E$9</definedName>
    <definedName name="X_Cell_Fertiliser_ProductionSystem">'Input - Fert Prod System'!$E$7</definedName>
    <definedName name="X_Cell_Fuel_IsMetroLocation">'Input - Fuel'!$E$11</definedName>
    <definedName name="X_Cell_ManureSentOffsite_ManureIrrigationMethod">'Input - Manure sent off-site'!$F$14</definedName>
    <definedName name="X_Cell_ManureSentOffsite_ManureProductionSystem">'Input - Manure sent off-site'!$F$13</definedName>
    <definedName name="X_Cell_ManureSentOffsite_MassNitrogenManure_Method1">'Input - Manure sent off-site'!$F$10</definedName>
    <definedName name="X_Cell_ManureSentOffsite_MassNitrogenManure_Method2">'Input - Manure sent off-site'!$F$11</definedName>
    <definedName name="X_Cell_Pasture_AreaRemovedOrRenewed">'Input - Pasture'!$E$25</definedName>
    <definedName name="X_Cell_Pasture_AreaUnderPasture">'Input - Pasture'!$E$12</definedName>
    <definedName name="X_Cell_Pasture_IrrigationMethod">'Input - Pasture'!$E$10</definedName>
    <definedName name="X_Cell_Pasture_PastureType">'Input - Pasture'!$E$9</definedName>
    <definedName name="X_Cell_Pasture_YieldPerHectare">'Input - Pasture'!$E$19</definedName>
    <definedName name="X_Cell_PastureBeef_Breed">'Input - Pasture Beef'!$E$9</definedName>
    <definedName name="X_Cell_PastureBeef_CalculatedMMSAnaerobicLagoon">'Input - Pasture Beef'!$E$153</definedName>
    <definedName name="X_Cell_PastureBeef_CalculatedMMSPastureRangeAndPaddock">'Input - Pasture Beef'!$E$152</definedName>
    <definedName name="X_Cell_PastureBeef_FencedWater">'Input - Pasture Beef'!$E$149</definedName>
    <definedName name="X_Cell_PastureBeef_GrazingIrrigationMethod">'Input - Pasture Beef'!$E$157</definedName>
    <definedName name="X_Cell_PastureBeef_GrazingProductionSystem">'Input - Pasture Beef'!$E$156</definedName>
    <definedName name="X_Cell_PastureBeef_ProductionRegion">'Input - Pasture Beef'!$E$8</definedName>
    <definedName name="X_Cell_Site_AverageTemperature">'Input - Site'!$E$14</definedName>
    <definedName name="X_Cell_Site_ClimateZone">'Input - Site'!$E$20</definedName>
    <definedName name="X_Cell_Site_Elevation">'Input - Site'!$E$13</definedName>
    <definedName name="X_Cell_Site_EndDate">'Input - Enterprise'!$E$13</definedName>
    <definedName name="X_Cell_Site_FarmName">'Input - Enterprise'!$E$7</definedName>
    <definedName name="X_Cell_Site_FrostDays">'Input - Site'!$E$17</definedName>
    <definedName name="X_Cell_Site_LeachingZone">'Input - Site'!$E$12</definedName>
    <definedName name="X_Cell_Site_MapPetRatio">'Input - Site'!$E$18</definedName>
    <definedName name="X_Cell_Site_PotentialEvapotranspiration">'Input - Site'!$E$16</definedName>
    <definedName name="X_Cell_Site_RainfallZone">'Input - Site'!$E$19</definedName>
    <definedName name="X_Cell_Site_Region">'Input - Site'!$E$11</definedName>
    <definedName name="X_Cell_Site_ReportingEntityName">'Input - Enterprise'!$E$8</definedName>
    <definedName name="X_Cell_Site_StartDate">'Input - Enterprise'!$E$12</definedName>
    <definedName name="X_Cell_Site_State">'Input - Site'!$E$10</definedName>
    <definedName name="X_Cell_Site_TemperatureZone">'Input - Site'!$E$22</definedName>
    <definedName name="X_Cell_Site_TotalRainfall">'Input - Site'!$E$15</definedName>
    <definedName name="X_Cell_Site_WetOrDryClimateZone">'Input - Site'!$E$21</definedName>
    <definedName name="X_Cell_TotalElegibleRECsForElectricityProducedOnSite">'Input - Electricity'!$E$50</definedName>
    <definedName name="X_Cell_TotalElegibleVoluntarilySurrenderedRECs">'Input - Electricity'!$E$41</definedName>
    <definedName name="X_ResultsTable_ActivityPeriod_Scope1">'Results - Activity period'!$D$8:$J$34</definedName>
    <definedName name="X_Table_PastureBeef_CrudeProtein_Method1">'Input - Pasture Beef'!$D$126:$N$130</definedName>
    <definedName name="X_Table_PastureBeef_CrudeProtein_Method2">'Input - Pasture Beef'!$D$132:$N$144</definedName>
    <definedName name="X_Table_PastureBeef_DryMatterDigestibility_Method1">'Input - Pasture Beef'!$D$104:$N$108</definedName>
    <definedName name="X_Table_PastureBeef_DryMatterDigestibility_Method2">'Input - Pasture Beef'!$D$110:$N$122</definedName>
    <definedName name="X_Table_PastureBeef_Duration_Method1">'Input - Pasture Beef'!$D$16:$N$20</definedName>
    <definedName name="X_Table_PastureBeef_Duration_Method2">'Input - Pasture Beef'!$D$22:$N$34</definedName>
    <definedName name="X_Table_PastureBeef_Head_Method1">'Input - Pasture Beef'!$D$38:$N$42</definedName>
    <definedName name="X_Table_PastureBeef_Head_Method2">'Input - Pasture Beef'!$D$44:$N$56</definedName>
    <definedName name="X_Table_PastureBeef_Liveweight_Method1">'Input - Pasture Beef'!$D$60:$N$64</definedName>
    <definedName name="X_Table_PastureBeef_Liveweight_Method2">'Input - Pasture Beef'!$D$66:$N$78</definedName>
    <definedName name="X_Table_PastureBeef_LiveweightGain_Method1">'Input - Pasture Beef'!$D$82:$N$86</definedName>
    <definedName name="X_Table_PastureBeef_LiveweightGain_Method2">'Input - Pasture Beef'!$D$88:$N$100</definedName>
    <definedName name="X_Table_Result_ActivityPeriodEmissions_RowsToCols">'Input - Enterprise'!$D$54:$F$59</definedName>
    <definedName name="X_Table_Result_CarbonRemovalsFromPlantings_RowsToCols">'Input - Enterprise'!$D$67:$E$72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153" i="87" l="1"/>
  <c r="F153" i="87"/>
  <c r="G153" i="87"/>
  <c r="H153" i="87"/>
  <c r="I153" i="87"/>
  <c r="J153" i="87"/>
  <c r="K153" i="87"/>
  <c r="L153" i="87"/>
  <c r="M153" i="87"/>
  <c r="N153" i="87"/>
  <c r="O153" i="87"/>
  <c r="P153" i="87"/>
  <c r="E152" i="87"/>
  <c r="F152" i="87"/>
  <c r="G152" i="87"/>
  <c r="H152" i="87"/>
  <c r="I152" i="87"/>
  <c r="J152" i="87"/>
  <c r="K152" i="87"/>
  <c r="L152" i="87"/>
  <c r="M152" i="87"/>
  <c r="N152" i="87"/>
  <c r="O152" i="87"/>
  <c r="P152" i="87"/>
  <c r="E151" i="87"/>
  <c r="F151" i="87"/>
  <c r="G151" i="87"/>
  <c r="H151" i="87"/>
  <c r="I151" i="87"/>
  <c r="J151" i="87"/>
  <c r="K151" i="87"/>
  <c r="L151" i="87"/>
  <c r="M151" i="87"/>
  <c r="N151" i="87"/>
  <c r="O151" i="87"/>
  <c r="P151" i="87"/>
  <c r="E150" i="87"/>
  <c r="F150" i="87"/>
  <c r="G150" i="87"/>
  <c r="H150" i="87"/>
  <c r="I150" i="87"/>
  <c r="J150" i="87"/>
  <c r="K150" i="87"/>
  <c r="L150" i="87"/>
  <c r="M150" i="87"/>
  <c r="N150" i="87"/>
  <c r="O150" i="87"/>
  <c r="P150" i="87"/>
  <c r="J651" i="117"/>
  <c r="J650" i="117"/>
  <c r="J649" i="117"/>
  <c r="J648" i="117"/>
  <c r="J647" i="117"/>
  <c r="J646" i="117"/>
  <c r="J645" i="117"/>
  <c r="J644" i="117"/>
  <c r="J643" i="117"/>
  <c r="J642" i="117"/>
  <c r="J633" i="117"/>
  <c r="J632" i="117"/>
  <c r="J631" i="117"/>
  <c r="J630" i="117"/>
  <c r="J629" i="117"/>
  <c r="J628" i="117"/>
  <c r="J627" i="117"/>
  <c r="J626" i="117"/>
  <c r="J625" i="117"/>
  <c r="J624" i="117"/>
  <c r="E570" i="117"/>
  <c r="K514" i="117"/>
  <c r="K513" i="117"/>
  <c r="K512" i="117"/>
  <c r="K511" i="117"/>
  <c r="K510" i="117"/>
  <c r="K509" i="117"/>
  <c r="K508" i="117"/>
  <c r="K507" i="117"/>
  <c r="K506" i="117"/>
  <c r="K505" i="117"/>
  <c r="I496" i="117"/>
  <c r="I494" i="117"/>
  <c r="I485" i="117"/>
  <c r="I483" i="117"/>
  <c r="I481" i="117"/>
  <c r="J468" i="117"/>
  <c r="J467" i="117"/>
  <c r="J466" i="117"/>
  <c r="J465" i="117"/>
  <c r="J464" i="117"/>
  <c r="J463" i="117"/>
  <c r="J450" i="117"/>
  <c r="J449" i="117"/>
  <c r="J448" i="117"/>
  <c r="J447" i="117"/>
  <c r="J446" i="117"/>
  <c r="J445" i="117"/>
  <c r="J423" i="117"/>
  <c r="J422" i="117"/>
  <c r="J421" i="117"/>
  <c r="J420" i="117"/>
  <c r="J419" i="117"/>
  <c r="J418" i="117"/>
  <c r="J417" i="117"/>
  <c r="J416" i="117"/>
  <c r="J415" i="117"/>
  <c r="J414" i="117"/>
  <c r="J382" i="117"/>
  <c r="K360" i="117"/>
  <c r="K359" i="117"/>
  <c r="K358" i="117"/>
  <c r="K357" i="117"/>
  <c r="K356" i="117"/>
  <c r="K355" i="117"/>
  <c r="K354" i="117"/>
  <c r="K353" i="117"/>
  <c r="K352" i="117"/>
  <c r="K351" i="117"/>
  <c r="J329" i="117"/>
  <c r="J328" i="117"/>
  <c r="J327" i="117"/>
  <c r="J326" i="117"/>
  <c r="J325" i="117"/>
  <c r="J324" i="117"/>
  <c r="J323" i="117"/>
  <c r="J322" i="117"/>
  <c r="J321" i="117"/>
  <c r="J320" i="117"/>
  <c r="J261" i="117"/>
  <c r="J260" i="117"/>
  <c r="J259" i="117"/>
  <c r="J258" i="117"/>
  <c r="J257" i="117"/>
  <c r="J256" i="117"/>
  <c r="J255" i="117"/>
  <c r="J254" i="117"/>
  <c r="J253" i="117"/>
  <c r="J252" i="117"/>
  <c r="I179" i="117"/>
  <c r="I178" i="117"/>
  <c r="I177" i="117"/>
  <c r="I148" i="117"/>
  <c r="I138" i="117"/>
  <c r="I137" i="117"/>
  <c r="I122" i="117"/>
  <c r="I121" i="117"/>
  <c r="I120" i="117"/>
  <c r="J88" i="117"/>
  <c r="J87" i="117"/>
  <c r="J86" i="117"/>
  <c r="J85" i="117"/>
  <c r="J84" i="117"/>
  <c r="J83" i="117"/>
  <c r="J82" i="117"/>
  <c r="J81" i="117"/>
  <c r="J80" i="117"/>
  <c r="J79" i="117"/>
  <c r="G88" i="117"/>
  <c r="G87" i="117"/>
  <c r="G86" i="117"/>
  <c r="G85" i="117"/>
  <c r="G84" i="117"/>
  <c r="G83" i="117"/>
  <c r="G82" i="117"/>
  <c r="G81" i="117"/>
  <c r="G80" i="117"/>
  <c r="G79" i="117"/>
  <c r="J70" i="117"/>
  <c r="J69" i="117"/>
  <c r="J68" i="117"/>
  <c r="J67" i="117"/>
  <c r="J66" i="117"/>
  <c r="J65" i="117"/>
  <c r="J64" i="117"/>
  <c r="J63" i="117"/>
  <c r="J62" i="117"/>
  <c r="J61" i="117"/>
  <c r="G70" i="117"/>
  <c r="G69" i="117"/>
  <c r="G68" i="117"/>
  <c r="G67" i="117"/>
  <c r="G66" i="117"/>
  <c r="G65" i="117"/>
  <c r="G64" i="117"/>
  <c r="G63" i="117"/>
  <c r="G62" i="117"/>
  <c r="G61" i="117"/>
  <c r="J51" i="117"/>
  <c r="J50" i="117"/>
  <c r="J49" i="117"/>
  <c r="J48" i="117"/>
  <c r="J47" i="117"/>
  <c r="J46" i="117"/>
  <c r="J45" i="117"/>
  <c r="J44" i="117"/>
  <c r="J43" i="117"/>
  <c r="J42" i="117"/>
  <c r="G51" i="117"/>
  <c r="G50" i="117"/>
  <c r="G49" i="117"/>
  <c r="G48" i="117"/>
  <c r="G47" i="117"/>
  <c r="G46" i="117"/>
  <c r="G45" i="117"/>
  <c r="G44" i="117"/>
  <c r="G43" i="117"/>
  <c r="G42" i="117"/>
  <c r="M32" i="117"/>
  <c r="M31" i="117"/>
  <c r="M30" i="117"/>
  <c r="M29" i="117"/>
  <c r="M28" i="117"/>
  <c r="M27" i="117"/>
  <c r="M26" i="117"/>
  <c r="M25" i="117"/>
  <c r="M24" i="117"/>
  <c r="M23" i="117"/>
  <c r="E39" i="98"/>
  <c r="F112" i="94"/>
  <c r="F103" i="94"/>
  <c r="F102" i="94"/>
  <c r="I30" i="92"/>
  <c r="I29" i="92"/>
  <c r="I28" i="92"/>
  <c r="I27" i="92"/>
  <c r="I26" i="92"/>
  <c r="I25" i="92"/>
  <c r="I24" i="92"/>
  <c r="I23" i="92"/>
  <c r="I22" i="92"/>
  <c r="I21" i="92"/>
  <c r="I20" i="92"/>
  <c r="D224" i="84" a="1"/>
  <c r="D224" i="84" s="1"/>
  <c r="D79" i="78"/>
  <c r="D78" i="78"/>
  <c r="D77" i="78"/>
  <c r="D76" i="78"/>
  <c r="D69" i="78"/>
  <c r="D68" i="78"/>
  <c r="D67" i="78"/>
  <c r="D66" i="78"/>
  <c r="D60" i="78"/>
  <c r="D59" i="78"/>
  <c r="D58" i="78"/>
  <c r="D57" i="78"/>
  <c r="D51" i="78"/>
  <c r="D50" i="78"/>
  <c r="D49" i="78"/>
  <c r="D48" i="78"/>
  <c r="D47" i="78"/>
  <c r="D41" i="78"/>
  <c r="D40" i="78"/>
  <c r="D39" i="78"/>
  <c r="D38" i="78"/>
  <c r="D37" i="78"/>
  <c r="D36" i="78"/>
  <c r="D35" i="78"/>
  <c r="D34" i="78"/>
  <c r="D33" i="78"/>
  <c r="D32" i="78"/>
  <c r="D31" i="78"/>
  <c r="D30" i="78"/>
  <c r="D24" i="78"/>
  <c r="D23" i="78"/>
  <c r="D22" i="78"/>
  <c r="D21" i="78"/>
  <c r="D20" i="78"/>
  <c r="D19" i="78"/>
  <c r="D13" i="78"/>
  <c r="D12" i="78"/>
  <c r="D11" i="78"/>
  <c r="D10" i="78"/>
  <c r="D9" i="78"/>
  <c r="D8" i="78"/>
  <c r="G12" i="89"/>
  <c r="G14" i="89"/>
  <c r="N20" i="82"/>
  <c r="M20" i="82"/>
  <c r="L20" i="82"/>
  <c r="K20" i="82"/>
  <c r="J20" i="82"/>
  <c r="I20" i="82"/>
  <c r="H20" i="82"/>
  <c r="G20" i="82"/>
  <c r="F20" i="82"/>
  <c r="E20" i="82"/>
  <c r="N19" i="82"/>
  <c r="M19" i="82"/>
  <c r="L19" i="82"/>
  <c r="K19" i="82"/>
  <c r="J19" i="82"/>
  <c r="I19" i="82"/>
  <c r="H19" i="82"/>
  <c r="G19" i="82"/>
  <c r="F19" i="82"/>
  <c r="E19" i="82"/>
  <c r="N18" i="82"/>
  <c r="M18" i="82"/>
  <c r="L18" i="82"/>
  <c r="K18" i="82"/>
  <c r="J18" i="82"/>
  <c r="I18" i="82"/>
  <c r="H18" i="82"/>
  <c r="G18" i="82"/>
  <c r="F18" i="82"/>
  <c r="E18" i="82"/>
  <c r="N17" i="82"/>
  <c r="M17" i="82"/>
  <c r="L17" i="82"/>
  <c r="K17" i="82"/>
  <c r="J17" i="82"/>
  <c r="I17" i="82"/>
  <c r="H17" i="82"/>
  <c r="G17" i="82"/>
  <c r="F17" i="82"/>
  <c r="E115" i="88" s="1" a="1"/>
  <c r="E17" i="82"/>
  <c r="A60" i="121"/>
  <c r="A59" i="121"/>
  <c r="A58" i="121"/>
  <c r="A57" i="121"/>
  <c r="A56" i="121"/>
  <c r="A55" i="121"/>
  <c r="A54" i="121"/>
  <c r="A53" i="121"/>
  <c r="A52" i="121"/>
  <c r="A51" i="121"/>
  <c r="A47" i="121"/>
  <c r="A46" i="121"/>
  <c r="A45" i="121"/>
  <c r="A44" i="121"/>
  <c r="A43" i="121"/>
  <c r="A42" i="121"/>
  <c r="A41" i="121"/>
  <c r="A40" i="121"/>
  <c r="A39" i="121"/>
  <c r="A38" i="121"/>
  <c r="A37" i="121"/>
  <c r="A36" i="121"/>
  <c r="A35" i="121"/>
  <c r="A34" i="121"/>
  <c r="A33" i="121"/>
  <c r="A32" i="121"/>
  <c r="A31" i="121"/>
  <c r="A30" i="121"/>
  <c r="A29" i="121"/>
  <c r="A25" i="121"/>
  <c r="A24" i="121"/>
  <c r="A23" i="121"/>
  <c r="A22" i="121"/>
  <c r="A21" i="121"/>
  <c r="A20" i="121"/>
  <c r="A19" i="121"/>
  <c r="A18" i="121"/>
  <c r="A17" i="121"/>
  <c r="A16" i="121"/>
  <c r="A15" i="121"/>
  <c r="A14" i="121"/>
  <c r="A13" i="121"/>
  <c r="A12" i="121"/>
  <c r="A11" i="121"/>
  <c r="A10" i="121"/>
  <c r="A9" i="121"/>
  <c r="A5" i="121"/>
  <c r="A4" i="121"/>
  <c r="A3" i="121"/>
  <c r="A60" i="79"/>
  <c r="A59" i="79"/>
  <c r="A58" i="79"/>
  <c r="A57" i="79"/>
  <c r="A56" i="79"/>
  <c r="A55" i="79"/>
  <c r="A54" i="79"/>
  <c r="A53" i="79"/>
  <c r="A52" i="79"/>
  <c r="A51" i="79"/>
  <c r="A47" i="79"/>
  <c r="A46" i="79"/>
  <c r="A45" i="79"/>
  <c r="A44" i="79"/>
  <c r="A43" i="79"/>
  <c r="A42" i="79"/>
  <c r="A41" i="79"/>
  <c r="A40" i="79"/>
  <c r="A39" i="79"/>
  <c r="A38" i="79"/>
  <c r="A37" i="79"/>
  <c r="A36" i="79"/>
  <c r="A35" i="79"/>
  <c r="A34" i="79"/>
  <c r="A33" i="79"/>
  <c r="A32" i="79"/>
  <c r="A31" i="79"/>
  <c r="A30" i="79"/>
  <c r="A29" i="79"/>
  <c r="A25" i="79"/>
  <c r="A24" i="79"/>
  <c r="A23" i="79"/>
  <c r="A22" i="79"/>
  <c r="A21" i="79"/>
  <c r="A20" i="79"/>
  <c r="A19" i="79"/>
  <c r="A18" i="79"/>
  <c r="A17" i="79"/>
  <c r="A16" i="79"/>
  <c r="A15" i="79"/>
  <c r="A14" i="79"/>
  <c r="A13" i="79"/>
  <c r="A12" i="79"/>
  <c r="A11" i="79"/>
  <c r="A10" i="79"/>
  <c r="A9" i="79"/>
  <c r="A5" i="79"/>
  <c r="A4" i="79"/>
  <c r="A3" i="79"/>
  <c r="A60" i="106"/>
  <c r="A59" i="106"/>
  <c r="A58" i="106"/>
  <c r="A57" i="106"/>
  <c r="A56" i="106"/>
  <c r="A55" i="106"/>
  <c r="A54" i="106"/>
  <c r="A53" i="106"/>
  <c r="A52" i="106"/>
  <c r="A51" i="106"/>
  <c r="A47" i="106"/>
  <c r="A46" i="106"/>
  <c r="A45" i="106"/>
  <c r="A44" i="106"/>
  <c r="A43" i="106"/>
  <c r="A42" i="106"/>
  <c r="A41" i="106"/>
  <c r="A40" i="106"/>
  <c r="A39" i="106"/>
  <c r="A38" i="106"/>
  <c r="A37" i="106"/>
  <c r="A36" i="106"/>
  <c r="A35" i="106"/>
  <c r="A34" i="106"/>
  <c r="A33" i="106"/>
  <c r="A32" i="106"/>
  <c r="A31" i="106"/>
  <c r="A30" i="106"/>
  <c r="A29" i="106"/>
  <c r="A25" i="106"/>
  <c r="A24" i="106"/>
  <c r="A23" i="106"/>
  <c r="A22" i="106"/>
  <c r="A21" i="106"/>
  <c r="A20" i="106"/>
  <c r="A19" i="106"/>
  <c r="A18" i="106"/>
  <c r="A17" i="106"/>
  <c r="A16" i="106"/>
  <c r="A15" i="106"/>
  <c r="A14" i="106"/>
  <c r="A13" i="106"/>
  <c r="A12" i="106"/>
  <c r="A11" i="106"/>
  <c r="A10" i="106"/>
  <c r="A9" i="106"/>
  <c r="A5" i="106"/>
  <c r="A4" i="106"/>
  <c r="A3" i="106"/>
  <c r="A60" i="119"/>
  <c r="A59" i="119"/>
  <c r="A58" i="119"/>
  <c r="A57" i="119"/>
  <c r="A56" i="119"/>
  <c r="A55" i="119"/>
  <c r="A54" i="119"/>
  <c r="A53" i="119"/>
  <c r="A52" i="119"/>
  <c r="A51" i="119"/>
  <c r="A47" i="119"/>
  <c r="A46" i="119"/>
  <c r="A45" i="119"/>
  <c r="A44" i="119"/>
  <c r="A43" i="119"/>
  <c r="A42" i="119"/>
  <c r="A41" i="119"/>
  <c r="A40" i="119"/>
  <c r="A39" i="119"/>
  <c r="A38" i="119"/>
  <c r="A37" i="119"/>
  <c r="A36" i="119"/>
  <c r="A35" i="119"/>
  <c r="A34" i="119"/>
  <c r="A33" i="119"/>
  <c r="A32" i="119"/>
  <c r="A31" i="119"/>
  <c r="A30" i="119"/>
  <c r="A29" i="119"/>
  <c r="A25" i="119"/>
  <c r="A24" i="119"/>
  <c r="A23" i="119"/>
  <c r="A22" i="119"/>
  <c r="A21" i="119"/>
  <c r="A20" i="119"/>
  <c r="A19" i="119"/>
  <c r="A18" i="119"/>
  <c r="A17" i="119"/>
  <c r="A16" i="119"/>
  <c r="A15" i="119"/>
  <c r="A14" i="119"/>
  <c r="A13" i="119"/>
  <c r="A12" i="119"/>
  <c r="A11" i="119"/>
  <c r="A10" i="119"/>
  <c r="A9" i="119"/>
  <c r="A5" i="119"/>
  <c r="A4" i="119"/>
  <c r="A3" i="119"/>
  <c r="A60" i="103"/>
  <c r="A59" i="103"/>
  <c r="A58" i="103"/>
  <c r="A57" i="103"/>
  <c r="A56" i="103"/>
  <c r="A55" i="103"/>
  <c r="A54" i="103"/>
  <c r="A53" i="103"/>
  <c r="A52" i="103"/>
  <c r="A51" i="103"/>
  <c r="A47" i="103"/>
  <c r="A46" i="103"/>
  <c r="A45" i="103"/>
  <c r="A44" i="103"/>
  <c r="A43" i="103"/>
  <c r="A42" i="103"/>
  <c r="A41" i="103"/>
  <c r="A40" i="103"/>
  <c r="A39" i="103"/>
  <c r="A38" i="103"/>
  <c r="A37" i="103"/>
  <c r="A36" i="103"/>
  <c r="A35" i="103"/>
  <c r="A34" i="103"/>
  <c r="A33" i="103"/>
  <c r="A32" i="103"/>
  <c r="A31" i="103"/>
  <c r="A30" i="103"/>
  <c r="A29" i="103"/>
  <c r="A25" i="103"/>
  <c r="A24" i="103"/>
  <c r="A23" i="103"/>
  <c r="A22" i="103"/>
  <c r="A21" i="103"/>
  <c r="A20" i="103"/>
  <c r="A19" i="103"/>
  <c r="A18" i="103"/>
  <c r="A17" i="103"/>
  <c r="A16" i="103"/>
  <c r="A15" i="103"/>
  <c r="A14" i="103"/>
  <c r="A13" i="103"/>
  <c r="A12" i="103"/>
  <c r="A11" i="103"/>
  <c r="A10" i="103"/>
  <c r="A9" i="103"/>
  <c r="A5" i="103"/>
  <c r="A4" i="103"/>
  <c r="A3" i="103"/>
  <c r="A60" i="96"/>
  <c r="A59" i="96"/>
  <c r="A58" i="96"/>
  <c r="A57" i="96"/>
  <c r="A56" i="96"/>
  <c r="A55" i="96"/>
  <c r="A54" i="96"/>
  <c r="A53" i="96"/>
  <c r="A52" i="96"/>
  <c r="A51" i="96"/>
  <c r="A47" i="96"/>
  <c r="A46" i="96"/>
  <c r="A45" i="96"/>
  <c r="A44" i="96"/>
  <c r="A43" i="96"/>
  <c r="A42" i="96"/>
  <c r="A41" i="96"/>
  <c r="A40" i="96"/>
  <c r="A39" i="96"/>
  <c r="A38" i="96"/>
  <c r="A37" i="96"/>
  <c r="A36" i="96"/>
  <c r="A35" i="96"/>
  <c r="A34" i="96"/>
  <c r="A33" i="96"/>
  <c r="A32" i="96"/>
  <c r="A31" i="96"/>
  <c r="A30" i="96"/>
  <c r="A29" i="96"/>
  <c r="A25" i="96"/>
  <c r="A24" i="96"/>
  <c r="A23" i="96"/>
  <c r="A22" i="96"/>
  <c r="A21" i="96"/>
  <c r="A20" i="96"/>
  <c r="A19" i="96"/>
  <c r="A18" i="96"/>
  <c r="A17" i="96"/>
  <c r="A16" i="96"/>
  <c r="A15" i="96"/>
  <c r="A14" i="96"/>
  <c r="A13" i="96"/>
  <c r="A12" i="96"/>
  <c r="A11" i="96"/>
  <c r="A10" i="96"/>
  <c r="A9" i="96"/>
  <c r="A5" i="96"/>
  <c r="A4" i="96"/>
  <c r="A3" i="96"/>
  <c r="A60" i="99"/>
  <c r="A59" i="99"/>
  <c r="A58" i="99"/>
  <c r="A57" i="99"/>
  <c r="A56" i="99"/>
  <c r="A55" i="99"/>
  <c r="A54" i="99"/>
  <c r="A53" i="99"/>
  <c r="A52" i="99"/>
  <c r="A51" i="99"/>
  <c r="A47" i="99"/>
  <c r="A46" i="99"/>
  <c r="A45" i="99"/>
  <c r="A44" i="99"/>
  <c r="A43" i="99"/>
  <c r="A42" i="99"/>
  <c r="A41" i="99"/>
  <c r="A40" i="99"/>
  <c r="A39" i="99"/>
  <c r="A38" i="99"/>
  <c r="A37" i="99"/>
  <c r="A36" i="99"/>
  <c r="A35" i="99"/>
  <c r="A34" i="99"/>
  <c r="A33" i="99"/>
  <c r="A32" i="99"/>
  <c r="A31" i="99"/>
  <c r="A30" i="99"/>
  <c r="A29" i="99"/>
  <c r="A25" i="99"/>
  <c r="A24" i="99"/>
  <c r="A23" i="99"/>
  <c r="A22" i="99"/>
  <c r="A21" i="99"/>
  <c r="A20" i="99"/>
  <c r="A19" i="99"/>
  <c r="A18" i="99"/>
  <c r="A17" i="99"/>
  <c r="A16" i="99"/>
  <c r="A15" i="99"/>
  <c r="A14" i="99"/>
  <c r="A13" i="99"/>
  <c r="A12" i="99"/>
  <c r="A11" i="99"/>
  <c r="A10" i="99"/>
  <c r="A9" i="99"/>
  <c r="A5" i="99"/>
  <c r="A4" i="99"/>
  <c r="A3" i="99"/>
  <c r="A60" i="120"/>
  <c r="A59" i="120"/>
  <c r="A58" i="120"/>
  <c r="A57" i="120"/>
  <c r="A56" i="120"/>
  <c r="A55" i="120"/>
  <c r="A54" i="120"/>
  <c r="A53" i="120"/>
  <c r="A52" i="120"/>
  <c r="A51" i="120"/>
  <c r="A47" i="120"/>
  <c r="A46" i="120"/>
  <c r="A45" i="120"/>
  <c r="A44" i="120"/>
  <c r="A43" i="120"/>
  <c r="A42" i="120"/>
  <c r="A41" i="120"/>
  <c r="A40" i="120"/>
  <c r="A39" i="120"/>
  <c r="A38" i="120"/>
  <c r="A37" i="120"/>
  <c r="A36" i="120"/>
  <c r="A35" i="120"/>
  <c r="A34" i="120"/>
  <c r="A33" i="120"/>
  <c r="A32" i="120"/>
  <c r="A31" i="120"/>
  <c r="A30" i="120"/>
  <c r="A29" i="120"/>
  <c r="A25" i="120"/>
  <c r="A24" i="120"/>
  <c r="A23" i="120"/>
  <c r="A22" i="120"/>
  <c r="A21" i="120"/>
  <c r="A20" i="120"/>
  <c r="A19" i="120"/>
  <c r="A18" i="120"/>
  <c r="A17" i="120"/>
  <c r="A16" i="120"/>
  <c r="A15" i="120"/>
  <c r="A14" i="120"/>
  <c r="A13" i="120"/>
  <c r="A12" i="120"/>
  <c r="A11" i="120"/>
  <c r="A10" i="120"/>
  <c r="A9" i="120"/>
  <c r="A5" i="120"/>
  <c r="A4" i="120"/>
  <c r="A3" i="120"/>
  <c r="A60" i="110"/>
  <c r="A59" i="110"/>
  <c r="A58" i="110"/>
  <c r="A57" i="110"/>
  <c r="A56" i="110"/>
  <c r="A55" i="110"/>
  <c r="A54" i="110"/>
  <c r="A53" i="110"/>
  <c r="A52" i="110"/>
  <c r="A51" i="110"/>
  <c r="A47" i="110"/>
  <c r="A46" i="110"/>
  <c r="A45" i="110"/>
  <c r="A44" i="110"/>
  <c r="A43" i="110"/>
  <c r="A42" i="110"/>
  <c r="A41" i="110"/>
  <c r="A40" i="110"/>
  <c r="A39" i="110"/>
  <c r="A38" i="110"/>
  <c r="A37" i="110"/>
  <c r="A36" i="110"/>
  <c r="A35" i="110"/>
  <c r="A34" i="110"/>
  <c r="A33" i="110"/>
  <c r="A32" i="110"/>
  <c r="A31" i="110"/>
  <c r="A30" i="110"/>
  <c r="A29" i="110"/>
  <c r="A25" i="110"/>
  <c r="A24" i="110"/>
  <c r="A23" i="110"/>
  <c r="A22" i="110"/>
  <c r="A21" i="110"/>
  <c r="A20" i="110"/>
  <c r="A19" i="110"/>
  <c r="A18" i="110"/>
  <c r="A17" i="110"/>
  <c r="A16" i="110"/>
  <c r="A15" i="110"/>
  <c r="A14" i="110"/>
  <c r="A13" i="110"/>
  <c r="A12" i="110"/>
  <c r="A11" i="110"/>
  <c r="A10" i="110"/>
  <c r="A9" i="110"/>
  <c r="A5" i="110"/>
  <c r="A4" i="110"/>
  <c r="A3" i="110"/>
  <c r="A60" i="87"/>
  <c r="A59" i="87"/>
  <c r="A58" i="87"/>
  <c r="A57" i="87"/>
  <c r="A56" i="87"/>
  <c r="A55" i="87"/>
  <c r="A54" i="87"/>
  <c r="A53" i="87"/>
  <c r="A52" i="87"/>
  <c r="A51" i="87"/>
  <c r="A47" i="87"/>
  <c r="A46" i="87"/>
  <c r="A45" i="87"/>
  <c r="A44" i="87"/>
  <c r="A43" i="87"/>
  <c r="A42" i="87"/>
  <c r="A41" i="87"/>
  <c r="A40" i="87"/>
  <c r="A39" i="87"/>
  <c r="A38" i="87"/>
  <c r="A37" i="87"/>
  <c r="A36" i="87"/>
  <c r="A35" i="87"/>
  <c r="A34" i="87"/>
  <c r="A33" i="87"/>
  <c r="A32" i="87"/>
  <c r="A31" i="87"/>
  <c r="A30" i="87"/>
  <c r="A29" i="87"/>
  <c r="A25" i="87"/>
  <c r="A24" i="87"/>
  <c r="A23" i="87"/>
  <c r="A22" i="87"/>
  <c r="A21" i="87"/>
  <c r="A20" i="87"/>
  <c r="A19" i="87"/>
  <c r="A18" i="87"/>
  <c r="A17" i="87"/>
  <c r="A16" i="87"/>
  <c r="A15" i="87"/>
  <c r="A14" i="87"/>
  <c r="A13" i="87"/>
  <c r="A12" i="87"/>
  <c r="A11" i="87"/>
  <c r="A10" i="87"/>
  <c r="A9" i="87"/>
  <c r="A5" i="87"/>
  <c r="A4" i="87"/>
  <c r="A3" i="87"/>
  <c r="A60" i="118"/>
  <c r="A59" i="118"/>
  <c r="A58" i="118"/>
  <c r="A57" i="118"/>
  <c r="A56" i="118"/>
  <c r="A55" i="118"/>
  <c r="A54" i="118"/>
  <c r="A53" i="118"/>
  <c r="A52" i="118"/>
  <c r="A51" i="118"/>
  <c r="A47" i="118"/>
  <c r="A46" i="118"/>
  <c r="A45" i="118"/>
  <c r="A44" i="118"/>
  <c r="A43" i="118"/>
  <c r="A42" i="118"/>
  <c r="A41" i="118"/>
  <c r="A40" i="118"/>
  <c r="A39" i="118"/>
  <c r="A38" i="118"/>
  <c r="A37" i="118"/>
  <c r="A36" i="118"/>
  <c r="A35" i="118"/>
  <c r="A34" i="118"/>
  <c r="A33" i="118"/>
  <c r="A32" i="118"/>
  <c r="A31" i="118"/>
  <c r="A30" i="118"/>
  <c r="A29" i="118"/>
  <c r="A25" i="118"/>
  <c r="A24" i="118"/>
  <c r="A23" i="118"/>
  <c r="A22" i="118"/>
  <c r="A21" i="118"/>
  <c r="A20" i="118"/>
  <c r="A19" i="118"/>
  <c r="A18" i="118"/>
  <c r="A17" i="118"/>
  <c r="A16" i="118"/>
  <c r="A15" i="118"/>
  <c r="A14" i="118"/>
  <c r="A13" i="118"/>
  <c r="A12" i="118"/>
  <c r="A11" i="118"/>
  <c r="A10" i="118"/>
  <c r="A9" i="118"/>
  <c r="A5" i="118"/>
  <c r="A4" i="118"/>
  <c r="A3" i="118"/>
  <c r="A60" i="117"/>
  <c r="A59" i="117"/>
  <c r="A58" i="117"/>
  <c r="A57" i="117"/>
  <c r="A56" i="117"/>
  <c r="A55" i="117"/>
  <c r="A54" i="117"/>
  <c r="A53" i="117"/>
  <c r="A52" i="117"/>
  <c r="A51" i="117"/>
  <c r="A47" i="117"/>
  <c r="A46" i="117"/>
  <c r="A45" i="117"/>
  <c r="A44" i="117"/>
  <c r="A43" i="117"/>
  <c r="A42" i="117"/>
  <c r="A41" i="117"/>
  <c r="A40" i="117"/>
  <c r="A39" i="117"/>
  <c r="A38" i="117"/>
  <c r="A37" i="117"/>
  <c r="A36" i="117"/>
  <c r="A35" i="117"/>
  <c r="A34" i="117"/>
  <c r="A33" i="117"/>
  <c r="A32" i="117"/>
  <c r="A31" i="117"/>
  <c r="A30" i="117"/>
  <c r="A29" i="117"/>
  <c r="A25" i="117"/>
  <c r="A24" i="117"/>
  <c r="A23" i="117"/>
  <c r="A22" i="117"/>
  <c r="A21" i="117"/>
  <c r="A20" i="117"/>
  <c r="A19" i="117"/>
  <c r="A18" i="117"/>
  <c r="A17" i="117"/>
  <c r="A16" i="117"/>
  <c r="A15" i="117"/>
  <c r="A14" i="117"/>
  <c r="A13" i="117"/>
  <c r="A12" i="117"/>
  <c r="A11" i="117"/>
  <c r="A10" i="117"/>
  <c r="A9" i="117"/>
  <c r="A5" i="117"/>
  <c r="A4" i="117"/>
  <c r="A3" i="117"/>
  <c r="A60" i="98"/>
  <c r="A59" i="98"/>
  <c r="A58" i="98"/>
  <c r="A57" i="98"/>
  <c r="A56" i="98"/>
  <c r="A55" i="98"/>
  <c r="A54" i="98"/>
  <c r="A53" i="98"/>
  <c r="A52" i="98"/>
  <c r="A51" i="98"/>
  <c r="A47" i="98"/>
  <c r="A46" i="98"/>
  <c r="A45" i="98"/>
  <c r="A44" i="98"/>
  <c r="A43" i="98"/>
  <c r="A42" i="98"/>
  <c r="A41" i="98"/>
  <c r="A40" i="98"/>
  <c r="A39" i="98"/>
  <c r="A38" i="98"/>
  <c r="A37" i="98"/>
  <c r="A36" i="98"/>
  <c r="A35" i="98"/>
  <c r="A34" i="98"/>
  <c r="A33" i="98"/>
  <c r="A32" i="98"/>
  <c r="A31" i="98"/>
  <c r="A30" i="98"/>
  <c r="A29" i="98"/>
  <c r="A25" i="98"/>
  <c r="A24" i="98"/>
  <c r="A23" i="98"/>
  <c r="A22" i="98"/>
  <c r="A21" i="98"/>
  <c r="A20" i="98"/>
  <c r="A19" i="98"/>
  <c r="A18" i="98"/>
  <c r="A17" i="98"/>
  <c r="A16" i="98"/>
  <c r="A15" i="98"/>
  <c r="A14" i="98"/>
  <c r="A13" i="98"/>
  <c r="A12" i="98"/>
  <c r="A11" i="98"/>
  <c r="A10" i="98"/>
  <c r="A9" i="98"/>
  <c r="A5" i="98"/>
  <c r="A4" i="98"/>
  <c r="A3" i="98"/>
  <c r="A60" i="105"/>
  <c r="A59" i="105"/>
  <c r="A58" i="105"/>
  <c r="A57" i="105"/>
  <c r="A56" i="105"/>
  <c r="A55" i="105"/>
  <c r="A54" i="105"/>
  <c r="A53" i="105"/>
  <c r="A52" i="105"/>
  <c r="A51" i="105"/>
  <c r="A47" i="105"/>
  <c r="A46" i="105"/>
  <c r="A45" i="105"/>
  <c r="A44" i="105"/>
  <c r="A43" i="105"/>
  <c r="A42" i="105"/>
  <c r="A41" i="105"/>
  <c r="A40" i="105"/>
  <c r="A39" i="105"/>
  <c r="A38" i="105"/>
  <c r="A37" i="105"/>
  <c r="A36" i="105"/>
  <c r="A35" i="105"/>
  <c r="A34" i="105"/>
  <c r="A33" i="105"/>
  <c r="A32" i="105"/>
  <c r="A31" i="105"/>
  <c r="A30" i="105"/>
  <c r="A29" i="105"/>
  <c r="A25" i="105"/>
  <c r="A24" i="105"/>
  <c r="A23" i="105"/>
  <c r="A22" i="105"/>
  <c r="A21" i="105"/>
  <c r="A20" i="105"/>
  <c r="A19" i="105"/>
  <c r="A18" i="105"/>
  <c r="A17" i="105"/>
  <c r="A16" i="105"/>
  <c r="A15" i="105"/>
  <c r="A14" i="105"/>
  <c r="A13" i="105"/>
  <c r="A12" i="105"/>
  <c r="A11" i="105"/>
  <c r="A10" i="105"/>
  <c r="A9" i="105"/>
  <c r="A5" i="105"/>
  <c r="A4" i="105"/>
  <c r="A3" i="105"/>
  <c r="A60" i="102"/>
  <c r="A59" i="102"/>
  <c r="A58" i="102"/>
  <c r="A57" i="102"/>
  <c r="A56" i="102"/>
  <c r="A55" i="102"/>
  <c r="A54" i="102"/>
  <c r="A53" i="102"/>
  <c r="A52" i="102"/>
  <c r="A51" i="102"/>
  <c r="A47" i="102"/>
  <c r="A46" i="102"/>
  <c r="A45" i="102"/>
  <c r="A44" i="102"/>
  <c r="A43" i="102"/>
  <c r="A42" i="102"/>
  <c r="A41" i="102"/>
  <c r="A40" i="102"/>
  <c r="A39" i="102"/>
  <c r="A38" i="102"/>
  <c r="A37" i="102"/>
  <c r="A36" i="102"/>
  <c r="A35" i="102"/>
  <c r="A34" i="102"/>
  <c r="A33" i="102"/>
  <c r="A32" i="102"/>
  <c r="A31" i="102"/>
  <c r="A30" i="102"/>
  <c r="A29" i="102"/>
  <c r="A25" i="102"/>
  <c r="A24" i="102"/>
  <c r="A23" i="102"/>
  <c r="A22" i="102"/>
  <c r="A21" i="102"/>
  <c r="A20" i="102"/>
  <c r="A19" i="102"/>
  <c r="A18" i="102"/>
  <c r="A17" i="102"/>
  <c r="A16" i="102"/>
  <c r="A15" i="102"/>
  <c r="A14" i="102"/>
  <c r="A13" i="102"/>
  <c r="A12" i="102"/>
  <c r="A11" i="102"/>
  <c r="A10" i="102"/>
  <c r="A9" i="102"/>
  <c r="A5" i="102"/>
  <c r="A4" i="102"/>
  <c r="A3" i="102"/>
  <c r="A60" i="101"/>
  <c r="A59" i="101"/>
  <c r="A58" i="101"/>
  <c r="A57" i="101"/>
  <c r="A56" i="101"/>
  <c r="A55" i="101"/>
  <c r="A54" i="101"/>
  <c r="A53" i="101"/>
  <c r="A52" i="101"/>
  <c r="A51" i="101"/>
  <c r="A47" i="101"/>
  <c r="A46" i="101"/>
  <c r="A45" i="101"/>
  <c r="A44" i="101"/>
  <c r="A43" i="101"/>
  <c r="A42" i="101"/>
  <c r="A41" i="101"/>
  <c r="A40" i="101"/>
  <c r="A39" i="101"/>
  <c r="A38" i="101"/>
  <c r="A37" i="101"/>
  <c r="A36" i="101"/>
  <c r="A35" i="101"/>
  <c r="A34" i="101"/>
  <c r="A33" i="101"/>
  <c r="A32" i="101"/>
  <c r="A31" i="101"/>
  <c r="A30" i="101"/>
  <c r="A29" i="101"/>
  <c r="A25" i="101"/>
  <c r="A24" i="101"/>
  <c r="A23" i="101"/>
  <c r="A22" i="101"/>
  <c r="A21" i="101"/>
  <c r="A20" i="101"/>
  <c r="A19" i="101"/>
  <c r="A18" i="101"/>
  <c r="A17" i="101"/>
  <c r="A16" i="101"/>
  <c r="A15" i="101"/>
  <c r="A14" i="101"/>
  <c r="A13" i="101"/>
  <c r="A12" i="101"/>
  <c r="A11" i="101"/>
  <c r="A10" i="101"/>
  <c r="A9" i="101"/>
  <c r="A5" i="101"/>
  <c r="A4" i="101"/>
  <c r="A3" i="101"/>
  <c r="A60" i="109"/>
  <c r="A59" i="109"/>
  <c r="A58" i="109"/>
  <c r="A57" i="109"/>
  <c r="A56" i="109"/>
  <c r="A55" i="109"/>
  <c r="A54" i="109"/>
  <c r="A53" i="109"/>
  <c r="A52" i="109"/>
  <c r="A51" i="109"/>
  <c r="A47" i="109"/>
  <c r="A46" i="109"/>
  <c r="A45" i="109"/>
  <c r="A44" i="109"/>
  <c r="A43" i="109"/>
  <c r="A42" i="109"/>
  <c r="A41" i="109"/>
  <c r="A40" i="109"/>
  <c r="A39" i="109"/>
  <c r="A38" i="109"/>
  <c r="A37" i="109"/>
  <c r="A36" i="109"/>
  <c r="A35" i="109"/>
  <c r="A34" i="109"/>
  <c r="A33" i="109"/>
  <c r="A32" i="109"/>
  <c r="A31" i="109"/>
  <c r="A30" i="109"/>
  <c r="A29" i="109"/>
  <c r="A25" i="109"/>
  <c r="A24" i="109"/>
  <c r="A23" i="109"/>
  <c r="A22" i="109"/>
  <c r="A21" i="109"/>
  <c r="A20" i="109"/>
  <c r="A19" i="109"/>
  <c r="A18" i="109"/>
  <c r="A17" i="109"/>
  <c r="A16" i="109"/>
  <c r="A15" i="109"/>
  <c r="A14" i="109"/>
  <c r="A13" i="109"/>
  <c r="A12" i="109"/>
  <c r="A11" i="109"/>
  <c r="A10" i="109"/>
  <c r="A9" i="109"/>
  <c r="A5" i="109"/>
  <c r="A4" i="109"/>
  <c r="A3" i="109"/>
  <c r="A60" i="108"/>
  <c r="A59" i="108"/>
  <c r="A58" i="108"/>
  <c r="A57" i="108"/>
  <c r="A56" i="108"/>
  <c r="A55" i="108"/>
  <c r="A54" i="108"/>
  <c r="A53" i="108"/>
  <c r="A52" i="108"/>
  <c r="A51" i="108"/>
  <c r="A47" i="108"/>
  <c r="A46" i="108"/>
  <c r="A45" i="108"/>
  <c r="A44" i="108"/>
  <c r="A43" i="108"/>
  <c r="A42" i="108"/>
  <c r="A41" i="108"/>
  <c r="A40" i="108"/>
  <c r="A39" i="108"/>
  <c r="A38" i="108"/>
  <c r="A37" i="108"/>
  <c r="A36" i="108"/>
  <c r="A35" i="108"/>
  <c r="A34" i="108"/>
  <c r="A33" i="108"/>
  <c r="A32" i="108"/>
  <c r="A31" i="108"/>
  <c r="A30" i="108"/>
  <c r="A29" i="108"/>
  <c r="A25" i="108"/>
  <c r="A24" i="108"/>
  <c r="A23" i="108"/>
  <c r="A22" i="108"/>
  <c r="A21" i="108"/>
  <c r="A20" i="108"/>
  <c r="A19" i="108"/>
  <c r="A18" i="108"/>
  <c r="A17" i="108"/>
  <c r="A16" i="108"/>
  <c r="A15" i="108"/>
  <c r="A14" i="108"/>
  <c r="A13" i="108"/>
  <c r="A12" i="108"/>
  <c r="A11" i="108"/>
  <c r="A10" i="108"/>
  <c r="A9" i="108"/>
  <c r="A5" i="108"/>
  <c r="A4" i="108"/>
  <c r="A3" i="108"/>
  <c r="A60" i="95"/>
  <c r="A59" i="95"/>
  <c r="A58" i="95"/>
  <c r="A57" i="95"/>
  <c r="A56" i="95"/>
  <c r="A55" i="95"/>
  <c r="A54" i="95"/>
  <c r="A53" i="95"/>
  <c r="A52" i="95"/>
  <c r="A51" i="95"/>
  <c r="A47" i="95"/>
  <c r="A46" i="95"/>
  <c r="A45" i="95"/>
  <c r="A44" i="95"/>
  <c r="A43" i="95"/>
  <c r="A42" i="95"/>
  <c r="A41" i="95"/>
  <c r="A40" i="95"/>
  <c r="A39" i="95"/>
  <c r="A38" i="95"/>
  <c r="A37" i="95"/>
  <c r="A36" i="95"/>
  <c r="A35" i="95"/>
  <c r="A34" i="95"/>
  <c r="A33" i="95"/>
  <c r="A32" i="95"/>
  <c r="A31" i="95"/>
  <c r="A30" i="95"/>
  <c r="A29" i="95"/>
  <c r="A25" i="95"/>
  <c r="A24" i="95"/>
  <c r="A23" i="95"/>
  <c r="A22" i="95"/>
  <c r="A21" i="95"/>
  <c r="A20" i="95"/>
  <c r="A19" i="95"/>
  <c r="A18" i="95"/>
  <c r="A17" i="95"/>
  <c r="A16" i="95"/>
  <c r="A15" i="95"/>
  <c r="A14" i="95"/>
  <c r="A13" i="95"/>
  <c r="A12" i="95"/>
  <c r="A11" i="95"/>
  <c r="A10" i="95"/>
  <c r="A9" i="95"/>
  <c r="A5" i="95"/>
  <c r="A4" i="95"/>
  <c r="A3" i="95"/>
  <c r="A60" i="94"/>
  <c r="A59" i="94"/>
  <c r="A58" i="94"/>
  <c r="A57" i="94"/>
  <c r="A56" i="94"/>
  <c r="A55" i="94"/>
  <c r="A54" i="94"/>
  <c r="A53" i="94"/>
  <c r="A52" i="94"/>
  <c r="A51" i="94"/>
  <c r="A47" i="94"/>
  <c r="A46" i="94"/>
  <c r="A45" i="94"/>
  <c r="A44" i="94"/>
  <c r="A43" i="94"/>
  <c r="A42" i="94"/>
  <c r="A41" i="94"/>
  <c r="A40" i="94"/>
  <c r="A39" i="94"/>
  <c r="A38" i="94"/>
  <c r="A37" i="94"/>
  <c r="A36" i="94"/>
  <c r="A35" i="94"/>
  <c r="A34" i="94"/>
  <c r="A33" i="94"/>
  <c r="A32" i="94"/>
  <c r="A31" i="94"/>
  <c r="A30" i="94"/>
  <c r="A29" i="94"/>
  <c r="A25" i="94"/>
  <c r="A24" i="94"/>
  <c r="A23" i="94"/>
  <c r="A22" i="94"/>
  <c r="A21" i="94"/>
  <c r="A20" i="94"/>
  <c r="A19" i="94"/>
  <c r="A18" i="94"/>
  <c r="A17" i="94"/>
  <c r="A16" i="94"/>
  <c r="A15" i="94"/>
  <c r="A14" i="94"/>
  <c r="A13" i="94"/>
  <c r="A12" i="94"/>
  <c r="A11" i="94"/>
  <c r="A10" i="94"/>
  <c r="A9" i="94"/>
  <c r="A5" i="94"/>
  <c r="A4" i="94"/>
  <c r="A3" i="94"/>
  <c r="A60" i="93"/>
  <c r="A59" i="93"/>
  <c r="A58" i="93"/>
  <c r="A57" i="93"/>
  <c r="A56" i="93"/>
  <c r="A55" i="93"/>
  <c r="A54" i="93"/>
  <c r="A53" i="93"/>
  <c r="A52" i="93"/>
  <c r="A51" i="93"/>
  <c r="A47" i="93"/>
  <c r="A46" i="93"/>
  <c r="A45" i="93"/>
  <c r="A44" i="93"/>
  <c r="A43" i="93"/>
  <c r="A42" i="93"/>
  <c r="A41" i="93"/>
  <c r="A40" i="93"/>
  <c r="A39" i="93"/>
  <c r="A38" i="93"/>
  <c r="A37" i="93"/>
  <c r="A36" i="93"/>
  <c r="A35" i="93"/>
  <c r="A34" i="93"/>
  <c r="A33" i="93"/>
  <c r="A32" i="93"/>
  <c r="A31" i="93"/>
  <c r="A30" i="93"/>
  <c r="A29" i="93"/>
  <c r="A25" i="93"/>
  <c r="A24" i="93"/>
  <c r="A23" i="93"/>
  <c r="A22" i="93"/>
  <c r="A21" i="93"/>
  <c r="A20" i="93"/>
  <c r="A19" i="93"/>
  <c r="A18" i="93"/>
  <c r="A17" i="93"/>
  <c r="A16" i="93"/>
  <c r="A15" i="93"/>
  <c r="A14" i="93"/>
  <c r="A13" i="93"/>
  <c r="A12" i="93"/>
  <c r="A11" i="93"/>
  <c r="A10" i="93"/>
  <c r="A9" i="93"/>
  <c r="A5" i="93"/>
  <c r="A4" i="93"/>
  <c r="A3" i="93"/>
  <c r="A60" i="92"/>
  <c r="A59" i="92"/>
  <c r="A58" i="92"/>
  <c r="A57" i="92"/>
  <c r="A56" i="92"/>
  <c r="A55" i="92"/>
  <c r="A54" i="92"/>
  <c r="A53" i="92"/>
  <c r="A52" i="92"/>
  <c r="A51" i="92"/>
  <c r="A47" i="92"/>
  <c r="A46" i="92"/>
  <c r="A45" i="92"/>
  <c r="A44" i="92"/>
  <c r="A43" i="92"/>
  <c r="A42" i="92"/>
  <c r="A41" i="92"/>
  <c r="A40" i="92"/>
  <c r="A39" i="92"/>
  <c r="A38" i="92"/>
  <c r="A37" i="92"/>
  <c r="A36" i="92"/>
  <c r="A35" i="92"/>
  <c r="A34" i="92"/>
  <c r="A33" i="92"/>
  <c r="A32" i="92"/>
  <c r="A31" i="92"/>
  <c r="A30" i="92"/>
  <c r="A29" i="92"/>
  <c r="A25" i="92"/>
  <c r="A24" i="92"/>
  <c r="A23" i="92"/>
  <c r="A22" i="92"/>
  <c r="A21" i="92"/>
  <c r="A20" i="92"/>
  <c r="A19" i="92"/>
  <c r="A18" i="92"/>
  <c r="A17" i="92"/>
  <c r="A16" i="92"/>
  <c r="A15" i="92"/>
  <c r="A14" i="92"/>
  <c r="A13" i="92"/>
  <c r="A12" i="92"/>
  <c r="A11" i="92"/>
  <c r="A10" i="92"/>
  <c r="A9" i="92"/>
  <c r="A5" i="92"/>
  <c r="A4" i="92"/>
  <c r="A3" i="92"/>
  <c r="A60" i="91"/>
  <c r="A59" i="91"/>
  <c r="A58" i="91"/>
  <c r="A57" i="91"/>
  <c r="A56" i="91"/>
  <c r="A55" i="91"/>
  <c r="A54" i="91"/>
  <c r="A53" i="91"/>
  <c r="A52" i="91"/>
  <c r="A51" i="91"/>
  <c r="A47" i="91"/>
  <c r="A46" i="91"/>
  <c r="A45" i="91"/>
  <c r="A44" i="91"/>
  <c r="A43" i="91"/>
  <c r="A42" i="91"/>
  <c r="A41" i="91"/>
  <c r="A40" i="91"/>
  <c r="A39" i="91"/>
  <c r="A38" i="91"/>
  <c r="A37" i="91"/>
  <c r="A36" i="91"/>
  <c r="A35" i="91"/>
  <c r="A34" i="91"/>
  <c r="A33" i="91"/>
  <c r="A32" i="91"/>
  <c r="A31" i="91"/>
  <c r="A30" i="91"/>
  <c r="A29" i="91"/>
  <c r="A25" i="91"/>
  <c r="A24" i="91"/>
  <c r="A23" i="91"/>
  <c r="A22" i="91"/>
  <c r="A21" i="91"/>
  <c r="A20" i="91"/>
  <c r="A19" i="91"/>
  <c r="A18" i="91"/>
  <c r="A17" i="91"/>
  <c r="A16" i="91"/>
  <c r="A15" i="91"/>
  <c r="A14" i="91"/>
  <c r="A13" i="91"/>
  <c r="A12" i="91"/>
  <c r="A11" i="91"/>
  <c r="A10" i="91"/>
  <c r="A9" i="91"/>
  <c r="A5" i="91"/>
  <c r="A4" i="91"/>
  <c r="A3" i="91"/>
  <c r="A60" i="90"/>
  <c r="A59" i="90"/>
  <c r="A58" i="90"/>
  <c r="A57" i="90"/>
  <c r="A56" i="90"/>
  <c r="A55" i="90"/>
  <c r="A54" i="90"/>
  <c r="A53" i="90"/>
  <c r="A52" i="90"/>
  <c r="A51" i="90"/>
  <c r="A47" i="90"/>
  <c r="A46" i="90"/>
  <c r="A45" i="90"/>
  <c r="A44" i="90"/>
  <c r="A43" i="90"/>
  <c r="A42" i="90"/>
  <c r="A41" i="90"/>
  <c r="A40" i="90"/>
  <c r="A39" i="90"/>
  <c r="A38" i="90"/>
  <c r="A37" i="90"/>
  <c r="A36" i="90"/>
  <c r="A35" i="90"/>
  <c r="A34" i="90"/>
  <c r="A33" i="90"/>
  <c r="A32" i="90"/>
  <c r="A31" i="90"/>
  <c r="A30" i="90"/>
  <c r="A29" i="90"/>
  <c r="A25" i="90"/>
  <c r="A24" i="90"/>
  <c r="A23" i="90"/>
  <c r="A22" i="90"/>
  <c r="A21" i="90"/>
  <c r="A20" i="90"/>
  <c r="A19" i="90"/>
  <c r="A18" i="90"/>
  <c r="A17" i="90"/>
  <c r="A16" i="90"/>
  <c r="A15" i="90"/>
  <c r="A14" i="90"/>
  <c r="A13" i="90"/>
  <c r="A12" i="90"/>
  <c r="A11" i="90"/>
  <c r="A10" i="90"/>
  <c r="A9" i="90"/>
  <c r="A5" i="90"/>
  <c r="A4" i="90"/>
  <c r="A3" i="90"/>
  <c r="A60" i="86"/>
  <c r="A59" i="86"/>
  <c r="A58" i="86"/>
  <c r="A57" i="86"/>
  <c r="A56" i="86"/>
  <c r="A55" i="86"/>
  <c r="A54" i="86"/>
  <c r="A53" i="86"/>
  <c r="A52" i="86"/>
  <c r="A51" i="86"/>
  <c r="A47" i="86"/>
  <c r="A46" i="86"/>
  <c r="A45" i="86"/>
  <c r="A44" i="86"/>
  <c r="A43" i="86"/>
  <c r="A42" i="86"/>
  <c r="A41" i="86"/>
  <c r="A40" i="86"/>
  <c r="A39" i="86"/>
  <c r="A38" i="86"/>
  <c r="A37" i="86"/>
  <c r="A36" i="86"/>
  <c r="A35" i="86"/>
  <c r="A34" i="86"/>
  <c r="A33" i="86"/>
  <c r="A32" i="86"/>
  <c r="A31" i="86"/>
  <c r="A30" i="86"/>
  <c r="A29" i="86"/>
  <c r="A25" i="86"/>
  <c r="A24" i="86"/>
  <c r="A23" i="86"/>
  <c r="A22" i="86"/>
  <c r="A21" i="86"/>
  <c r="A20" i="86"/>
  <c r="A19" i="86"/>
  <c r="A18" i="86"/>
  <c r="A17" i="86"/>
  <c r="A16" i="86"/>
  <c r="A15" i="86"/>
  <c r="A14" i="86"/>
  <c r="A13" i="86"/>
  <c r="A12" i="86"/>
  <c r="A11" i="86"/>
  <c r="A10" i="86"/>
  <c r="A9" i="86"/>
  <c r="A5" i="86"/>
  <c r="A4" i="86"/>
  <c r="A3" i="86"/>
  <c r="A60" i="85"/>
  <c r="A59" i="85"/>
  <c r="A58" i="85"/>
  <c r="A57" i="85"/>
  <c r="A56" i="85"/>
  <c r="A55" i="85"/>
  <c r="A54" i="85"/>
  <c r="A53" i="85"/>
  <c r="A52" i="85"/>
  <c r="A51" i="85"/>
  <c r="A47" i="85"/>
  <c r="A46" i="85"/>
  <c r="A45" i="85"/>
  <c r="A44" i="85"/>
  <c r="A43" i="85"/>
  <c r="A42" i="85"/>
  <c r="A41" i="85"/>
  <c r="A40" i="85"/>
  <c r="A39" i="85"/>
  <c r="A38" i="85"/>
  <c r="A37" i="85"/>
  <c r="A36" i="85"/>
  <c r="A35" i="85"/>
  <c r="A34" i="85"/>
  <c r="A33" i="85"/>
  <c r="A32" i="85"/>
  <c r="A31" i="85"/>
  <c r="A30" i="85"/>
  <c r="A29" i="85"/>
  <c r="A25" i="85"/>
  <c r="A24" i="85"/>
  <c r="A23" i="85"/>
  <c r="A22" i="85"/>
  <c r="A21" i="85"/>
  <c r="A20" i="85"/>
  <c r="A19" i="85"/>
  <c r="A18" i="85"/>
  <c r="A17" i="85"/>
  <c r="A16" i="85"/>
  <c r="A15" i="85"/>
  <c r="A14" i="85"/>
  <c r="A13" i="85"/>
  <c r="A12" i="85"/>
  <c r="A11" i="85"/>
  <c r="A10" i="85"/>
  <c r="A9" i="85"/>
  <c r="A5" i="85"/>
  <c r="A4" i="85"/>
  <c r="A3" i="85"/>
  <c r="A60" i="84"/>
  <c r="A59" i="84"/>
  <c r="A58" i="84"/>
  <c r="A57" i="84"/>
  <c r="A56" i="84"/>
  <c r="A55" i="84"/>
  <c r="A54" i="84"/>
  <c r="A53" i="84"/>
  <c r="A52" i="84"/>
  <c r="A51" i="84"/>
  <c r="A47" i="84"/>
  <c r="A46" i="84"/>
  <c r="A45" i="84"/>
  <c r="A44" i="84"/>
  <c r="A43" i="84"/>
  <c r="A42" i="84"/>
  <c r="A41" i="84"/>
  <c r="A40" i="84"/>
  <c r="A39" i="84"/>
  <c r="A38" i="84"/>
  <c r="A37" i="84"/>
  <c r="A36" i="84"/>
  <c r="A35" i="84"/>
  <c r="A34" i="84"/>
  <c r="A33" i="84"/>
  <c r="A32" i="84"/>
  <c r="A31" i="84"/>
  <c r="A30" i="84"/>
  <c r="A29" i="84"/>
  <c r="A25" i="84"/>
  <c r="A24" i="84"/>
  <c r="A23" i="84"/>
  <c r="A22" i="84"/>
  <c r="A21" i="84"/>
  <c r="A20" i="84"/>
  <c r="A19" i="84"/>
  <c r="A18" i="84"/>
  <c r="A17" i="84"/>
  <c r="A16" i="84"/>
  <c r="A15" i="84"/>
  <c r="A14" i="84"/>
  <c r="A13" i="84"/>
  <c r="A12" i="84"/>
  <c r="A11" i="84"/>
  <c r="A10" i="84"/>
  <c r="A9" i="84"/>
  <c r="A5" i="84"/>
  <c r="A4" i="84"/>
  <c r="A3" i="84"/>
  <c r="A60" i="83"/>
  <c r="A59" i="83"/>
  <c r="A58" i="83"/>
  <c r="A57" i="83"/>
  <c r="A56" i="83"/>
  <c r="A55" i="83"/>
  <c r="A54" i="83"/>
  <c r="A53" i="83"/>
  <c r="A52" i="83"/>
  <c r="A51" i="83"/>
  <c r="A47" i="83"/>
  <c r="A46" i="83"/>
  <c r="A45" i="83"/>
  <c r="A44" i="83"/>
  <c r="A43" i="83"/>
  <c r="A42" i="83"/>
  <c r="A41" i="83"/>
  <c r="A40" i="83"/>
  <c r="A39" i="83"/>
  <c r="A38" i="83"/>
  <c r="A37" i="83"/>
  <c r="A36" i="83"/>
  <c r="A35" i="83"/>
  <c r="A34" i="83"/>
  <c r="A33" i="83"/>
  <c r="A32" i="83"/>
  <c r="A31" i="83"/>
  <c r="A30" i="83"/>
  <c r="A29" i="83"/>
  <c r="A25" i="83"/>
  <c r="A24" i="83"/>
  <c r="A23" i="83"/>
  <c r="A22" i="83"/>
  <c r="A21" i="83"/>
  <c r="A20" i="83"/>
  <c r="A19" i="83"/>
  <c r="A18" i="83"/>
  <c r="A17" i="83"/>
  <c r="A16" i="83"/>
  <c r="A15" i="83"/>
  <c r="A14" i="83"/>
  <c r="A13" i="83"/>
  <c r="A12" i="83"/>
  <c r="A11" i="83"/>
  <c r="A10" i="83"/>
  <c r="A9" i="83"/>
  <c r="A5" i="83"/>
  <c r="A4" i="83"/>
  <c r="A3" i="83"/>
  <c r="A60" i="88"/>
  <c r="A59" i="88"/>
  <c r="A58" i="88"/>
  <c r="A57" i="88"/>
  <c r="A56" i="88"/>
  <c r="A55" i="88"/>
  <c r="A54" i="88"/>
  <c r="A53" i="88"/>
  <c r="A52" i="88"/>
  <c r="A51" i="88"/>
  <c r="A47" i="88"/>
  <c r="A46" i="88"/>
  <c r="A45" i="88"/>
  <c r="A44" i="88"/>
  <c r="A43" i="88"/>
  <c r="A42" i="88"/>
  <c r="A41" i="88"/>
  <c r="A40" i="88"/>
  <c r="A39" i="88"/>
  <c r="A38" i="88"/>
  <c r="A37" i="88"/>
  <c r="A36" i="88"/>
  <c r="A35" i="88"/>
  <c r="A34" i="88"/>
  <c r="A33" i="88"/>
  <c r="A32" i="88"/>
  <c r="A31" i="88"/>
  <c r="A30" i="88"/>
  <c r="A29" i="88"/>
  <c r="A25" i="88"/>
  <c r="A24" i="88"/>
  <c r="A23" i="88"/>
  <c r="A22" i="88"/>
  <c r="A21" i="88"/>
  <c r="A20" i="88"/>
  <c r="A19" i="88"/>
  <c r="A18" i="88"/>
  <c r="A17" i="88"/>
  <c r="A16" i="88"/>
  <c r="A15" i="88"/>
  <c r="A14" i="88"/>
  <c r="A13" i="88"/>
  <c r="A12" i="88"/>
  <c r="A11" i="88"/>
  <c r="A10" i="88"/>
  <c r="A9" i="88"/>
  <c r="A5" i="88"/>
  <c r="A4" i="88"/>
  <c r="A3" i="88"/>
  <c r="A60" i="78"/>
  <c r="A59" i="78"/>
  <c r="A58" i="78"/>
  <c r="A57" i="78"/>
  <c r="A56" i="78"/>
  <c r="A55" i="78"/>
  <c r="A54" i="78"/>
  <c r="A53" i="78"/>
  <c r="A52" i="78"/>
  <c r="A51" i="78"/>
  <c r="A47" i="78"/>
  <c r="A46" i="78"/>
  <c r="A45" i="78"/>
  <c r="A44" i="78"/>
  <c r="A43" i="78"/>
  <c r="A42" i="78"/>
  <c r="A41" i="78"/>
  <c r="A40" i="78"/>
  <c r="A39" i="78"/>
  <c r="A38" i="78"/>
  <c r="A37" i="78"/>
  <c r="A36" i="78"/>
  <c r="A35" i="78"/>
  <c r="A34" i="78"/>
  <c r="A33" i="78"/>
  <c r="A32" i="78"/>
  <c r="A31" i="78"/>
  <c r="A30" i="78"/>
  <c r="A29" i="78"/>
  <c r="A25" i="78"/>
  <c r="A24" i="78"/>
  <c r="A23" i="78"/>
  <c r="A22" i="78"/>
  <c r="A21" i="78"/>
  <c r="A20" i="78"/>
  <c r="A19" i="78"/>
  <c r="A18" i="78"/>
  <c r="A17" i="78"/>
  <c r="A16" i="78"/>
  <c r="A15" i="78"/>
  <c r="A14" i="78"/>
  <c r="A13" i="78"/>
  <c r="A12" i="78"/>
  <c r="A11" i="78"/>
  <c r="A10" i="78"/>
  <c r="A9" i="78"/>
  <c r="A5" i="78"/>
  <c r="A4" i="78"/>
  <c r="A3" i="78"/>
  <c r="A60" i="116"/>
  <c r="A59" i="116"/>
  <c r="A58" i="116"/>
  <c r="A57" i="116"/>
  <c r="A56" i="116"/>
  <c r="A55" i="116"/>
  <c r="A54" i="116"/>
  <c r="A53" i="116"/>
  <c r="A52" i="116"/>
  <c r="A51" i="116"/>
  <c r="A47" i="116"/>
  <c r="A46" i="116"/>
  <c r="A45" i="116"/>
  <c r="A44" i="116"/>
  <c r="A43" i="116"/>
  <c r="A42" i="116"/>
  <c r="A41" i="116"/>
  <c r="A40" i="116"/>
  <c r="A39" i="116"/>
  <c r="A38" i="116"/>
  <c r="A37" i="116"/>
  <c r="A36" i="116"/>
  <c r="A35" i="116"/>
  <c r="A34" i="116"/>
  <c r="A33" i="116"/>
  <c r="A32" i="116"/>
  <c r="A31" i="116"/>
  <c r="A30" i="116"/>
  <c r="A29" i="116"/>
  <c r="A25" i="116"/>
  <c r="A24" i="116"/>
  <c r="A23" i="116"/>
  <c r="A22" i="116"/>
  <c r="A21" i="116"/>
  <c r="A20" i="116"/>
  <c r="A19" i="116"/>
  <c r="A18" i="116"/>
  <c r="A17" i="116"/>
  <c r="A16" i="116"/>
  <c r="A15" i="116"/>
  <c r="A14" i="116"/>
  <c r="A13" i="116"/>
  <c r="A12" i="116"/>
  <c r="A11" i="116"/>
  <c r="A10" i="116"/>
  <c r="A9" i="116"/>
  <c r="A5" i="116"/>
  <c r="A4" i="116"/>
  <c r="A3" i="116"/>
  <c r="A60" i="104"/>
  <c r="A59" i="104"/>
  <c r="A58" i="104"/>
  <c r="A57" i="104"/>
  <c r="A56" i="104"/>
  <c r="A55" i="104"/>
  <c r="A54" i="104"/>
  <c r="A53" i="104"/>
  <c r="A52" i="104"/>
  <c r="A51" i="104"/>
  <c r="A47" i="104"/>
  <c r="A46" i="104"/>
  <c r="A45" i="104"/>
  <c r="A44" i="104"/>
  <c r="A43" i="104"/>
  <c r="A42" i="104"/>
  <c r="A41" i="104"/>
  <c r="A40" i="104"/>
  <c r="A39" i="104"/>
  <c r="A38" i="104"/>
  <c r="A37" i="104"/>
  <c r="A36" i="104"/>
  <c r="A35" i="104"/>
  <c r="A34" i="104"/>
  <c r="A33" i="104"/>
  <c r="A32" i="104"/>
  <c r="A31" i="104"/>
  <c r="A30" i="104"/>
  <c r="A29" i="104"/>
  <c r="A25" i="104"/>
  <c r="A24" i="104"/>
  <c r="A23" i="104"/>
  <c r="A22" i="104"/>
  <c r="A21" i="104"/>
  <c r="A20" i="104"/>
  <c r="A19" i="104"/>
  <c r="A18" i="104"/>
  <c r="A17" i="104"/>
  <c r="A16" i="104"/>
  <c r="A15" i="104"/>
  <c r="A14" i="104"/>
  <c r="A13" i="104"/>
  <c r="A12" i="104"/>
  <c r="A11" i="104"/>
  <c r="A10" i="104"/>
  <c r="A9" i="104"/>
  <c r="A5" i="104"/>
  <c r="A4" i="104"/>
  <c r="A3" i="104"/>
  <c r="A60" i="115"/>
  <c r="A59" i="115"/>
  <c r="A58" i="115"/>
  <c r="A57" i="115"/>
  <c r="A56" i="115"/>
  <c r="A55" i="115"/>
  <c r="A54" i="115"/>
  <c r="A53" i="115"/>
  <c r="A52" i="115"/>
  <c r="A51" i="115"/>
  <c r="A47" i="115"/>
  <c r="A46" i="115"/>
  <c r="A45" i="115"/>
  <c r="A44" i="115"/>
  <c r="A43" i="115"/>
  <c r="A42" i="115"/>
  <c r="A41" i="115"/>
  <c r="A40" i="115"/>
  <c r="A39" i="115"/>
  <c r="A38" i="115"/>
  <c r="A37" i="115"/>
  <c r="A36" i="115"/>
  <c r="A35" i="115"/>
  <c r="A34" i="115"/>
  <c r="A33" i="115"/>
  <c r="A32" i="115"/>
  <c r="A31" i="115"/>
  <c r="A30" i="115"/>
  <c r="A29" i="115"/>
  <c r="A25" i="115"/>
  <c r="A24" i="115"/>
  <c r="A23" i="115"/>
  <c r="A22" i="115"/>
  <c r="A21" i="115"/>
  <c r="A20" i="115"/>
  <c r="A19" i="115"/>
  <c r="A18" i="115"/>
  <c r="A17" i="115"/>
  <c r="A16" i="115"/>
  <c r="A15" i="115"/>
  <c r="A14" i="115"/>
  <c r="A13" i="115"/>
  <c r="A12" i="115"/>
  <c r="A11" i="115"/>
  <c r="A10" i="115"/>
  <c r="A9" i="115"/>
  <c r="A5" i="115"/>
  <c r="A4" i="115"/>
  <c r="A3" i="115"/>
  <c r="A60" i="114"/>
  <c r="A59" i="114"/>
  <c r="A58" i="114"/>
  <c r="A57" i="114"/>
  <c r="A56" i="114"/>
  <c r="A55" i="114"/>
  <c r="A54" i="114"/>
  <c r="A53" i="114"/>
  <c r="A52" i="114"/>
  <c r="A51" i="114"/>
  <c r="A47" i="114"/>
  <c r="A46" i="114"/>
  <c r="A45" i="114"/>
  <c r="A44" i="114"/>
  <c r="A43" i="114"/>
  <c r="A42" i="114"/>
  <c r="A41" i="114"/>
  <c r="A40" i="114"/>
  <c r="A39" i="114"/>
  <c r="A38" i="114"/>
  <c r="A37" i="114"/>
  <c r="A36" i="114"/>
  <c r="A35" i="114"/>
  <c r="A34" i="114"/>
  <c r="A33" i="114"/>
  <c r="A32" i="114"/>
  <c r="A31" i="114"/>
  <c r="A30" i="114"/>
  <c r="A29" i="114"/>
  <c r="A25" i="114"/>
  <c r="A24" i="114"/>
  <c r="A23" i="114"/>
  <c r="A22" i="114"/>
  <c r="A21" i="114"/>
  <c r="A20" i="114"/>
  <c r="A19" i="114"/>
  <c r="A18" i="114"/>
  <c r="A17" i="114"/>
  <c r="A16" i="114"/>
  <c r="A15" i="114"/>
  <c r="A14" i="114"/>
  <c r="A13" i="114"/>
  <c r="A12" i="114"/>
  <c r="A11" i="114"/>
  <c r="A10" i="114"/>
  <c r="A9" i="114"/>
  <c r="A5" i="114"/>
  <c r="A4" i="114"/>
  <c r="A3" i="114"/>
  <c r="A60" i="113"/>
  <c r="A59" i="113"/>
  <c r="A58" i="113"/>
  <c r="A57" i="113"/>
  <c r="A56" i="113"/>
  <c r="A55" i="113"/>
  <c r="A54" i="113"/>
  <c r="A53" i="113"/>
  <c r="A52" i="113"/>
  <c r="A51" i="113"/>
  <c r="A47" i="113"/>
  <c r="A46" i="113"/>
  <c r="A45" i="113"/>
  <c r="A44" i="113"/>
  <c r="A43" i="113"/>
  <c r="A42" i="113"/>
  <c r="A41" i="113"/>
  <c r="A40" i="113"/>
  <c r="A39" i="113"/>
  <c r="A38" i="113"/>
  <c r="A37" i="113"/>
  <c r="A36" i="113"/>
  <c r="A35" i="113"/>
  <c r="A34" i="113"/>
  <c r="A33" i="113"/>
  <c r="A32" i="113"/>
  <c r="A31" i="113"/>
  <c r="A30" i="113"/>
  <c r="A29" i="113"/>
  <c r="A25" i="113"/>
  <c r="A24" i="113"/>
  <c r="A23" i="113"/>
  <c r="A22" i="113"/>
  <c r="A21" i="113"/>
  <c r="A20" i="113"/>
  <c r="A19" i="113"/>
  <c r="A18" i="113"/>
  <c r="A17" i="113"/>
  <c r="A16" i="113"/>
  <c r="A15" i="113"/>
  <c r="A14" i="113"/>
  <c r="A13" i="113"/>
  <c r="A12" i="113"/>
  <c r="A11" i="113"/>
  <c r="A10" i="113"/>
  <c r="A9" i="113"/>
  <c r="A5" i="113"/>
  <c r="A4" i="113"/>
  <c r="A3" i="113"/>
  <c r="A60" i="112"/>
  <c r="A59" i="112"/>
  <c r="A58" i="112"/>
  <c r="A57" i="112"/>
  <c r="A56" i="112"/>
  <c r="A55" i="112"/>
  <c r="A54" i="112"/>
  <c r="A53" i="112"/>
  <c r="A52" i="112"/>
  <c r="A51" i="112"/>
  <c r="A47" i="112"/>
  <c r="A46" i="112"/>
  <c r="A45" i="112"/>
  <c r="A44" i="112"/>
  <c r="A43" i="112"/>
  <c r="A42" i="112"/>
  <c r="A41" i="112"/>
  <c r="A40" i="112"/>
  <c r="A39" i="112"/>
  <c r="A38" i="112"/>
  <c r="A37" i="112"/>
  <c r="A36" i="112"/>
  <c r="A35" i="112"/>
  <c r="A34" i="112"/>
  <c r="A33" i="112"/>
  <c r="A32" i="112"/>
  <c r="A31" i="112"/>
  <c r="A30" i="112"/>
  <c r="A29" i="112"/>
  <c r="A25" i="112"/>
  <c r="A24" i="112"/>
  <c r="A23" i="112"/>
  <c r="A22" i="112"/>
  <c r="A21" i="112"/>
  <c r="A20" i="112"/>
  <c r="A19" i="112"/>
  <c r="A18" i="112"/>
  <c r="A17" i="112"/>
  <c r="A16" i="112"/>
  <c r="A15" i="112"/>
  <c r="A14" i="112"/>
  <c r="A13" i="112"/>
  <c r="A12" i="112"/>
  <c r="A11" i="112"/>
  <c r="A10" i="112"/>
  <c r="A9" i="112"/>
  <c r="A5" i="112"/>
  <c r="A4" i="112"/>
  <c r="A3" i="112"/>
  <c r="A60" i="97"/>
  <c r="A59" i="97"/>
  <c r="A58" i="97"/>
  <c r="A57" i="97"/>
  <c r="A56" i="97"/>
  <c r="A55" i="97"/>
  <c r="A54" i="97"/>
  <c r="A53" i="97"/>
  <c r="A52" i="97"/>
  <c r="A51" i="97"/>
  <c r="A47" i="97"/>
  <c r="A46" i="97"/>
  <c r="A45" i="97"/>
  <c r="A44" i="97"/>
  <c r="A43" i="97"/>
  <c r="A42" i="97"/>
  <c r="A41" i="97"/>
  <c r="A40" i="97"/>
  <c r="A39" i="97"/>
  <c r="A38" i="97"/>
  <c r="A37" i="97"/>
  <c r="A36" i="97"/>
  <c r="A35" i="97"/>
  <c r="A34" i="97"/>
  <c r="A33" i="97"/>
  <c r="A32" i="97"/>
  <c r="A31" i="97"/>
  <c r="A30" i="97"/>
  <c r="A29" i="97"/>
  <c r="A25" i="97"/>
  <c r="A24" i="97"/>
  <c r="A23" i="97"/>
  <c r="A22" i="97"/>
  <c r="A21" i="97"/>
  <c r="A20" i="97"/>
  <c r="A19" i="97"/>
  <c r="A18" i="97"/>
  <c r="A17" i="97"/>
  <c r="A16" i="97"/>
  <c r="A15" i="97"/>
  <c r="A14" i="97"/>
  <c r="A13" i="97"/>
  <c r="A12" i="97"/>
  <c r="A11" i="97"/>
  <c r="A10" i="97"/>
  <c r="A9" i="97"/>
  <c r="A5" i="97"/>
  <c r="A4" i="97"/>
  <c r="A3" i="97"/>
  <c r="A60" i="100"/>
  <c r="A59" i="100"/>
  <c r="A58" i="100"/>
  <c r="A57" i="100"/>
  <c r="A56" i="100"/>
  <c r="A55" i="100"/>
  <c r="A54" i="100"/>
  <c r="A53" i="100"/>
  <c r="A52" i="100"/>
  <c r="A51" i="100"/>
  <c r="A47" i="100"/>
  <c r="A46" i="100"/>
  <c r="A45" i="100"/>
  <c r="A44" i="100"/>
  <c r="A43" i="100"/>
  <c r="A42" i="100"/>
  <c r="A41" i="100"/>
  <c r="A40" i="100"/>
  <c r="A39" i="100"/>
  <c r="A38" i="100"/>
  <c r="A37" i="100"/>
  <c r="A36" i="100"/>
  <c r="A35" i="100"/>
  <c r="A34" i="100"/>
  <c r="A33" i="100"/>
  <c r="A32" i="100"/>
  <c r="A31" i="100"/>
  <c r="A30" i="100"/>
  <c r="A29" i="100"/>
  <c r="A25" i="100"/>
  <c r="A24" i="100"/>
  <c r="A23" i="100"/>
  <c r="A22" i="100"/>
  <c r="A21" i="100"/>
  <c r="A20" i="100"/>
  <c r="A19" i="100"/>
  <c r="A18" i="100"/>
  <c r="A17" i="100"/>
  <c r="A16" i="100"/>
  <c r="A15" i="100"/>
  <c r="A14" i="100"/>
  <c r="A13" i="100"/>
  <c r="A12" i="100"/>
  <c r="A11" i="100"/>
  <c r="A10" i="100"/>
  <c r="A9" i="100"/>
  <c r="A5" i="100"/>
  <c r="A4" i="100"/>
  <c r="A3" i="100"/>
  <c r="A60" i="89"/>
  <c r="A59" i="89"/>
  <c r="A58" i="89"/>
  <c r="A57" i="89"/>
  <c r="A56" i="89"/>
  <c r="A55" i="89"/>
  <c r="A54" i="89"/>
  <c r="A53" i="89"/>
  <c r="A52" i="89"/>
  <c r="A51" i="89"/>
  <c r="A47" i="89"/>
  <c r="A46" i="89"/>
  <c r="A45" i="89"/>
  <c r="A44" i="89"/>
  <c r="A43" i="89"/>
  <c r="A42" i="89"/>
  <c r="A41" i="89"/>
  <c r="A40" i="89"/>
  <c r="A39" i="89"/>
  <c r="A38" i="89"/>
  <c r="A37" i="89"/>
  <c r="A36" i="89"/>
  <c r="A35" i="89"/>
  <c r="A34" i="89"/>
  <c r="A33" i="89"/>
  <c r="A32" i="89"/>
  <c r="A31" i="89"/>
  <c r="A30" i="89"/>
  <c r="A29" i="89"/>
  <c r="A25" i="89"/>
  <c r="A24" i="89"/>
  <c r="A23" i="89"/>
  <c r="A22" i="89"/>
  <c r="A21" i="89"/>
  <c r="A20" i="89"/>
  <c r="A19" i="89"/>
  <c r="A18" i="89"/>
  <c r="A17" i="89"/>
  <c r="A16" i="89"/>
  <c r="A15" i="89"/>
  <c r="A14" i="89"/>
  <c r="A13" i="89"/>
  <c r="A12" i="89"/>
  <c r="A11" i="89"/>
  <c r="A10" i="89"/>
  <c r="A9" i="89"/>
  <c r="A5" i="89"/>
  <c r="A4" i="89"/>
  <c r="A3" i="89"/>
  <c r="A60" i="76"/>
  <c r="A59" i="76"/>
  <c r="A58" i="76"/>
  <c r="A57" i="76"/>
  <c r="A56" i="76"/>
  <c r="A55" i="76"/>
  <c r="A54" i="76"/>
  <c r="A53" i="76"/>
  <c r="A52" i="76"/>
  <c r="A51" i="76"/>
  <c r="A47" i="76"/>
  <c r="A46" i="76"/>
  <c r="A45" i="76"/>
  <c r="A44" i="76"/>
  <c r="A43" i="76"/>
  <c r="A42" i="76"/>
  <c r="A41" i="76"/>
  <c r="A40" i="76"/>
  <c r="A39" i="76"/>
  <c r="A38" i="76"/>
  <c r="A37" i="76"/>
  <c r="A36" i="76"/>
  <c r="A35" i="76"/>
  <c r="A34" i="76"/>
  <c r="A33" i="76"/>
  <c r="A32" i="76"/>
  <c r="A31" i="76"/>
  <c r="A30" i="76"/>
  <c r="A29" i="76"/>
  <c r="A25" i="76"/>
  <c r="A24" i="76"/>
  <c r="A23" i="76"/>
  <c r="A22" i="76"/>
  <c r="A21" i="76"/>
  <c r="A20" i="76"/>
  <c r="A19" i="76"/>
  <c r="A18" i="76"/>
  <c r="A17" i="76"/>
  <c r="A16" i="76"/>
  <c r="A15" i="76"/>
  <c r="A14" i="76"/>
  <c r="A13" i="76"/>
  <c r="A12" i="76"/>
  <c r="A11" i="76"/>
  <c r="A10" i="76"/>
  <c r="A9" i="76"/>
  <c r="A5" i="76"/>
  <c r="A4" i="76"/>
  <c r="A3" i="76"/>
  <c r="A60" i="107"/>
  <c r="A59" i="107"/>
  <c r="A58" i="107"/>
  <c r="A57" i="107"/>
  <c r="A56" i="107"/>
  <c r="A55" i="107"/>
  <c r="A54" i="107"/>
  <c r="A53" i="107"/>
  <c r="A52" i="107"/>
  <c r="A51" i="107"/>
  <c r="A47" i="107"/>
  <c r="A46" i="107"/>
  <c r="A45" i="107"/>
  <c r="A44" i="107"/>
  <c r="A43" i="107"/>
  <c r="A42" i="107"/>
  <c r="A41" i="107"/>
  <c r="A40" i="107"/>
  <c r="A39" i="107"/>
  <c r="A38" i="107"/>
  <c r="A37" i="107"/>
  <c r="A36" i="107"/>
  <c r="A35" i="107"/>
  <c r="A34" i="107"/>
  <c r="A33" i="107"/>
  <c r="A32" i="107"/>
  <c r="A31" i="107"/>
  <c r="A30" i="107"/>
  <c r="A29" i="107"/>
  <c r="A25" i="107"/>
  <c r="A24" i="107"/>
  <c r="A23" i="107"/>
  <c r="A22" i="107"/>
  <c r="A21" i="107"/>
  <c r="A20" i="107"/>
  <c r="A19" i="107"/>
  <c r="A18" i="107"/>
  <c r="A17" i="107"/>
  <c r="A16" i="107"/>
  <c r="A15" i="107"/>
  <c r="A14" i="107"/>
  <c r="A13" i="107"/>
  <c r="A12" i="107"/>
  <c r="A11" i="107"/>
  <c r="A10" i="107"/>
  <c r="A9" i="107"/>
  <c r="A5" i="107"/>
  <c r="A4" i="107"/>
  <c r="A3" i="107"/>
  <c r="A60" i="111"/>
  <c r="A59" i="111"/>
  <c r="A58" i="111"/>
  <c r="A57" i="111"/>
  <c r="A56" i="111"/>
  <c r="A55" i="111"/>
  <c r="A54" i="111"/>
  <c r="A53" i="111"/>
  <c r="A52" i="111"/>
  <c r="A51" i="111"/>
  <c r="A47" i="111"/>
  <c r="A46" i="111"/>
  <c r="A45" i="111"/>
  <c r="A44" i="111"/>
  <c r="A43" i="111"/>
  <c r="A42" i="111"/>
  <c r="A41" i="111"/>
  <c r="A40" i="111"/>
  <c r="A39" i="111"/>
  <c r="A38" i="111"/>
  <c r="A37" i="111"/>
  <c r="A36" i="111"/>
  <c r="A35" i="111"/>
  <c r="A34" i="111"/>
  <c r="A33" i="111"/>
  <c r="A32" i="111"/>
  <c r="A31" i="111"/>
  <c r="A30" i="111"/>
  <c r="A29" i="111"/>
  <c r="A25" i="111"/>
  <c r="A24" i="111"/>
  <c r="A23" i="111"/>
  <c r="A22" i="111"/>
  <c r="A21" i="111"/>
  <c r="A20" i="111"/>
  <c r="A19" i="111"/>
  <c r="A18" i="111"/>
  <c r="A17" i="111"/>
  <c r="A16" i="111"/>
  <c r="A15" i="111"/>
  <c r="A14" i="111"/>
  <c r="A13" i="111"/>
  <c r="A12" i="111"/>
  <c r="A11" i="111"/>
  <c r="A10" i="111"/>
  <c r="A9" i="111"/>
  <c r="A5" i="111"/>
  <c r="A4" i="111"/>
  <c r="A3" i="111"/>
  <c r="A60" i="77"/>
  <c r="A59" i="77"/>
  <c r="A58" i="77"/>
  <c r="A57" i="77"/>
  <c r="A56" i="77"/>
  <c r="A55" i="77"/>
  <c r="A54" i="77"/>
  <c r="A53" i="77"/>
  <c r="A52" i="77"/>
  <c r="A51" i="77"/>
  <c r="A47" i="77"/>
  <c r="A46" i="77"/>
  <c r="A45" i="77"/>
  <c r="A44" i="77"/>
  <c r="A43" i="77"/>
  <c r="A42" i="77"/>
  <c r="A41" i="77"/>
  <c r="A40" i="77"/>
  <c r="A39" i="77"/>
  <c r="A38" i="77"/>
  <c r="A37" i="77"/>
  <c r="A36" i="77"/>
  <c r="A35" i="77"/>
  <c r="A34" i="77"/>
  <c r="A33" i="77"/>
  <c r="A32" i="77"/>
  <c r="A31" i="77"/>
  <c r="A30" i="77"/>
  <c r="A29" i="77"/>
  <c r="A25" i="77"/>
  <c r="A24" i="77"/>
  <c r="A23" i="77"/>
  <c r="A22" i="77"/>
  <c r="A21" i="77"/>
  <c r="A20" i="77"/>
  <c r="A19" i="77"/>
  <c r="A18" i="77"/>
  <c r="A17" i="77"/>
  <c r="A16" i="77"/>
  <c r="A15" i="77"/>
  <c r="A14" i="77"/>
  <c r="A13" i="77"/>
  <c r="A12" i="77"/>
  <c r="A11" i="77"/>
  <c r="A10" i="77"/>
  <c r="A9" i="77"/>
  <c r="A5" i="77"/>
  <c r="A4" i="77"/>
  <c r="A3" i="77"/>
  <c r="A60" i="82"/>
  <c r="A59" i="82"/>
  <c r="A58" i="82"/>
  <c r="A57" i="82"/>
  <c r="A56" i="82"/>
  <c r="A55" i="82"/>
  <c r="A54" i="82"/>
  <c r="A53" i="82"/>
  <c r="A52" i="82"/>
  <c r="A51" i="82"/>
  <c r="A47" i="82"/>
  <c r="A46" i="82"/>
  <c r="A45" i="82"/>
  <c r="A44" i="82"/>
  <c r="A43" i="82"/>
  <c r="A42" i="82"/>
  <c r="A41" i="82"/>
  <c r="A40" i="82"/>
  <c r="A39" i="82"/>
  <c r="A38" i="82"/>
  <c r="A37" i="82"/>
  <c r="A36" i="82"/>
  <c r="A35" i="82"/>
  <c r="A34" i="82"/>
  <c r="A33" i="82"/>
  <c r="A32" i="82"/>
  <c r="A31" i="82"/>
  <c r="A30" i="82"/>
  <c r="A29" i="82"/>
  <c r="A25" i="82"/>
  <c r="A24" i="82"/>
  <c r="A23" i="82"/>
  <c r="A22" i="82"/>
  <c r="A21" i="82"/>
  <c r="A20" i="82"/>
  <c r="A19" i="82"/>
  <c r="A18" i="82"/>
  <c r="A17" i="82"/>
  <c r="A16" i="82"/>
  <c r="A15" i="82"/>
  <c r="A14" i="82"/>
  <c r="A13" i="82"/>
  <c r="A12" i="82"/>
  <c r="A11" i="82"/>
  <c r="A10" i="82"/>
  <c r="A9" i="82"/>
  <c r="A5" i="82"/>
  <c r="A4" i="82"/>
  <c r="A3" i="82"/>
  <c r="A60" i="75"/>
  <c r="A59" i="75"/>
  <c r="A58" i="75"/>
  <c r="A57" i="75"/>
  <c r="A56" i="75"/>
  <c r="A55" i="75"/>
  <c r="A54" i="75"/>
  <c r="A53" i="75"/>
  <c r="A52" i="75"/>
  <c r="A51" i="75"/>
  <c r="A47" i="75"/>
  <c r="A46" i="75"/>
  <c r="A45" i="75"/>
  <c r="A44" i="75"/>
  <c r="A43" i="75"/>
  <c r="A42" i="75"/>
  <c r="A41" i="75"/>
  <c r="A40" i="75"/>
  <c r="A39" i="75"/>
  <c r="A38" i="75"/>
  <c r="A37" i="75"/>
  <c r="A36" i="75"/>
  <c r="A35" i="75"/>
  <c r="A34" i="75"/>
  <c r="A33" i="75"/>
  <c r="A32" i="75"/>
  <c r="A31" i="75"/>
  <c r="A30" i="75"/>
  <c r="A29" i="75"/>
  <c r="A25" i="75"/>
  <c r="A24" i="75"/>
  <c r="A23" i="75"/>
  <c r="A22" i="75"/>
  <c r="A21" i="75"/>
  <c r="A20" i="75"/>
  <c r="A19" i="75"/>
  <c r="A18" i="75"/>
  <c r="A17" i="75"/>
  <c r="A16" i="75"/>
  <c r="A15" i="75"/>
  <c r="A14" i="75"/>
  <c r="A13" i="75"/>
  <c r="A12" i="75"/>
  <c r="A11" i="75"/>
  <c r="A10" i="75"/>
  <c r="A9" i="75"/>
  <c r="A5" i="75"/>
  <c r="A4" i="75"/>
  <c r="A3" i="75"/>
  <c r="A60" i="72"/>
  <c r="A59" i="72"/>
  <c r="A58" i="72"/>
  <c r="A57" i="72"/>
  <c r="A56" i="72"/>
  <c r="A55" i="72"/>
  <c r="A54" i="72"/>
  <c r="A53" i="72"/>
  <c r="A52" i="72"/>
  <c r="A51" i="72"/>
  <c r="A47" i="72"/>
  <c r="A46" i="72"/>
  <c r="A45" i="72"/>
  <c r="A44" i="72"/>
  <c r="A43" i="72"/>
  <c r="A42" i="72"/>
  <c r="A41" i="72"/>
  <c r="A40" i="72"/>
  <c r="A39" i="72"/>
  <c r="A38" i="72"/>
  <c r="A37" i="72"/>
  <c r="A36" i="72"/>
  <c r="A35" i="72"/>
  <c r="A34" i="72"/>
  <c r="A33" i="72"/>
  <c r="A32" i="72"/>
  <c r="A31" i="72"/>
  <c r="A30" i="72"/>
  <c r="A29" i="72"/>
  <c r="A25" i="72"/>
  <c r="A24" i="72"/>
  <c r="A23" i="72"/>
  <c r="A22" i="72"/>
  <c r="A21" i="72"/>
  <c r="A20" i="72"/>
  <c r="A19" i="72"/>
  <c r="A18" i="72"/>
  <c r="A17" i="72"/>
  <c r="A16" i="72"/>
  <c r="A15" i="72"/>
  <c r="A14" i="72"/>
  <c r="A13" i="72"/>
  <c r="A12" i="72"/>
  <c r="A11" i="72"/>
  <c r="A10" i="72"/>
  <c r="A9" i="72"/>
  <c r="A5" i="72"/>
  <c r="A4" i="72"/>
  <c r="A3" i="72"/>
  <c r="A60" i="81"/>
  <c r="A59" i="81"/>
  <c r="A58" i="81"/>
  <c r="A57" i="81"/>
  <c r="A56" i="81"/>
  <c r="A55" i="81"/>
  <c r="A54" i="81"/>
  <c r="A53" i="81"/>
  <c r="A52" i="81"/>
  <c r="A51" i="81"/>
  <c r="A47" i="81"/>
  <c r="A46" i="81"/>
  <c r="A45" i="81"/>
  <c r="A44" i="81"/>
  <c r="A43" i="81"/>
  <c r="A42" i="81"/>
  <c r="A41" i="81"/>
  <c r="A40" i="81"/>
  <c r="A39" i="81"/>
  <c r="A38" i="81"/>
  <c r="A37" i="81"/>
  <c r="A36" i="81"/>
  <c r="A35" i="81"/>
  <c r="A34" i="81"/>
  <c r="A33" i="81"/>
  <c r="A32" i="81"/>
  <c r="A31" i="81"/>
  <c r="A30" i="81"/>
  <c r="A29" i="81"/>
  <c r="A25" i="81"/>
  <c r="A24" i="81"/>
  <c r="A23" i="81"/>
  <c r="A22" i="81"/>
  <c r="A21" i="81"/>
  <c r="A20" i="81"/>
  <c r="A19" i="81"/>
  <c r="A18" i="81"/>
  <c r="A17" i="81"/>
  <c r="A16" i="81"/>
  <c r="A15" i="81"/>
  <c r="A14" i="81"/>
  <c r="A13" i="81"/>
  <c r="A12" i="81"/>
  <c r="A11" i="81"/>
  <c r="A10" i="81"/>
  <c r="A9" i="81"/>
  <c r="A5" i="81"/>
  <c r="A4" i="81"/>
  <c r="A3" i="81"/>
  <c r="A60" i="13"/>
  <c r="A59" i="13"/>
  <c r="A58" i="13"/>
  <c r="A57" i="13"/>
  <c r="A56" i="13"/>
  <c r="A55" i="13"/>
  <c r="A54" i="13"/>
  <c r="A53" i="13"/>
  <c r="A52" i="13"/>
  <c r="A51" i="13"/>
  <c r="A47" i="13"/>
  <c r="A46" i="13"/>
  <c r="A45" i="13"/>
  <c r="A44" i="13"/>
  <c r="A43" i="13"/>
  <c r="A42" i="13"/>
  <c r="A41" i="13"/>
  <c r="A40" i="13"/>
  <c r="A39" i="13"/>
  <c r="A38" i="13"/>
  <c r="A37" i="13"/>
  <c r="A36" i="13"/>
  <c r="A35" i="13"/>
  <c r="A34" i="13"/>
  <c r="A33" i="13"/>
  <c r="A32" i="13"/>
  <c r="A31" i="13"/>
  <c r="A30" i="13"/>
  <c r="A29" i="13"/>
  <c r="A25" i="13"/>
  <c r="A24" i="13"/>
  <c r="A23" i="13"/>
  <c r="A22" i="13"/>
  <c r="A21" i="13"/>
  <c r="A20" i="13"/>
  <c r="A19" i="13"/>
  <c r="A18" i="13"/>
  <c r="A17" i="13"/>
  <c r="A16" i="13"/>
  <c r="A15" i="13"/>
  <c r="A14" i="13"/>
  <c r="A13" i="13"/>
  <c r="A12" i="13"/>
  <c r="A11" i="13"/>
  <c r="A10" i="13"/>
  <c r="A9" i="13"/>
  <c r="A5" i="13"/>
  <c r="A4" i="13"/>
  <c r="A3" i="13"/>
  <c r="A60" i="71"/>
  <c r="A59" i="71"/>
  <c r="A58" i="71"/>
  <c r="A57" i="71"/>
  <c r="A56" i="71"/>
  <c r="A55" i="71"/>
  <c r="A54" i="71"/>
  <c r="A53" i="71"/>
  <c r="A52" i="71"/>
  <c r="A51" i="71"/>
  <c r="A47" i="71"/>
  <c r="A46" i="71"/>
  <c r="A45" i="71"/>
  <c r="A44" i="71"/>
  <c r="A43" i="71"/>
  <c r="A42" i="71"/>
  <c r="A41" i="71"/>
  <c r="A40" i="71"/>
  <c r="A39" i="71"/>
  <c r="A38" i="71"/>
  <c r="A37" i="71"/>
  <c r="A36" i="71"/>
  <c r="A35" i="71"/>
  <c r="A34" i="71"/>
  <c r="A33" i="71"/>
  <c r="A32" i="71"/>
  <c r="A31" i="71"/>
  <c r="A30" i="71"/>
  <c r="A29" i="71"/>
  <c r="A25" i="71"/>
  <c r="A24" i="71"/>
  <c r="A23" i="71"/>
  <c r="A22" i="71"/>
  <c r="A21" i="71"/>
  <c r="A20" i="71"/>
  <c r="A19" i="71"/>
  <c r="A18" i="71"/>
  <c r="A17" i="71"/>
  <c r="A16" i="71"/>
  <c r="A15" i="71"/>
  <c r="A14" i="71"/>
  <c r="A13" i="71"/>
  <c r="A12" i="71"/>
  <c r="A11" i="71"/>
  <c r="A10" i="71"/>
  <c r="A9" i="71"/>
  <c r="A5" i="71"/>
  <c r="A4" i="71"/>
  <c r="A3" i="71"/>
  <c r="F642" i="117" a="1"/>
  <c r="F642" i="117" s="1"/>
  <c r="E642" i="117" a="1"/>
  <c r="E642" i="117" s="1"/>
  <c r="D642" i="117" a="1"/>
  <c r="D642" i="117" s="1"/>
  <c r="F624" i="117" a="1"/>
  <c r="F624" i="117" s="1"/>
  <c r="E624" i="117" a="1"/>
  <c r="E624" i="117" s="1"/>
  <c r="D624" i="117" a="1"/>
  <c r="D624" i="117" s="1"/>
  <c r="F505" i="117" a="1"/>
  <c r="F505" i="117" s="1"/>
  <c r="E505" i="117" a="1"/>
  <c r="E505" i="117" s="1"/>
  <c r="D505" i="117" a="1"/>
  <c r="D505" i="117" s="1"/>
  <c r="F463" i="117" a="1"/>
  <c r="F463" i="117" s="1"/>
  <c r="E463" i="117" a="1"/>
  <c r="E463" i="117" s="1"/>
  <c r="D463" i="117" a="1"/>
  <c r="D463" i="117" s="1"/>
  <c r="F445" i="117" a="1"/>
  <c r="F445" i="117" s="1"/>
  <c r="E445" i="117" a="1"/>
  <c r="E445" i="117" s="1"/>
  <c r="D445" i="117" a="1"/>
  <c r="D445" i="117" s="1"/>
  <c r="G351" i="117" a="1"/>
  <c r="G351" i="117" s="1"/>
  <c r="L351" i="117" s="1"/>
  <c r="F351" i="117" a="1"/>
  <c r="F351" i="117" s="1"/>
  <c r="E351" i="117" a="1"/>
  <c r="E351" i="117" s="1"/>
  <c r="D351" i="117" a="1"/>
  <c r="D351" i="117" s="1"/>
  <c r="AD252" i="117" a="1"/>
  <c r="AD252" i="117" s="1"/>
  <c r="AC252" i="117" a="1"/>
  <c r="AC252" i="117" s="1"/>
  <c r="Z252" i="117" a="1"/>
  <c r="Z252" i="117" s="1"/>
  <c r="Y252" i="117" a="1"/>
  <c r="Y252" i="117" s="1"/>
  <c r="V252" i="117" a="1"/>
  <c r="V252" i="117" s="1"/>
  <c r="U252" i="117" a="1"/>
  <c r="U252" i="117" s="1"/>
  <c r="R252" i="117" a="1"/>
  <c r="R252" i="117" s="1"/>
  <c r="Q252" i="117" a="1"/>
  <c r="Q252" i="117" s="1"/>
  <c r="P252" i="117" a="1"/>
  <c r="P252" i="117" s="1"/>
  <c r="O252" i="117" a="1"/>
  <c r="O252" i="117" s="1"/>
  <c r="D252" i="117" a="1"/>
  <c r="D252" i="117" s="1"/>
  <c r="D236" i="117" a="1"/>
  <c r="D236" i="117" s="1"/>
  <c r="AA120" i="117" a="1"/>
  <c r="AA120" i="117" s="1"/>
  <c r="Z120" i="117" a="1"/>
  <c r="Z120" i="117" s="1"/>
  <c r="Y120" i="117" a="1"/>
  <c r="Y120" i="117" s="1"/>
  <c r="W120" i="117" a="1"/>
  <c r="W120" i="117" s="1"/>
  <c r="V120" i="117" a="1"/>
  <c r="V120" i="117" s="1"/>
  <c r="U120" i="117" a="1"/>
  <c r="U120" i="117" s="1"/>
  <c r="S120" i="117" a="1"/>
  <c r="S120" i="117" s="1"/>
  <c r="R120" i="117" a="1"/>
  <c r="R120" i="117" s="1"/>
  <c r="Q120" i="117" a="1"/>
  <c r="Q120" i="117" s="1"/>
  <c r="O120" i="117" a="1"/>
  <c r="O120" i="117" s="1"/>
  <c r="N120" i="117" a="1"/>
  <c r="N120" i="117" s="1"/>
  <c r="M120" i="117" a="1"/>
  <c r="M120" i="117" s="1"/>
  <c r="E120" i="117" a="1"/>
  <c r="E120" i="117" s="1"/>
  <c r="D120" i="117" a="1"/>
  <c r="D120" i="117" s="1"/>
  <c r="K23" i="117" a="1"/>
  <c r="K23" i="117" s="1"/>
  <c r="G23" i="117" a="1"/>
  <c r="G23" i="117" s="1"/>
  <c r="F23" i="117" a="1"/>
  <c r="F23" i="117" s="1"/>
  <c r="E23" i="117" a="1"/>
  <c r="E23" i="117" s="1"/>
  <c r="D23" i="117" a="1"/>
  <c r="D23" i="117" s="1"/>
  <c r="D32" i="102"/>
  <c r="D25" i="102"/>
  <c r="F39" i="101"/>
  <c r="M39" i="101" s="1" a="1"/>
  <c r="M39" i="101" s="1"/>
  <c r="D37" i="101"/>
  <c r="D34" i="101"/>
  <c r="D33" i="101"/>
  <c r="D25" i="101"/>
  <c r="D75" i="95"/>
  <c r="D74" i="95"/>
  <c r="D73" i="95"/>
  <c r="D72" i="95"/>
  <c r="D71" i="95"/>
  <c r="D70" i="95"/>
  <c r="D69" i="95"/>
  <c r="D68" i="95"/>
  <c r="D134" i="94" a="1"/>
  <c r="D134" i="94" s="1"/>
  <c r="D102" i="94" a="1"/>
  <c r="D102" i="94" s="1"/>
  <c r="G25" i="93" a="1"/>
  <c r="G25" i="93" s="1"/>
  <c r="F25" i="93" a="1"/>
  <c r="F25" i="93" s="1"/>
  <c r="D25" i="93" a="1"/>
  <c r="D25" i="93" s="1"/>
  <c r="H20" i="92" a="1"/>
  <c r="H20" i="92" s="1"/>
  <c r="E20" i="92" a="1"/>
  <c r="E20" i="92" s="1"/>
  <c r="D20" i="92" a="1"/>
  <c r="D20" i="92" s="1"/>
  <c r="D65" i="95" s="1"/>
  <c r="N21" i="90" a="1"/>
  <c r="N21" i="90" s="1"/>
  <c r="N11" i="90" a="1"/>
  <c r="N11" i="90" s="1"/>
  <c r="I148" i="84"/>
  <c r="G87" i="84"/>
  <c r="F87" i="84"/>
  <c r="E87" i="84"/>
  <c r="D87" i="84"/>
  <c r="W274" i="83"/>
  <c r="W273" i="83"/>
  <c r="W272" i="83"/>
  <c r="W271" i="83"/>
  <c r="W270" i="83"/>
  <c r="W269" i="83"/>
  <c r="W268" i="83"/>
  <c r="W267" i="83"/>
  <c r="W266" i="83"/>
  <c r="W265" i="83"/>
  <c r="W264" i="83"/>
  <c r="W263" i="83"/>
  <c r="W262" i="83"/>
  <c r="W261" i="83"/>
  <c r="W260" i="83"/>
  <c r="W259" i="83"/>
  <c r="W258" i="83"/>
  <c r="W257" i="83"/>
  <c r="W256" i="83"/>
  <c r="W255" i="83"/>
  <c r="W254" i="83"/>
  <c r="W253" i="83"/>
  <c r="W252" i="83"/>
  <c r="W251" i="83"/>
  <c r="D242" i="83"/>
  <c r="D241" i="83"/>
  <c r="D240" i="83"/>
  <c r="D239" i="83"/>
  <c r="D238" i="83"/>
  <c r="D237" i="83"/>
  <c r="D236" i="83"/>
  <c r="D235" i="83"/>
  <c r="W200" i="83"/>
  <c r="W199" i="83"/>
  <c r="W198" i="83"/>
  <c r="W197" i="83"/>
  <c r="W196" i="83"/>
  <c r="W195" i="83"/>
  <c r="W194" i="83"/>
  <c r="W193" i="83"/>
  <c r="W192" i="83"/>
  <c r="W191" i="83"/>
  <c r="W190" i="83"/>
  <c r="W189" i="83"/>
  <c r="W188" i="83"/>
  <c r="W187" i="83"/>
  <c r="W186" i="83"/>
  <c r="W185" i="83"/>
  <c r="W184" i="83"/>
  <c r="D184" i="83"/>
  <c r="W183" i="83"/>
  <c r="D183" i="83"/>
  <c r="W182" i="83"/>
  <c r="D182" i="83"/>
  <c r="W181" i="83"/>
  <c r="D181" i="83"/>
  <c r="W180" i="83"/>
  <c r="D180" i="83"/>
  <c r="W179" i="83"/>
  <c r="D179" i="83"/>
  <c r="W178" i="83"/>
  <c r="D178" i="83"/>
  <c r="W177" i="83"/>
  <c r="D177" i="83"/>
  <c r="W172" i="83"/>
  <c r="D172" i="83"/>
  <c r="W171" i="83"/>
  <c r="D171" i="83"/>
  <c r="D166" i="83"/>
  <c r="D165" i="83"/>
  <c r="F33" i="83"/>
  <c r="E33" i="83"/>
  <c r="F32" i="83"/>
  <c r="E32" i="83"/>
  <c r="F31" i="83"/>
  <c r="E31" i="83"/>
  <c r="F30" i="83"/>
  <c r="E30" i="83"/>
  <c r="H25" i="83"/>
  <c r="G25" i="83"/>
  <c r="F25" i="83"/>
  <c r="E25" i="83"/>
  <c r="H24" i="83"/>
  <c r="G24" i="83"/>
  <c r="F24" i="83"/>
  <c r="E24" i="83"/>
  <c r="H23" i="83"/>
  <c r="G23" i="83"/>
  <c r="F23" i="83"/>
  <c r="E23" i="83"/>
  <c r="H22" i="83"/>
  <c r="G22" i="83"/>
  <c r="F22" i="83"/>
  <c r="E22" i="83"/>
  <c r="U23" i="88"/>
  <c r="G21" i="88"/>
  <c r="F21" i="88"/>
  <c r="E21" i="88"/>
  <c r="D21" i="88"/>
  <c r="J21" i="100" a="1"/>
  <c r="J21" i="100" s="1"/>
  <c r="G21" i="100" a="1"/>
  <c r="G21" i="100" s="1"/>
  <c r="J20" i="100" a="1"/>
  <c r="J20" i="100" s="1"/>
  <c r="G20" i="100" a="1"/>
  <c r="G20" i="100" s="1"/>
  <c r="J19" i="100" a="1"/>
  <c r="J19" i="100" s="1"/>
  <c r="G19" i="100" a="1"/>
  <c r="G19" i="100" s="1"/>
  <c r="J18" i="100" a="1"/>
  <c r="J18" i="100" s="1"/>
  <c r="G18" i="100" a="1"/>
  <c r="G18" i="100" s="1"/>
  <c r="J17" i="100" a="1"/>
  <c r="J17" i="100" s="1"/>
  <c r="G17" i="100" a="1"/>
  <c r="G17" i="100" s="1"/>
  <c r="J16" i="111" a="1"/>
  <c r="J16" i="111" s="1"/>
  <c r="J15" i="111" a="1"/>
  <c r="J15" i="111" s="1"/>
  <c r="J14" i="111" a="1"/>
  <c r="J14" i="111" s="1"/>
  <c r="J13" i="111" a="1"/>
  <c r="J13" i="111" s="1"/>
  <c r="J12" i="111" a="1"/>
  <c r="J12" i="111" s="1"/>
  <c r="J11" i="111" a="1"/>
  <c r="J11" i="111" s="1"/>
  <c r="J10" i="111" a="1"/>
  <c r="J10" i="111" s="1"/>
  <c r="J9" i="111" a="1"/>
  <c r="J9" i="111" s="1"/>
  <c r="M243" i="119"/>
  <c r="L243" i="119"/>
  <c r="M242" i="119"/>
  <c r="D27" i="113"/>
  <c r="D485" i="117" s="1"/>
  <c r="D26" i="113"/>
  <c r="D484" i="117" s="1"/>
  <c r="F484" i="117" s="1" a="1"/>
  <c r="F484" i="117" s="1"/>
  <c r="I484" i="117" s="1"/>
  <c r="D25" i="113"/>
  <c r="D483" i="117" s="1"/>
  <c r="D24" i="113"/>
  <c r="D482" i="117" s="1"/>
  <c r="D23" i="113"/>
  <c r="D481" i="117" s="1"/>
  <c r="D48" i="114"/>
  <c r="D495" i="117" s="1"/>
  <c r="D7" i="114" a="1"/>
  <c r="D12" i="114" a="1"/>
  <c r="P158" i="119"/>
  <c r="O158" i="119"/>
  <c r="Q157" i="119" s="1"/>
  <c r="M157" i="119"/>
  <c r="L157" i="119"/>
  <c r="N156" i="119" s="1"/>
  <c r="P156" i="119"/>
  <c r="O156" i="119"/>
  <c r="Q155" i="119" s="1"/>
  <c r="M155" i="119"/>
  <c r="L155" i="119"/>
  <c r="N154" i="119" s="1"/>
  <c r="P154" i="119"/>
  <c r="O154" i="119"/>
  <c r="Q153" i="119" s="1"/>
  <c r="M153" i="119"/>
  <c r="L153" i="119"/>
  <c r="N152" i="119" s="1"/>
  <c r="P152" i="119"/>
  <c r="O152" i="119"/>
  <c r="Q151" i="119" s="1"/>
  <c r="M151" i="119"/>
  <c r="L151" i="119"/>
  <c r="N150" i="119" s="1"/>
  <c r="P150" i="119"/>
  <c r="O150" i="119"/>
  <c r="P149" i="119"/>
  <c r="O149" i="119"/>
  <c r="P148" i="119"/>
  <c r="O148" i="119"/>
  <c r="P147" i="119"/>
  <c r="O147" i="119"/>
  <c r="P146" i="119"/>
  <c r="O146" i="119"/>
  <c r="P145" i="119"/>
  <c r="O145" i="119"/>
  <c r="P144" i="119"/>
  <c r="O144" i="119"/>
  <c r="Q143" i="119" s="1"/>
  <c r="M143" i="119"/>
  <c r="L143" i="119"/>
  <c r="M142" i="119"/>
  <c r="L142" i="119"/>
  <c r="M141" i="119"/>
  <c r="L141" i="119"/>
  <c r="M140" i="119"/>
  <c r="L140" i="119"/>
  <c r="M139" i="119"/>
  <c r="L139" i="119"/>
  <c r="M138" i="119"/>
  <c r="L138" i="119"/>
  <c r="N137" i="119" s="1"/>
  <c r="P137" i="119"/>
  <c r="O137" i="119"/>
  <c r="P136" i="119"/>
  <c r="O136" i="119"/>
  <c r="P135" i="119"/>
  <c r="O135" i="119"/>
  <c r="P134" i="119"/>
  <c r="O134" i="119"/>
  <c r="P133" i="119"/>
  <c r="O133" i="119"/>
  <c r="P132" i="119"/>
  <c r="O132" i="119"/>
  <c r="P131" i="119"/>
  <c r="O131" i="119"/>
  <c r="Q130" i="119" s="1"/>
  <c r="M130" i="119"/>
  <c r="L130" i="119"/>
  <c r="M129" i="119"/>
  <c r="L129" i="119"/>
  <c r="M128" i="119"/>
  <c r="L128" i="119"/>
  <c r="M127" i="119"/>
  <c r="L127" i="119"/>
  <c r="M126" i="119"/>
  <c r="L126" i="119"/>
  <c r="M125" i="119"/>
  <c r="L125" i="119"/>
  <c r="N124" i="119" s="1"/>
  <c r="P124" i="119"/>
  <c r="O124" i="119"/>
  <c r="P123" i="119"/>
  <c r="O123" i="119"/>
  <c r="P122" i="119"/>
  <c r="O122" i="119"/>
  <c r="P121" i="119"/>
  <c r="O121" i="119"/>
  <c r="P120" i="119"/>
  <c r="O120" i="119"/>
  <c r="P119" i="119"/>
  <c r="O119" i="119"/>
  <c r="P118" i="119"/>
  <c r="O118" i="119"/>
  <c r="Q117" i="119" s="1"/>
  <c r="M117" i="119"/>
  <c r="L117" i="119"/>
  <c r="M116" i="119"/>
  <c r="L116" i="119"/>
  <c r="M115" i="119"/>
  <c r="L115" i="119"/>
  <c r="M114" i="119"/>
  <c r="L114" i="119"/>
  <c r="M113" i="119"/>
  <c r="L113" i="119"/>
  <c r="M112" i="119"/>
  <c r="L112" i="119"/>
  <c r="M111" i="119"/>
  <c r="L111" i="119"/>
  <c r="M110" i="119"/>
  <c r="L110" i="119"/>
  <c r="N109" i="119" s="1"/>
  <c r="P109" i="119"/>
  <c r="O109" i="119"/>
  <c r="P108" i="119"/>
  <c r="O108" i="119"/>
  <c r="P107" i="119"/>
  <c r="O107" i="119"/>
  <c r="P106" i="119"/>
  <c r="O106" i="119"/>
  <c r="P105" i="119"/>
  <c r="O105" i="119"/>
  <c r="Q104" i="119" s="1"/>
  <c r="M104" i="119"/>
  <c r="L104" i="119"/>
  <c r="M103" i="119"/>
  <c r="L103" i="119"/>
  <c r="M102" i="119"/>
  <c r="L102" i="119"/>
  <c r="M101" i="119"/>
  <c r="L101" i="119"/>
  <c r="M100" i="119"/>
  <c r="L100" i="119"/>
  <c r="M99" i="119"/>
  <c r="L99" i="119"/>
  <c r="M98" i="119"/>
  <c r="L98" i="119"/>
  <c r="N97" i="119" s="1"/>
  <c r="P97" i="119"/>
  <c r="O97" i="119"/>
  <c r="P96" i="119"/>
  <c r="O96" i="119"/>
  <c r="P95" i="119"/>
  <c r="O95" i="119"/>
  <c r="P94" i="119"/>
  <c r="O94" i="119"/>
  <c r="P93" i="119"/>
  <c r="O93" i="119"/>
  <c r="P92" i="119"/>
  <c r="O92" i="119"/>
  <c r="P91" i="119"/>
  <c r="O91" i="119"/>
  <c r="P90" i="119"/>
  <c r="I72" i="118"/>
  <c r="I71" i="118"/>
  <c r="I70" i="118"/>
  <c r="S67" i="118"/>
  <c r="I67" i="118"/>
  <c r="I52" i="118"/>
  <c r="I51" i="118"/>
  <c r="S32" i="118"/>
  <c r="I32" i="118"/>
  <c r="P35" i="118"/>
  <c r="F35" i="118"/>
  <c r="J16" i="118"/>
  <c r="T13" i="118"/>
  <c r="J13" i="118"/>
  <c r="F19" i="118"/>
  <c r="F603" i="117"/>
  <c r="N593" i="117" a="1"/>
  <c r="N593" i="117" s="1"/>
  <c r="F593" i="117" a="1"/>
  <c r="F593" i="117" s="1"/>
  <c r="L590" i="117" a="1"/>
  <c r="L590" i="117" s="1"/>
  <c r="D590" i="117" a="1"/>
  <c r="D590" i="117" s="1"/>
  <c r="N588" i="117"/>
  <c r="I568" i="117"/>
  <c r="I564" i="117"/>
  <c r="I563" i="117"/>
  <c r="I562" i="117"/>
  <c r="I546" i="117"/>
  <c r="I544" i="117"/>
  <c r="E496" i="117"/>
  <c r="E495" i="117"/>
  <c r="E494" i="117"/>
  <c r="E485" i="117"/>
  <c r="E484" i="117"/>
  <c r="E483" i="117"/>
  <c r="E482" i="117"/>
  <c r="E481" i="117"/>
  <c r="K423" i="117"/>
  <c r="K418" i="117"/>
  <c r="K417" i="117"/>
  <c r="K416" i="117"/>
  <c r="K419" i="117"/>
  <c r="E320" i="117" a="1"/>
  <c r="E320" i="117" s="1"/>
  <c r="F320" i="117" s="1" a="1"/>
  <c r="D320" i="117" a="1"/>
  <c r="D320" i="117" s="1"/>
  <c r="G315" i="117"/>
  <c r="E179" i="117"/>
  <c r="E178" i="117"/>
  <c r="E177" i="117"/>
  <c r="E153" i="117"/>
  <c r="E152" i="117"/>
  <c r="E151" i="117"/>
  <c r="E150" i="117"/>
  <c r="E149" i="117"/>
  <c r="E148" i="117"/>
  <c r="E140" i="117"/>
  <c r="E139" i="117"/>
  <c r="E138" i="117"/>
  <c r="E137" i="117"/>
  <c r="F142" i="117"/>
  <c r="F34" i="117"/>
  <c r="H19" i="113"/>
  <c r="O19" i="113" s="1"/>
  <c r="H18" i="113"/>
  <c r="R18" i="113" s="1"/>
  <c r="H17" i="113"/>
  <c r="R17" i="113" s="1"/>
  <c r="H16" i="113"/>
  <c r="R16" i="113" s="1"/>
  <c r="H15" i="113"/>
  <c r="R15" i="113" s="1"/>
  <c r="H14" i="113"/>
  <c r="R14" i="113" s="1"/>
  <c r="H13" i="113"/>
  <c r="R13" i="113" s="1"/>
  <c r="H12" i="113"/>
  <c r="R12" i="113" s="1"/>
  <c r="H11" i="113"/>
  <c r="R11" i="113" s="1"/>
  <c r="H10" i="113"/>
  <c r="R10" i="113" s="1"/>
  <c r="Q8" i="113" a="1"/>
  <c r="Q8" i="113" s="1"/>
  <c r="N8" i="113" a="1"/>
  <c r="N8" i="113" s="1"/>
  <c r="K8" i="113" a="1"/>
  <c r="K8" i="113" s="1"/>
  <c r="D91" i="110" a="1"/>
  <c r="D91" i="110" s="1"/>
  <c r="E19" i="107"/>
  <c r="D17" i="110" a="1"/>
  <c r="D17" i="110" s="1"/>
  <c r="P53" i="109" a="1"/>
  <c r="P53" i="109" s="1"/>
  <c r="F53" i="109" a="1"/>
  <c r="F53" i="109" s="1"/>
  <c r="N50" i="109" a="1"/>
  <c r="N50" i="109" s="1"/>
  <c r="D50" i="109" a="1"/>
  <c r="D50" i="109" s="1"/>
  <c r="N45" i="109"/>
  <c r="D45" i="109"/>
  <c r="J40" i="109"/>
  <c r="J36" i="109" a="1"/>
  <c r="J36" i="109" s="1"/>
  <c r="G25" i="109"/>
  <c r="F25" i="109"/>
  <c r="J19" i="109" a="1"/>
  <c r="J19" i="109" s="1"/>
  <c r="J18" i="109"/>
  <c r="J16" i="109" a="1"/>
  <c r="J16" i="109" s="1"/>
  <c r="J14" i="109" a="1"/>
  <c r="J14" i="109" s="1"/>
  <c r="J13" i="109" a="1"/>
  <c r="J13" i="109" s="1"/>
  <c r="P45" i="108" a="1"/>
  <c r="P45" i="108" s="1"/>
  <c r="F45" i="108" a="1"/>
  <c r="F45" i="108" s="1"/>
  <c r="N42" i="108" a="1"/>
  <c r="N42" i="108" s="1"/>
  <c r="D42" i="108" a="1"/>
  <c r="D42" i="108" s="1"/>
  <c r="J36" i="108"/>
  <c r="J19" i="108"/>
  <c r="J13" i="108"/>
  <c r="O21" i="106"/>
  <c r="O20" i="106"/>
  <c r="O19" i="106"/>
  <c r="O18" i="106"/>
  <c r="O17" i="106"/>
  <c r="M21" i="106"/>
  <c r="M20" i="106"/>
  <c r="M19" i="106"/>
  <c r="M18" i="106"/>
  <c r="M17" i="106"/>
  <c r="K26" i="106"/>
  <c r="K25" i="106"/>
  <c r="K24" i="106"/>
  <c r="K23" i="106"/>
  <c r="K22" i="106"/>
  <c r="K21" i="106"/>
  <c r="K20" i="106"/>
  <c r="K19" i="106"/>
  <c r="K18" i="106"/>
  <c r="K17" i="106"/>
  <c r="I27" i="106"/>
  <c r="I26" i="106"/>
  <c r="I25" i="106"/>
  <c r="I24" i="106"/>
  <c r="I23" i="106"/>
  <c r="I22" i="106"/>
  <c r="I21" i="106"/>
  <c r="I20" i="106"/>
  <c r="I19" i="106"/>
  <c r="I18" i="106"/>
  <c r="H185" i="105"/>
  <c r="H179" i="105"/>
  <c r="H168" i="105"/>
  <c r="H144" i="105"/>
  <c r="H138" i="105"/>
  <c r="H127" i="105"/>
  <c r="J16" i="105" a="1"/>
  <c r="J16" i="105" s="1"/>
  <c r="I16" i="105" a="1"/>
  <c r="I16" i="105" s="1"/>
  <c r="J15" i="105" a="1"/>
  <c r="J15" i="105" s="1"/>
  <c r="I15" i="105" a="1"/>
  <c r="I15" i="105" s="1"/>
  <c r="J14" i="105" a="1"/>
  <c r="J14" i="105" s="1"/>
  <c r="I14" i="105" a="1"/>
  <c r="I14" i="105" s="1"/>
  <c r="J13" i="105" a="1"/>
  <c r="J13" i="105" s="1"/>
  <c r="I13" i="105" a="1"/>
  <c r="I13" i="105" s="1"/>
  <c r="E139" i="103"/>
  <c r="F40" i="102" s="1"/>
  <c r="G138" i="103"/>
  <c r="F32" i="101" s="1"/>
  <c r="E138" i="103"/>
  <c r="F39" i="102" s="1"/>
  <c r="G137" i="103"/>
  <c r="F31" i="101" s="1"/>
  <c r="E137" i="103"/>
  <c r="F38" i="102" s="1"/>
  <c r="D137" i="103"/>
  <c r="F31" i="102" s="1"/>
  <c r="G136" i="103"/>
  <c r="F30" i="101" s="1"/>
  <c r="E136" i="103"/>
  <c r="F37" i="102" s="1"/>
  <c r="D136" i="103"/>
  <c r="F30" i="102" s="1"/>
  <c r="G135" i="103"/>
  <c r="F29" i="101" s="1"/>
  <c r="E135" i="103"/>
  <c r="F36" i="102" s="1"/>
  <c r="D135" i="103"/>
  <c r="F29" i="102" s="1"/>
  <c r="G134" i="103"/>
  <c r="F28" i="101" s="1"/>
  <c r="E134" i="103"/>
  <c r="F35" i="102" s="1"/>
  <c r="D134" i="103"/>
  <c r="F28" i="102" s="1"/>
  <c r="G133" i="103"/>
  <c r="F27" i="101" s="1"/>
  <c r="F133" i="103"/>
  <c r="F36" i="101" s="1"/>
  <c r="E133" i="103"/>
  <c r="F34" i="102" s="1"/>
  <c r="D133" i="103"/>
  <c r="F27" i="102" s="1"/>
  <c r="I132" i="103"/>
  <c r="F38" i="101" s="1"/>
  <c r="G132" i="103"/>
  <c r="F26" i="101" s="1"/>
  <c r="F132" i="103"/>
  <c r="F35" i="101" s="1"/>
  <c r="E132" i="103"/>
  <c r="F33" i="102" s="1"/>
  <c r="D132" i="103"/>
  <c r="F26" i="102" s="1"/>
  <c r="I131" i="103"/>
  <c r="F37" i="101" s="1"/>
  <c r="H131" i="103"/>
  <c r="F33" i="101" s="1"/>
  <c r="G131" i="103"/>
  <c r="F25" i="101" s="1"/>
  <c r="F131" i="103"/>
  <c r="F34" i="101" s="1"/>
  <c r="E131" i="103"/>
  <c r="F32" i="102" s="1"/>
  <c r="D131" i="103"/>
  <c r="F25" i="102" s="1"/>
  <c r="D110" i="103" a="1"/>
  <c r="D110" i="103" s="1"/>
  <c r="E40" i="102"/>
  <c r="E39" i="102"/>
  <c r="D84" i="103" a="1"/>
  <c r="D84" i="103" s="1"/>
  <c r="D52" i="103" a="1"/>
  <c r="D52" i="103" s="1"/>
  <c r="E39" i="101"/>
  <c r="E36" i="101"/>
  <c r="E35" i="101"/>
  <c r="E34" i="101"/>
  <c r="E32" i="101"/>
  <c r="E31" i="101"/>
  <c r="E30" i="101"/>
  <c r="E29" i="101"/>
  <c r="E28" i="101"/>
  <c r="E27" i="101"/>
  <c r="D8" i="103" a="1"/>
  <c r="D8" i="103" s="1"/>
  <c r="D37" i="102"/>
  <c r="D34" i="102"/>
  <c r="D33" i="102"/>
  <c r="D36" i="102"/>
  <c r="D30" i="102"/>
  <c r="D27" i="102"/>
  <c r="D26" i="102"/>
  <c r="D29" i="102"/>
  <c r="P18" i="102"/>
  <c r="P17" i="102"/>
  <c r="P16" i="102" a="1"/>
  <c r="P16" i="102" s="1"/>
  <c r="I16" i="102" a="1"/>
  <c r="I16" i="102" s="1"/>
  <c r="P15" i="102" a="1"/>
  <c r="P15" i="102" s="1"/>
  <c r="I15" i="102" a="1"/>
  <c r="I15" i="102" s="1"/>
  <c r="P14" i="102" a="1"/>
  <c r="P14" i="102" s="1"/>
  <c r="I14" i="102" a="1"/>
  <c r="I14" i="102" s="1"/>
  <c r="D39" i="101"/>
  <c r="D38" i="101"/>
  <c r="D36" i="101"/>
  <c r="D35" i="101"/>
  <c r="D48" i="101"/>
  <c r="D29" i="101"/>
  <c r="D42" i="101"/>
  <c r="P16" i="101" a="1"/>
  <c r="P16" i="101" s="1"/>
  <c r="I16" i="101" a="1"/>
  <c r="I16" i="101" s="1"/>
  <c r="P15" i="101" a="1"/>
  <c r="P15" i="101" s="1"/>
  <c r="I15" i="101" a="1"/>
  <c r="I15" i="101" s="1"/>
  <c r="P14" i="101" a="1"/>
  <c r="P14" i="101" s="1"/>
  <c r="I14" i="101" a="1"/>
  <c r="I14" i="101" s="1"/>
  <c r="H21" i="100"/>
  <c r="H20" i="100"/>
  <c r="H19" i="100"/>
  <c r="H18" i="100"/>
  <c r="H17" i="100"/>
  <c r="I567" i="117" a="1"/>
  <c r="I567" i="117" s="1"/>
  <c r="J36" i="98" a="1"/>
  <c r="J36" i="98" s="1"/>
  <c r="D7" i="99" a="1"/>
  <c r="D7" i="99" s="1"/>
  <c r="J37" i="98"/>
  <c r="J33" i="98" s="1"/>
  <c r="J32" i="98"/>
  <c r="J31" i="98"/>
  <c r="F39" i="98"/>
  <c r="I16" i="98"/>
  <c r="I14" i="98"/>
  <c r="F18" i="98"/>
  <c r="H48" i="97"/>
  <c r="E48" i="97"/>
  <c r="H47" i="97"/>
  <c r="E47" i="97"/>
  <c r="H46" i="97"/>
  <c r="E46" i="97"/>
  <c r="H39" i="97"/>
  <c r="H38" i="97"/>
  <c r="H37" i="97"/>
  <c r="E29" i="97"/>
  <c r="E16" i="97"/>
  <c r="E22" i="97" s="1"/>
  <c r="E6" i="97"/>
  <c r="N20" i="89" a="1"/>
  <c r="N20" i="89" s="1"/>
  <c r="J91" i="95"/>
  <c r="I69" i="118"/>
  <c r="I97" i="94"/>
  <c r="F111" i="94" s="1"/>
  <c r="I19" i="93"/>
  <c r="I18" i="93"/>
  <c r="I16" i="93"/>
  <c r="I15" i="93"/>
  <c r="I50" i="91"/>
  <c r="G180" i="119"/>
  <c r="G190" i="119"/>
  <c r="G182" i="119"/>
  <c r="G184" i="119"/>
  <c r="G198" i="119"/>
  <c r="G191" i="119"/>
  <c r="G189" i="119"/>
  <c r="G188" i="119"/>
  <c r="G186" i="119"/>
  <c r="G187" i="119"/>
  <c r="G185" i="119"/>
  <c r="G179" i="119"/>
  <c r="G178" i="119"/>
  <c r="G193" i="119"/>
  <c r="G192" i="119"/>
  <c r="G181" i="119"/>
  <c r="F99" i="95" a="1"/>
  <c r="F99" i="95" s="1"/>
  <c r="D96" i="95" a="1"/>
  <c r="D96" i="95" s="1"/>
  <c r="F94" i="95"/>
  <c r="D66" i="95"/>
  <c r="I59" i="95"/>
  <c r="I58" i="95"/>
  <c r="I55" i="95" a="1"/>
  <c r="I55" i="95" s="1"/>
  <c r="F77" i="95"/>
  <c r="I17" i="95"/>
  <c r="I16" i="95"/>
  <c r="I13" i="95" a="1"/>
  <c r="I13" i="95" s="1"/>
  <c r="F43" i="95"/>
  <c r="F151" i="94" a="1"/>
  <c r="F151" i="94" s="1"/>
  <c r="D148" i="94" a="1"/>
  <c r="D148" i="94" s="1"/>
  <c r="I127" i="94"/>
  <c r="I124" i="94" a="1"/>
  <c r="I124" i="94" s="1"/>
  <c r="F146" i="94"/>
  <c r="I96" i="94" a="1"/>
  <c r="I96" i="94" s="1"/>
  <c r="G102" i="94"/>
  <c r="F84" i="94" a="1"/>
  <c r="F84" i="94" s="1"/>
  <c r="D81" i="94" a="1"/>
  <c r="D81" i="94" s="1"/>
  <c r="J52" i="94"/>
  <c r="J49" i="94" a="1"/>
  <c r="J49" i="94" s="1"/>
  <c r="F79" i="94"/>
  <c r="I14" i="94" a="1"/>
  <c r="I14" i="94" s="1"/>
  <c r="I13" i="94" a="1"/>
  <c r="I13" i="94" s="1"/>
  <c r="I17" i="93" a="1"/>
  <c r="I17" i="93" s="1"/>
  <c r="I14" i="93" a="1"/>
  <c r="I14" i="93" s="1"/>
  <c r="I13" i="93" a="1"/>
  <c r="I13" i="93" s="1"/>
  <c r="F55" i="92" a="1"/>
  <c r="F55" i="92" s="1"/>
  <c r="D52" i="92" a="1"/>
  <c r="D52" i="92" s="1"/>
  <c r="K47" i="92"/>
  <c r="F50" i="92"/>
  <c r="I15" i="92" a="1"/>
  <c r="I15" i="92" s="1"/>
  <c r="I14" i="92" a="1"/>
  <c r="I14" i="92" s="1"/>
  <c r="I13" i="92" a="1"/>
  <c r="I13" i="92" s="1"/>
  <c r="F32" i="92"/>
  <c r="I53" i="91" a="1"/>
  <c r="I53" i="91" s="1"/>
  <c r="I52" i="91"/>
  <c r="I49" i="91" a="1"/>
  <c r="I49" i="91" s="1"/>
  <c r="I14" i="91" a="1"/>
  <c r="I14" i="91" s="1"/>
  <c r="I13" i="91" a="1"/>
  <c r="I13" i="91" s="1"/>
  <c r="O115" i="90" a="1"/>
  <c r="O115" i="90" s="1"/>
  <c r="M112" i="90" a="1"/>
  <c r="M112" i="90" s="1"/>
  <c r="S96" i="90"/>
  <c r="N107" i="90" s="1"/>
  <c r="S95" i="90"/>
  <c r="F85" i="90" a="1"/>
  <c r="F85" i="90" s="1"/>
  <c r="D82" i="90" a="1"/>
  <c r="D82" i="90" s="1"/>
  <c r="O79" i="90"/>
  <c r="O63" i="90"/>
  <c r="I53" i="90"/>
  <c r="I52" i="90"/>
  <c r="I49" i="90" a="1"/>
  <c r="I49" i="90" s="1"/>
  <c r="O49" i="90"/>
  <c r="I14" i="90" a="1"/>
  <c r="I14" i="90" s="1"/>
  <c r="I13" i="90" a="1"/>
  <c r="I13" i="90" s="1"/>
  <c r="G56" i="89"/>
  <c r="G55" i="89"/>
  <c r="G54" i="89"/>
  <c r="K44" i="89"/>
  <c r="K43" i="89"/>
  <c r="K42" i="89"/>
  <c r="W167" i="88" a="1"/>
  <c r="W167" i="88" s="1"/>
  <c r="U164" i="88" a="1"/>
  <c r="U164" i="88" s="1"/>
  <c r="U144" i="88"/>
  <c r="U160" i="88" s="1"/>
  <c r="U143" i="88"/>
  <c r="U159" i="88" s="1"/>
  <c r="U142" i="88"/>
  <c r="U158" i="88" s="1"/>
  <c r="U141" i="88"/>
  <c r="U157" i="88" s="1"/>
  <c r="U140" i="88"/>
  <c r="U156" i="88" s="1"/>
  <c r="U139" i="88"/>
  <c r="U155" i="88" s="1"/>
  <c r="U138" i="88"/>
  <c r="U154" i="88" s="1"/>
  <c r="U137" i="88"/>
  <c r="U153" i="88" s="1"/>
  <c r="U136" i="88"/>
  <c r="U152" i="88" s="1"/>
  <c r="U135" i="88"/>
  <c r="U151" i="88" s="1"/>
  <c r="U134" i="88"/>
  <c r="U150" i="88" s="1"/>
  <c r="U133" i="88"/>
  <c r="U149" i="88" s="1"/>
  <c r="F133" i="88" a="1"/>
  <c r="F133" i="88" s="1"/>
  <c r="D130" i="88" a="1"/>
  <c r="D130" i="88" s="1"/>
  <c r="U128" i="88"/>
  <c r="U127" i="88"/>
  <c r="U126" i="88"/>
  <c r="U125" i="88"/>
  <c r="U124" i="88"/>
  <c r="U123" i="88"/>
  <c r="U122" i="88"/>
  <c r="U121" i="88"/>
  <c r="U120" i="88"/>
  <c r="U119" i="88"/>
  <c r="U118" i="88"/>
  <c r="V117" i="88" a="1"/>
  <c r="V117" i="88" s="1"/>
  <c r="U117" i="88"/>
  <c r="U108" i="88"/>
  <c r="U107" i="88"/>
  <c r="E107" i="88" a="1"/>
  <c r="E107" i="88" s="1"/>
  <c r="U106" i="88"/>
  <c r="U105" i="88"/>
  <c r="U104" i="88"/>
  <c r="U103" i="88"/>
  <c r="U102" i="88"/>
  <c r="I102" i="88" a="1"/>
  <c r="I102" i="88" s="1"/>
  <c r="U101" i="88"/>
  <c r="I101" i="88" a="1"/>
  <c r="I101" i="88" s="1"/>
  <c r="U100" i="88"/>
  <c r="I100" i="88" a="1"/>
  <c r="I100" i="88" s="1"/>
  <c r="AF117" i="88"/>
  <c r="U99" i="88"/>
  <c r="U98" i="88"/>
  <c r="U97" i="88"/>
  <c r="U87" i="88"/>
  <c r="U86" i="88"/>
  <c r="U85" i="88"/>
  <c r="U84" i="88"/>
  <c r="U83" i="88"/>
  <c r="U82" i="88"/>
  <c r="U81" i="88"/>
  <c r="U80" i="88"/>
  <c r="I80" i="88" a="1"/>
  <c r="I80" i="88" s="1"/>
  <c r="U79" i="88"/>
  <c r="U78" i="88"/>
  <c r="U77" i="88"/>
  <c r="U76" i="88"/>
  <c r="U71" i="88"/>
  <c r="U70" i="88"/>
  <c r="U69" i="88"/>
  <c r="U68" i="88"/>
  <c r="U67" i="88"/>
  <c r="U66" i="88"/>
  <c r="U65" i="88"/>
  <c r="U64" i="88"/>
  <c r="U63" i="88"/>
  <c r="U62" i="88"/>
  <c r="U61" i="88"/>
  <c r="U60" i="88"/>
  <c r="D59" i="88"/>
  <c r="D58" i="88"/>
  <c r="D57" i="88"/>
  <c r="D56" i="88"/>
  <c r="U55" i="88"/>
  <c r="U54" i="88"/>
  <c r="U53" i="88"/>
  <c r="U52" i="88"/>
  <c r="U51" i="88"/>
  <c r="D51" i="88"/>
  <c r="U50" i="88"/>
  <c r="D50" i="88"/>
  <c r="U49" i="88"/>
  <c r="D49" i="88"/>
  <c r="U48" i="88"/>
  <c r="D48" i="88"/>
  <c r="U47" i="88"/>
  <c r="U46" i="88"/>
  <c r="U45" i="88"/>
  <c r="U44" i="88"/>
  <c r="I43" i="88" a="1"/>
  <c r="I43" i="88" s="1"/>
  <c r="I42" i="88" a="1"/>
  <c r="I42" i="88" s="1"/>
  <c r="I41" i="88" a="1"/>
  <c r="I41" i="88" s="1"/>
  <c r="U39" i="88"/>
  <c r="AF82" i="88"/>
  <c r="U38" i="88"/>
  <c r="U37" i="88"/>
  <c r="U36" i="88"/>
  <c r="U35" i="88"/>
  <c r="U34" i="88"/>
  <c r="U33" i="88"/>
  <c r="U32" i="88"/>
  <c r="U31" i="88"/>
  <c r="U30" i="88"/>
  <c r="U29" i="88"/>
  <c r="E29" i="88" a="1"/>
  <c r="E29" i="88" s="1"/>
  <c r="U28" i="88"/>
  <c r="E26" i="88" a="1"/>
  <c r="E26" i="88" s="1"/>
  <c r="E28" i="88" a="1"/>
  <c r="E28" i="88" s="1"/>
  <c r="F28" i="88" s="1" a="1"/>
  <c r="F28" i="88" s="1"/>
  <c r="K28" i="88" s="1"/>
  <c r="J16" i="88"/>
  <c r="J13" i="88" a="1"/>
  <c r="J13" i="88" s="1"/>
  <c r="I15" i="86"/>
  <c r="J14" i="85"/>
  <c r="I155" i="83"/>
  <c r="I110" i="83"/>
  <c r="O369" i="87"/>
  <c r="K369" i="87"/>
  <c r="I369" i="87"/>
  <c r="H369" i="87"/>
  <c r="G369" i="87"/>
  <c r="F369" i="87"/>
  <c r="E369" i="87"/>
  <c r="D369" i="87"/>
  <c r="O368" i="87"/>
  <c r="L368" i="87"/>
  <c r="K368" i="87"/>
  <c r="J368" i="87"/>
  <c r="H368" i="87"/>
  <c r="G368" i="87"/>
  <c r="F368" i="87"/>
  <c r="E368" i="87"/>
  <c r="D368" i="87"/>
  <c r="O367" i="87"/>
  <c r="N367" i="87"/>
  <c r="K367" i="87"/>
  <c r="H367" i="87"/>
  <c r="G367" i="87"/>
  <c r="F367" i="87"/>
  <c r="E367" i="87"/>
  <c r="D367" i="87"/>
  <c r="O366" i="87"/>
  <c r="K366" i="87"/>
  <c r="J366" i="87"/>
  <c r="H366" i="87"/>
  <c r="G366" i="87"/>
  <c r="F366" i="87"/>
  <c r="E366" i="87"/>
  <c r="D366" i="87"/>
  <c r="O365" i="87"/>
  <c r="L365" i="87"/>
  <c r="K365" i="87"/>
  <c r="I365" i="87"/>
  <c r="H365" i="87"/>
  <c r="G365" i="87"/>
  <c r="F365" i="87"/>
  <c r="E365" i="87"/>
  <c r="D365" i="87"/>
  <c r="O364" i="87"/>
  <c r="M364" i="87"/>
  <c r="K364" i="87"/>
  <c r="I364" i="87"/>
  <c r="H364" i="87"/>
  <c r="G364" i="87"/>
  <c r="F364" i="87"/>
  <c r="E364" i="87"/>
  <c r="D364" i="87"/>
  <c r="O363" i="87"/>
  <c r="N363" i="87"/>
  <c r="K363" i="87"/>
  <c r="I363" i="87"/>
  <c r="H363" i="87"/>
  <c r="G363" i="87"/>
  <c r="F363" i="87"/>
  <c r="E363" i="87"/>
  <c r="D363" i="87"/>
  <c r="O362" i="87"/>
  <c r="K362" i="87"/>
  <c r="H362" i="87"/>
  <c r="G362" i="87"/>
  <c r="F362" i="87"/>
  <c r="E362" i="87"/>
  <c r="D362" i="87"/>
  <c r="L338" i="87"/>
  <c r="K338" i="87"/>
  <c r="I338" i="87"/>
  <c r="L337" i="87"/>
  <c r="K337" i="87"/>
  <c r="I337" i="87"/>
  <c r="L336" i="87"/>
  <c r="K336" i="87"/>
  <c r="I336" i="87"/>
  <c r="L335" i="87"/>
  <c r="K335" i="87"/>
  <c r="I335" i="87"/>
  <c r="P282" i="87"/>
  <c r="O282" i="87"/>
  <c r="N282" i="87"/>
  <c r="M282" i="87"/>
  <c r="L282" i="87"/>
  <c r="K282" i="87"/>
  <c r="J282" i="87"/>
  <c r="I282" i="87"/>
  <c r="H282" i="87"/>
  <c r="G282" i="87"/>
  <c r="F282" i="87"/>
  <c r="E282" i="87"/>
  <c r="P281" i="87"/>
  <c r="O281" i="87"/>
  <c r="N281" i="87"/>
  <c r="M281" i="87"/>
  <c r="L281" i="87"/>
  <c r="K281" i="87"/>
  <c r="J281" i="87"/>
  <c r="I281" i="87"/>
  <c r="H281" i="87"/>
  <c r="G281" i="87"/>
  <c r="F281" i="87"/>
  <c r="E281" i="87"/>
  <c r="P280" i="87"/>
  <c r="O280" i="87"/>
  <c r="N280" i="87"/>
  <c r="M280" i="87"/>
  <c r="L280" i="87"/>
  <c r="K280" i="87"/>
  <c r="J280" i="87"/>
  <c r="I280" i="87"/>
  <c r="H280" i="87"/>
  <c r="G280" i="87"/>
  <c r="F280" i="87"/>
  <c r="E280" i="87"/>
  <c r="P279" i="87"/>
  <c r="O279" i="87"/>
  <c r="N279" i="87"/>
  <c r="M279" i="87"/>
  <c r="L279" i="87"/>
  <c r="K279" i="87"/>
  <c r="J279" i="87"/>
  <c r="I279" i="87"/>
  <c r="H279" i="87"/>
  <c r="G279" i="87"/>
  <c r="F279" i="87"/>
  <c r="E279" i="87"/>
  <c r="P278" i="87"/>
  <c r="O278" i="87"/>
  <c r="N278" i="87"/>
  <c r="M278" i="87"/>
  <c r="L278" i="87"/>
  <c r="K278" i="87"/>
  <c r="J278" i="87"/>
  <c r="I278" i="87"/>
  <c r="H278" i="87"/>
  <c r="G278" i="87"/>
  <c r="F278" i="87"/>
  <c r="E278" i="87"/>
  <c r="P277" i="87"/>
  <c r="O277" i="87"/>
  <c r="N277" i="87"/>
  <c r="M277" i="87"/>
  <c r="L277" i="87"/>
  <c r="K277" i="87"/>
  <c r="J277" i="87"/>
  <c r="I277" i="87"/>
  <c r="H277" i="87"/>
  <c r="G277" i="87"/>
  <c r="F277" i="87"/>
  <c r="E277" i="87"/>
  <c r="P276" i="87"/>
  <c r="O276" i="87"/>
  <c r="N276" i="87"/>
  <c r="M276" i="87"/>
  <c r="L276" i="87"/>
  <c r="K276" i="87"/>
  <c r="J276" i="87"/>
  <c r="I276" i="87"/>
  <c r="H276" i="87"/>
  <c r="G276" i="87"/>
  <c r="F276" i="87"/>
  <c r="E276" i="87"/>
  <c r="P275" i="87"/>
  <c r="O275" i="87"/>
  <c r="N275" i="87"/>
  <c r="M275" i="87"/>
  <c r="L275" i="87"/>
  <c r="K275" i="87"/>
  <c r="J275" i="87"/>
  <c r="I275" i="87"/>
  <c r="H275" i="87"/>
  <c r="G275" i="87"/>
  <c r="F275" i="87"/>
  <c r="E275" i="87"/>
  <c r="P274" i="87"/>
  <c r="O274" i="87"/>
  <c r="N274" i="87"/>
  <c r="M274" i="87"/>
  <c r="L274" i="87"/>
  <c r="K274" i="87"/>
  <c r="J274" i="87"/>
  <c r="I274" i="87"/>
  <c r="H274" i="87"/>
  <c r="G274" i="87"/>
  <c r="F274" i="87"/>
  <c r="E274" i="87"/>
  <c r="P273" i="87"/>
  <c r="O273" i="87"/>
  <c r="N273" i="87"/>
  <c r="M273" i="87"/>
  <c r="L273" i="87"/>
  <c r="K273" i="87"/>
  <c r="J273" i="87"/>
  <c r="I273" i="87"/>
  <c r="H273" i="87"/>
  <c r="G273" i="87"/>
  <c r="F273" i="87"/>
  <c r="E273" i="87"/>
  <c r="P272" i="87"/>
  <c r="O272" i="87"/>
  <c r="N272" i="87"/>
  <c r="M272" i="87"/>
  <c r="L272" i="87"/>
  <c r="K272" i="87"/>
  <c r="J272" i="87"/>
  <c r="I272" i="87"/>
  <c r="H272" i="87"/>
  <c r="G272" i="87"/>
  <c r="F272" i="87"/>
  <c r="E272" i="87"/>
  <c r="P271" i="87"/>
  <c r="O271" i="87"/>
  <c r="N271" i="87"/>
  <c r="M271" i="87"/>
  <c r="L271" i="87"/>
  <c r="K271" i="87"/>
  <c r="J271" i="87"/>
  <c r="I271" i="87"/>
  <c r="H271" i="87"/>
  <c r="G271" i="87"/>
  <c r="F271" i="87"/>
  <c r="E271" i="87"/>
  <c r="P270" i="87"/>
  <c r="O270" i="87"/>
  <c r="N270" i="87"/>
  <c r="M270" i="87"/>
  <c r="L270" i="87"/>
  <c r="K270" i="87"/>
  <c r="J270" i="87"/>
  <c r="I270" i="87"/>
  <c r="H270" i="87"/>
  <c r="G270" i="87"/>
  <c r="F270" i="87"/>
  <c r="E270" i="87"/>
  <c r="P269" i="87"/>
  <c r="O269" i="87"/>
  <c r="N269" i="87"/>
  <c r="M269" i="87"/>
  <c r="L269" i="87"/>
  <c r="K269" i="87"/>
  <c r="J269" i="87"/>
  <c r="I269" i="87"/>
  <c r="H269" i="87"/>
  <c r="G269" i="87"/>
  <c r="F269" i="87"/>
  <c r="E269" i="87"/>
  <c r="P268" i="87"/>
  <c r="O268" i="87"/>
  <c r="N268" i="87"/>
  <c r="M268" i="87"/>
  <c r="L268" i="87"/>
  <c r="K268" i="87"/>
  <c r="J268" i="87"/>
  <c r="I268" i="87"/>
  <c r="H268" i="87"/>
  <c r="G268" i="87"/>
  <c r="F268" i="87"/>
  <c r="E268" i="87"/>
  <c r="P267" i="87"/>
  <c r="O267" i="87"/>
  <c r="N267" i="87"/>
  <c r="M267" i="87"/>
  <c r="L267" i="87"/>
  <c r="K267" i="87"/>
  <c r="J267" i="87"/>
  <c r="I267" i="87"/>
  <c r="H267" i="87"/>
  <c r="G267" i="87"/>
  <c r="F267" i="87"/>
  <c r="E267" i="87"/>
  <c r="P266" i="87"/>
  <c r="O266" i="87"/>
  <c r="N266" i="87"/>
  <c r="M266" i="87"/>
  <c r="L266" i="87"/>
  <c r="K266" i="87"/>
  <c r="J266" i="87"/>
  <c r="I266" i="87"/>
  <c r="H266" i="87"/>
  <c r="G266" i="87"/>
  <c r="F266" i="87"/>
  <c r="E266" i="87"/>
  <c r="P265" i="87"/>
  <c r="O265" i="87"/>
  <c r="N265" i="87"/>
  <c r="M265" i="87"/>
  <c r="L265" i="87"/>
  <c r="K265" i="87"/>
  <c r="J265" i="87"/>
  <c r="I265" i="87"/>
  <c r="H265" i="87"/>
  <c r="G265" i="87"/>
  <c r="F265" i="87"/>
  <c r="E265" i="87"/>
  <c r="P264" i="87"/>
  <c r="O264" i="87"/>
  <c r="N264" i="87"/>
  <c r="M264" i="87"/>
  <c r="L264" i="87"/>
  <c r="K264" i="87"/>
  <c r="J264" i="87"/>
  <c r="I264" i="87"/>
  <c r="H264" i="87"/>
  <c r="G264" i="87"/>
  <c r="F264" i="87"/>
  <c r="E264" i="87"/>
  <c r="P263" i="87"/>
  <c r="O263" i="87"/>
  <c r="N263" i="87"/>
  <c r="M263" i="87"/>
  <c r="L263" i="87"/>
  <c r="K263" i="87"/>
  <c r="J263" i="87"/>
  <c r="I263" i="87"/>
  <c r="H263" i="87"/>
  <c r="G263" i="87"/>
  <c r="F263" i="87"/>
  <c r="E263" i="87"/>
  <c r="P262" i="87"/>
  <c r="O262" i="87"/>
  <c r="N262" i="87"/>
  <c r="M262" i="87"/>
  <c r="L262" i="87"/>
  <c r="K262" i="87"/>
  <c r="J262" i="87"/>
  <c r="I262" i="87"/>
  <c r="H262" i="87"/>
  <c r="G262" i="87"/>
  <c r="F262" i="87"/>
  <c r="E262" i="87"/>
  <c r="P261" i="87"/>
  <c r="O261" i="87"/>
  <c r="N261" i="87"/>
  <c r="M261" i="87"/>
  <c r="L261" i="87"/>
  <c r="K261" i="87"/>
  <c r="J261" i="87"/>
  <c r="I261" i="87"/>
  <c r="H261" i="87"/>
  <c r="G261" i="87"/>
  <c r="F261" i="87"/>
  <c r="E261" i="87"/>
  <c r="P260" i="87"/>
  <c r="O260" i="87"/>
  <c r="N260" i="87"/>
  <c r="M260" i="87"/>
  <c r="L260" i="87"/>
  <c r="K260" i="87"/>
  <c r="J260" i="87"/>
  <c r="I260" i="87"/>
  <c r="H260" i="87"/>
  <c r="G260" i="87"/>
  <c r="F260" i="87"/>
  <c r="E260" i="87"/>
  <c r="P259" i="87"/>
  <c r="O259" i="87"/>
  <c r="N259" i="87"/>
  <c r="M259" i="87"/>
  <c r="L259" i="87"/>
  <c r="K259" i="87"/>
  <c r="J259" i="87"/>
  <c r="I259" i="87"/>
  <c r="H259" i="87"/>
  <c r="G259" i="87"/>
  <c r="F259" i="87"/>
  <c r="E259" i="87"/>
  <c r="P258" i="87"/>
  <c r="O258" i="87"/>
  <c r="N258" i="87"/>
  <c r="M258" i="87"/>
  <c r="L258" i="87"/>
  <c r="K258" i="87"/>
  <c r="J258" i="87"/>
  <c r="I258" i="87"/>
  <c r="H258" i="87"/>
  <c r="G258" i="87"/>
  <c r="F258" i="87"/>
  <c r="E258" i="87"/>
  <c r="P257" i="87"/>
  <c r="O257" i="87"/>
  <c r="N257" i="87"/>
  <c r="M257" i="87"/>
  <c r="L257" i="87"/>
  <c r="K257" i="87"/>
  <c r="J257" i="87"/>
  <c r="I257" i="87"/>
  <c r="H257" i="87"/>
  <c r="G257" i="87"/>
  <c r="F257" i="87"/>
  <c r="E257" i="87"/>
  <c r="P256" i="87"/>
  <c r="O256" i="87"/>
  <c r="N256" i="87"/>
  <c r="M256" i="87"/>
  <c r="L256" i="87"/>
  <c r="K256" i="87"/>
  <c r="J256" i="87"/>
  <c r="I256" i="87"/>
  <c r="H256" i="87"/>
  <c r="G256" i="87"/>
  <c r="F256" i="87"/>
  <c r="E256" i="87"/>
  <c r="P255" i="87"/>
  <c r="O255" i="87"/>
  <c r="N255" i="87"/>
  <c r="M255" i="87"/>
  <c r="L255" i="87"/>
  <c r="K255" i="87"/>
  <c r="J255" i="87"/>
  <c r="I255" i="87"/>
  <c r="H255" i="87"/>
  <c r="G255" i="87"/>
  <c r="F255" i="87"/>
  <c r="E255" i="87"/>
  <c r="M254" i="87"/>
  <c r="J254" i="87"/>
  <c r="I254" i="87"/>
  <c r="H254" i="87"/>
  <c r="G254" i="87"/>
  <c r="F254" i="87"/>
  <c r="E254" i="87"/>
  <c r="M253" i="87"/>
  <c r="J253" i="87"/>
  <c r="I253" i="87"/>
  <c r="H253" i="87"/>
  <c r="G253" i="87"/>
  <c r="F253" i="87"/>
  <c r="E253" i="87"/>
  <c r="M252" i="87"/>
  <c r="J252" i="87"/>
  <c r="I252" i="87"/>
  <c r="H252" i="87"/>
  <c r="G252" i="87"/>
  <c r="F252" i="87"/>
  <c r="E252" i="87"/>
  <c r="M251" i="87"/>
  <c r="J251" i="87"/>
  <c r="I251" i="87"/>
  <c r="H251" i="87"/>
  <c r="G251" i="87"/>
  <c r="F251" i="87"/>
  <c r="E251" i="87"/>
  <c r="M250" i="87"/>
  <c r="J250" i="87"/>
  <c r="I250" i="87"/>
  <c r="H250" i="87"/>
  <c r="G250" i="87"/>
  <c r="F250" i="87"/>
  <c r="E250" i="87"/>
  <c r="M249" i="87"/>
  <c r="J249" i="87"/>
  <c r="I249" i="87"/>
  <c r="H249" i="87"/>
  <c r="G249" i="87"/>
  <c r="F249" i="87"/>
  <c r="E249" i="87"/>
  <c r="M248" i="87"/>
  <c r="J248" i="87"/>
  <c r="I248" i="87"/>
  <c r="H248" i="87"/>
  <c r="G248" i="87"/>
  <c r="F248" i="87"/>
  <c r="E248" i="87"/>
  <c r="M247" i="87"/>
  <c r="J247" i="87"/>
  <c r="I247" i="87"/>
  <c r="H247" i="87"/>
  <c r="G247" i="87"/>
  <c r="F247" i="87"/>
  <c r="E247" i="87"/>
  <c r="M246" i="87"/>
  <c r="J246" i="87"/>
  <c r="I246" i="87"/>
  <c r="H246" i="87"/>
  <c r="G246" i="87"/>
  <c r="F246" i="87"/>
  <c r="E246" i="87"/>
  <c r="M245" i="87"/>
  <c r="J245" i="87"/>
  <c r="I245" i="87"/>
  <c r="H245" i="87"/>
  <c r="G245" i="87"/>
  <c r="F245" i="87"/>
  <c r="E245" i="87"/>
  <c r="M244" i="87"/>
  <c r="J244" i="87"/>
  <c r="I244" i="87"/>
  <c r="H244" i="87"/>
  <c r="G244" i="87"/>
  <c r="F244" i="87"/>
  <c r="E244" i="87"/>
  <c r="M243" i="87"/>
  <c r="J243" i="87"/>
  <c r="I243" i="87"/>
  <c r="H243" i="87"/>
  <c r="G243" i="87"/>
  <c r="F243" i="87"/>
  <c r="E243" i="87"/>
  <c r="M242" i="87"/>
  <c r="J242" i="87"/>
  <c r="I242" i="87"/>
  <c r="H242" i="87"/>
  <c r="G242" i="87"/>
  <c r="F242" i="87"/>
  <c r="M241" i="87"/>
  <c r="J241" i="87"/>
  <c r="I241" i="87"/>
  <c r="H241" i="87"/>
  <c r="G241" i="87"/>
  <c r="F241" i="87"/>
  <c r="M240" i="87"/>
  <c r="J240" i="87"/>
  <c r="I240" i="87"/>
  <c r="H240" i="87"/>
  <c r="G240" i="87"/>
  <c r="F240" i="87"/>
  <c r="M239" i="87"/>
  <c r="J239" i="87"/>
  <c r="I239" i="87"/>
  <c r="H239" i="87"/>
  <c r="G239" i="87"/>
  <c r="F239" i="87"/>
  <c r="M238" i="87"/>
  <c r="J238" i="87"/>
  <c r="I238" i="87"/>
  <c r="H238" i="87"/>
  <c r="G238" i="87"/>
  <c r="F238" i="87"/>
  <c r="M237" i="87"/>
  <c r="J237" i="87"/>
  <c r="I237" i="87"/>
  <c r="H237" i="87"/>
  <c r="G237" i="87"/>
  <c r="F237" i="87"/>
  <c r="M236" i="87"/>
  <c r="J236" i="87"/>
  <c r="I236" i="87"/>
  <c r="H236" i="87"/>
  <c r="G236" i="87"/>
  <c r="F236" i="87"/>
  <c r="M235" i="87"/>
  <c r="J235" i="87"/>
  <c r="I235" i="87"/>
  <c r="H235" i="87"/>
  <c r="G235" i="87"/>
  <c r="F235" i="87"/>
  <c r="M234" i="87"/>
  <c r="J234" i="87"/>
  <c r="I234" i="87"/>
  <c r="H234" i="87"/>
  <c r="G234" i="87"/>
  <c r="F234" i="87"/>
  <c r="M233" i="87"/>
  <c r="J233" i="87"/>
  <c r="I233" i="87"/>
  <c r="H233" i="87"/>
  <c r="G233" i="87"/>
  <c r="F233" i="87"/>
  <c r="M232" i="87"/>
  <c r="J232" i="87"/>
  <c r="I232" i="87"/>
  <c r="H232" i="87"/>
  <c r="G232" i="87"/>
  <c r="F232" i="87"/>
  <c r="M231" i="87"/>
  <c r="J231" i="87"/>
  <c r="I231" i="87"/>
  <c r="H231" i="87"/>
  <c r="G231" i="87"/>
  <c r="F231" i="87"/>
  <c r="P145" i="87"/>
  <c r="O145" i="87"/>
  <c r="N145" i="87"/>
  <c r="M145" i="87"/>
  <c r="L145" i="87"/>
  <c r="K145" i="87"/>
  <c r="J145" i="87"/>
  <c r="I145" i="87"/>
  <c r="H145" i="87"/>
  <c r="G145" i="87"/>
  <c r="F145" i="87"/>
  <c r="F149" i="87" s="1"/>
  <c r="E145" i="87"/>
  <c r="P144" i="87"/>
  <c r="O144" i="87"/>
  <c r="N144" i="87"/>
  <c r="M144" i="87"/>
  <c r="L144" i="87"/>
  <c r="K144" i="87"/>
  <c r="J144" i="87"/>
  <c r="I144" i="87"/>
  <c r="H144" i="87"/>
  <c r="G144" i="87"/>
  <c r="F144" i="87"/>
  <c r="F148" i="87" s="1"/>
  <c r="E144" i="87"/>
  <c r="P143" i="87"/>
  <c r="O143" i="87"/>
  <c r="N143" i="87"/>
  <c r="M143" i="87"/>
  <c r="L143" i="87"/>
  <c r="K143" i="87"/>
  <c r="J143" i="87"/>
  <c r="I143" i="87"/>
  <c r="H143" i="87"/>
  <c r="G143" i="87"/>
  <c r="F143" i="87"/>
  <c r="F147" i="87" s="1"/>
  <c r="E143" i="87"/>
  <c r="P142" i="87"/>
  <c r="O142" i="87"/>
  <c r="N142" i="87"/>
  <c r="M142" i="87"/>
  <c r="L142" i="87"/>
  <c r="K142" i="87"/>
  <c r="J142" i="87"/>
  <c r="I142" i="87"/>
  <c r="H142" i="87"/>
  <c r="G142" i="87"/>
  <c r="F142" i="87"/>
  <c r="F146" i="87" s="1"/>
  <c r="E142" i="87"/>
  <c r="P141" i="87"/>
  <c r="O141" i="87"/>
  <c r="N141" i="87"/>
  <c r="M141" i="87"/>
  <c r="L141" i="87"/>
  <c r="K141" i="87"/>
  <c r="J141" i="87"/>
  <c r="I141" i="87"/>
  <c r="H141" i="87"/>
  <c r="G141" i="87"/>
  <c r="F141" i="87"/>
  <c r="E141" i="87"/>
  <c r="P140" i="87"/>
  <c r="O140" i="87"/>
  <c r="N140" i="87"/>
  <c r="M140" i="87"/>
  <c r="L140" i="87"/>
  <c r="K140" i="87"/>
  <c r="J140" i="87"/>
  <c r="I140" i="87"/>
  <c r="H140" i="87"/>
  <c r="G140" i="87"/>
  <c r="F140" i="87"/>
  <c r="E140" i="87"/>
  <c r="P139" i="87"/>
  <c r="O139" i="87"/>
  <c r="N139" i="87"/>
  <c r="M139" i="87"/>
  <c r="L139" i="87"/>
  <c r="K139" i="87"/>
  <c r="J139" i="87"/>
  <c r="I139" i="87"/>
  <c r="H139" i="87"/>
  <c r="G139" i="87"/>
  <c r="F139" i="87"/>
  <c r="E139" i="87"/>
  <c r="P138" i="87"/>
  <c r="O138" i="87"/>
  <c r="N138" i="87"/>
  <c r="M138" i="87"/>
  <c r="L138" i="87"/>
  <c r="K138" i="87"/>
  <c r="J138" i="87"/>
  <c r="I138" i="87"/>
  <c r="H138" i="87"/>
  <c r="G138" i="87"/>
  <c r="F138" i="87"/>
  <c r="E138" i="87"/>
  <c r="P137" i="87"/>
  <c r="O137" i="87"/>
  <c r="N137" i="87"/>
  <c r="M137" i="87"/>
  <c r="L137" i="87"/>
  <c r="K137" i="87"/>
  <c r="J137" i="87"/>
  <c r="I137" i="87"/>
  <c r="H137" i="87"/>
  <c r="G137" i="87"/>
  <c r="F137" i="87"/>
  <c r="E137" i="87"/>
  <c r="P136" i="87"/>
  <c r="O136" i="87"/>
  <c r="N136" i="87"/>
  <c r="M136" i="87"/>
  <c r="L136" i="87"/>
  <c r="K136" i="87"/>
  <c r="J136" i="87"/>
  <c r="I136" i="87"/>
  <c r="H136" i="87"/>
  <c r="G136" i="87"/>
  <c r="F136" i="87"/>
  <c r="E136" i="87"/>
  <c r="P135" i="87"/>
  <c r="O135" i="87"/>
  <c r="N135" i="87"/>
  <c r="M135" i="87"/>
  <c r="L135" i="87"/>
  <c r="K135" i="87"/>
  <c r="J135" i="87"/>
  <c r="I135" i="87"/>
  <c r="H135" i="87"/>
  <c r="G135" i="87"/>
  <c r="F135" i="87"/>
  <c r="E135" i="87"/>
  <c r="P134" i="87"/>
  <c r="O134" i="87"/>
  <c r="N134" i="87"/>
  <c r="M134" i="87"/>
  <c r="L134" i="87"/>
  <c r="K134" i="87"/>
  <c r="J134" i="87"/>
  <c r="I134" i="87"/>
  <c r="H134" i="87"/>
  <c r="G134" i="87"/>
  <c r="F134" i="87"/>
  <c r="E134" i="87"/>
  <c r="P133" i="87"/>
  <c r="O133" i="87"/>
  <c r="N133" i="87"/>
  <c r="M133" i="87"/>
  <c r="L133" i="87"/>
  <c r="K133" i="87"/>
  <c r="J133" i="87"/>
  <c r="I133" i="87"/>
  <c r="H133" i="87"/>
  <c r="G133" i="87"/>
  <c r="F133" i="87"/>
  <c r="E133" i="87"/>
  <c r="P132" i="87"/>
  <c r="O132" i="87"/>
  <c r="N132" i="87"/>
  <c r="M132" i="87"/>
  <c r="L132" i="87"/>
  <c r="K132" i="87"/>
  <c r="J132" i="87"/>
  <c r="I132" i="87"/>
  <c r="H132" i="87"/>
  <c r="G132" i="87"/>
  <c r="F132" i="87"/>
  <c r="E132" i="87"/>
  <c r="P131" i="87"/>
  <c r="O131" i="87"/>
  <c r="N131" i="87"/>
  <c r="M131" i="87"/>
  <c r="L131" i="87"/>
  <c r="K131" i="87"/>
  <c r="J131" i="87"/>
  <c r="I131" i="87"/>
  <c r="H131" i="87"/>
  <c r="G131" i="87"/>
  <c r="F131" i="87"/>
  <c r="E131" i="87"/>
  <c r="P130" i="87"/>
  <c r="O130" i="87"/>
  <c r="N130" i="87"/>
  <c r="M130" i="87"/>
  <c r="L130" i="87"/>
  <c r="K130" i="87"/>
  <c r="J130" i="87"/>
  <c r="I130" i="87"/>
  <c r="H130" i="87"/>
  <c r="G130" i="87"/>
  <c r="F130" i="87"/>
  <c r="E130" i="87"/>
  <c r="P129" i="87"/>
  <c r="O129" i="87"/>
  <c r="N129" i="87"/>
  <c r="M129" i="87"/>
  <c r="L129" i="87"/>
  <c r="K129" i="87"/>
  <c r="J129" i="87"/>
  <c r="I129" i="87"/>
  <c r="H129" i="87"/>
  <c r="G129" i="87"/>
  <c r="F129" i="87"/>
  <c r="E129" i="87"/>
  <c r="P128" i="87"/>
  <c r="O128" i="87"/>
  <c r="N128" i="87"/>
  <c r="M128" i="87"/>
  <c r="L128" i="87"/>
  <c r="K128" i="87"/>
  <c r="J128" i="87"/>
  <c r="I128" i="87"/>
  <c r="H128" i="87"/>
  <c r="G128" i="87"/>
  <c r="F128" i="87"/>
  <c r="E128" i="87"/>
  <c r="P127" i="87"/>
  <c r="O127" i="87"/>
  <c r="N127" i="87"/>
  <c r="M127" i="87"/>
  <c r="L127" i="87"/>
  <c r="K127" i="87"/>
  <c r="J127" i="87"/>
  <c r="I127" i="87"/>
  <c r="H127" i="87"/>
  <c r="G127" i="87"/>
  <c r="F127" i="87"/>
  <c r="E127" i="87"/>
  <c r="P126" i="87"/>
  <c r="O126" i="87"/>
  <c r="N126" i="87"/>
  <c r="M126" i="87"/>
  <c r="L126" i="87"/>
  <c r="K126" i="87"/>
  <c r="J126" i="87"/>
  <c r="I126" i="87"/>
  <c r="H126" i="87"/>
  <c r="G126" i="87"/>
  <c r="F126" i="87"/>
  <c r="E126" i="87"/>
  <c r="P125" i="87"/>
  <c r="O125" i="87"/>
  <c r="N125" i="87"/>
  <c r="M125" i="87"/>
  <c r="L125" i="87"/>
  <c r="K125" i="87"/>
  <c r="J125" i="87"/>
  <c r="I125" i="87"/>
  <c r="H125" i="87"/>
  <c r="G125" i="87"/>
  <c r="F125" i="87"/>
  <c r="E125" i="87"/>
  <c r="P124" i="87"/>
  <c r="O124" i="87"/>
  <c r="N124" i="87"/>
  <c r="M124" i="87"/>
  <c r="L124" i="87"/>
  <c r="K124" i="87"/>
  <c r="J124" i="87"/>
  <c r="I124" i="87"/>
  <c r="H124" i="87"/>
  <c r="G124" i="87"/>
  <c r="F124" i="87"/>
  <c r="E124" i="87"/>
  <c r="P123" i="87"/>
  <c r="O123" i="87"/>
  <c r="N123" i="87"/>
  <c r="M123" i="87"/>
  <c r="L123" i="87"/>
  <c r="K123" i="87"/>
  <c r="J123" i="87"/>
  <c r="I123" i="87"/>
  <c r="H123" i="87"/>
  <c r="G123" i="87"/>
  <c r="F123" i="87"/>
  <c r="E123" i="87"/>
  <c r="P122" i="87"/>
  <c r="O122" i="87"/>
  <c r="N122" i="87"/>
  <c r="M122" i="87"/>
  <c r="L122" i="87"/>
  <c r="K122" i="87"/>
  <c r="J122" i="87"/>
  <c r="I122" i="87"/>
  <c r="H122" i="87"/>
  <c r="G122" i="87"/>
  <c r="F122" i="87"/>
  <c r="E122" i="87"/>
  <c r="P121" i="87"/>
  <c r="O121" i="87"/>
  <c r="N121" i="87"/>
  <c r="M121" i="87"/>
  <c r="L121" i="87"/>
  <c r="K121" i="87"/>
  <c r="J121" i="87"/>
  <c r="I121" i="87"/>
  <c r="H121" i="87"/>
  <c r="G121" i="87"/>
  <c r="F121" i="87"/>
  <c r="E121" i="87"/>
  <c r="P120" i="87"/>
  <c r="O120" i="87"/>
  <c r="N120" i="87"/>
  <c r="M120" i="87"/>
  <c r="L120" i="87"/>
  <c r="K120" i="87"/>
  <c r="J120" i="87"/>
  <c r="I120" i="87"/>
  <c r="H120" i="87"/>
  <c r="G120" i="87"/>
  <c r="F120" i="87"/>
  <c r="E120" i="87"/>
  <c r="P119" i="87"/>
  <c r="O119" i="87"/>
  <c r="N119" i="87"/>
  <c r="M119" i="87"/>
  <c r="L119" i="87"/>
  <c r="K119" i="87"/>
  <c r="J119" i="87"/>
  <c r="I119" i="87"/>
  <c r="H119" i="87"/>
  <c r="G119" i="87"/>
  <c r="F119" i="87"/>
  <c r="E119" i="87"/>
  <c r="P118" i="87"/>
  <c r="O118" i="87"/>
  <c r="N118" i="87"/>
  <c r="M118" i="87"/>
  <c r="L118" i="87"/>
  <c r="K118" i="87"/>
  <c r="J118" i="87"/>
  <c r="I118" i="87"/>
  <c r="H118" i="87"/>
  <c r="G118" i="87"/>
  <c r="F118" i="87"/>
  <c r="E118" i="87"/>
  <c r="M117" i="87"/>
  <c r="L117" i="87"/>
  <c r="J117" i="87"/>
  <c r="I117" i="87"/>
  <c r="H117" i="87"/>
  <c r="G117" i="87"/>
  <c r="F117" i="87"/>
  <c r="E117" i="87"/>
  <c r="M116" i="87"/>
  <c r="L116" i="87"/>
  <c r="J116" i="87"/>
  <c r="I116" i="87"/>
  <c r="H116" i="87"/>
  <c r="G116" i="87"/>
  <c r="F116" i="87"/>
  <c r="E116" i="87"/>
  <c r="M115" i="87"/>
  <c r="J115" i="87"/>
  <c r="I115" i="87"/>
  <c r="H115" i="87"/>
  <c r="G115" i="87"/>
  <c r="F115" i="87"/>
  <c r="E115" i="87"/>
  <c r="M114" i="87"/>
  <c r="J114" i="87"/>
  <c r="I114" i="87"/>
  <c r="H114" i="87"/>
  <c r="G114" i="87"/>
  <c r="F114" i="87"/>
  <c r="E114" i="87"/>
  <c r="M113" i="87"/>
  <c r="J113" i="87"/>
  <c r="I113" i="87"/>
  <c r="H113" i="87"/>
  <c r="G113" i="87"/>
  <c r="F113" i="87"/>
  <c r="E113" i="87"/>
  <c r="M112" i="87"/>
  <c r="J112" i="87"/>
  <c r="I112" i="87"/>
  <c r="H112" i="87"/>
  <c r="G112" i="87"/>
  <c r="F112" i="87"/>
  <c r="E112" i="87"/>
  <c r="M111" i="87"/>
  <c r="J111" i="87"/>
  <c r="I111" i="87"/>
  <c r="H111" i="87"/>
  <c r="G111" i="87"/>
  <c r="F111" i="87"/>
  <c r="E111" i="87"/>
  <c r="M110" i="87"/>
  <c r="J110" i="87"/>
  <c r="I110" i="87"/>
  <c r="H110" i="87"/>
  <c r="G110" i="87"/>
  <c r="F110" i="87"/>
  <c r="E110" i="87"/>
  <c r="M109" i="87"/>
  <c r="L109" i="87"/>
  <c r="J109" i="87"/>
  <c r="I109" i="87"/>
  <c r="H109" i="87"/>
  <c r="G109" i="87"/>
  <c r="F109" i="87"/>
  <c r="E109" i="87"/>
  <c r="M108" i="87"/>
  <c r="L108" i="87"/>
  <c r="J108" i="87"/>
  <c r="I108" i="87"/>
  <c r="H108" i="87"/>
  <c r="G108" i="87"/>
  <c r="F108" i="87"/>
  <c r="E108" i="87"/>
  <c r="M107" i="87"/>
  <c r="J107" i="87"/>
  <c r="I107" i="87"/>
  <c r="H107" i="87"/>
  <c r="G107" i="87"/>
  <c r="F107" i="87"/>
  <c r="E107" i="87"/>
  <c r="O106" i="87"/>
  <c r="M106" i="87"/>
  <c r="J106" i="87"/>
  <c r="I106" i="87"/>
  <c r="H106" i="87"/>
  <c r="G106" i="87"/>
  <c r="E106" i="87"/>
  <c r="M105" i="87"/>
  <c r="J105" i="87"/>
  <c r="I105" i="87"/>
  <c r="H105" i="87"/>
  <c r="G105" i="87"/>
  <c r="M104" i="87"/>
  <c r="J104" i="87"/>
  <c r="I104" i="87"/>
  <c r="H104" i="87"/>
  <c r="G104" i="87"/>
  <c r="M103" i="87"/>
  <c r="J103" i="87"/>
  <c r="I103" i="87"/>
  <c r="H103" i="87"/>
  <c r="G103" i="87"/>
  <c r="M102" i="87"/>
  <c r="L102" i="87"/>
  <c r="J102" i="87"/>
  <c r="I102" i="87"/>
  <c r="H102" i="87"/>
  <c r="G102" i="87"/>
  <c r="F98" i="87"/>
  <c r="P101" i="87"/>
  <c r="M101" i="87"/>
  <c r="J101" i="87"/>
  <c r="I101" i="87"/>
  <c r="H101" i="87"/>
  <c r="G101" i="87"/>
  <c r="M100" i="87"/>
  <c r="J100" i="87"/>
  <c r="I100" i="87"/>
  <c r="H100" i="87"/>
  <c r="G100" i="87"/>
  <c r="M99" i="87"/>
  <c r="J99" i="87"/>
  <c r="I99" i="87"/>
  <c r="H99" i="87"/>
  <c r="G99" i="87"/>
  <c r="M98" i="87"/>
  <c r="J98" i="87"/>
  <c r="I98" i="87"/>
  <c r="H98" i="87"/>
  <c r="G98" i="87"/>
  <c r="F94" i="87"/>
  <c r="M97" i="87"/>
  <c r="L97" i="87"/>
  <c r="J97" i="87"/>
  <c r="I97" i="87"/>
  <c r="H97" i="87"/>
  <c r="G97" i="87"/>
  <c r="M96" i="87"/>
  <c r="J96" i="87"/>
  <c r="I96" i="87"/>
  <c r="H96" i="87"/>
  <c r="G96" i="87"/>
  <c r="M95" i="87"/>
  <c r="J95" i="87"/>
  <c r="I95" i="87"/>
  <c r="H95" i="87"/>
  <c r="G95" i="87"/>
  <c r="M94" i="87"/>
  <c r="J94" i="87"/>
  <c r="I94" i="87"/>
  <c r="H94" i="87"/>
  <c r="G94" i="87"/>
  <c r="F90" i="87"/>
  <c r="M89" i="87"/>
  <c r="K93" i="87"/>
  <c r="I89" i="87"/>
  <c r="G89" i="87"/>
  <c r="O88" i="87"/>
  <c r="M92" i="87"/>
  <c r="H88" i="87"/>
  <c r="L91" i="87"/>
  <c r="J91" i="87"/>
  <c r="G90" i="87"/>
  <c r="F86" i="87"/>
  <c r="O41" i="86" a="1"/>
  <c r="O41" i="86" s="1"/>
  <c r="F41" i="86" a="1"/>
  <c r="F41" i="86" s="1"/>
  <c r="M38" i="86" a="1"/>
  <c r="M38" i="86" s="1"/>
  <c r="D38" i="86" a="1"/>
  <c r="D38" i="86" s="1"/>
  <c r="I18" i="86"/>
  <c r="I17" i="86"/>
  <c r="I16" i="86"/>
  <c r="P40" i="85" a="1"/>
  <c r="P40" i="85" s="1"/>
  <c r="F40" i="85" a="1"/>
  <c r="F40" i="85" s="1"/>
  <c r="N37" i="85" a="1"/>
  <c r="N37" i="85" s="1"/>
  <c r="D37" i="85" a="1"/>
  <c r="D37" i="85" s="1"/>
  <c r="I32" i="85"/>
  <c r="I31" i="85"/>
  <c r="P16" i="85"/>
  <c r="F16" i="85"/>
  <c r="W272" i="84" a="1"/>
  <c r="W272" i="84" s="1"/>
  <c r="U269" i="84" a="1"/>
  <c r="U269" i="84" s="1"/>
  <c r="U259" i="84"/>
  <c r="U258" i="84"/>
  <c r="U257" i="84"/>
  <c r="U256" i="84"/>
  <c r="U255" i="84"/>
  <c r="U254" i="84"/>
  <c r="U253" i="84"/>
  <c r="U252" i="84"/>
  <c r="U251" i="84"/>
  <c r="U250" i="84"/>
  <c r="U249" i="84"/>
  <c r="U248" i="84"/>
  <c r="U243" i="84"/>
  <c r="U242" i="84"/>
  <c r="U241" i="84"/>
  <c r="U240" i="84"/>
  <c r="U239" i="84"/>
  <c r="U238" i="84"/>
  <c r="U237" i="84"/>
  <c r="U236" i="84"/>
  <c r="U235" i="84"/>
  <c r="U234" i="84"/>
  <c r="F234" i="84" a="1"/>
  <c r="F234" i="84" s="1"/>
  <c r="U233" i="84"/>
  <c r="U232" i="84"/>
  <c r="D231" i="84" a="1"/>
  <c r="D231" i="84" s="1"/>
  <c r="U227" i="84"/>
  <c r="U226" i="84"/>
  <c r="U225" i="84"/>
  <c r="U224" i="84"/>
  <c r="H224" i="84"/>
  <c r="U223" i="84"/>
  <c r="U222" i="84"/>
  <c r="U221" i="84"/>
  <c r="U220" i="84"/>
  <c r="U219" i="84"/>
  <c r="U218" i="84"/>
  <c r="U217" i="84"/>
  <c r="V216" i="84" a="1"/>
  <c r="U216" i="84"/>
  <c r="U207" i="84"/>
  <c r="U206" i="84"/>
  <c r="U205" i="84"/>
  <c r="U204" i="84"/>
  <c r="U203" i="84"/>
  <c r="U202" i="84"/>
  <c r="U201" i="84"/>
  <c r="U200" i="84"/>
  <c r="U199" i="84"/>
  <c r="U198" i="84"/>
  <c r="U197" i="84"/>
  <c r="U196" i="84"/>
  <c r="U191" i="84"/>
  <c r="E191" i="84" a="1"/>
  <c r="U190" i="84"/>
  <c r="U189" i="84"/>
  <c r="U188" i="84"/>
  <c r="U187" i="84"/>
  <c r="U186" i="84"/>
  <c r="I186" i="84" a="1"/>
  <c r="I186" i="84" s="1"/>
  <c r="U185" i="84"/>
  <c r="I185" i="84" a="1"/>
  <c r="I185" i="84" s="1"/>
  <c r="U184" i="84"/>
  <c r="I184" i="84" a="1"/>
  <c r="I184" i="84" s="1"/>
  <c r="U183" i="84"/>
  <c r="U182" i="84"/>
  <c r="U181" i="84"/>
  <c r="U180" i="84"/>
  <c r="U175" i="84"/>
  <c r="U174" i="84"/>
  <c r="U173" i="84"/>
  <c r="U172" i="84"/>
  <c r="U171" i="84"/>
  <c r="U170" i="84"/>
  <c r="U169" i="84"/>
  <c r="U168" i="84"/>
  <c r="U167" i="84"/>
  <c r="U166" i="84"/>
  <c r="U165" i="84"/>
  <c r="U164" i="84"/>
  <c r="E164" i="84" a="1"/>
  <c r="E164" i="84" s="1"/>
  <c r="U147" i="84"/>
  <c r="I147" i="84"/>
  <c r="U146" i="84"/>
  <c r="I146" i="84" a="1"/>
  <c r="I146" i="84" s="1"/>
  <c r="U145" i="84"/>
  <c r="I145" i="84" a="1"/>
  <c r="I145" i="84" s="1"/>
  <c r="U144" i="84"/>
  <c r="I144" i="84" a="1"/>
  <c r="I144" i="84" s="1"/>
  <c r="U143" i="84"/>
  <c r="I143" i="84" a="1"/>
  <c r="I143" i="84" s="1"/>
  <c r="U142" i="84"/>
  <c r="I142" i="84" a="1"/>
  <c r="I142" i="84" s="1"/>
  <c r="U141" i="84"/>
  <c r="U140" i="84"/>
  <c r="AF200" i="84"/>
  <c r="U139" i="84"/>
  <c r="U138" i="84"/>
  <c r="U137" i="84"/>
  <c r="U136" i="84"/>
  <c r="U131" i="84"/>
  <c r="U130" i="84"/>
  <c r="U129" i="84"/>
  <c r="U128" i="84"/>
  <c r="U127" i="84"/>
  <c r="U126" i="84"/>
  <c r="U125" i="84"/>
  <c r="U124" i="84"/>
  <c r="U123" i="84"/>
  <c r="U122" i="84"/>
  <c r="D122" i="84"/>
  <c r="U121" i="84"/>
  <c r="D121" i="84"/>
  <c r="U120" i="84"/>
  <c r="D120" i="84"/>
  <c r="D119" i="84"/>
  <c r="I114" i="84" a="1"/>
  <c r="I114" i="84" s="1"/>
  <c r="I113" i="84" a="1"/>
  <c r="I113" i="84" s="1"/>
  <c r="I112" i="84" a="1"/>
  <c r="I112" i="84" s="1"/>
  <c r="U111" i="84"/>
  <c r="I111" i="84" a="1"/>
  <c r="I111" i="84" s="1"/>
  <c r="U110" i="84"/>
  <c r="U109" i="84"/>
  <c r="AF141" i="84"/>
  <c r="U108" i="84"/>
  <c r="U107" i="84"/>
  <c r="U106" i="84"/>
  <c r="U105" i="84"/>
  <c r="U104" i="84"/>
  <c r="U103" i="84"/>
  <c r="U102" i="84"/>
  <c r="U101" i="84"/>
  <c r="U100" i="84"/>
  <c r="D98" i="84"/>
  <c r="D97" i="84"/>
  <c r="D96" i="84"/>
  <c r="D95" i="84"/>
  <c r="U83" i="84"/>
  <c r="U82" i="84"/>
  <c r="I82" i="84"/>
  <c r="U81" i="84"/>
  <c r="U80" i="84"/>
  <c r="U79" i="84"/>
  <c r="I79" i="84" a="1"/>
  <c r="I79" i="84" s="1"/>
  <c r="U78" i="84"/>
  <c r="I78" i="84" a="1"/>
  <c r="I78" i="84" s="1"/>
  <c r="U77" i="84"/>
  <c r="U76" i="84"/>
  <c r="U75" i="84"/>
  <c r="U74" i="84"/>
  <c r="U73" i="84"/>
  <c r="U72" i="84"/>
  <c r="U67" i="84"/>
  <c r="U66" i="84"/>
  <c r="U65" i="84"/>
  <c r="U64" i="84"/>
  <c r="U63" i="84"/>
  <c r="U62" i="84"/>
  <c r="U61" i="84"/>
  <c r="U60" i="84"/>
  <c r="U59" i="84"/>
  <c r="U58" i="84"/>
  <c r="U57" i="84"/>
  <c r="U56" i="84"/>
  <c r="I49" i="84" a="1"/>
  <c r="I49" i="84" s="1"/>
  <c r="I48" i="84" a="1"/>
  <c r="I48" i="84" s="1"/>
  <c r="U47" i="84"/>
  <c r="U46" i="84"/>
  <c r="AF73" i="84"/>
  <c r="U45" i="84"/>
  <c r="U44" i="84"/>
  <c r="U43" i="84"/>
  <c r="U42" i="84"/>
  <c r="U41" i="84"/>
  <c r="U40" i="84"/>
  <c r="U39" i="84"/>
  <c r="U38" i="84"/>
  <c r="U37" i="84"/>
  <c r="U36" i="84"/>
  <c r="D36" i="84"/>
  <c r="D35" i="84"/>
  <c r="D34" i="84"/>
  <c r="D33" i="84"/>
  <c r="U31" i="84"/>
  <c r="U30" i="84"/>
  <c r="U29" i="84"/>
  <c r="U28" i="84"/>
  <c r="U27" i="84"/>
  <c r="U26" i="84"/>
  <c r="U25" i="84"/>
  <c r="U24" i="84"/>
  <c r="U23" i="84"/>
  <c r="D23" i="84"/>
  <c r="U22" i="84"/>
  <c r="D22" i="84"/>
  <c r="U21" i="84"/>
  <c r="D21" i="84"/>
  <c r="U20" i="84"/>
  <c r="D20" i="84"/>
  <c r="H15" i="84"/>
  <c r="H14" i="84" a="1"/>
  <c r="H14" i="84" s="1"/>
  <c r="H13" i="84" a="1"/>
  <c r="H13" i="84" s="1"/>
  <c r="AF44" i="84"/>
  <c r="Y281" i="83" a="1"/>
  <c r="Y281" i="83" s="1"/>
  <c r="W278" i="83" a="1"/>
  <c r="W278" i="83" s="1"/>
  <c r="F249" i="83" a="1"/>
  <c r="F249" i="83" s="1"/>
  <c r="W246" i="83"/>
  <c r="X274" i="83" s="1"/>
  <c r="D246" i="83" a="1"/>
  <c r="D246" i="83" s="1"/>
  <c r="W245" i="83"/>
  <c r="X273" i="83" s="1"/>
  <c r="W244" i="83"/>
  <c r="X260" i="83" s="1"/>
  <c r="W243" i="83"/>
  <c r="X271" i="83" s="1"/>
  <c r="W242" i="83"/>
  <c r="X270" i="83" s="1"/>
  <c r="W241" i="83"/>
  <c r="W240" i="83"/>
  <c r="W239" i="83"/>
  <c r="X267" i="83" s="1"/>
  <c r="W238" i="83"/>
  <c r="X254" i="83" s="1"/>
  <c r="W237" i="83"/>
  <c r="X265" i="83" s="1"/>
  <c r="W236" i="83"/>
  <c r="X252" i="83" s="1"/>
  <c r="W235" i="83"/>
  <c r="X251" i="83" s="1"/>
  <c r="W230" i="83"/>
  <c r="W229" i="83"/>
  <c r="W228" i="83"/>
  <c r="W227" i="83"/>
  <c r="W226" i="83"/>
  <c r="W225" i="83"/>
  <c r="W224" i="83"/>
  <c r="W223" i="83"/>
  <c r="W222" i="83"/>
  <c r="W221" i="83"/>
  <c r="W220" i="83"/>
  <c r="X219" i="83" a="1"/>
  <c r="X219" i="83" s="1"/>
  <c r="W219" i="83"/>
  <c r="E219" i="83" a="1"/>
  <c r="E219" i="83" s="1"/>
  <c r="I214" i="83" a="1"/>
  <c r="I214" i="83" s="1"/>
  <c r="I213" i="83" a="1"/>
  <c r="I213" i="83" s="1"/>
  <c r="I212" i="83" a="1"/>
  <c r="I212" i="83" s="1"/>
  <c r="AI253" i="83"/>
  <c r="I160" i="83"/>
  <c r="AB159" i="83"/>
  <c r="I159" i="83"/>
  <c r="I157" i="83" a="1"/>
  <c r="I157" i="83" s="1"/>
  <c r="I156" i="83" a="1"/>
  <c r="I156" i="83" s="1"/>
  <c r="I154" i="83" a="1"/>
  <c r="I154" i="83" s="1"/>
  <c r="W126" i="83"/>
  <c r="W142" i="83" s="1"/>
  <c r="X188" i="83" s="1"/>
  <c r="W125" i="83"/>
  <c r="W141" i="83" s="1"/>
  <c r="W124" i="83"/>
  <c r="W140" i="83" s="1"/>
  <c r="X186" i="83" s="1"/>
  <c r="W123" i="83"/>
  <c r="W139" i="83" s="1"/>
  <c r="W122" i="83"/>
  <c r="W138" i="83" s="1"/>
  <c r="W121" i="83"/>
  <c r="W137" i="83" s="1"/>
  <c r="W120" i="83"/>
  <c r="W136" i="83" s="1"/>
  <c r="W119" i="83"/>
  <c r="W135" i="83" s="1"/>
  <c r="W118" i="83"/>
  <c r="W134" i="83" s="1"/>
  <c r="W117" i="83"/>
  <c r="W133" i="83" s="1"/>
  <c r="W116" i="83"/>
  <c r="W132" i="83" s="1"/>
  <c r="X190" i="83" s="1"/>
  <c r="W115" i="83"/>
  <c r="W131" i="83" s="1"/>
  <c r="I109" i="83" a="1"/>
  <c r="I109" i="83" s="1"/>
  <c r="I108" i="83" a="1"/>
  <c r="I108" i="83" s="1"/>
  <c r="AH134" i="83"/>
  <c r="W87" i="83"/>
  <c r="W86" i="83"/>
  <c r="W85" i="83"/>
  <c r="W84" i="83"/>
  <c r="W83" i="83"/>
  <c r="W82" i="83"/>
  <c r="W81" i="83"/>
  <c r="W80" i="83"/>
  <c r="W79" i="83"/>
  <c r="W78" i="83"/>
  <c r="W77" i="83"/>
  <c r="W76" i="83"/>
  <c r="W71" i="83"/>
  <c r="D71" i="83"/>
  <c r="W70" i="83"/>
  <c r="D70" i="83"/>
  <c r="W69" i="83"/>
  <c r="D69" i="83"/>
  <c r="W68" i="83"/>
  <c r="D68" i="83"/>
  <c r="W67" i="83"/>
  <c r="W66" i="83"/>
  <c r="W65" i="83"/>
  <c r="W64" i="83"/>
  <c r="W63" i="83"/>
  <c r="W62" i="83"/>
  <c r="W61" i="83"/>
  <c r="W60" i="83"/>
  <c r="W55" i="83"/>
  <c r="D55" i="83"/>
  <c r="W54" i="83"/>
  <c r="D54" i="83"/>
  <c r="W53" i="83"/>
  <c r="D53" i="83"/>
  <c r="W52" i="83"/>
  <c r="D52" i="83"/>
  <c r="W51" i="83"/>
  <c r="W50" i="83"/>
  <c r="W49" i="83"/>
  <c r="W48" i="83"/>
  <c r="W47" i="83"/>
  <c r="I47" i="83" a="1"/>
  <c r="I47" i="83" s="1"/>
  <c r="W46" i="83"/>
  <c r="I46" i="83" a="1"/>
  <c r="I46" i="83" s="1"/>
  <c r="W45" i="83"/>
  <c r="I45" i="83" a="1"/>
  <c r="I45" i="83" s="1"/>
  <c r="W44" i="83"/>
  <c r="AH84" i="83"/>
  <c r="AF64" i="84" s="1"/>
  <c r="W39" i="83"/>
  <c r="W38" i="83"/>
  <c r="W37" i="83"/>
  <c r="W36" i="83"/>
  <c r="W35" i="83"/>
  <c r="W34" i="83"/>
  <c r="W33" i="83"/>
  <c r="H33" i="83"/>
  <c r="W32" i="83"/>
  <c r="G32" i="83"/>
  <c r="W31" i="83"/>
  <c r="W30" i="83"/>
  <c r="W29" i="83"/>
  <c r="W28" i="83"/>
  <c r="J16" i="83"/>
  <c r="J13" i="83" a="1"/>
  <c r="J13" i="83" s="1"/>
  <c r="G185" i="82"/>
  <c r="F185" i="82"/>
  <c r="E185" i="82"/>
  <c r="D182" i="82"/>
  <c r="K181" i="82"/>
  <c r="J181" i="82"/>
  <c r="K180" i="82"/>
  <c r="J180" i="82"/>
  <c r="K179" i="82"/>
  <c r="M180" i="82" s="1"/>
  <c r="J179" i="82"/>
  <c r="K178" i="82"/>
  <c r="L178" i="82" s="1"/>
  <c r="J178" i="82"/>
  <c r="E178" i="82"/>
  <c r="D184" i="82" s="1"/>
  <c r="E177" i="82"/>
  <c r="M171" i="82"/>
  <c r="L171" i="82"/>
  <c r="M170" i="82"/>
  <c r="L170" i="82"/>
  <c r="M169" i="82"/>
  <c r="L169" i="82"/>
  <c r="M168" i="82"/>
  <c r="L168" i="82"/>
  <c r="D168" i="82"/>
  <c r="D144" i="82"/>
  <c r="D143" i="82"/>
  <c r="D142" i="82"/>
  <c r="D141" i="82"/>
  <c r="D140" i="82"/>
  <c r="D139" i="82"/>
  <c r="D138" i="82"/>
  <c r="D137" i="82"/>
  <c r="D136" i="82"/>
  <c r="D135" i="82"/>
  <c r="D134" i="82"/>
  <c r="D133" i="82"/>
  <c r="D122" i="82"/>
  <c r="D121" i="82"/>
  <c r="D120" i="82"/>
  <c r="D119" i="82"/>
  <c r="D118" i="82"/>
  <c r="D117" i="82"/>
  <c r="D116" i="82"/>
  <c r="D115" i="82"/>
  <c r="D114" i="82"/>
  <c r="D113" i="82"/>
  <c r="D112" i="82"/>
  <c r="D111" i="82"/>
  <c r="D100" i="82"/>
  <c r="D99" i="82"/>
  <c r="D98" i="82"/>
  <c r="D97" i="82"/>
  <c r="D96" i="82"/>
  <c r="D95" i="82"/>
  <c r="D94" i="82"/>
  <c r="D93" i="82"/>
  <c r="D92" i="82"/>
  <c r="D91" i="82"/>
  <c r="D90" i="82"/>
  <c r="D89" i="82"/>
  <c r="D78" i="82"/>
  <c r="D77" i="82"/>
  <c r="D76" i="82"/>
  <c r="D75" i="82"/>
  <c r="D74" i="82"/>
  <c r="D73" i="82"/>
  <c r="D72" i="82"/>
  <c r="D71" i="82"/>
  <c r="D70" i="82"/>
  <c r="D69" i="82"/>
  <c r="D68" i="82"/>
  <c r="D67" i="82"/>
  <c r="D56" i="82"/>
  <c r="D55" i="82"/>
  <c r="D54" i="82"/>
  <c r="D53" i="82"/>
  <c r="D52" i="82"/>
  <c r="D51" i="82"/>
  <c r="D50" i="82"/>
  <c r="D49" i="82"/>
  <c r="D48" i="82"/>
  <c r="D47" i="82"/>
  <c r="D46" i="82"/>
  <c r="D45" i="82"/>
  <c r="D34" i="82"/>
  <c r="D33" i="82"/>
  <c r="E33" i="82" s="1"/>
  <c r="D32" i="82"/>
  <c r="I32" i="82" s="1"/>
  <c r="D31" i="82"/>
  <c r="N31" i="82" s="1"/>
  <c r="D30" i="82"/>
  <c r="D29" i="82"/>
  <c r="K29" i="82" s="1"/>
  <c r="D28" i="82"/>
  <c r="N28" i="82" s="1"/>
  <c r="D27" i="82"/>
  <c r="K27" i="82" s="1"/>
  <c r="D26" i="82"/>
  <c r="H26" i="82" s="1"/>
  <c r="D25" i="82"/>
  <c r="H25" i="82" s="1"/>
  <c r="D24" i="82"/>
  <c r="K24" i="82" s="1"/>
  <c r="D23" i="82"/>
  <c r="M23" i="82" s="1"/>
  <c r="E7" i="82"/>
  <c r="D52" i="13" a="1"/>
  <c r="D52" i="13" s="1"/>
  <c r="H54" i="81"/>
  <c r="H52" i="81"/>
  <c r="D34" i="13" a="1"/>
  <c r="D34" i="13" s="1"/>
  <c r="G484" i="117" l="1"/>
  <c r="F104" i="94"/>
  <c r="F105" i="94"/>
  <c r="F106" i="94"/>
  <c r="F107" i="94"/>
  <c r="F108" i="94"/>
  <c r="F109" i="94"/>
  <c r="F110" i="94"/>
  <c r="L28" i="88"/>
  <c r="J28" i="88"/>
  <c r="E227" i="83" a="1"/>
  <c r="E227" i="83" s="1"/>
  <c r="E199" i="84" a="1"/>
  <c r="E199" i="84" s="1"/>
  <c r="L16" i="113"/>
  <c r="R19" i="113"/>
  <c r="L18" i="113"/>
  <c r="O15" i="113"/>
  <c r="L11" i="113"/>
  <c r="O11" i="113"/>
  <c r="L352" i="117"/>
  <c r="L353" i="117"/>
  <c r="L359" i="117"/>
  <c r="L354" i="117"/>
  <c r="L355" i="117"/>
  <c r="L356" i="117"/>
  <c r="L357" i="117"/>
  <c r="L358" i="117"/>
  <c r="L360" i="117"/>
  <c r="D67" i="95"/>
  <c r="E20" i="107"/>
  <c r="T14" i="108"/>
  <c r="E35" i="102"/>
  <c r="E28" i="102"/>
  <c r="M27" i="102" a="1"/>
  <c r="M27" i="102" s="1"/>
  <c r="L27" i="102" a="1"/>
  <c r="L27" i="102" s="1"/>
  <c r="M38" i="102" a="1"/>
  <c r="M38" i="102" s="1"/>
  <c r="J87" i="118"/>
  <c r="F495" i="117" a="1"/>
  <c r="F495" i="117" s="1"/>
  <c r="G391" i="117" a="1"/>
  <c r="G391" i="117" s="1"/>
  <c r="G390" i="117" a="1"/>
  <c r="G390" i="117" s="1"/>
  <c r="G389" i="117" a="1"/>
  <c r="G389" i="117" s="1"/>
  <c r="G388" i="117" a="1"/>
  <c r="G388" i="117" s="1"/>
  <c r="G387" i="117" a="1"/>
  <c r="G387" i="117" s="1"/>
  <c r="G386" i="117" a="1"/>
  <c r="G386" i="117" s="1"/>
  <c r="G385" i="117" a="1"/>
  <c r="G385" i="117" s="1"/>
  <c r="G384" i="117" a="1"/>
  <c r="G384" i="117" s="1"/>
  <c r="G383" i="117" a="1"/>
  <c r="G383" i="117" s="1"/>
  <c r="G382" i="117" a="1"/>
  <c r="G382" i="117" s="1"/>
  <c r="H382" i="117" s="1"/>
  <c r="F12" i="89"/>
  <c r="R13" i="89" a="1"/>
  <c r="R13" i="89" s="1"/>
  <c r="N14" i="89" a="1"/>
  <c r="N14" i="89" s="1"/>
  <c r="K15" i="89" a="1"/>
  <c r="K15" i="89" s="1"/>
  <c r="F16" i="89"/>
  <c r="Y16" i="89"/>
  <c r="T18" i="89" a="1"/>
  <c r="T18" i="89" s="1"/>
  <c r="R19" i="89" a="1"/>
  <c r="R19" i="89" s="1"/>
  <c r="P20" i="89" a="1"/>
  <c r="P20" i="89" s="1"/>
  <c r="M34" i="102" a="1"/>
  <c r="M34" i="102" s="1"/>
  <c r="L34" i="102" a="1"/>
  <c r="L34" i="102" s="1"/>
  <c r="M31" i="101" a="1"/>
  <c r="M31" i="101" s="1"/>
  <c r="J18" i="108" a="1"/>
  <c r="J18" i="108" s="1"/>
  <c r="E317" i="117" a="1"/>
  <c r="E317" i="117" s="1"/>
  <c r="E316" i="117" a="1"/>
  <c r="E316" i="117" s="1"/>
  <c r="E315" i="117" a="1"/>
  <c r="E315" i="117" s="1"/>
  <c r="H12" i="89"/>
  <c r="I12" i="89" s="1"/>
  <c r="W12" i="89" a="1"/>
  <c r="W12" i="89" s="1"/>
  <c r="S13" i="89" a="1"/>
  <c r="S13" i="89" s="1"/>
  <c r="O14" i="89" a="1"/>
  <c r="O14" i="89" s="1"/>
  <c r="L15" i="89" a="1"/>
  <c r="L15" i="89" s="1"/>
  <c r="H16" i="89"/>
  <c r="Z16" i="89"/>
  <c r="W17" i="89" a="1"/>
  <c r="W17" i="89" s="1"/>
  <c r="U18" i="89" a="1"/>
  <c r="U18" i="89" s="1"/>
  <c r="S19" i="89" a="1"/>
  <c r="S19" i="89" s="1"/>
  <c r="Q20" i="89" a="1"/>
  <c r="Q20" i="89" s="1"/>
  <c r="E30" i="102"/>
  <c r="E37" i="102"/>
  <c r="J39" i="102"/>
  <c r="I39" i="102"/>
  <c r="H39" i="102"/>
  <c r="G39" i="102"/>
  <c r="M36" i="101" a="1"/>
  <c r="M36" i="101" s="1"/>
  <c r="L36" i="101" a="1"/>
  <c r="L36" i="101" s="1"/>
  <c r="M39" i="102" a="1"/>
  <c r="M39" i="102" s="1"/>
  <c r="G453" i="117" a="1"/>
  <c r="G453" i="117" s="1"/>
  <c r="G451" i="117" a="1"/>
  <c r="G451" i="117" s="1"/>
  <c r="G450" i="117" a="1"/>
  <c r="G450" i="117" s="1"/>
  <c r="H450" i="117" s="1"/>
  <c r="G449" i="117" a="1"/>
  <c r="G449" i="117" s="1"/>
  <c r="H449" i="117" s="1"/>
  <c r="G448" i="117" a="1"/>
  <c r="G448" i="117" s="1"/>
  <c r="H448" i="117" s="1"/>
  <c r="J12" i="89" a="1"/>
  <c r="J12" i="89" s="1"/>
  <c r="Y12" i="89"/>
  <c r="T13" i="89" a="1"/>
  <c r="T13" i="89" s="1"/>
  <c r="P14" i="89" a="1"/>
  <c r="P14" i="89" s="1"/>
  <c r="M15" i="89" a="1"/>
  <c r="M15" i="89" s="1"/>
  <c r="J16" i="89" a="1"/>
  <c r="J16" i="89" s="1"/>
  <c r="H17" i="89"/>
  <c r="Y17" i="89"/>
  <c r="T19" i="89" a="1"/>
  <c r="T19" i="89" s="1"/>
  <c r="S20" i="89" a="1"/>
  <c r="S20" i="89" s="1"/>
  <c r="M25" i="102" a="1"/>
  <c r="M25" i="102" s="1"/>
  <c r="L25" i="102" a="1"/>
  <c r="L25" i="102" s="1"/>
  <c r="M27" i="101" a="1"/>
  <c r="M27" i="101" s="1"/>
  <c r="M32" i="101" a="1"/>
  <c r="M32" i="101" s="1"/>
  <c r="K12" i="89" a="1"/>
  <c r="K12" i="89" s="1"/>
  <c r="Z12" i="89"/>
  <c r="U13" i="89" a="1"/>
  <c r="U13" i="89" s="1"/>
  <c r="Q14" i="89" a="1"/>
  <c r="Q14" i="89" s="1"/>
  <c r="N15" i="89" a="1"/>
  <c r="N15" i="89" s="1"/>
  <c r="K16" i="89" a="1"/>
  <c r="K16" i="89" s="1"/>
  <c r="J17" i="89" a="1"/>
  <c r="J17" i="89" s="1"/>
  <c r="Z17" i="89"/>
  <c r="W18" i="89" a="1"/>
  <c r="W18" i="89" s="1"/>
  <c r="U19" i="89" a="1"/>
  <c r="U19" i="89" s="1"/>
  <c r="T20" i="89" a="1"/>
  <c r="T20" i="89" s="1"/>
  <c r="E33" i="102"/>
  <c r="E26" i="102"/>
  <c r="E38" i="102"/>
  <c r="E31" i="102"/>
  <c r="M32" i="102" a="1"/>
  <c r="M32" i="102" s="1"/>
  <c r="M28" i="102" a="1"/>
  <c r="M28" i="102" s="1"/>
  <c r="M40" i="102" a="1"/>
  <c r="M40" i="102" s="1"/>
  <c r="L12" i="89" a="1"/>
  <c r="L12" i="89" s="1"/>
  <c r="F13" i="89"/>
  <c r="R14" i="89" a="1"/>
  <c r="R14" i="89" s="1"/>
  <c r="O15" i="89" a="1"/>
  <c r="O15" i="89" s="1"/>
  <c r="M16" i="89" a="1"/>
  <c r="M16" i="89" s="1"/>
  <c r="K17" i="89" a="1"/>
  <c r="K17" i="89" s="1"/>
  <c r="F18" i="89"/>
  <c r="Y18" i="89"/>
  <c r="W19" i="89" a="1"/>
  <c r="W19" i="89" s="1"/>
  <c r="U20" i="89" a="1"/>
  <c r="U20" i="89" s="1"/>
  <c r="I15" i="98" a="1"/>
  <c r="I15" i="98" s="1"/>
  <c r="E18" i="98" s="1"/>
  <c r="E38" i="101"/>
  <c r="E26" i="101"/>
  <c r="G26" i="101" s="1" a="1"/>
  <c r="G26" i="101" s="1"/>
  <c r="E33" i="101"/>
  <c r="J33" i="101" s="1" a="1"/>
  <c r="J33" i="101" s="1"/>
  <c r="M34" i="101" a="1"/>
  <c r="M34" i="101" s="1"/>
  <c r="L34" i="101" a="1"/>
  <c r="L34" i="101" s="1"/>
  <c r="M35" i="102" a="1"/>
  <c r="M35" i="102" s="1"/>
  <c r="L35" i="102" a="1"/>
  <c r="L35" i="102" s="1"/>
  <c r="D7" i="114"/>
  <c r="D177" i="117" s="1"/>
  <c r="F177" i="117" s="1" a="1"/>
  <c r="F177" i="117" s="1"/>
  <c r="G177" i="117" s="1"/>
  <c r="D179" i="117"/>
  <c r="F179" i="117" s="1" a="1"/>
  <c r="F179" i="117" s="1"/>
  <c r="G179" i="117" s="1"/>
  <c r="D178" i="117"/>
  <c r="F178" i="117" s="1" a="1"/>
  <c r="F178" i="117" s="1"/>
  <c r="G178" i="117" s="1"/>
  <c r="M12" i="89" a="1"/>
  <c r="M12" i="89" s="1"/>
  <c r="H13" i="89"/>
  <c r="W13" i="89" a="1"/>
  <c r="W13" i="89" s="1"/>
  <c r="S14" i="89" a="1"/>
  <c r="S14" i="89" s="1"/>
  <c r="Q15" i="89" a="1"/>
  <c r="Q15" i="89" s="1"/>
  <c r="N16" i="89" a="1"/>
  <c r="N16" i="89" s="1"/>
  <c r="L17" i="89" a="1"/>
  <c r="L17" i="89" s="1"/>
  <c r="H18" i="89"/>
  <c r="Z18" i="89"/>
  <c r="Y19" i="89"/>
  <c r="E32" i="102"/>
  <c r="E25" i="102"/>
  <c r="M25" i="101" a="1"/>
  <c r="M25" i="101" s="1"/>
  <c r="L25" i="101" a="1"/>
  <c r="L25" i="101" s="1"/>
  <c r="M28" i="101" a="1"/>
  <c r="M28" i="101" s="1"/>
  <c r="O90" i="119"/>
  <c r="Q89" i="119" s="1"/>
  <c r="X128" i="117" a="1"/>
  <c r="X128" i="117" s="1"/>
  <c r="P125" i="117" a="1"/>
  <c r="P125" i="117" s="1"/>
  <c r="X121" i="117" a="1"/>
  <c r="X121" i="117" s="1"/>
  <c r="T128" i="117" a="1"/>
  <c r="T128" i="117" s="1"/>
  <c r="AB124" i="117" a="1"/>
  <c r="AB124" i="117" s="1"/>
  <c r="T121" i="117" a="1"/>
  <c r="T121" i="117" s="1"/>
  <c r="P120" i="117" a="1"/>
  <c r="P120" i="117" s="1"/>
  <c r="P128" i="117" a="1"/>
  <c r="P128" i="117" s="1"/>
  <c r="X124" i="117" a="1"/>
  <c r="X124" i="117" s="1"/>
  <c r="P121" i="117" a="1"/>
  <c r="P121" i="117" s="1"/>
  <c r="AB127" i="117" a="1"/>
  <c r="AB127" i="117" s="1"/>
  <c r="T124" i="117" a="1"/>
  <c r="T124" i="117" s="1"/>
  <c r="AB120" i="117" a="1"/>
  <c r="AB120" i="117" s="1"/>
  <c r="X127" i="117" a="1"/>
  <c r="X127" i="117" s="1"/>
  <c r="P124" i="117" a="1"/>
  <c r="P124" i="117" s="1"/>
  <c r="T127" i="117" a="1"/>
  <c r="T127" i="117" s="1"/>
  <c r="AB123" i="117" a="1"/>
  <c r="AB123" i="117" s="1"/>
  <c r="P127" i="117" a="1"/>
  <c r="P127" i="117" s="1"/>
  <c r="X123" i="117" a="1"/>
  <c r="X123" i="117" s="1"/>
  <c r="AB126" i="117" a="1"/>
  <c r="AB126" i="117" s="1"/>
  <c r="T123" i="117" a="1"/>
  <c r="T123" i="117" s="1"/>
  <c r="X120" i="117" a="1"/>
  <c r="X120" i="117" s="1"/>
  <c r="X126" i="117" a="1"/>
  <c r="X126" i="117" s="1"/>
  <c r="P123" i="117" a="1"/>
  <c r="P123" i="117" s="1"/>
  <c r="AB129" i="117" a="1"/>
  <c r="AB129" i="117" s="1"/>
  <c r="T126" i="117" a="1"/>
  <c r="T126" i="117" s="1"/>
  <c r="AB122" i="117" a="1"/>
  <c r="AB122" i="117" s="1"/>
  <c r="X129" i="117" a="1"/>
  <c r="X129" i="117" s="1"/>
  <c r="P126" i="117" a="1"/>
  <c r="P126" i="117" s="1"/>
  <c r="X122" i="117" a="1"/>
  <c r="X122" i="117" s="1"/>
  <c r="T129" i="117" a="1"/>
  <c r="T129" i="117" s="1"/>
  <c r="AB125" i="117" a="1"/>
  <c r="AB125" i="117" s="1"/>
  <c r="T122" i="117" a="1"/>
  <c r="T122" i="117" s="1"/>
  <c r="T120" i="117" a="1"/>
  <c r="T120" i="117" s="1"/>
  <c r="P129" i="117" a="1"/>
  <c r="P129" i="117" s="1"/>
  <c r="X125" i="117" a="1"/>
  <c r="X125" i="117" s="1"/>
  <c r="P122" i="117" a="1"/>
  <c r="P122" i="117" s="1"/>
  <c r="AB128" i="117" a="1"/>
  <c r="AB128" i="117" s="1"/>
  <c r="T125" i="117" a="1"/>
  <c r="T125" i="117" s="1"/>
  <c r="AB121" i="117" a="1"/>
  <c r="AB121" i="117" s="1"/>
  <c r="F481" i="117" a="1"/>
  <c r="F481" i="117" s="1"/>
  <c r="G481" i="117" s="1"/>
  <c r="L242" i="119"/>
  <c r="N241" i="119" s="1"/>
  <c r="F153" i="117" a="1"/>
  <c r="F153" i="117" s="1"/>
  <c r="F152" i="117" a="1"/>
  <c r="F152" i="117" s="1"/>
  <c r="F151" i="117" a="1"/>
  <c r="F151" i="117" s="1"/>
  <c r="F150" i="117" a="1"/>
  <c r="F150" i="117" s="1"/>
  <c r="F149" i="117" a="1"/>
  <c r="F149" i="117" s="1"/>
  <c r="F148" i="117" a="1"/>
  <c r="F148" i="117" s="1"/>
  <c r="G148" i="117" s="1"/>
  <c r="N12" i="89" a="1"/>
  <c r="N12" i="89" s="1"/>
  <c r="J13" i="89" a="1"/>
  <c r="J13" i="89" s="1"/>
  <c r="Y13" i="89"/>
  <c r="U14" i="89" a="1"/>
  <c r="U14" i="89" s="1"/>
  <c r="R15" i="89" a="1"/>
  <c r="R15" i="89" s="1"/>
  <c r="O16" i="89" a="1"/>
  <c r="O16" i="89" s="1"/>
  <c r="M17" i="89" a="1"/>
  <c r="M17" i="89" s="1"/>
  <c r="J18" i="89" a="1"/>
  <c r="J18" i="89" s="1"/>
  <c r="H19" i="89"/>
  <c r="Z19" i="89"/>
  <c r="Y20" i="89"/>
  <c r="M33" i="101" a="1"/>
  <c r="M33" i="101" s="1"/>
  <c r="M29" i="102" a="1"/>
  <c r="M29" i="102" s="1"/>
  <c r="L29" i="102" a="1"/>
  <c r="L29" i="102" s="1"/>
  <c r="I33" i="118"/>
  <c r="G472" i="117" a="1"/>
  <c r="G472" i="117" s="1"/>
  <c r="G470" i="117" a="1"/>
  <c r="G470" i="117" s="1"/>
  <c r="G469" i="117" a="1"/>
  <c r="G469" i="117" s="1"/>
  <c r="G467" i="117" a="1"/>
  <c r="G467" i="117" s="1"/>
  <c r="H467" i="117" s="1"/>
  <c r="O12" i="89" a="1"/>
  <c r="O12" i="89" s="1"/>
  <c r="K13" i="89" a="1"/>
  <c r="K13" i="89" s="1"/>
  <c r="Z13" i="89"/>
  <c r="S15" i="89" a="1"/>
  <c r="S15" i="89" s="1"/>
  <c r="P16" i="89" a="1"/>
  <c r="P16" i="89" s="1"/>
  <c r="K18" i="89" a="1"/>
  <c r="K18" i="89" s="1"/>
  <c r="J19" i="89" a="1"/>
  <c r="J19" i="89" s="1"/>
  <c r="F20" i="89"/>
  <c r="Z20" i="89"/>
  <c r="G445" i="117" a="1"/>
  <c r="G445" i="117" s="1"/>
  <c r="H445" i="117" s="1"/>
  <c r="E27" i="102"/>
  <c r="E34" i="102"/>
  <c r="E29" i="102"/>
  <c r="E36" i="102"/>
  <c r="M37" i="101" a="1"/>
  <c r="M37" i="101" s="1"/>
  <c r="L37" i="101" a="1"/>
  <c r="L37" i="101" s="1"/>
  <c r="M36" i="102" a="1"/>
  <c r="M36" i="102" s="1"/>
  <c r="L36" i="102" a="1"/>
  <c r="L36" i="102" s="1"/>
  <c r="F496" i="117" a="1"/>
  <c r="F496" i="117" s="1"/>
  <c r="G496" i="117" s="1"/>
  <c r="D47" i="114"/>
  <c r="D494" i="117" s="1"/>
  <c r="F494" i="117" s="1" a="1"/>
  <c r="F494" i="117" s="1"/>
  <c r="G494" i="117" s="1"/>
  <c r="F485" i="117" a="1"/>
  <c r="F485" i="117" s="1"/>
  <c r="G485" i="117" s="1"/>
  <c r="P12" i="89" a="1"/>
  <c r="P12" i="89" s="1"/>
  <c r="L13" i="89" a="1"/>
  <c r="L13" i="89" s="1"/>
  <c r="F14" i="89"/>
  <c r="W14" i="89" a="1"/>
  <c r="W14" i="89" s="1"/>
  <c r="T15" i="89" a="1"/>
  <c r="T15" i="89" s="1"/>
  <c r="Q16" i="89" a="1"/>
  <c r="Q16" i="89" s="1"/>
  <c r="N17" i="89" a="1"/>
  <c r="N17" i="89" s="1"/>
  <c r="M18" i="89" a="1"/>
  <c r="M18" i="89" s="1"/>
  <c r="K19" i="89" a="1"/>
  <c r="K19" i="89" s="1"/>
  <c r="J20" i="89" a="1"/>
  <c r="J20" i="89" s="1"/>
  <c r="F21" i="89"/>
  <c r="J40" i="102"/>
  <c r="I40" i="102"/>
  <c r="H40" i="102"/>
  <c r="G40" i="102"/>
  <c r="M26" i="102" a="1"/>
  <c r="M26" i="102" s="1"/>
  <c r="L26" i="102" a="1"/>
  <c r="L26" i="102" s="1"/>
  <c r="M29" i="101" a="1"/>
  <c r="M29" i="101" s="1"/>
  <c r="L29" i="101" a="1"/>
  <c r="L29" i="101" s="1"/>
  <c r="D21" i="105" a="1"/>
  <c r="D59" i="105" a="1"/>
  <c r="D116" i="105" a="1"/>
  <c r="D116" i="105" s="1"/>
  <c r="D157" i="105" a="1"/>
  <c r="D12" i="114"/>
  <c r="D137" i="117" s="1"/>
  <c r="F137" i="117" s="1" a="1"/>
  <c r="F137" i="117" s="1"/>
  <c r="G137" i="117" s="1"/>
  <c r="D140" i="117"/>
  <c r="F140" i="117" s="1" a="1"/>
  <c r="F140" i="117" s="1"/>
  <c r="D139" i="117"/>
  <c r="F139" i="117" s="1" a="1"/>
  <c r="F139" i="117" s="1"/>
  <c r="D138" i="117"/>
  <c r="F138" i="117" s="1" a="1"/>
  <c r="F138" i="117" s="1"/>
  <c r="G138" i="117" s="1"/>
  <c r="Q12" i="89" a="1"/>
  <c r="Q12" i="89" s="1"/>
  <c r="M13" i="89" a="1"/>
  <c r="M13" i="89" s="1"/>
  <c r="H14" i="89"/>
  <c r="I14" i="89" s="1"/>
  <c r="Y14" i="89"/>
  <c r="U15" i="89" a="1"/>
  <c r="U15" i="89" s="1"/>
  <c r="R16" i="89" a="1"/>
  <c r="R16" i="89" s="1"/>
  <c r="O17" i="89" a="1"/>
  <c r="O17" i="89" s="1"/>
  <c r="N18" i="89" a="1"/>
  <c r="N18" i="89" s="1"/>
  <c r="L19" i="89" a="1"/>
  <c r="L19" i="89" s="1"/>
  <c r="K20" i="89" a="1"/>
  <c r="K20" i="89" s="1"/>
  <c r="H21" i="89"/>
  <c r="D183" i="82"/>
  <c r="U22" i="88"/>
  <c r="V34" i="88" s="1" a="1"/>
  <c r="V34" i="88" s="1"/>
  <c r="W34" i="88" s="1" a="1"/>
  <c r="W34" i="88" s="1"/>
  <c r="J39" i="101" a="1"/>
  <c r="J39" i="101" s="1"/>
  <c r="J36" i="101" a="1"/>
  <c r="J36" i="101" s="1"/>
  <c r="H29" i="101" a="1"/>
  <c r="H29" i="101" s="1"/>
  <c r="I39" i="101" a="1"/>
  <c r="I39" i="101" s="1"/>
  <c r="I36" i="101" a="1"/>
  <c r="I36" i="101" s="1"/>
  <c r="K30" i="101" a="1"/>
  <c r="K30" i="101" s="1"/>
  <c r="G29" i="101" a="1"/>
  <c r="G29" i="101" s="1"/>
  <c r="K27" i="101" a="1"/>
  <c r="K27" i="101" s="1"/>
  <c r="H39" i="101" a="1"/>
  <c r="H39" i="101" s="1"/>
  <c r="H36" i="101" a="1"/>
  <c r="H36" i="101" s="1"/>
  <c r="H33" i="101" a="1"/>
  <c r="H33" i="101" s="1"/>
  <c r="J30" i="101" a="1"/>
  <c r="J30" i="101" s="1"/>
  <c r="J27" i="101" a="1"/>
  <c r="J27" i="101" s="1"/>
  <c r="G39" i="101" a="1"/>
  <c r="G39" i="101" s="1"/>
  <c r="G36" i="101" a="1"/>
  <c r="G36" i="101" s="1"/>
  <c r="K34" i="101" a="1"/>
  <c r="K34" i="101" s="1"/>
  <c r="G33" i="101" a="1"/>
  <c r="G33" i="101" s="1"/>
  <c r="I30" i="101" a="1"/>
  <c r="I30" i="101" s="1"/>
  <c r="I27" i="101" a="1"/>
  <c r="I27" i="101" s="1"/>
  <c r="J34" i="101" a="1"/>
  <c r="J34" i="101" s="1"/>
  <c r="K31" i="101" a="1"/>
  <c r="K31" i="101" s="1"/>
  <c r="H30" i="101" a="1"/>
  <c r="H30" i="101" s="1"/>
  <c r="H27" i="101" a="1"/>
  <c r="H27" i="101" s="1"/>
  <c r="I37" i="101" a="1"/>
  <c r="I37" i="101" s="1"/>
  <c r="I34" i="101" a="1"/>
  <c r="I34" i="101" s="1"/>
  <c r="J31" i="101" a="1"/>
  <c r="J31" i="101" s="1"/>
  <c r="G27" i="101" a="1"/>
  <c r="G27" i="101" s="1"/>
  <c r="H34" i="101" a="1"/>
  <c r="H34" i="101" s="1"/>
  <c r="G30" i="101" a="1"/>
  <c r="G30" i="101" s="1"/>
  <c r="K28" i="101" a="1"/>
  <c r="K28" i="101" s="1"/>
  <c r="G34" i="101" a="1"/>
  <c r="G34" i="101" s="1"/>
  <c r="I31" i="101" a="1"/>
  <c r="I31" i="101" s="1"/>
  <c r="J28" i="101" a="1"/>
  <c r="J28" i="101" s="1"/>
  <c r="K38" i="101" a="1"/>
  <c r="K38" i="101" s="1"/>
  <c r="K35" i="101" a="1"/>
  <c r="K35" i="101" s="1"/>
  <c r="H31" i="101" a="1"/>
  <c r="H31" i="101" s="1"/>
  <c r="I28" i="101" a="1"/>
  <c r="I28" i="101" s="1"/>
  <c r="J38" i="101" a="1"/>
  <c r="J38" i="101" s="1"/>
  <c r="E37" i="101"/>
  <c r="G37" i="101" s="1" a="1"/>
  <c r="G37" i="101" s="1"/>
  <c r="J35" i="101" a="1"/>
  <c r="J35" i="101" s="1"/>
  <c r="K32" i="101" a="1"/>
  <c r="K32" i="101" s="1"/>
  <c r="G31" i="101" a="1"/>
  <c r="G31" i="101" s="1"/>
  <c r="H28" i="101" a="1"/>
  <c r="H28" i="101" s="1"/>
  <c r="I38" i="101" a="1"/>
  <c r="I38" i="101" s="1"/>
  <c r="I35" i="101" a="1"/>
  <c r="I35" i="101" s="1"/>
  <c r="J32" i="101" a="1"/>
  <c r="J32" i="101" s="1"/>
  <c r="G28" i="101" a="1"/>
  <c r="G28" i="101" s="1"/>
  <c r="K26" i="101" a="1"/>
  <c r="K26" i="101" s="1"/>
  <c r="H38" i="101" a="1"/>
  <c r="H38" i="101" s="1"/>
  <c r="H35" i="101" a="1"/>
  <c r="H35" i="101" s="1"/>
  <c r="I32" i="101" a="1"/>
  <c r="I32" i="101" s="1"/>
  <c r="K29" i="101" a="1"/>
  <c r="K29" i="101" s="1"/>
  <c r="J26" i="101" a="1"/>
  <c r="J26" i="101" s="1"/>
  <c r="G38" i="101" a="1"/>
  <c r="G38" i="101" s="1"/>
  <c r="G35" i="101" a="1"/>
  <c r="G35" i="101" s="1"/>
  <c r="H32" i="101" a="1"/>
  <c r="H32" i="101" s="1"/>
  <c r="J29" i="101" a="1"/>
  <c r="J29" i="101" s="1"/>
  <c r="I26" i="101" a="1"/>
  <c r="I26" i="101" s="1"/>
  <c r="E25" i="101"/>
  <c r="K39" i="101" a="1"/>
  <c r="K39" i="101" s="1"/>
  <c r="K36" i="101" a="1"/>
  <c r="K36" i="101" s="1"/>
  <c r="K33" i="101" a="1"/>
  <c r="K33" i="101" s="1"/>
  <c r="G32" i="101" a="1"/>
  <c r="G32" i="101" s="1"/>
  <c r="I29" i="101" a="1"/>
  <c r="I29" i="101" s="1"/>
  <c r="H26" i="101" a="1"/>
  <c r="H26" i="101" s="1"/>
  <c r="M33" i="102" a="1"/>
  <c r="M33" i="102" s="1"/>
  <c r="L33" i="102" a="1"/>
  <c r="L33" i="102" s="1"/>
  <c r="M30" i="102" a="1"/>
  <c r="M30" i="102" s="1"/>
  <c r="L30" i="102" a="1"/>
  <c r="L30" i="102" s="1"/>
  <c r="I17" i="106"/>
  <c r="E21" i="105" a="1"/>
  <c r="E59" i="105" a="1"/>
  <c r="E116" i="105" a="1"/>
  <c r="E157" i="105" a="1"/>
  <c r="E157" i="105" s="1"/>
  <c r="F483" i="117" a="1"/>
  <c r="F483" i="117" s="1"/>
  <c r="G483" i="117" s="1"/>
  <c r="R12" i="89" a="1"/>
  <c r="R12" i="89" s="1"/>
  <c r="N13" i="89" a="1"/>
  <c r="N13" i="89" s="1"/>
  <c r="J14" i="89" a="1"/>
  <c r="J14" i="89" s="1"/>
  <c r="Z14" i="89"/>
  <c r="S16" i="89" a="1"/>
  <c r="S16" i="89" s="1"/>
  <c r="Q17" i="89" a="1"/>
  <c r="Q17" i="89" s="1"/>
  <c r="O18" i="89" a="1"/>
  <c r="O18" i="89" s="1"/>
  <c r="N19" i="89" a="1"/>
  <c r="N19" i="89" s="1"/>
  <c r="L20" i="89" a="1"/>
  <c r="L20" i="89" s="1"/>
  <c r="R21" i="89" a="1"/>
  <c r="R21" i="89" s="1"/>
  <c r="G463" i="117" a="1"/>
  <c r="G463" i="117" s="1"/>
  <c r="H463" i="117" s="1"/>
  <c r="D19" i="94" a="1"/>
  <c r="P29" i="89"/>
  <c r="D58" i="91" a="1"/>
  <c r="D58" i="91" s="1"/>
  <c r="P28" i="89"/>
  <c r="P27" i="89"/>
  <c r="P26" i="89"/>
  <c r="P25" i="89"/>
  <c r="D19" i="91" a="1"/>
  <c r="D19" i="90" a="1"/>
  <c r="P34" i="89"/>
  <c r="P33" i="89"/>
  <c r="P32" i="89"/>
  <c r="G183" i="119"/>
  <c r="D23" i="95" a="1"/>
  <c r="D23" i="95" s="1"/>
  <c r="D60" i="90" a="1"/>
  <c r="D60" i="90" s="1"/>
  <c r="D59" i="94" a="1"/>
  <c r="D59" i="94" s="1"/>
  <c r="P30" i="89"/>
  <c r="J15" i="88" a="1"/>
  <c r="J15" i="88" s="1"/>
  <c r="I177" i="119"/>
  <c r="H197" i="119"/>
  <c r="G177" i="119"/>
  <c r="G176" i="119"/>
  <c r="G175" i="119"/>
  <c r="G174" i="119"/>
  <c r="V38" i="88" a="1"/>
  <c r="V38" i="88" s="1"/>
  <c r="V29" i="88" a="1"/>
  <c r="V29" i="88" s="1"/>
  <c r="W29" i="88" s="1" a="1"/>
  <c r="W29" i="88" s="1"/>
  <c r="E68" i="95"/>
  <c r="E105" i="94"/>
  <c r="I80" i="84" a="1"/>
  <c r="I80" i="84" s="1"/>
  <c r="E69" i="95"/>
  <c r="E106" i="94"/>
  <c r="I175" i="119"/>
  <c r="H195" i="119"/>
  <c r="V32" i="88" a="1"/>
  <c r="V32" i="88" s="1"/>
  <c r="W32" i="88" s="1" a="1"/>
  <c r="W32" i="88" s="1"/>
  <c r="E71" i="95"/>
  <c r="E108" i="94"/>
  <c r="W23" i="83"/>
  <c r="U93" i="84"/>
  <c r="I81" i="84" a="1"/>
  <c r="I81" i="84" s="1"/>
  <c r="E72" i="95"/>
  <c r="E109" i="94"/>
  <c r="H194" i="119"/>
  <c r="I174" i="119"/>
  <c r="M35" i="101" a="1"/>
  <c r="M35" i="101" s="1"/>
  <c r="L35" i="101" a="1"/>
  <c r="L35" i="101" s="1"/>
  <c r="M37" i="102" a="1"/>
  <c r="M37" i="102" s="1"/>
  <c r="L37" i="102" a="1"/>
  <c r="L37" i="102" s="1"/>
  <c r="O18" i="113"/>
  <c r="I545" i="117" a="1"/>
  <c r="I545" i="117" s="1"/>
  <c r="D285" i="117" a="1"/>
  <c r="S12" i="89" a="1"/>
  <c r="S12" i="89" s="1"/>
  <c r="O13" i="89" a="1"/>
  <c r="O13" i="89" s="1"/>
  <c r="K14" i="89" a="1"/>
  <c r="K14" i="89" s="1"/>
  <c r="F15" i="89"/>
  <c r="W15" i="89" a="1"/>
  <c r="W15" i="89" s="1"/>
  <c r="T16" i="89" a="1"/>
  <c r="T16" i="89" s="1"/>
  <c r="R17" i="89" a="1"/>
  <c r="R17" i="89" s="1"/>
  <c r="P18" i="89" a="1"/>
  <c r="P18" i="89" s="1"/>
  <c r="O19" i="89" a="1"/>
  <c r="O19" i="89" s="1"/>
  <c r="M20" i="89" a="1"/>
  <c r="M20" i="89" s="1"/>
  <c r="E112" i="94"/>
  <c r="E75" i="95"/>
  <c r="J15" i="83" a="1"/>
  <c r="J15" i="83" s="1"/>
  <c r="H32" i="83" s="1"/>
  <c r="N32" i="83" s="1"/>
  <c r="L181" i="82"/>
  <c r="I176" i="119"/>
  <c r="H196" i="119"/>
  <c r="X22" i="83"/>
  <c r="V92" i="84"/>
  <c r="V22" i="88"/>
  <c r="V39" i="88" a="1"/>
  <c r="V39" i="88" s="1"/>
  <c r="X92" i="84"/>
  <c r="X22" i="88"/>
  <c r="Z22" i="83"/>
  <c r="L164" i="84" a="1"/>
  <c r="L164" i="84" s="1"/>
  <c r="V33" i="88" a="1"/>
  <c r="V33" i="88" s="1"/>
  <c r="W33" i="88" s="1" a="1"/>
  <c r="W33" i="88" s="1"/>
  <c r="E73" i="95"/>
  <c r="E110" i="94"/>
  <c r="M26" i="101" a="1"/>
  <c r="M26" i="101" s="1"/>
  <c r="M30" i="101" a="1"/>
  <c r="M30" i="101" s="1"/>
  <c r="F482" i="117" a="1"/>
  <c r="F482" i="117" s="1"/>
  <c r="T12" i="89" a="1"/>
  <c r="T12" i="89" s="1"/>
  <c r="P13" i="89" a="1"/>
  <c r="P13" i="89" s="1"/>
  <c r="L14" i="89" a="1"/>
  <c r="L14" i="89" s="1"/>
  <c r="H15" i="89"/>
  <c r="Y15" i="89"/>
  <c r="S17" i="89" a="1"/>
  <c r="S17" i="89" s="1"/>
  <c r="R18" i="89" a="1"/>
  <c r="R18" i="89" s="1"/>
  <c r="P19" i="89" a="1"/>
  <c r="P19" i="89" s="1"/>
  <c r="P31" i="89"/>
  <c r="L180" i="82"/>
  <c r="N180" i="82" s="1"/>
  <c r="O180" i="82" s="1"/>
  <c r="P21" i="89" a="1"/>
  <c r="P21" i="89" s="1"/>
  <c r="O21" i="89" a="1"/>
  <c r="O21" i="89" s="1"/>
  <c r="N21" i="89" a="1"/>
  <c r="N21" i="89" s="1"/>
  <c r="R20" i="89" a="1"/>
  <c r="R20" i="89" s="1"/>
  <c r="F19" i="89"/>
  <c r="L18" i="89" a="1"/>
  <c r="L18" i="89" s="1"/>
  <c r="P17" i="89" a="1"/>
  <c r="P17" i="89" s="1"/>
  <c r="U16" i="89" a="1"/>
  <c r="U16" i="89" s="1"/>
  <c r="M21" i="89" a="1"/>
  <c r="M21" i="89" s="1"/>
  <c r="L21" i="89" a="1"/>
  <c r="L21" i="89" s="1"/>
  <c r="Z21" i="89"/>
  <c r="K21" i="89" a="1"/>
  <c r="K21" i="89" s="1"/>
  <c r="Y21" i="89"/>
  <c r="J21" i="89" a="1"/>
  <c r="J21" i="89" s="1"/>
  <c r="W21" i="89" a="1"/>
  <c r="W21" i="89" s="1"/>
  <c r="U21" i="89" a="1"/>
  <c r="U21" i="89" s="1"/>
  <c r="T21" i="89" a="1"/>
  <c r="T21" i="89" s="1"/>
  <c r="S21" i="89" a="1"/>
  <c r="S21" i="89" s="1"/>
  <c r="W20" i="89" a="1"/>
  <c r="W20" i="89" s="1"/>
  <c r="H20" i="89"/>
  <c r="M19" i="89" a="1"/>
  <c r="M19" i="89" s="1"/>
  <c r="Q18" i="89" a="1"/>
  <c r="Q18" i="89" s="1"/>
  <c r="U17" i="89" a="1"/>
  <c r="U17" i="89" s="1"/>
  <c r="F17" i="89"/>
  <c r="L16" i="89" a="1"/>
  <c r="L16" i="89" s="1"/>
  <c r="P15" i="89" a="1"/>
  <c r="P15" i="89" s="1"/>
  <c r="T14" i="89" a="1"/>
  <c r="T14" i="89" s="1"/>
  <c r="Q21" i="89" a="1"/>
  <c r="Q21" i="89" s="1"/>
  <c r="V37" i="88" a="1"/>
  <c r="V37" i="88" s="1"/>
  <c r="V28" i="88" a="1"/>
  <c r="V28" i="88" s="1"/>
  <c r="W28" i="88" s="1" a="1"/>
  <c r="W28" i="88" s="1"/>
  <c r="W92" i="84"/>
  <c r="W22" i="88"/>
  <c r="Y22" i="83"/>
  <c r="E70" i="95"/>
  <c r="E107" i="94"/>
  <c r="E139" i="94" s="1"/>
  <c r="G194" i="119"/>
  <c r="G197" i="119"/>
  <c r="G196" i="119"/>
  <c r="S260" i="117" s="1" a="1"/>
  <c r="S260" i="117" s="1"/>
  <c r="G195" i="119"/>
  <c r="S254" i="117" s="1" a="1"/>
  <c r="S254" i="117" s="1"/>
  <c r="E111" i="94"/>
  <c r="E74" i="95"/>
  <c r="M38" i="101" a="1"/>
  <c r="M38" i="101" s="1"/>
  <c r="L38" i="101" a="1"/>
  <c r="L38" i="101" s="1"/>
  <c r="M31" i="102" a="1"/>
  <c r="M31" i="102" s="1"/>
  <c r="U12" i="89" a="1"/>
  <c r="U12" i="89" s="1"/>
  <c r="Q13" i="89" a="1"/>
  <c r="Q13" i="89" s="1"/>
  <c r="M14" i="89" a="1"/>
  <c r="M14" i="89" s="1"/>
  <c r="J15" i="89" a="1"/>
  <c r="J15" i="89" s="1"/>
  <c r="Z15" i="89"/>
  <c r="W16" i="89" a="1"/>
  <c r="W16" i="89" s="1"/>
  <c r="T17" i="89" a="1"/>
  <c r="T17" i="89" s="1"/>
  <c r="S18" i="89" a="1"/>
  <c r="S18" i="89" s="1"/>
  <c r="Q19" i="89" a="1"/>
  <c r="Q19" i="89" s="1"/>
  <c r="O20" i="89" a="1"/>
  <c r="O20" i="89" s="1"/>
  <c r="I21" i="100"/>
  <c r="G464" i="117" a="1"/>
  <c r="G464" i="117" s="1"/>
  <c r="H464" i="117" s="1"/>
  <c r="L39" i="101" a="1"/>
  <c r="L39" i="101" s="1"/>
  <c r="G446" i="117" a="1"/>
  <c r="G446" i="117" s="1"/>
  <c r="H446" i="117" s="1"/>
  <c r="G465" i="117" a="1"/>
  <c r="G465" i="117" s="1"/>
  <c r="H465" i="117" s="1"/>
  <c r="G447" i="117" a="1"/>
  <c r="G447" i="117" s="1"/>
  <c r="H447" i="117" s="1"/>
  <c r="G466" i="117" a="1"/>
  <c r="G466" i="117" s="1"/>
  <c r="H466" i="117" s="1"/>
  <c r="G468" i="117" a="1"/>
  <c r="G468" i="117" s="1"/>
  <c r="H468" i="117" s="1"/>
  <c r="G452" i="117" a="1"/>
  <c r="G452" i="117" s="1"/>
  <c r="G471" i="117" a="1"/>
  <c r="G471" i="117" s="1"/>
  <c r="I19" i="100"/>
  <c r="G454" i="117" a="1"/>
  <c r="G454" i="117" s="1"/>
  <c r="K40" i="102" a="1"/>
  <c r="K40" i="102" s="1"/>
  <c r="F164" i="84" a="1"/>
  <c r="F164" i="84" s="1"/>
  <c r="H164" i="84" a="1"/>
  <c r="H164" i="84" s="1"/>
  <c r="J14" i="83" a="1"/>
  <c r="J14" i="83" s="1"/>
  <c r="G30" i="83" s="1"/>
  <c r="J14" i="88" a="1"/>
  <c r="J14" i="88" s="1"/>
  <c r="F29" i="88" s="1" a="1"/>
  <c r="F29" i="88" s="1"/>
  <c r="J14" i="108" a="1"/>
  <c r="J14" i="108" s="1"/>
  <c r="J15" i="108" a="1"/>
  <c r="J15" i="108" s="1"/>
  <c r="J16" i="108" a="1"/>
  <c r="J16" i="108" s="1"/>
  <c r="J17" i="108" a="1"/>
  <c r="J17" i="108" s="1"/>
  <c r="K39" i="102" a="1"/>
  <c r="K39" i="102" s="1"/>
  <c r="F159" i="117"/>
  <c r="P19" i="118"/>
  <c r="P55" i="118"/>
  <c r="F55" i="118"/>
  <c r="P90" i="118"/>
  <c r="F90" i="118"/>
  <c r="P74" i="118"/>
  <c r="F74" i="118"/>
  <c r="F72" i="117"/>
  <c r="F499" i="117"/>
  <c r="F488" i="117"/>
  <c r="F332" i="117"/>
  <c r="F516" i="117"/>
  <c r="F393" i="117"/>
  <c r="F363" i="117"/>
  <c r="F498" i="117"/>
  <c r="F487" i="117"/>
  <c r="F475" i="117"/>
  <c r="F457" i="117"/>
  <c r="F426" i="117"/>
  <c r="F331" i="117"/>
  <c r="F548" i="117"/>
  <c r="F474" i="117"/>
  <c r="F456" i="117"/>
  <c r="F425" i="117"/>
  <c r="F298" i="117"/>
  <c r="F517" i="117"/>
  <c r="F570" i="117"/>
  <c r="F299" i="117"/>
  <c r="F267" i="117"/>
  <c r="F394" i="117"/>
  <c r="F533" i="117"/>
  <c r="F362" i="117"/>
  <c r="F93" i="117"/>
  <c r="F73" i="117"/>
  <c r="F53" i="117"/>
  <c r="F90" i="117"/>
  <c r="F35" i="117"/>
  <c r="F657" i="117"/>
  <c r="F656" i="117"/>
  <c r="F654" i="117"/>
  <c r="F636" i="117"/>
  <c r="F653" i="117"/>
  <c r="F156" i="117"/>
  <c r="F155" i="117"/>
  <c r="F635" i="117"/>
  <c r="F131" i="117"/>
  <c r="F160" i="117"/>
  <c r="E182" i="117"/>
  <c r="F91" i="117"/>
  <c r="F143" i="117"/>
  <c r="F320" i="117"/>
  <c r="F588" i="117"/>
  <c r="F263" i="117"/>
  <c r="G320" i="117" a="1"/>
  <c r="F132" i="117"/>
  <c r="F264" i="117"/>
  <c r="H320" i="117" a="1"/>
  <c r="H320" i="117" s="1"/>
  <c r="F94" i="117"/>
  <c r="F181" i="117"/>
  <c r="F266" i="117"/>
  <c r="F54" i="117"/>
  <c r="F182" i="117"/>
  <c r="K420" i="117"/>
  <c r="K415" i="117"/>
  <c r="K414" i="117"/>
  <c r="K421" i="117"/>
  <c r="K422" i="117"/>
  <c r="O14" i="113"/>
  <c r="L17" i="113"/>
  <c r="L12" i="113"/>
  <c r="O12" i="113"/>
  <c r="L15" i="113"/>
  <c r="L14" i="113"/>
  <c r="L10" i="113"/>
  <c r="O10" i="113"/>
  <c r="L13" i="113"/>
  <c r="O17" i="113"/>
  <c r="O13" i="113"/>
  <c r="O16" i="113"/>
  <c r="L19" i="113"/>
  <c r="P48" i="109"/>
  <c r="F48" i="109"/>
  <c r="F192" i="105"/>
  <c r="F151" i="105"/>
  <c r="F58" i="102"/>
  <c r="F49" i="102"/>
  <c r="F57" i="102"/>
  <c r="F46" i="102"/>
  <c r="F56" i="102"/>
  <c r="F45" i="102"/>
  <c r="F55" i="102"/>
  <c r="F44" i="102"/>
  <c r="F52" i="102"/>
  <c r="F43" i="102"/>
  <c r="F51" i="102"/>
  <c r="F50" i="102"/>
  <c r="D39" i="102"/>
  <c r="L39" i="102" s="1" a="1"/>
  <c r="L39" i="102" s="1"/>
  <c r="D42" i="102"/>
  <c r="I18" i="100"/>
  <c r="L32" i="102" s="1" a="1"/>
  <c r="L32" i="102" s="1"/>
  <c r="D28" i="102"/>
  <c r="L28" i="102" s="1" a="1"/>
  <c r="L28" i="102" s="1"/>
  <c r="D35" i="102"/>
  <c r="D40" i="102"/>
  <c r="L40" i="102" s="1" a="1"/>
  <c r="L40" i="102" s="1"/>
  <c r="D31" i="102"/>
  <c r="L31" i="102" s="1" a="1"/>
  <c r="L31" i="102" s="1"/>
  <c r="D38" i="102"/>
  <c r="L38" i="102" s="1" a="1"/>
  <c r="L38" i="102" s="1"/>
  <c r="D48" i="102"/>
  <c r="F70" i="101"/>
  <c r="F61" i="101"/>
  <c r="F51" i="101"/>
  <c r="F69" i="101"/>
  <c r="F50" i="101"/>
  <c r="F58" i="101"/>
  <c r="F68" i="101"/>
  <c r="F49" i="101"/>
  <c r="F57" i="101"/>
  <c r="F67" i="101"/>
  <c r="F56" i="101"/>
  <c r="F46" i="101"/>
  <c r="F64" i="101"/>
  <c r="F55" i="101"/>
  <c r="F45" i="101"/>
  <c r="F63" i="101"/>
  <c r="F44" i="101"/>
  <c r="F62" i="101"/>
  <c r="F52" i="101"/>
  <c r="F43" i="101"/>
  <c r="D30" i="101"/>
  <c r="L30" i="101" s="1" a="1"/>
  <c r="L30" i="101" s="1"/>
  <c r="D54" i="101"/>
  <c r="D28" i="101"/>
  <c r="L28" i="101" s="1" a="1"/>
  <c r="L28" i="101" s="1"/>
  <c r="D32" i="101"/>
  <c r="L32" i="101" s="1" a="1"/>
  <c r="L32" i="101" s="1"/>
  <c r="D27" i="101"/>
  <c r="L27" i="101" s="1" a="1"/>
  <c r="L27" i="101" s="1"/>
  <c r="D31" i="101"/>
  <c r="L31" i="101" s="1" a="1"/>
  <c r="L31" i="101" s="1"/>
  <c r="D60" i="101"/>
  <c r="D26" i="101"/>
  <c r="L26" i="101" s="1" a="1"/>
  <c r="L26" i="101" s="1"/>
  <c r="I20" i="100"/>
  <c r="L33" i="101" s="1" a="1"/>
  <c r="L33" i="101" s="1"/>
  <c r="I17" i="100"/>
  <c r="E144" i="94"/>
  <c r="I57" i="95"/>
  <c r="I15" i="95"/>
  <c r="E138" i="94"/>
  <c r="E140" i="94"/>
  <c r="E141" i="94"/>
  <c r="E142" i="94"/>
  <c r="E143" i="94"/>
  <c r="E137" i="94"/>
  <c r="G59" i="94"/>
  <c r="F78" i="91"/>
  <c r="F58" i="91"/>
  <c r="L364" i="87"/>
  <c r="F80" i="90"/>
  <c r="O110" i="90"/>
  <c r="F60" i="90"/>
  <c r="D40" i="89"/>
  <c r="AF80" i="88"/>
  <c r="AF76" i="88"/>
  <c r="N364" i="87"/>
  <c r="I368" i="87"/>
  <c r="V36" i="88" a="1"/>
  <c r="V36" i="88" s="1"/>
  <c r="O85" i="88"/>
  <c r="AF97" i="88"/>
  <c r="AH39" i="88"/>
  <c r="AH38" i="88"/>
  <c r="AH37" i="88"/>
  <c r="AH35" i="88"/>
  <c r="AH34" i="88"/>
  <c r="AH33" i="88"/>
  <c r="AH32" i="88"/>
  <c r="AH29" i="88"/>
  <c r="Q26" i="88"/>
  <c r="Q27" i="88"/>
  <c r="AH30" i="88"/>
  <c r="AH36" i="88"/>
  <c r="Q28" i="88"/>
  <c r="AH31" i="88"/>
  <c r="AH28" i="88"/>
  <c r="Q29" i="88"/>
  <c r="O123" i="88"/>
  <c r="W162" i="88"/>
  <c r="F128" i="88"/>
  <c r="AF149" i="88"/>
  <c r="E27" i="88" a="1"/>
  <c r="E27" i="88" s="1"/>
  <c r="F27" i="88" s="1" a="1"/>
  <c r="F27" i="88" s="1"/>
  <c r="O64" i="88"/>
  <c r="J365" i="87"/>
  <c r="V30" i="88" a="1"/>
  <c r="V30" i="88" s="1"/>
  <c r="W30" i="88" s="1" a="1"/>
  <c r="W30" i="88" s="1"/>
  <c r="V35" i="88" a="1"/>
  <c r="V35" i="88" s="1"/>
  <c r="W35" i="88" s="1" a="1"/>
  <c r="W35" i="88" s="1"/>
  <c r="E115" i="88"/>
  <c r="AF78" i="88"/>
  <c r="AF87" i="88"/>
  <c r="AF86" i="88"/>
  <c r="AF85" i="88"/>
  <c r="AF84" i="88"/>
  <c r="O67" i="88"/>
  <c r="AF81" i="88"/>
  <c r="O65" i="88"/>
  <c r="O66" i="88"/>
  <c r="AF77" i="88"/>
  <c r="V31" i="88" a="1"/>
  <c r="V31" i="88" s="1"/>
  <c r="W31" i="88" s="1" a="1"/>
  <c r="W31" i="88" s="1"/>
  <c r="J364" i="87"/>
  <c r="AF79" i="88"/>
  <c r="AF83" i="88"/>
  <c r="O107" i="88"/>
  <c r="N362" i="87"/>
  <c r="L362" i="87"/>
  <c r="O20" i="86"/>
  <c r="F20" i="86"/>
  <c r="M366" i="87"/>
  <c r="N366" i="87"/>
  <c r="AF259" i="84"/>
  <c r="AF249" i="84"/>
  <c r="O210" i="84"/>
  <c r="AF258" i="84"/>
  <c r="F212" i="84"/>
  <c r="O209" i="84"/>
  <c r="L367" i="87"/>
  <c r="M367" i="87"/>
  <c r="J363" i="87"/>
  <c r="X261" i="83"/>
  <c r="X264" i="83"/>
  <c r="O86" i="87"/>
  <c r="N86" i="87"/>
  <c r="P90" i="87"/>
  <c r="O90" i="87"/>
  <c r="N90" i="87"/>
  <c r="P86" i="87"/>
  <c r="N96" i="87"/>
  <c r="P96" i="87"/>
  <c r="O96" i="87"/>
  <c r="K99" i="87"/>
  <c r="L99" i="87"/>
  <c r="N103" i="87"/>
  <c r="P103" i="87"/>
  <c r="O103" i="87"/>
  <c r="P112" i="87"/>
  <c r="O112" i="87"/>
  <c r="N112" i="87"/>
  <c r="K106" i="87"/>
  <c r="L106" i="87"/>
  <c r="O111" i="87"/>
  <c r="N111" i="87"/>
  <c r="P111" i="87"/>
  <c r="L115" i="87"/>
  <c r="K115" i="87"/>
  <c r="P114" i="87"/>
  <c r="N114" i="87"/>
  <c r="O114" i="87"/>
  <c r="K110" i="87"/>
  <c r="L110" i="87"/>
  <c r="P102" i="87"/>
  <c r="O102" i="87"/>
  <c r="N102" i="87"/>
  <c r="L105" i="87"/>
  <c r="K105" i="87"/>
  <c r="P110" i="87"/>
  <c r="N110" i="87"/>
  <c r="O110" i="87"/>
  <c r="P94" i="87"/>
  <c r="N94" i="87"/>
  <c r="O94" i="87"/>
  <c r="P105" i="87"/>
  <c r="N105" i="87"/>
  <c r="O105" i="87"/>
  <c r="P109" i="87"/>
  <c r="N109" i="87"/>
  <c r="O109" i="87"/>
  <c r="L113" i="87"/>
  <c r="K113" i="87"/>
  <c r="I90" i="87"/>
  <c r="I86" i="87"/>
  <c r="M87" i="87"/>
  <c r="M91" i="87"/>
  <c r="P97" i="87"/>
  <c r="N97" i="87"/>
  <c r="O97" i="87"/>
  <c r="K100" i="87"/>
  <c r="L100" i="87"/>
  <c r="N95" i="87"/>
  <c r="O95" i="87"/>
  <c r="P95" i="87"/>
  <c r="L98" i="87"/>
  <c r="K98" i="87"/>
  <c r="G91" i="87"/>
  <c r="G87" i="87"/>
  <c r="L94" i="87"/>
  <c r="K94" i="87"/>
  <c r="H87" i="87"/>
  <c r="H91" i="87"/>
  <c r="P98" i="87"/>
  <c r="N98" i="87"/>
  <c r="O98" i="87"/>
  <c r="L101" i="87"/>
  <c r="K101" i="87"/>
  <c r="L114" i="87"/>
  <c r="K114" i="87"/>
  <c r="I91" i="87"/>
  <c r="I87" i="87"/>
  <c r="J86" i="87"/>
  <c r="J90" i="87"/>
  <c r="P87" i="87"/>
  <c r="O87" i="87"/>
  <c r="O91" i="87"/>
  <c r="N87" i="87"/>
  <c r="P91" i="87"/>
  <c r="N91" i="87"/>
  <c r="P104" i="87"/>
  <c r="O104" i="87"/>
  <c r="N104" i="87"/>
  <c r="L112" i="87"/>
  <c r="K112" i="87"/>
  <c r="L86" i="87"/>
  <c r="K86" i="87"/>
  <c r="L90" i="87"/>
  <c r="K90" i="87"/>
  <c r="K96" i="87"/>
  <c r="L96" i="87"/>
  <c r="O100" i="87"/>
  <c r="P100" i="87"/>
  <c r="N100" i="87"/>
  <c r="L103" i="87"/>
  <c r="K103" i="87"/>
  <c r="L107" i="87"/>
  <c r="K107" i="87"/>
  <c r="M86" i="87"/>
  <c r="M90" i="87"/>
  <c r="P117" i="87"/>
  <c r="N117" i="87"/>
  <c r="O117" i="87"/>
  <c r="G88" i="87"/>
  <c r="G92" i="87"/>
  <c r="L95" i="87"/>
  <c r="K95" i="87"/>
  <c r="O107" i="87"/>
  <c r="N107" i="87"/>
  <c r="P107" i="87"/>
  <c r="P116" i="87"/>
  <c r="N116" i="87"/>
  <c r="O116" i="87"/>
  <c r="G223" i="87"/>
  <c r="G227" i="87"/>
  <c r="L224" i="87"/>
  <c r="L228" i="87"/>
  <c r="K224" i="87"/>
  <c r="K228" i="87"/>
  <c r="L232" i="87"/>
  <c r="K232" i="87"/>
  <c r="H223" i="87"/>
  <c r="H227" i="87"/>
  <c r="M224" i="87"/>
  <c r="M228" i="87"/>
  <c r="F226" i="87"/>
  <c r="F230" i="87"/>
  <c r="P237" i="87"/>
  <c r="O237" i="87"/>
  <c r="N237" i="87"/>
  <c r="L242" i="87"/>
  <c r="K242" i="87"/>
  <c r="N245" i="87"/>
  <c r="P245" i="87"/>
  <c r="O245" i="87"/>
  <c r="N252" i="87"/>
  <c r="P252" i="87"/>
  <c r="O252" i="87"/>
  <c r="L104" i="87"/>
  <c r="K104" i="87"/>
  <c r="J89" i="87"/>
  <c r="J93" i="87"/>
  <c r="P99" i="87"/>
  <c r="O99" i="87"/>
  <c r="N99" i="87"/>
  <c r="G86" i="87"/>
  <c r="G146" i="87" s="1"/>
  <c r="K116" i="87"/>
  <c r="I223" i="87"/>
  <c r="I227" i="87"/>
  <c r="O228" i="87"/>
  <c r="N224" i="87"/>
  <c r="N228" i="87"/>
  <c r="P224" i="87"/>
  <c r="P228" i="87"/>
  <c r="O224" i="87"/>
  <c r="G226" i="87"/>
  <c r="G230" i="87"/>
  <c r="P232" i="87"/>
  <c r="O232" i="87"/>
  <c r="N232" i="87"/>
  <c r="L236" i="87"/>
  <c r="K236" i="87"/>
  <c r="L241" i="87"/>
  <c r="K241" i="87"/>
  <c r="L251" i="87"/>
  <c r="K251" i="87"/>
  <c r="J223" i="87"/>
  <c r="J227" i="87"/>
  <c r="H230" i="87"/>
  <c r="H226" i="87"/>
  <c r="P113" i="87"/>
  <c r="N113" i="87"/>
  <c r="K97" i="87"/>
  <c r="K102" i="87"/>
  <c r="K117" i="87"/>
  <c r="K227" i="87"/>
  <c r="L223" i="87"/>
  <c r="L227" i="87"/>
  <c r="K223" i="87"/>
  <c r="I226" i="87"/>
  <c r="I230" i="87"/>
  <c r="L235" i="87"/>
  <c r="K235" i="87"/>
  <c r="J87" i="87"/>
  <c r="J147" i="87" s="1"/>
  <c r="H92" i="87"/>
  <c r="H148" i="87" s="1"/>
  <c r="M223" i="87"/>
  <c r="M227" i="87"/>
  <c r="P231" i="87"/>
  <c r="O231" i="87"/>
  <c r="N231" i="87"/>
  <c r="K87" i="87"/>
  <c r="K91" i="87"/>
  <c r="L87" i="87"/>
  <c r="G93" i="87"/>
  <c r="G149" i="87" s="1"/>
  <c r="P240" i="87"/>
  <c r="O240" i="87"/>
  <c r="N240" i="87"/>
  <c r="L249" i="87"/>
  <c r="K249" i="87"/>
  <c r="P250" i="87"/>
  <c r="O250" i="87"/>
  <c r="N250" i="87"/>
  <c r="I93" i="87"/>
  <c r="I149" i="87" s="1"/>
  <c r="K108" i="87"/>
  <c r="H225" i="87"/>
  <c r="H229" i="87"/>
  <c r="M226" i="87"/>
  <c r="M230" i="87"/>
  <c r="L234" i="87"/>
  <c r="K234" i="87"/>
  <c r="O235" i="87"/>
  <c r="P235" i="87"/>
  <c r="N235" i="87"/>
  <c r="M88" i="87"/>
  <c r="M148" i="87" s="1"/>
  <c r="O113" i="87"/>
  <c r="I225" i="87"/>
  <c r="I229" i="87"/>
  <c r="N230" i="87"/>
  <c r="P226" i="87"/>
  <c r="O226" i="87"/>
  <c r="P230" i="87"/>
  <c r="N226" i="87"/>
  <c r="O230" i="87"/>
  <c r="P249" i="87"/>
  <c r="O249" i="87"/>
  <c r="N249" i="87"/>
  <c r="L89" i="87"/>
  <c r="K89" i="87"/>
  <c r="L93" i="87"/>
  <c r="I88" i="87"/>
  <c r="I92" i="87"/>
  <c r="M93" i="87"/>
  <c r="M149" i="87" s="1"/>
  <c r="K109" i="87"/>
  <c r="F224" i="87"/>
  <c r="F228" i="87"/>
  <c r="J225" i="87"/>
  <c r="J229" i="87"/>
  <c r="P89" i="87"/>
  <c r="O89" i="87"/>
  <c r="N89" i="87"/>
  <c r="P93" i="87"/>
  <c r="O93" i="87"/>
  <c r="N93" i="87"/>
  <c r="H86" i="87"/>
  <c r="H90" i="87"/>
  <c r="P106" i="87"/>
  <c r="N106" i="87"/>
  <c r="G224" i="87"/>
  <c r="G228" i="87"/>
  <c r="K229" i="87"/>
  <c r="L225" i="87"/>
  <c r="K225" i="87"/>
  <c r="L229" i="87"/>
  <c r="K238" i="87"/>
  <c r="L238" i="87"/>
  <c r="O92" i="87"/>
  <c r="N92" i="87"/>
  <c r="P88" i="87"/>
  <c r="N88" i="87"/>
  <c r="P92" i="87"/>
  <c r="N108" i="87"/>
  <c r="P108" i="87"/>
  <c r="O108" i="87"/>
  <c r="L111" i="87"/>
  <c r="K111" i="87"/>
  <c r="J88" i="87"/>
  <c r="J92" i="87"/>
  <c r="H228" i="87"/>
  <c r="H224" i="87"/>
  <c r="M225" i="87"/>
  <c r="M229" i="87"/>
  <c r="L233" i="87"/>
  <c r="K233" i="87"/>
  <c r="L246" i="87"/>
  <c r="K246" i="87"/>
  <c r="N101" i="87"/>
  <c r="O101" i="87"/>
  <c r="N115" i="87"/>
  <c r="P115" i="87"/>
  <c r="O115" i="87"/>
  <c r="F106" i="87"/>
  <c r="F102" i="87"/>
  <c r="J7" i="111" s="1" a="1"/>
  <c r="J7" i="111" s="1"/>
  <c r="I224" i="87"/>
  <c r="I228" i="87"/>
  <c r="P238" i="87"/>
  <c r="O238" i="87"/>
  <c r="N238" i="87"/>
  <c r="L88" i="87"/>
  <c r="L92" i="87"/>
  <c r="K92" i="87"/>
  <c r="K88" i="87"/>
  <c r="H89" i="87"/>
  <c r="H93" i="87"/>
  <c r="P233" i="87"/>
  <c r="O233" i="87"/>
  <c r="N233" i="87"/>
  <c r="L252" i="87"/>
  <c r="K252" i="87"/>
  <c r="G225" i="87"/>
  <c r="G229" i="87"/>
  <c r="L231" i="87"/>
  <c r="K231" i="87"/>
  <c r="O239" i="87"/>
  <c r="N239" i="87"/>
  <c r="P239" i="87"/>
  <c r="L240" i="87"/>
  <c r="K240" i="87"/>
  <c r="L245" i="87"/>
  <c r="K245" i="87"/>
  <c r="O248" i="87"/>
  <c r="N248" i="87"/>
  <c r="P248" i="87"/>
  <c r="P253" i="87"/>
  <c r="O253" i="87"/>
  <c r="N253" i="87"/>
  <c r="P244" i="87"/>
  <c r="O244" i="87"/>
  <c r="N244" i="87"/>
  <c r="L250" i="87"/>
  <c r="K250" i="87"/>
  <c r="J224" i="87"/>
  <c r="J228" i="87"/>
  <c r="P254" i="87"/>
  <c r="O254" i="87"/>
  <c r="N254" i="87"/>
  <c r="P223" i="87"/>
  <c r="P227" i="87"/>
  <c r="O223" i="87"/>
  <c r="O227" i="87"/>
  <c r="N223" i="87"/>
  <c r="N227" i="87"/>
  <c r="L237" i="87"/>
  <c r="K237" i="87"/>
  <c r="P236" i="87"/>
  <c r="O236" i="87"/>
  <c r="N236" i="87"/>
  <c r="F223" i="87"/>
  <c r="F227" i="87"/>
  <c r="P241" i="87"/>
  <c r="O241" i="87"/>
  <c r="N241" i="87"/>
  <c r="P246" i="87"/>
  <c r="O246" i="87"/>
  <c r="N246" i="87"/>
  <c r="P251" i="87"/>
  <c r="O251" i="87"/>
  <c r="N251" i="87"/>
  <c r="J226" i="87"/>
  <c r="J230" i="87"/>
  <c r="L226" i="87"/>
  <c r="L230" i="87"/>
  <c r="K226" i="87"/>
  <c r="K230" i="87"/>
  <c r="P242" i="87"/>
  <c r="O242" i="87"/>
  <c r="N242" i="87"/>
  <c r="L243" i="87"/>
  <c r="K243" i="87"/>
  <c r="P247" i="87"/>
  <c r="O247" i="87"/>
  <c r="N247" i="87"/>
  <c r="L248" i="87"/>
  <c r="K248" i="87"/>
  <c r="L253" i="87"/>
  <c r="K253" i="87"/>
  <c r="P225" i="87"/>
  <c r="P229" i="87"/>
  <c r="O225" i="87"/>
  <c r="O229" i="87"/>
  <c r="N225" i="87"/>
  <c r="N229" i="87"/>
  <c r="L239" i="87"/>
  <c r="K239" i="87"/>
  <c r="P234" i="87"/>
  <c r="O234" i="87"/>
  <c r="N234" i="87"/>
  <c r="L244" i="87"/>
  <c r="K244" i="87"/>
  <c r="F225" i="87"/>
  <c r="F229" i="87"/>
  <c r="O243" i="87"/>
  <c r="N243" i="87"/>
  <c r="P243" i="87"/>
  <c r="L254" i="87"/>
  <c r="K254" i="87"/>
  <c r="I362" i="87"/>
  <c r="J362" i="87"/>
  <c r="L247" i="87"/>
  <c r="K247" i="87"/>
  <c r="N369" i="87"/>
  <c r="M369" i="87"/>
  <c r="L369" i="87"/>
  <c r="I366" i="87"/>
  <c r="M362" i="87"/>
  <c r="L366" i="87"/>
  <c r="J367" i="87"/>
  <c r="I367" i="87"/>
  <c r="N368" i="87"/>
  <c r="M368" i="87"/>
  <c r="L363" i="87"/>
  <c r="M363" i="87"/>
  <c r="M365" i="87"/>
  <c r="N365" i="87"/>
  <c r="J369" i="87"/>
  <c r="O36" i="86"/>
  <c r="F36" i="86"/>
  <c r="AH107" i="84"/>
  <c r="AH102" i="84"/>
  <c r="AH101" i="84"/>
  <c r="AH108" i="84"/>
  <c r="AH100" i="84"/>
  <c r="AH111" i="84"/>
  <c r="AH105" i="84"/>
  <c r="Q98" i="84"/>
  <c r="AH104" i="84"/>
  <c r="J29" i="82"/>
  <c r="X258" i="83"/>
  <c r="AF136" i="84"/>
  <c r="G31" i="82"/>
  <c r="X272" i="83"/>
  <c r="AF254" i="84"/>
  <c r="L31" i="82"/>
  <c r="AF256" i="84"/>
  <c r="P179" i="83"/>
  <c r="P181" i="83"/>
  <c r="AI190" i="83"/>
  <c r="W267" i="84"/>
  <c r="F229" i="84"/>
  <c r="P35" i="85"/>
  <c r="F35" i="85"/>
  <c r="M31" i="82"/>
  <c r="X253" i="83"/>
  <c r="AF47" i="84"/>
  <c r="O65" i="84"/>
  <c r="AF80" i="84"/>
  <c r="AF140" i="84"/>
  <c r="AF201" i="84"/>
  <c r="W261" i="84"/>
  <c r="AF251" i="84"/>
  <c r="X255" i="83"/>
  <c r="AH103" i="84"/>
  <c r="N25" i="82"/>
  <c r="E98" i="84" a="1"/>
  <c r="E98" i="84" s="1"/>
  <c r="AF196" i="84"/>
  <c r="O208" i="84"/>
  <c r="AF42" i="84"/>
  <c r="AF45" i="84"/>
  <c r="AF37" i="84"/>
  <c r="AF39" i="84"/>
  <c r="AF41" i="84"/>
  <c r="O35" i="84"/>
  <c r="AF46" i="84"/>
  <c r="AF43" i="84"/>
  <c r="AF40" i="84"/>
  <c r="AF36" i="84"/>
  <c r="O33" i="84"/>
  <c r="AF38" i="84"/>
  <c r="O36" i="84"/>
  <c r="O34" i="84"/>
  <c r="S30" i="83"/>
  <c r="AJ34" i="83"/>
  <c r="AJ39" i="83"/>
  <c r="AJ29" i="83"/>
  <c r="L29" i="82"/>
  <c r="I29" i="82"/>
  <c r="G29" i="82"/>
  <c r="S33" i="83"/>
  <c r="O84" i="83"/>
  <c r="O54" i="84" s="1"/>
  <c r="AH77" i="83"/>
  <c r="AF57" i="84" s="1"/>
  <c r="AH86" i="83"/>
  <c r="AF66" i="84" s="1"/>
  <c r="X257" i="83"/>
  <c r="X269" i="83"/>
  <c r="F31" i="82"/>
  <c r="AI179" i="83"/>
  <c r="AF82" i="84"/>
  <c r="AF79" i="84"/>
  <c r="AF78" i="84"/>
  <c r="AF77" i="84"/>
  <c r="O63" i="84"/>
  <c r="AF75" i="84"/>
  <c r="AF81" i="84"/>
  <c r="AF76" i="84"/>
  <c r="O62" i="84"/>
  <c r="I31" i="82"/>
  <c r="X263" i="83"/>
  <c r="E191" i="84"/>
  <c r="AF72" i="84"/>
  <c r="P182" i="83"/>
  <c r="AF83" i="84"/>
  <c r="E97" i="84" a="1"/>
  <c r="E97" i="84" s="1"/>
  <c r="F97" i="84" s="1" a="1"/>
  <c r="F97" i="84" s="1"/>
  <c r="E95" i="84" a="1"/>
  <c r="E95" i="84" s="1"/>
  <c r="AF145" i="84"/>
  <c r="AF146" i="84"/>
  <c r="AF144" i="84"/>
  <c r="O127" i="84"/>
  <c r="AF142" i="84"/>
  <c r="AF143" i="84"/>
  <c r="AF138" i="84"/>
  <c r="AF137" i="84"/>
  <c r="O128" i="84"/>
  <c r="AF147" i="84"/>
  <c r="AF139" i="84"/>
  <c r="O130" i="84"/>
  <c r="O129" i="84"/>
  <c r="X178" i="83"/>
  <c r="O64" i="84"/>
  <c r="E96" i="84" a="1"/>
  <c r="E96" i="84" s="1"/>
  <c r="F96" i="84" s="1" a="1"/>
  <c r="F96" i="84" s="1"/>
  <c r="AF74" i="84"/>
  <c r="E31" i="82"/>
  <c r="AF197" i="84"/>
  <c r="AF205" i="84"/>
  <c r="O171" i="84"/>
  <c r="AF203" i="84"/>
  <c r="AF198" i="84"/>
  <c r="O169" i="84"/>
  <c r="AF206" i="84"/>
  <c r="AF199" i="84"/>
  <c r="O172" i="84"/>
  <c r="AF204" i="84"/>
  <c r="AF202" i="84"/>
  <c r="O170" i="84"/>
  <c r="AF207" i="84"/>
  <c r="E163" i="84" a="1"/>
  <c r="E163" i="84" s="1"/>
  <c r="E162" i="84" a="1"/>
  <c r="E162" i="84" s="1"/>
  <c r="E161" i="84" a="1"/>
  <c r="E161" i="84" s="1"/>
  <c r="AH110" i="84"/>
  <c r="Q97" i="84"/>
  <c r="AH106" i="84"/>
  <c r="Q95" i="84"/>
  <c r="Q96" i="84"/>
  <c r="AH109" i="84"/>
  <c r="AF253" i="84"/>
  <c r="V216" i="84"/>
  <c r="AF248" i="84"/>
  <c r="AF255" i="84"/>
  <c r="AF250" i="84"/>
  <c r="AF257" i="84"/>
  <c r="O207" i="84"/>
  <c r="AF252" i="84"/>
  <c r="X182" i="83"/>
  <c r="X194" i="83"/>
  <c r="J34" i="82"/>
  <c r="H34" i="82"/>
  <c r="F23" i="82"/>
  <c r="K26" i="82"/>
  <c r="N34" i="82"/>
  <c r="L26" i="82"/>
  <c r="X183" i="83"/>
  <c r="X195" i="83"/>
  <c r="X185" i="83"/>
  <c r="X197" i="83"/>
  <c r="M25" i="82"/>
  <c r="O87" i="83"/>
  <c r="O57" i="84" s="1"/>
  <c r="AH142" i="83"/>
  <c r="AH140" i="83"/>
  <c r="O133" i="83"/>
  <c r="AH138" i="83"/>
  <c r="AH136" i="83"/>
  <c r="O132" i="83"/>
  <c r="AH133" i="83"/>
  <c r="AH141" i="83"/>
  <c r="AH139" i="83"/>
  <c r="O131" i="83"/>
  <c r="AH131" i="83"/>
  <c r="AH132" i="83"/>
  <c r="X192" i="83"/>
  <c r="X180" i="83"/>
  <c r="F24" i="82"/>
  <c r="K28" i="82"/>
  <c r="X187" i="83"/>
  <c r="X199" i="83"/>
  <c r="AH135" i="83"/>
  <c r="X191" i="83"/>
  <c r="X179" i="83"/>
  <c r="G25" i="82"/>
  <c r="F25" i="82"/>
  <c r="AJ32" i="83"/>
  <c r="AJ38" i="83"/>
  <c r="AJ37" i="83"/>
  <c r="AJ36" i="83"/>
  <c r="AJ33" i="83"/>
  <c r="S31" i="83"/>
  <c r="AJ31" i="83"/>
  <c r="S32" i="83"/>
  <c r="I25" i="82"/>
  <c r="AH80" i="83"/>
  <c r="AF60" i="84" s="1"/>
  <c r="O134" i="83"/>
  <c r="O86" i="83"/>
  <c r="O56" i="84" s="1"/>
  <c r="AH82" i="83"/>
  <c r="AF62" i="84" s="1"/>
  <c r="AH87" i="83"/>
  <c r="AF67" i="84" s="1"/>
  <c r="O85" i="83"/>
  <c r="O55" i="84" s="1"/>
  <c r="AH81" i="83"/>
  <c r="AF61" i="84" s="1"/>
  <c r="AH83" i="83"/>
  <c r="AF63" i="84" s="1"/>
  <c r="AH78" i="83"/>
  <c r="AF58" i="84" s="1"/>
  <c r="AH76" i="83"/>
  <c r="AF56" i="84" s="1"/>
  <c r="H29" i="82"/>
  <c r="N29" i="82"/>
  <c r="M29" i="82"/>
  <c r="AJ35" i="83"/>
  <c r="X189" i="83"/>
  <c r="X177" i="83"/>
  <c r="K25" i="82"/>
  <c r="E29" i="82"/>
  <c r="AH137" i="83"/>
  <c r="H28" i="82"/>
  <c r="G28" i="82"/>
  <c r="I28" i="82"/>
  <c r="E25" i="82"/>
  <c r="J28" i="82"/>
  <c r="AJ30" i="83"/>
  <c r="J25" i="82"/>
  <c r="AJ28" i="83"/>
  <c r="L25" i="82"/>
  <c r="F29" i="82"/>
  <c r="AH79" i="83"/>
  <c r="AF59" i="84" s="1"/>
  <c r="AH85" i="83"/>
  <c r="AF65" i="84" s="1"/>
  <c r="AI194" i="83"/>
  <c r="AI197" i="83"/>
  <c r="AI200" i="83"/>
  <c r="AI186" i="83"/>
  <c r="AI199" i="83"/>
  <c r="AI188" i="83"/>
  <c r="AI182" i="83"/>
  <c r="P184" i="83"/>
  <c r="AI181" i="83"/>
  <c r="AI195" i="83"/>
  <c r="AI192" i="83"/>
  <c r="AI185" i="83"/>
  <c r="P183" i="83"/>
  <c r="P177" i="83"/>
  <c r="AI191" i="83"/>
  <c r="AI193" i="83"/>
  <c r="AI187" i="83"/>
  <c r="AI178" i="83"/>
  <c r="AI196" i="83"/>
  <c r="AI180" i="83"/>
  <c r="P178" i="83"/>
  <c r="AI189" i="83"/>
  <c r="AI198" i="83"/>
  <c r="AI183" i="83"/>
  <c r="AI177" i="83"/>
  <c r="P180" i="83"/>
  <c r="AI184" i="83"/>
  <c r="X200" i="83"/>
  <c r="X193" i="83"/>
  <c r="X181" i="83"/>
  <c r="X198" i="83"/>
  <c r="AI272" i="83"/>
  <c r="AI258" i="83"/>
  <c r="AI261" i="83"/>
  <c r="P236" i="83"/>
  <c r="AI264" i="83"/>
  <c r="P239" i="83"/>
  <c r="AI267" i="83"/>
  <c r="AI270" i="83"/>
  <c r="AI256" i="83"/>
  <c r="AI263" i="83"/>
  <c r="P238" i="83"/>
  <c r="AI266" i="83"/>
  <c r="AI252" i="83"/>
  <c r="P241" i="83"/>
  <c r="P235" i="83"/>
  <c r="AI271" i="83"/>
  <c r="AI265" i="83"/>
  <c r="P242" i="83"/>
  <c r="AI273" i="83"/>
  <c r="AI254" i="83"/>
  <c r="AI274" i="83"/>
  <c r="AI259" i="83"/>
  <c r="AI257" i="83"/>
  <c r="P237" i="83"/>
  <c r="AI268" i="83"/>
  <c r="AI260" i="83"/>
  <c r="AI262" i="83"/>
  <c r="AI269" i="83"/>
  <c r="F244" i="83"/>
  <c r="AI255" i="83"/>
  <c r="P240" i="83"/>
  <c r="X196" i="83"/>
  <c r="X184" i="83"/>
  <c r="AI251" i="83"/>
  <c r="X262" i="83"/>
  <c r="X268" i="83"/>
  <c r="X256" i="83"/>
  <c r="X266" i="83"/>
  <c r="X259" i="83"/>
  <c r="N30" i="82"/>
  <c r="M30" i="82"/>
  <c r="K30" i="82"/>
  <c r="H30" i="82"/>
  <c r="G30" i="82"/>
  <c r="E30" i="82"/>
  <c r="H27" i="82"/>
  <c r="I23" i="82"/>
  <c r="J23" i="82"/>
  <c r="M24" i="82"/>
  <c r="E26" i="82"/>
  <c r="M27" i="82"/>
  <c r="L33" i="82"/>
  <c r="I24" i="82"/>
  <c r="L24" i="82"/>
  <c r="K33" i="82"/>
  <c r="N24" i="82"/>
  <c r="M33" i="82"/>
  <c r="L23" i="82"/>
  <c r="L27" i="82"/>
  <c r="J27" i="82"/>
  <c r="G23" i="82"/>
  <c r="L30" i="82"/>
  <c r="M26" i="82"/>
  <c r="I26" i="82"/>
  <c r="G26" i="82"/>
  <c r="K23" i="82"/>
  <c r="F26" i="82"/>
  <c r="N27" i="82"/>
  <c r="E28" i="82"/>
  <c r="M28" i="82"/>
  <c r="M34" i="82"/>
  <c r="L34" i="82"/>
  <c r="K34" i="82"/>
  <c r="I34" i="82"/>
  <c r="F34" i="82"/>
  <c r="E34" i="82"/>
  <c r="N23" i="82"/>
  <c r="J26" i="82"/>
  <c r="F28" i="82"/>
  <c r="G34" i="82"/>
  <c r="G32" i="82"/>
  <c r="F32" i="82"/>
  <c r="E32" i="82"/>
  <c r="N32" i="82"/>
  <c r="M32" i="82"/>
  <c r="K32" i="82"/>
  <c r="E24" i="82"/>
  <c r="N26" i="82"/>
  <c r="H32" i="82"/>
  <c r="G24" i="82"/>
  <c r="E27" i="82"/>
  <c r="F30" i="82"/>
  <c r="J32" i="82"/>
  <c r="E23" i="82"/>
  <c r="H24" i="82"/>
  <c r="F27" i="82"/>
  <c r="L28" i="82"/>
  <c r="I30" i="82"/>
  <c r="L32" i="82"/>
  <c r="J30" i="82"/>
  <c r="D185" i="82"/>
  <c r="G27" i="82"/>
  <c r="J33" i="82"/>
  <c r="I33" i="82"/>
  <c r="H33" i="82"/>
  <c r="F33" i="82"/>
  <c r="N33" i="82"/>
  <c r="J24" i="82"/>
  <c r="H23" i="82"/>
  <c r="I27" i="82"/>
  <c r="G33" i="82"/>
  <c r="H31" i="82"/>
  <c r="M178" i="82"/>
  <c r="N178" i="82" s="1"/>
  <c r="O178" i="82" s="1"/>
  <c r="J31" i="82"/>
  <c r="K31" i="82"/>
  <c r="M181" i="82"/>
  <c r="L179" i="82"/>
  <c r="M179" i="82"/>
  <c r="J179" i="105" l="1" a="1"/>
  <c r="J179" i="105" s="1"/>
  <c r="J159" i="105" a="1"/>
  <c r="J159" i="105" s="1"/>
  <c r="J173" i="105" a="1"/>
  <c r="J173" i="105" s="1"/>
  <c r="J175" i="105" a="1"/>
  <c r="J175" i="105" s="1"/>
  <c r="J176" i="105" a="1"/>
  <c r="J176" i="105" s="1"/>
  <c r="J160" i="105" a="1"/>
  <c r="J160" i="105" s="1"/>
  <c r="G149" i="117"/>
  <c r="I149" i="117"/>
  <c r="I150" i="117"/>
  <c r="G150" i="117"/>
  <c r="G151" i="117"/>
  <c r="I151" i="117"/>
  <c r="I153" i="117"/>
  <c r="G153" i="117"/>
  <c r="I152" i="117"/>
  <c r="G152" i="117"/>
  <c r="I327" i="117"/>
  <c r="I320" i="117"/>
  <c r="I322" i="117"/>
  <c r="I326" i="117"/>
  <c r="I325" i="117"/>
  <c r="I329" i="117"/>
  <c r="I324" i="117"/>
  <c r="I328" i="117"/>
  <c r="I323" i="117"/>
  <c r="I321" i="117"/>
  <c r="H391" i="117"/>
  <c r="J391" i="117"/>
  <c r="H384" i="117"/>
  <c r="J384" i="117"/>
  <c r="H390" i="117"/>
  <c r="J390" i="117"/>
  <c r="H385" i="117"/>
  <c r="J385" i="117"/>
  <c r="J383" i="117"/>
  <c r="H383" i="117"/>
  <c r="J386" i="117"/>
  <c r="H386" i="117"/>
  <c r="H388" i="117"/>
  <c r="J388" i="117"/>
  <c r="J387" i="117"/>
  <c r="H387" i="117"/>
  <c r="J389" i="117"/>
  <c r="H389" i="117"/>
  <c r="G482" i="117"/>
  <c r="E487" i="117" s="1"/>
  <c r="I482" i="117"/>
  <c r="E488" i="117" s="1"/>
  <c r="I495" i="117"/>
  <c r="E499" i="117" s="1"/>
  <c r="G495" i="117"/>
  <c r="G140" i="117"/>
  <c r="I140" i="117"/>
  <c r="I139" i="117"/>
  <c r="G139" i="117"/>
  <c r="E142" i="117" s="1"/>
  <c r="H471" i="117"/>
  <c r="J471" i="117"/>
  <c r="H470" i="117"/>
  <c r="J470" i="117"/>
  <c r="J472" i="117"/>
  <c r="H472" i="117"/>
  <c r="H469" i="117"/>
  <c r="J469" i="117"/>
  <c r="J452" i="117"/>
  <c r="H452" i="117"/>
  <c r="J451" i="117"/>
  <c r="H451" i="117"/>
  <c r="H454" i="117"/>
  <c r="J454" i="117"/>
  <c r="H453" i="117"/>
  <c r="J453" i="117"/>
  <c r="P40" i="102"/>
  <c r="Q40" i="102"/>
  <c r="O40" i="102"/>
  <c r="N40" i="102"/>
  <c r="O39" i="102"/>
  <c r="P39" i="102"/>
  <c r="Q39" i="102"/>
  <c r="N39" i="102"/>
  <c r="I33" i="101" a="1"/>
  <c r="I33" i="101" s="1"/>
  <c r="O33" i="101" s="1"/>
  <c r="E50" i="101" s="1"/>
  <c r="J37" i="101" a="1"/>
  <c r="J37" i="101" s="1"/>
  <c r="P37" i="101" s="1"/>
  <c r="P32" i="101"/>
  <c r="O32" i="101"/>
  <c r="N32" i="101"/>
  <c r="Q32" i="101"/>
  <c r="N29" i="101"/>
  <c r="Q29" i="101"/>
  <c r="O29" i="101"/>
  <c r="P29" i="101"/>
  <c r="Q34" i="101"/>
  <c r="P34" i="101"/>
  <c r="O34" i="101"/>
  <c r="N34" i="101"/>
  <c r="N33" i="101"/>
  <c r="E49" i="101" s="1"/>
  <c r="Q33" i="101"/>
  <c r="E52" i="101" s="1"/>
  <c r="P33" i="101"/>
  <c r="E51" i="101" s="1"/>
  <c r="Q31" i="101"/>
  <c r="O31" i="101"/>
  <c r="N31" i="101"/>
  <c r="P31" i="101"/>
  <c r="Q30" i="101"/>
  <c r="O30" i="101"/>
  <c r="N30" i="101"/>
  <c r="P30" i="101"/>
  <c r="Q26" i="101"/>
  <c r="P26" i="101"/>
  <c r="O26" i="101"/>
  <c r="N26" i="101"/>
  <c r="O37" i="101"/>
  <c r="Q35" i="101"/>
  <c r="P35" i="101"/>
  <c r="O35" i="101"/>
  <c r="N35" i="101"/>
  <c r="N36" i="101"/>
  <c r="O36" i="101"/>
  <c r="Q36" i="101"/>
  <c r="P36" i="101"/>
  <c r="Q28" i="101"/>
  <c r="P28" i="101"/>
  <c r="O28" i="101"/>
  <c r="N28" i="101"/>
  <c r="N38" i="101"/>
  <c r="Q38" i="101"/>
  <c r="O38" i="101"/>
  <c r="P38" i="101"/>
  <c r="P27" i="101"/>
  <c r="Q27" i="101"/>
  <c r="O27" i="101"/>
  <c r="N27" i="101"/>
  <c r="P39" i="101"/>
  <c r="O39" i="101"/>
  <c r="N39" i="101"/>
  <c r="Q39" i="101"/>
  <c r="O35" i="118"/>
  <c r="S48" i="118" s="1"/>
  <c r="E35" i="118"/>
  <c r="I48" i="118" s="1"/>
  <c r="S252" i="117" a="1"/>
  <c r="S252" i="117" s="1"/>
  <c r="AA257" i="117" a="1"/>
  <c r="AA257" i="117" s="1"/>
  <c r="W254" i="117" a="1"/>
  <c r="W254" i="117" s="1"/>
  <c r="E52" i="13" a="1"/>
  <c r="E52" i="13" s="1"/>
  <c r="F52" i="13" s="1"/>
  <c r="I52" i="13" s="1"/>
  <c r="E548" i="117"/>
  <c r="O21" i="108"/>
  <c r="E21" i="108"/>
  <c r="W38" i="88" a="1"/>
  <c r="W38" i="88" s="1"/>
  <c r="W37" i="88" a="1"/>
  <c r="W37" i="88" s="1"/>
  <c r="AC29" i="88"/>
  <c r="AB29" i="88"/>
  <c r="AA29" i="88"/>
  <c r="L29" i="88"/>
  <c r="K29" i="88"/>
  <c r="J29" i="88"/>
  <c r="AC35" i="88"/>
  <c r="AB35" i="88"/>
  <c r="AA35" i="88"/>
  <c r="L30" i="83"/>
  <c r="N30" i="83"/>
  <c r="L96" i="84"/>
  <c r="J96" i="84"/>
  <c r="K96" i="84"/>
  <c r="AC30" i="88"/>
  <c r="AB30" i="88"/>
  <c r="AA30" i="88"/>
  <c r="W36" i="88" a="1"/>
  <c r="W36" i="88" s="1"/>
  <c r="AC28" i="88"/>
  <c r="AB28" i="88"/>
  <c r="AA28" i="88"/>
  <c r="AA38" i="88"/>
  <c r="AB38" i="88"/>
  <c r="AC38" i="88"/>
  <c r="AC34" i="88"/>
  <c r="AB34" i="88"/>
  <c r="AA34" i="88"/>
  <c r="AC32" i="88"/>
  <c r="AB32" i="88"/>
  <c r="AA32" i="88"/>
  <c r="L32" i="83"/>
  <c r="L97" i="84"/>
  <c r="K97" i="84"/>
  <c r="J97" i="84"/>
  <c r="AB33" i="88"/>
  <c r="AC33" i="88"/>
  <c r="AA33" i="88"/>
  <c r="AA31" i="88"/>
  <c r="AB31" i="88"/>
  <c r="AC31" i="88"/>
  <c r="L27" i="88"/>
  <c r="K27" i="88"/>
  <c r="J27" i="88"/>
  <c r="M32" i="83"/>
  <c r="E636" i="117"/>
  <c r="F53" i="13" s="1" a="1"/>
  <c r="F53" i="13" s="1"/>
  <c r="I53" i="13" s="1"/>
  <c r="AD236" i="117" a="1"/>
  <c r="AD236" i="117" s="1"/>
  <c r="V16" i="89"/>
  <c r="X16" i="89" s="1"/>
  <c r="R236" i="117" a="1"/>
  <c r="R236" i="117" s="1"/>
  <c r="V15" i="89"/>
  <c r="X15" i="89" s="1"/>
  <c r="AK236" i="117" a="1"/>
  <c r="AK236" i="117" s="1"/>
  <c r="N181" i="82"/>
  <c r="O181" i="82" s="1"/>
  <c r="W39" i="88" a="1"/>
  <c r="W39" i="88" s="1"/>
  <c r="L162" i="84" a="1"/>
  <c r="L162" i="84" s="1"/>
  <c r="F162" i="84" a="1"/>
  <c r="F162" i="84" s="1"/>
  <c r="H162" i="84" a="1"/>
  <c r="H162" i="84" s="1"/>
  <c r="V133" i="88" a="1"/>
  <c r="X235" i="83" a="1"/>
  <c r="V232" i="84" a="1"/>
  <c r="V232" i="84" s="1"/>
  <c r="H163" i="84" a="1"/>
  <c r="H163" i="84" s="1"/>
  <c r="L163" i="84" a="1"/>
  <c r="L163" i="84" s="1"/>
  <c r="F163" i="84" a="1"/>
  <c r="F163" i="84" s="1"/>
  <c r="E116" i="105"/>
  <c r="J116" i="105" s="1" a="1"/>
  <c r="J116" i="105" s="1"/>
  <c r="J133" i="105" a="1"/>
  <c r="J133" i="105" s="1"/>
  <c r="J126" i="105" a="1"/>
  <c r="J126" i="105" s="1"/>
  <c r="J124" i="105" a="1"/>
  <c r="J124" i="105" s="1"/>
  <c r="J136" i="105" a="1"/>
  <c r="J136" i="105" s="1"/>
  <c r="J119" i="105" a="1"/>
  <c r="J119" i="105" s="1"/>
  <c r="J122" i="105" a="1"/>
  <c r="J122" i="105" s="1"/>
  <c r="J144" i="105" a="1"/>
  <c r="J144" i="105" s="1"/>
  <c r="J120" i="105" a="1"/>
  <c r="J120" i="105" s="1"/>
  <c r="J123" i="105" a="1"/>
  <c r="J123" i="105" s="1"/>
  <c r="J132" i="105" a="1"/>
  <c r="J132" i="105" s="1"/>
  <c r="J127" i="105" a="1"/>
  <c r="J127" i="105" s="1"/>
  <c r="J25" i="101" a="1"/>
  <c r="J25" i="101" s="1"/>
  <c r="G25" i="101" a="1"/>
  <c r="G25" i="101" s="1"/>
  <c r="I25" i="101" a="1"/>
  <c r="I25" i="101" s="1"/>
  <c r="K25" i="101" a="1"/>
  <c r="K25" i="101" s="1"/>
  <c r="H25" i="101" a="1"/>
  <c r="H25" i="101" s="1"/>
  <c r="S257" i="117" a="1"/>
  <c r="S257" i="117" s="1"/>
  <c r="AA261" i="117" a="1"/>
  <c r="AA261" i="117" s="1"/>
  <c r="AA259" i="117" a="1"/>
  <c r="AA259" i="117" s="1"/>
  <c r="W257" i="117" a="1"/>
  <c r="W257" i="117" s="1"/>
  <c r="AE254" i="117" a="1"/>
  <c r="AE254" i="117" s="1"/>
  <c r="AE259" i="117" a="1"/>
  <c r="AE259" i="117" s="1"/>
  <c r="W252" i="117" a="1"/>
  <c r="W252" i="117" s="1"/>
  <c r="AE260" i="117" a="1"/>
  <c r="AE260" i="117" s="1"/>
  <c r="J138" i="105" a="1"/>
  <c r="J138" i="105" s="1"/>
  <c r="S258" i="117" a="1"/>
  <c r="S258" i="117" s="1"/>
  <c r="AE258" i="117" a="1"/>
  <c r="AE258" i="117" s="1"/>
  <c r="AE261" i="117" a="1"/>
  <c r="AE261" i="117" s="1"/>
  <c r="W256" i="117" a="1"/>
  <c r="W256" i="117" s="1"/>
  <c r="W258" i="117" a="1"/>
  <c r="W258" i="117" s="1"/>
  <c r="L161" i="84" a="1"/>
  <c r="L161" i="84" s="1"/>
  <c r="F161" i="84" a="1"/>
  <c r="F161" i="84" s="1"/>
  <c r="H161" i="84" a="1"/>
  <c r="H161" i="84" s="1"/>
  <c r="J134" i="105" a="1"/>
  <c r="J134" i="105" s="1"/>
  <c r="W261" i="117" a="1"/>
  <c r="W261" i="117" s="1"/>
  <c r="AE256" i="117" a="1"/>
  <c r="AE256" i="117" s="1"/>
  <c r="AE255" i="117" a="1"/>
  <c r="AE255" i="117" s="1"/>
  <c r="AE257" i="117" a="1"/>
  <c r="AE257" i="117" s="1"/>
  <c r="W253" i="117" a="1"/>
  <c r="W253" i="117" s="1"/>
  <c r="V14" i="89"/>
  <c r="X14" i="89" s="1"/>
  <c r="J162" i="105" a="1"/>
  <c r="J162" i="105" s="1"/>
  <c r="U92" i="84"/>
  <c r="W22" i="83"/>
  <c r="D157" i="105"/>
  <c r="J157" i="105" s="1" a="1"/>
  <c r="J157" i="105" s="1"/>
  <c r="J168" i="105" a="1"/>
  <c r="J168" i="105" s="1"/>
  <c r="J185" i="105" a="1"/>
  <c r="J185" i="105" s="1"/>
  <c r="J163" i="105" a="1"/>
  <c r="J163" i="105" s="1"/>
  <c r="J165" i="105" a="1"/>
  <c r="J165" i="105" s="1"/>
  <c r="J167" i="105" a="1"/>
  <c r="J167" i="105" s="1"/>
  <c r="J158" i="105" a="1"/>
  <c r="J158" i="105" s="1"/>
  <c r="J166" i="105" a="1"/>
  <c r="J166" i="105" s="1"/>
  <c r="U236" i="117" a="1"/>
  <c r="AH236" i="117" a="1"/>
  <c r="AH236" i="117" s="1"/>
  <c r="E21" i="105"/>
  <c r="H21" i="105" s="1" a="1"/>
  <c r="H21" i="105" s="1"/>
  <c r="H51" i="105" a="1"/>
  <c r="H51" i="105" s="1"/>
  <c r="H22" i="105" a="1"/>
  <c r="H22" i="105" s="1"/>
  <c r="H42" i="105" a="1"/>
  <c r="H42" i="105" s="1"/>
  <c r="H36" i="105" a="1"/>
  <c r="H36" i="105" s="1"/>
  <c r="H28" i="105" a="1"/>
  <c r="H28" i="105" s="1"/>
  <c r="H50" i="105" a="1"/>
  <c r="H50" i="105" s="1"/>
  <c r="H41" i="105" a="1"/>
  <c r="H41" i="105" s="1"/>
  <c r="H35" i="105" a="1"/>
  <c r="H35" i="105" s="1"/>
  <c r="H27" i="105" a="1"/>
  <c r="H27" i="105" s="1"/>
  <c r="H48" i="105" a="1"/>
  <c r="H48" i="105" s="1"/>
  <c r="H40" i="105" a="1"/>
  <c r="H40" i="105" s="1"/>
  <c r="H34" i="105" a="1"/>
  <c r="H34" i="105" s="1"/>
  <c r="H26" i="105" a="1"/>
  <c r="H26" i="105" s="1"/>
  <c r="H47" i="105" a="1"/>
  <c r="H47" i="105" s="1"/>
  <c r="H39" i="105" a="1"/>
  <c r="H39" i="105" s="1"/>
  <c r="H33" i="105" a="1"/>
  <c r="H33" i="105" s="1"/>
  <c r="H25" i="105" a="1"/>
  <c r="H25" i="105" s="1"/>
  <c r="H54" i="105" a="1"/>
  <c r="H54" i="105" s="1"/>
  <c r="H46" i="105" a="1"/>
  <c r="H46" i="105" s="1"/>
  <c r="H31" i="105" a="1"/>
  <c r="H31" i="105" s="1"/>
  <c r="H53" i="105" a="1"/>
  <c r="H53" i="105" s="1"/>
  <c r="H24" i="105" a="1"/>
  <c r="H24" i="105" s="1"/>
  <c r="H45" i="105" a="1"/>
  <c r="H45" i="105" s="1"/>
  <c r="H38" i="105" a="1"/>
  <c r="H38" i="105" s="1"/>
  <c r="H30" i="105" a="1"/>
  <c r="H30" i="105" s="1"/>
  <c r="H52" i="105" a="1"/>
  <c r="H52" i="105" s="1"/>
  <c r="H23" i="105" a="1"/>
  <c r="H23" i="105" s="1"/>
  <c r="H44" i="105" a="1"/>
  <c r="H44" i="105" s="1"/>
  <c r="H37" i="105" a="1"/>
  <c r="H37" i="105" s="1"/>
  <c r="H29" i="105" a="1"/>
  <c r="H29" i="105" s="1"/>
  <c r="K31" i="102"/>
  <c r="J31" i="102"/>
  <c r="I31" i="102"/>
  <c r="H31" i="102"/>
  <c r="G31" i="102"/>
  <c r="J177" i="105" a="1"/>
  <c r="J177" i="105" s="1"/>
  <c r="G38" i="102"/>
  <c r="K38" i="102"/>
  <c r="J38" i="102"/>
  <c r="I38" i="102"/>
  <c r="H38" i="102"/>
  <c r="AE253" i="117" a="1"/>
  <c r="AE253" i="117" s="1"/>
  <c r="S256" i="117" a="1"/>
  <c r="S256" i="117" s="1"/>
  <c r="AA260" i="117" a="1"/>
  <c r="AA260" i="117" s="1"/>
  <c r="AA253" i="117" a="1"/>
  <c r="AA253" i="117" s="1"/>
  <c r="S261" i="117" a="1"/>
  <c r="S261" i="117" s="1"/>
  <c r="S255" i="117" a="1"/>
  <c r="S255" i="117" s="1"/>
  <c r="AA252" i="117" a="1"/>
  <c r="AA252" i="117" s="1"/>
  <c r="AA255" i="117" a="1"/>
  <c r="AA255" i="117" s="1"/>
  <c r="S253" i="117" a="1"/>
  <c r="S253" i="117" s="1"/>
  <c r="AA258" i="117" a="1"/>
  <c r="AA258" i="117" s="1"/>
  <c r="S259" i="117" a="1"/>
  <c r="S259" i="117" s="1"/>
  <c r="AA256" i="117" a="1"/>
  <c r="AA256" i="117" s="1"/>
  <c r="W255" i="117" a="1"/>
  <c r="W255" i="117" s="1"/>
  <c r="AE252" i="117" a="1"/>
  <c r="AE252" i="117" s="1"/>
  <c r="K252" i="117" s="1"/>
  <c r="J164" i="105" a="1"/>
  <c r="J164" i="105" s="1"/>
  <c r="Z236" i="117" a="1"/>
  <c r="Z236" i="117" s="1"/>
  <c r="AL236" i="117" a="1"/>
  <c r="AL236" i="117" s="1"/>
  <c r="D19" i="90"/>
  <c r="F19" i="90" s="1" a="1"/>
  <c r="F19" i="90" s="1"/>
  <c r="F37" i="90" a="1"/>
  <c r="F37" i="90" s="1"/>
  <c r="F23" i="90" a="1"/>
  <c r="F23" i="90" s="1"/>
  <c r="F36" i="90" a="1"/>
  <c r="F36" i="90" s="1"/>
  <c r="F22" i="90" a="1"/>
  <c r="F22" i="90" s="1"/>
  <c r="F35" i="90" a="1"/>
  <c r="F35" i="90" s="1"/>
  <c r="F34" i="90" a="1"/>
  <c r="F34" i="90" s="1"/>
  <c r="F33" i="90" a="1"/>
  <c r="F33" i="90" s="1"/>
  <c r="F32" i="90" a="1"/>
  <c r="F32" i="90" s="1"/>
  <c r="F21" i="90" a="1"/>
  <c r="F21" i="90" s="1"/>
  <c r="F31" i="90" a="1"/>
  <c r="F31" i="90" s="1"/>
  <c r="F20" i="90" a="1"/>
  <c r="F20" i="90" s="1"/>
  <c r="F30" i="90" a="1"/>
  <c r="F30" i="90" s="1"/>
  <c r="F29" i="90" a="1"/>
  <c r="F29" i="90" s="1"/>
  <c r="F28" i="90" a="1"/>
  <c r="F28" i="90" s="1"/>
  <c r="F27" i="90" a="1"/>
  <c r="F27" i="90" s="1"/>
  <c r="F26" i="90" a="1"/>
  <c r="F26" i="90" s="1"/>
  <c r="F25" i="90" a="1"/>
  <c r="F25" i="90" s="1"/>
  <c r="F24" i="90" a="1"/>
  <c r="F24" i="90" s="1"/>
  <c r="J161" i="105" a="1"/>
  <c r="J161" i="105" s="1"/>
  <c r="K36" i="102"/>
  <c r="J36" i="102"/>
  <c r="I36" i="102"/>
  <c r="H36" i="102"/>
  <c r="G36" i="102"/>
  <c r="D19" i="91"/>
  <c r="F19" i="91" s="1" a="1"/>
  <c r="F19" i="91" s="1"/>
  <c r="F26" i="91" a="1"/>
  <c r="F26" i="91" s="1"/>
  <c r="F25" i="91" a="1"/>
  <c r="F25" i="91" s="1"/>
  <c r="F24" i="91" a="1"/>
  <c r="F24" i="91" s="1"/>
  <c r="F37" i="91" a="1"/>
  <c r="F37" i="91" s="1"/>
  <c r="F23" i="91" a="1"/>
  <c r="F23" i="91" s="1"/>
  <c r="F36" i="91" a="1"/>
  <c r="F36" i="91" s="1"/>
  <c r="F22" i="91" a="1"/>
  <c r="F22" i="91" s="1"/>
  <c r="F35" i="91" a="1"/>
  <c r="F35" i="91" s="1"/>
  <c r="F21" i="91" a="1"/>
  <c r="F21" i="91" s="1"/>
  <c r="F34" i="91" a="1"/>
  <c r="F34" i="91" s="1"/>
  <c r="F20" i="91" a="1"/>
  <c r="F20" i="91" s="1"/>
  <c r="F33" i="91" a="1"/>
  <c r="F33" i="91" s="1"/>
  <c r="F32" i="91" a="1"/>
  <c r="F32" i="91" s="1"/>
  <c r="F31" i="91" a="1"/>
  <c r="F31" i="91" s="1"/>
  <c r="F30" i="91" a="1"/>
  <c r="F30" i="91" s="1"/>
  <c r="F29" i="91" a="1"/>
  <c r="F29" i="91" s="1"/>
  <c r="F28" i="91" a="1"/>
  <c r="F28" i="91" s="1"/>
  <c r="F27" i="91" a="1"/>
  <c r="F27" i="91" s="1"/>
  <c r="J174" i="105" a="1"/>
  <c r="J174" i="105" s="1"/>
  <c r="K29" i="102"/>
  <c r="J29" i="102"/>
  <c r="I29" i="102"/>
  <c r="H29" i="102"/>
  <c r="G29" i="102"/>
  <c r="J8" i="111" a="1"/>
  <c r="J8" i="111" s="1"/>
  <c r="H23" i="117" s="1" a="1"/>
  <c r="AA254" i="117" a="1"/>
  <c r="AA254" i="117" s="1"/>
  <c r="W260" i="117" a="1"/>
  <c r="W260" i="117" s="1"/>
  <c r="W259" i="117" a="1"/>
  <c r="W259" i="117" s="1"/>
  <c r="O21" i="90" a="1"/>
  <c r="K37" i="101" a="1"/>
  <c r="K37" i="101" s="1"/>
  <c r="Q37" i="101" s="1"/>
  <c r="H37" i="101" a="1"/>
  <c r="H37" i="101" s="1"/>
  <c r="N37" i="101" s="1"/>
  <c r="J178" i="105" a="1"/>
  <c r="J178" i="105" s="1"/>
  <c r="D21" i="105"/>
  <c r="G190" i="105" a="1"/>
  <c r="G190" i="105" s="1"/>
  <c r="G161" i="105" a="1"/>
  <c r="G161" i="105" s="1"/>
  <c r="G146" i="105" a="1"/>
  <c r="G146" i="105" s="1"/>
  <c r="G135" i="105" a="1"/>
  <c r="G135" i="105" s="1"/>
  <c r="G44" i="105" a="1"/>
  <c r="G44" i="105" s="1"/>
  <c r="G37" i="105" a="1"/>
  <c r="G37" i="105" s="1"/>
  <c r="G29" i="105" a="1"/>
  <c r="G29" i="105" s="1"/>
  <c r="G189" i="105" a="1"/>
  <c r="G189" i="105" s="1"/>
  <c r="G177" i="105" a="1"/>
  <c r="G177" i="105" s="1"/>
  <c r="G145" i="105" a="1"/>
  <c r="G145" i="105" s="1"/>
  <c r="G125" i="105" a="1"/>
  <c r="G125" i="105" s="1"/>
  <c r="G51" i="105" a="1"/>
  <c r="G51" i="105" s="1"/>
  <c r="G22" i="105" a="1"/>
  <c r="G22" i="105" s="1"/>
  <c r="G188" i="105" a="1"/>
  <c r="G188" i="105" s="1"/>
  <c r="G167" i="105" a="1"/>
  <c r="G167" i="105" s="1"/>
  <c r="G160" i="105" a="1"/>
  <c r="G160" i="105" s="1"/>
  <c r="G134" i="105" a="1"/>
  <c r="G134" i="105" s="1"/>
  <c r="G118" i="105" a="1"/>
  <c r="G118" i="105" s="1"/>
  <c r="G42" i="105" a="1"/>
  <c r="G42" i="105" s="1"/>
  <c r="G36" i="105" a="1"/>
  <c r="G36" i="105" s="1"/>
  <c r="G28" i="105" a="1"/>
  <c r="G28" i="105" s="1"/>
  <c r="G187" i="105" a="1"/>
  <c r="G187" i="105" s="1"/>
  <c r="G176" i="105" a="1"/>
  <c r="G176" i="105" s="1"/>
  <c r="G143" i="105" a="1"/>
  <c r="G143" i="105" s="1"/>
  <c r="G124" i="105" a="1"/>
  <c r="G124" i="105" s="1"/>
  <c r="G50" i="105" a="1"/>
  <c r="G50" i="105" s="1"/>
  <c r="G186" i="105" a="1"/>
  <c r="G186" i="105" s="1"/>
  <c r="G166" i="105" a="1"/>
  <c r="G166" i="105" s="1"/>
  <c r="G159" i="105" a="1"/>
  <c r="G159" i="105" s="1"/>
  <c r="G142" i="105" a="1"/>
  <c r="G142" i="105" s="1"/>
  <c r="G133" i="105" a="1"/>
  <c r="G133" i="105" s="1"/>
  <c r="G41" i="105" a="1"/>
  <c r="G41" i="105" s="1"/>
  <c r="G35" i="105" a="1"/>
  <c r="G35" i="105" s="1"/>
  <c r="G27" i="105" a="1"/>
  <c r="G27" i="105" s="1"/>
  <c r="G175" i="105" a="1"/>
  <c r="G175" i="105" s="1"/>
  <c r="G141" i="105" a="1"/>
  <c r="G141" i="105" s="1"/>
  <c r="G123" i="105" a="1"/>
  <c r="G123" i="105" s="1"/>
  <c r="G117" i="105" a="1"/>
  <c r="G117" i="105" s="1"/>
  <c r="G184" i="105" a="1"/>
  <c r="G184" i="105" s="1"/>
  <c r="G165" i="105" a="1"/>
  <c r="G165" i="105" s="1"/>
  <c r="G158" i="105" a="1"/>
  <c r="G158" i="105" s="1"/>
  <c r="G140" i="105" a="1"/>
  <c r="G140" i="105" s="1"/>
  <c r="G132" i="105" a="1"/>
  <c r="G132" i="105" s="1"/>
  <c r="G48" i="105" a="1"/>
  <c r="G48" i="105" s="1"/>
  <c r="G40" i="105" a="1"/>
  <c r="G40" i="105" s="1"/>
  <c r="G34" i="105" a="1"/>
  <c r="G34" i="105" s="1"/>
  <c r="G26" i="105" a="1"/>
  <c r="G26" i="105" s="1"/>
  <c r="G183" i="105" a="1"/>
  <c r="G183" i="105" s="1"/>
  <c r="G174" i="105" a="1"/>
  <c r="G174" i="105" s="1"/>
  <c r="G139" i="105" a="1"/>
  <c r="G139" i="105" s="1"/>
  <c r="G131" i="105" a="1"/>
  <c r="G131" i="105" s="1"/>
  <c r="G122" i="105" a="1"/>
  <c r="G122" i="105" s="1"/>
  <c r="G182" i="105" a="1"/>
  <c r="G182" i="105" s="1"/>
  <c r="G164" i="105" a="1"/>
  <c r="G164" i="105" s="1"/>
  <c r="G130" i="105" a="1"/>
  <c r="G130" i="105" s="1"/>
  <c r="G47" i="105" a="1"/>
  <c r="G47" i="105" s="1"/>
  <c r="G33" i="105" a="1"/>
  <c r="G33" i="105" s="1"/>
  <c r="G25" i="105" a="1"/>
  <c r="G25" i="105" s="1"/>
  <c r="G181" i="105" a="1"/>
  <c r="G181" i="105" s="1"/>
  <c r="G173" i="105" a="1"/>
  <c r="G173" i="105" s="1"/>
  <c r="G129" i="105" a="1"/>
  <c r="G129" i="105" s="1"/>
  <c r="G121" i="105" a="1"/>
  <c r="G121" i="105" s="1"/>
  <c r="G54" i="105" a="1"/>
  <c r="G54" i="105" s="1"/>
  <c r="G39" i="105" a="1"/>
  <c r="G39" i="105" s="1"/>
  <c r="G180" i="105" a="1"/>
  <c r="G180" i="105" s="1"/>
  <c r="G172" i="105" a="1"/>
  <c r="G172" i="105" s="1"/>
  <c r="G163" i="105" a="1"/>
  <c r="G163" i="105" s="1"/>
  <c r="G137" i="105" a="1"/>
  <c r="G137" i="105" s="1"/>
  <c r="G128" i="105" a="1"/>
  <c r="G128" i="105" s="1"/>
  <c r="G46" i="105" a="1"/>
  <c r="G46" i="105" s="1"/>
  <c r="G31" i="105" a="1"/>
  <c r="G31" i="105" s="1"/>
  <c r="G171" i="105" a="1"/>
  <c r="G171" i="105" s="1"/>
  <c r="G149" i="105" a="1"/>
  <c r="G149" i="105" s="1"/>
  <c r="G120" i="105" a="1"/>
  <c r="G120" i="105" s="1"/>
  <c r="G53" i="105" a="1"/>
  <c r="G53" i="105" s="1"/>
  <c r="G24" i="105" a="1"/>
  <c r="G24" i="105" s="1"/>
  <c r="G170" i="105" a="1"/>
  <c r="G170" i="105" s="1"/>
  <c r="G162" i="105" a="1"/>
  <c r="G162" i="105" s="1"/>
  <c r="G148" i="105" a="1"/>
  <c r="G148" i="105" s="1"/>
  <c r="G136" i="105" a="1"/>
  <c r="G136" i="105" s="1"/>
  <c r="G45" i="105" a="1"/>
  <c r="G45" i="105" s="1"/>
  <c r="G38" i="105" a="1"/>
  <c r="G38" i="105" s="1"/>
  <c r="G30" i="105" a="1"/>
  <c r="G30" i="105" s="1"/>
  <c r="G178" i="105" a="1"/>
  <c r="G178" i="105" s="1"/>
  <c r="G169" i="105" a="1"/>
  <c r="G169" i="105" s="1"/>
  <c r="G147" i="105" a="1"/>
  <c r="G147" i="105" s="1"/>
  <c r="G126" i="105" a="1"/>
  <c r="G126" i="105" s="1"/>
  <c r="G119" i="105" a="1"/>
  <c r="G119" i="105" s="1"/>
  <c r="G52" i="105" a="1"/>
  <c r="G52" i="105" s="1"/>
  <c r="G23" i="105" a="1"/>
  <c r="G23" i="105" s="1"/>
  <c r="P236" i="117" a="1"/>
  <c r="P236" i="117" s="1"/>
  <c r="K26" i="102"/>
  <c r="J26" i="102"/>
  <c r="I26" i="102"/>
  <c r="H26" i="102"/>
  <c r="G26" i="102"/>
  <c r="K28" i="102"/>
  <c r="J28" i="102"/>
  <c r="I28" i="102"/>
  <c r="H28" i="102"/>
  <c r="G28" i="102"/>
  <c r="V21" i="89"/>
  <c r="X21" i="89" s="1"/>
  <c r="D285" i="117"/>
  <c r="E292" i="117"/>
  <c r="F291" i="117" a="1"/>
  <c r="F291" i="117" s="1"/>
  <c r="E291" i="117"/>
  <c r="F290" i="117" a="1"/>
  <c r="F290" i="117" s="1"/>
  <c r="E290" i="117"/>
  <c r="F296" i="117" a="1"/>
  <c r="F296" i="117" s="1"/>
  <c r="F289" i="117" a="1"/>
  <c r="F289" i="117" s="1"/>
  <c r="E296" i="117"/>
  <c r="E289" i="117"/>
  <c r="F295" i="117" a="1"/>
  <c r="F295" i="117" s="1"/>
  <c r="F288" i="117" a="1"/>
  <c r="F288" i="117" s="1"/>
  <c r="E295" i="117"/>
  <c r="E288" i="117"/>
  <c r="F294" i="117" a="1"/>
  <c r="F294" i="117" s="1"/>
  <c r="F287" i="117" a="1"/>
  <c r="F287" i="117" s="1"/>
  <c r="E294" i="117"/>
  <c r="E287" i="117"/>
  <c r="F293" i="117" a="1"/>
  <c r="F293" i="117" s="1"/>
  <c r="F286" i="117" a="1"/>
  <c r="F286" i="117" s="1"/>
  <c r="E293" i="117"/>
  <c r="E286" i="117"/>
  <c r="F292" i="117" a="1"/>
  <c r="F292" i="117" s="1"/>
  <c r="AG236" i="117" a="1"/>
  <c r="K34" i="102"/>
  <c r="J34" i="102"/>
  <c r="I34" i="102"/>
  <c r="H34" i="102"/>
  <c r="G34" i="102"/>
  <c r="V18" i="89"/>
  <c r="X18" i="89" s="1"/>
  <c r="J33" i="102"/>
  <c r="I33" i="102"/>
  <c r="H33" i="102"/>
  <c r="G33" i="102"/>
  <c r="K33" i="102"/>
  <c r="K35" i="102"/>
  <c r="J35" i="102"/>
  <c r="I35" i="102"/>
  <c r="H35" i="102"/>
  <c r="G35" i="102"/>
  <c r="J137" i="105" a="1"/>
  <c r="J137" i="105" s="1"/>
  <c r="J118" i="105" a="1"/>
  <c r="J118" i="105" s="1"/>
  <c r="I27" i="102"/>
  <c r="H27" i="102"/>
  <c r="G27" i="102"/>
  <c r="K27" i="102"/>
  <c r="J27" i="102"/>
  <c r="O236" i="117" a="1"/>
  <c r="O236" i="117" s="1"/>
  <c r="D19" i="94"/>
  <c r="F19" i="94" s="1" a="1"/>
  <c r="F19" i="94" s="1"/>
  <c r="G19" i="94" s="1" a="1"/>
  <c r="G19" i="94" s="1"/>
  <c r="F31" i="94" a="1"/>
  <c r="F31" i="94" s="1"/>
  <c r="G31" i="94" s="1" a="1"/>
  <c r="G31" i="94" s="1"/>
  <c r="F25" i="94" a="1"/>
  <c r="F25" i="94" s="1"/>
  <c r="G25" i="94" s="1" a="1"/>
  <c r="G25" i="94" s="1"/>
  <c r="F37" i="94" a="1"/>
  <c r="F37" i="94" s="1"/>
  <c r="G37" i="94" s="1" a="1"/>
  <c r="G37" i="94" s="1"/>
  <c r="F30" i="94" a="1"/>
  <c r="F30" i="94" s="1"/>
  <c r="G30" i="94" s="1" a="1"/>
  <c r="G30" i="94" s="1"/>
  <c r="F24" i="94" a="1"/>
  <c r="F24" i="94" s="1"/>
  <c r="G24" i="94" s="1" a="1"/>
  <c r="G24" i="94" s="1"/>
  <c r="F36" i="94" a="1"/>
  <c r="F36" i="94" s="1"/>
  <c r="G36" i="94" s="1" a="1"/>
  <c r="G36" i="94" s="1"/>
  <c r="F23" i="94" a="1"/>
  <c r="F23" i="94" s="1"/>
  <c r="G23" i="94" s="1" a="1"/>
  <c r="G23" i="94" s="1"/>
  <c r="F35" i="94" a="1"/>
  <c r="F35" i="94" s="1"/>
  <c r="G35" i="94" s="1" a="1"/>
  <c r="G35" i="94" s="1"/>
  <c r="F29" i="94" a="1"/>
  <c r="F29" i="94" s="1"/>
  <c r="G29" i="94" s="1" a="1"/>
  <c r="G29" i="94" s="1"/>
  <c r="F22" i="94" a="1"/>
  <c r="F22" i="94" s="1"/>
  <c r="G22" i="94" s="1" a="1"/>
  <c r="G22" i="94" s="1"/>
  <c r="F34" i="94" a="1"/>
  <c r="F34" i="94" s="1"/>
  <c r="G34" i="94" s="1" a="1"/>
  <c r="G34" i="94" s="1"/>
  <c r="F28" i="94" a="1"/>
  <c r="F28" i="94" s="1"/>
  <c r="G28" i="94" s="1" a="1"/>
  <c r="G28" i="94" s="1"/>
  <c r="F21" i="94" a="1"/>
  <c r="F21" i="94" s="1"/>
  <c r="G21" i="94" s="1" a="1"/>
  <c r="G21" i="94" s="1"/>
  <c r="F33" i="94" a="1"/>
  <c r="F33" i="94" s="1"/>
  <c r="G33" i="94" s="1" a="1"/>
  <c r="G33" i="94" s="1"/>
  <c r="F27" i="94" a="1"/>
  <c r="F27" i="94" s="1"/>
  <c r="G27" i="94" s="1" a="1"/>
  <c r="G27" i="94" s="1"/>
  <c r="F20" i="94" a="1"/>
  <c r="F20" i="94" s="1"/>
  <c r="G20" i="94" s="1" a="1"/>
  <c r="G20" i="94" s="1"/>
  <c r="F32" i="94" a="1"/>
  <c r="F32" i="94" s="1"/>
  <c r="G32" i="94" s="1" a="1"/>
  <c r="G32" i="94" s="1"/>
  <c r="F26" i="94" a="1"/>
  <c r="F26" i="94" s="1"/>
  <c r="G26" i="94" s="1" a="1"/>
  <c r="G26" i="94" s="1"/>
  <c r="J125" i="105" a="1"/>
  <c r="J125" i="105" s="1"/>
  <c r="AC236" i="117" a="1"/>
  <c r="Q236" i="117" a="1"/>
  <c r="V12" i="89"/>
  <c r="X12" i="89" s="1"/>
  <c r="J135" i="105" a="1"/>
  <c r="J135" i="105" s="1"/>
  <c r="J121" i="105" a="1"/>
  <c r="J121" i="105" s="1"/>
  <c r="J117" i="105" a="1"/>
  <c r="J117" i="105" s="1"/>
  <c r="K37" i="102"/>
  <c r="J37" i="102"/>
  <c r="I37" i="102"/>
  <c r="H37" i="102"/>
  <c r="G37" i="102"/>
  <c r="V17" i="89"/>
  <c r="X17" i="89" s="1"/>
  <c r="J30" i="102"/>
  <c r="I30" i="102"/>
  <c r="H30" i="102"/>
  <c r="G30" i="102"/>
  <c r="K30" i="102"/>
  <c r="E59" i="105"/>
  <c r="H59" i="105" s="1" a="1"/>
  <c r="H59" i="105" s="1"/>
  <c r="H90" i="105" a="1"/>
  <c r="H90" i="105" s="1"/>
  <c r="H75" i="105" a="1"/>
  <c r="H75" i="105" s="1"/>
  <c r="H67" i="105" a="1"/>
  <c r="H67" i="105" s="1"/>
  <c r="H60" i="105" a="1"/>
  <c r="H60" i="105" s="1"/>
  <c r="H89" i="105" a="1"/>
  <c r="H89" i="105" s="1"/>
  <c r="H82" i="105" a="1"/>
  <c r="H82" i="105" s="1"/>
  <c r="H74" i="105" a="1"/>
  <c r="H74" i="105" s="1"/>
  <c r="H66" i="105" a="1"/>
  <c r="H66" i="105" s="1"/>
  <c r="H88" i="105" a="1"/>
  <c r="H88" i="105" s="1"/>
  <c r="H80" i="105" a="1"/>
  <c r="H80" i="105" s="1"/>
  <c r="H73" i="105" a="1"/>
  <c r="H73" i="105" s="1"/>
  <c r="H65" i="105" a="1"/>
  <c r="H65" i="105" s="1"/>
  <c r="H86" i="105" a="1"/>
  <c r="H86" i="105" s="1"/>
  <c r="H79" i="105" a="1"/>
  <c r="H79" i="105" s="1"/>
  <c r="H72" i="105" a="1"/>
  <c r="H72" i="105" s="1"/>
  <c r="H64" i="105" a="1"/>
  <c r="H64" i="105" s="1"/>
  <c r="H85" i="105" a="1"/>
  <c r="H85" i="105" s="1"/>
  <c r="H78" i="105" a="1"/>
  <c r="H78" i="105" s="1"/>
  <c r="H71" i="105" a="1"/>
  <c r="H71" i="105" s="1"/>
  <c r="H63" i="105" a="1"/>
  <c r="H63" i="105" s="1"/>
  <c r="H92" i="105" a="1"/>
  <c r="H92" i="105" s="1"/>
  <c r="H77" i="105" a="1"/>
  <c r="H77" i="105" s="1"/>
  <c r="H84" i="105" a="1"/>
  <c r="H84" i="105" s="1"/>
  <c r="H69" i="105" a="1"/>
  <c r="H69" i="105" s="1"/>
  <c r="H62" i="105" a="1"/>
  <c r="H62" i="105" s="1"/>
  <c r="H91" i="105" a="1"/>
  <c r="H91" i="105" s="1"/>
  <c r="H76" i="105" a="1"/>
  <c r="H76" i="105" s="1"/>
  <c r="H83" i="105" a="1"/>
  <c r="H83" i="105" s="1"/>
  <c r="H68" i="105" a="1"/>
  <c r="H68" i="105" s="1"/>
  <c r="H61" i="105" a="1"/>
  <c r="H61" i="105" s="1"/>
  <c r="D59" i="105"/>
  <c r="G68" i="105" a="1"/>
  <c r="G68" i="105" s="1"/>
  <c r="G61" i="105" a="1"/>
  <c r="G61" i="105" s="1"/>
  <c r="G90" i="105" a="1"/>
  <c r="G90" i="105" s="1"/>
  <c r="G83" i="105" a="1"/>
  <c r="G83" i="105" s="1"/>
  <c r="G75" i="105" a="1"/>
  <c r="G75" i="105" s="1"/>
  <c r="G67" i="105" a="1"/>
  <c r="G67" i="105" s="1"/>
  <c r="G60" i="105" a="1"/>
  <c r="G60" i="105" s="1"/>
  <c r="G89" i="105" a="1"/>
  <c r="G89" i="105" s="1"/>
  <c r="G82" i="105" a="1"/>
  <c r="G82" i="105" s="1"/>
  <c r="G74" i="105" a="1"/>
  <c r="G74" i="105" s="1"/>
  <c r="G66" i="105" a="1"/>
  <c r="G66" i="105" s="1"/>
  <c r="G88" i="105" a="1"/>
  <c r="G88" i="105" s="1"/>
  <c r="G80" i="105" a="1"/>
  <c r="G80" i="105" s="1"/>
  <c r="G73" i="105" a="1"/>
  <c r="G73" i="105" s="1"/>
  <c r="G65" i="105" a="1"/>
  <c r="G65" i="105" s="1"/>
  <c r="G86" i="105" a="1"/>
  <c r="G86" i="105" s="1"/>
  <c r="G79" i="105" a="1"/>
  <c r="G79" i="105" s="1"/>
  <c r="G72" i="105" a="1"/>
  <c r="G72" i="105" s="1"/>
  <c r="G64" i="105" a="1"/>
  <c r="G64" i="105" s="1"/>
  <c r="G85" i="105" a="1"/>
  <c r="G85" i="105" s="1"/>
  <c r="G78" i="105" a="1"/>
  <c r="G78" i="105" s="1"/>
  <c r="G71" i="105" a="1"/>
  <c r="G71" i="105" s="1"/>
  <c r="G63" i="105" a="1"/>
  <c r="G63" i="105" s="1"/>
  <c r="G92" i="105" a="1"/>
  <c r="G92" i="105" s="1"/>
  <c r="G77" i="105" a="1"/>
  <c r="G77" i="105" s="1"/>
  <c r="G84" i="105" a="1"/>
  <c r="G84" i="105" s="1"/>
  <c r="G69" i="105" a="1"/>
  <c r="G69" i="105" s="1"/>
  <c r="G62" i="105" a="1"/>
  <c r="G62" i="105" s="1"/>
  <c r="G91" i="105" a="1"/>
  <c r="G91" i="105" s="1"/>
  <c r="G76" i="105" a="1"/>
  <c r="G76" i="105" s="1"/>
  <c r="V19" i="89"/>
  <c r="X19" i="89" s="1"/>
  <c r="V13" i="89"/>
  <c r="X13" i="89" s="1"/>
  <c r="K25" i="102"/>
  <c r="J25" i="102"/>
  <c r="I25" i="102"/>
  <c r="H25" i="102"/>
  <c r="G25" i="102"/>
  <c r="V20" i="89"/>
  <c r="X20" i="89" s="1"/>
  <c r="Y236" i="117" a="1"/>
  <c r="K32" i="102"/>
  <c r="J32" i="102"/>
  <c r="I32" i="102"/>
  <c r="H32" i="102"/>
  <c r="G32" i="102"/>
  <c r="V236" i="117" a="1"/>
  <c r="V236" i="117" s="1"/>
  <c r="F129" i="117"/>
  <c r="E181" i="117"/>
  <c r="E42" i="13" s="1" a="1"/>
  <c r="E42" i="13" s="1"/>
  <c r="H42" i="13" s="1"/>
  <c r="E143" i="117"/>
  <c r="F125" i="117"/>
  <c r="E654" i="117"/>
  <c r="F121" i="117"/>
  <c r="G121" i="117" s="1"/>
  <c r="E498" i="117"/>
  <c r="E49" i="13" s="1" a="1"/>
  <c r="E49" i="13" s="1"/>
  <c r="H49" i="13" s="1"/>
  <c r="E517" i="117"/>
  <c r="F50" i="13" s="1" a="1"/>
  <c r="F50" i="13" s="1"/>
  <c r="I50" i="13" s="1"/>
  <c r="F126" i="117"/>
  <c r="E363" i="117"/>
  <c r="F46" i="13" s="1" a="1"/>
  <c r="F46" i="13" s="1"/>
  <c r="I46" i="13" s="1"/>
  <c r="F127" i="117"/>
  <c r="F123" i="117"/>
  <c r="E35" i="117"/>
  <c r="F124" i="117"/>
  <c r="E73" i="117"/>
  <c r="E72" i="117"/>
  <c r="E54" i="117"/>
  <c r="E53" i="117"/>
  <c r="F128" i="117"/>
  <c r="E426" i="117"/>
  <c r="F122" i="117"/>
  <c r="G122" i="117" s="1"/>
  <c r="F120" i="117"/>
  <c r="G120" i="117" s="1"/>
  <c r="G320" i="117"/>
  <c r="E90" i="117"/>
  <c r="E91" i="117"/>
  <c r="H149" i="87"/>
  <c r="F26" i="88" a="1"/>
  <c r="F26" i="88" s="1"/>
  <c r="H30" i="83"/>
  <c r="M30" i="83" s="1"/>
  <c r="I147" i="87"/>
  <c r="G147" i="87"/>
  <c r="I146" i="87"/>
  <c r="AF133" i="88"/>
  <c r="O115" i="88"/>
  <c r="J149" i="87"/>
  <c r="M146" i="87"/>
  <c r="H146" i="87"/>
  <c r="P147" i="87"/>
  <c r="H147" i="87"/>
  <c r="O148" i="87"/>
  <c r="K149" i="87"/>
  <c r="L149" i="87"/>
  <c r="N149" i="87"/>
  <c r="K146" i="87"/>
  <c r="J146" i="87"/>
  <c r="M147" i="87"/>
  <c r="O149" i="87"/>
  <c r="L146" i="87"/>
  <c r="J148" i="87"/>
  <c r="P149" i="87"/>
  <c r="K148" i="87"/>
  <c r="L147" i="87"/>
  <c r="P146" i="87"/>
  <c r="K147" i="87"/>
  <c r="L148" i="87"/>
  <c r="N148" i="87"/>
  <c r="N147" i="87"/>
  <c r="P148" i="87"/>
  <c r="I148" i="87"/>
  <c r="G148" i="87"/>
  <c r="N146" i="87"/>
  <c r="O147" i="87"/>
  <c r="O146" i="87"/>
  <c r="G31" i="83"/>
  <c r="G33" i="83"/>
  <c r="H31" i="83"/>
  <c r="F95" i="84" a="1"/>
  <c r="F95" i="84" s="1"/>
  <c r="F98" i="84" a="1"/>
  <c r="F98" i="84" s="1"/>
  <c r="N179" i="82"/>
  <c r="O179" i="82" s="1"/>
  <c r="E55" i="13" a="1"/>
  <c r="E55" i="13" s="1"/>
  <c r="H55" i="13" s="1"/>
  <c r="E53" i="13" a="1"/>
  <c r="E53" i="13" s="1"/>
  <c r="H53" i="13" s="1"/>
  <c r="E50" i="13" a="1"/>
  <c r="E50" i="13" s="1"/>
  <c r="H50" i="13" s="1"/>
  <c r="F49" i="13" a="1"/>
  <c r="F49" i="13" s="1"/>
  <c r="I49" i="13" s="1"/>
  <c r="E46" i="13" a="1"/>
  <c r="E46" i="13" s="1"/>
  <c r="H46" i="13" s="1"/>
  <c r="F42" i="13" a="1"/>
  <c r="F42" i="13" s="1"/>
  <c r="I42" i="13" s="1"/>
  <c r="I92" i="105" l="1"/>
  <c r="H190" i="105" s="1"/>
  <c r="I74" i="105"/>
  <c r="H172" i="105" s="1"/>
  <c r="I69" i="105"/>
  <c r="H167" i="105" s="1"/>
  <c r="I167" i="105" s="1"/>
  <c r="K167" i="105" s="1"/>
  <c r="I80" i="105"/>
  <c r="H178" i="105" s="1"/>
  <c r="I178" i="105" s="1"/>
  <c r="K178" i="105" s="1"/>
  <c r="I85" i="105"/>
  <c r="H183" i="105" s="1"/>
  <c r="I67" i="105"/>
  <c r="H165" i="105" s="1"/>
  <c r="I165" i="105" s="1"/>
  <c r="K165" i="105" s="1"/>
  <c r="I72" i="105"/>
  <c r="H170" i="105" s="1"/>
  <c r="I83" i="105"/>
  <c r="H181" i="105" s="1"/>
  <c r="I90" i="105"/>
  <c r="H188" i="105" s="1"/>
  <c r="I79" i="105"/>
  <c r="H177" i="105" s="1"/>
  <c r="I177" i="105" s="1"/>
  <c r="K177" i="105" s="1"/>
  <c r="I61" i="105"/>
  <c r="H159" i="105" s="1"/>
  <c r="I159" i="105" s="1"/>
  <c r="K159" i="105" s="1"/>
  <c r="G59" i="105" a="1"/>
  <c r="G59" i="105" s="1"/>
  <c r="I59" i="105" s="1"/>
  <c r="H157" i="105" s="1"/>
  <c r="I65" i="105"/>
  <c r="H163" i="105" s="1"/>
  <c r="I163" i="105" s="1"/>
  <c r="K163" i="105" s="1"/>
  <c r="I39" i="105"/>
  <c r="H134" i="105" s="1"/>
  <c r="I134" i="105" s="1"/>
  <c r="K134" i="105" s="1"/>
  <c r="I66" i="105"/>
  <c r="H164" i="105" s="1"/>
  <c r="I164" i="105" s="1"/>
  <c r="K164" i="105" s="1"/>
  <c r="I23" i="105"/>
  <c r="H118" i="105" s="1"/>
  <c r="I118" i="105" s="1"/>
  <c r="K118" i="105" s="1"/>
  <c r="I24" i="105"/>
  <c r="H119" i="105" s="1"/>
  <c r="I119" i="105" s="1"/>
  <c r="K119" i="105" s="1"/>
  <c r="I27" i="105"/>
  <c r="H122" i="105" s="1"/>
  <c r="I122" i="105" s="1"/>
  <c r="K122" i="105" s="1"/>
  <c r="I36" i="105"/>
  <c r="H131" i="105" s="1"/>
  <c r="I37" i="105"/>
  <c r="H132" i="105" s="1"/>
  <c r="I132" i="105" s="1"/>
  <c r="K132" i="105" s="1"/>
  <c r="I76" i="105"/>
  <c r="H174" i="105" s="1"/>
  <c r="I174" i="105" s="1"/>
  <c r="K174" i="105" s="1"/>
  <c r="I73" i="105"/>
  <c r="H171" i="105" s="1"/>
  <c r="I77" i="105"/>
  <c r="H175" i="105" s="1"/>
  <c r="I175" i="105" s="1"/>
  <c r="K175" i="105" s="1"/>
  <c r="I52" i="105"/>
  <c r="H147" i="105" s="1"/>
  <c r="I53" i="105"/>
  <c r="H148" i="105" s="1"/>
  <c r="I26" i="105"/>
  <c r="H121" i="105" s="1"/>
  <c r="I121" i="105" s="1"/>
  <c r="K121" i="105" s="1"/>
  <c r="I35" i="105"/>
  <c r="H130" i="105" s="1"/>
  <c r="I42" i="105"/>
  <c r="H137" i="105" s="1"/>
  <c r="I137" i="105" s="1"/>
  <c r="K137" i="105" s="1"/>
  <c r="I44" i="105"/>
  <c r="H139" i="105" s="1"/>
  <c r="I54" i="105"/>
  <c r="H149" i="105" s="1"/>
  <c r="I63" i="105"/>
  <c r="H161" i="105" s="1"/>
  <c r="I161" i="105" s="1"/>
  <c r="K161" i="105" s="1"/>
  <c r="I82" i="105"/>
  <c r="H180" i="105" s="1"/>
  <c r="I34" i="105"/>
  <c r="H129" i="105" s="1"/>
  <c r="I41" i="105"/>
  <c r="H136" i="105" s="1"/>
  <c r="I136" i="105" s="1"/>
  <c r="K136" i="105" s="1"/>
  <c r="I40" i="105"/>
  <c r="H135" i="105" s="1"/>
  <c r="I135" i="105" s="1"/>
  <c r="K135" i="105" s="1"/>
  <c r="I91" i="105"/>
  <c r="H189" i="105" s="1"/>
  <c r="I84" i="105"/>
  <c r="H182" i="105" s="1"/>
  <c r="I29" i="105"/>
  <c r="H124" i="105" s="1"/>
  <c r="I124" i="105" s="1"/>
  <c r="K124" i="105" s="1"/>
  <c r="I78" i="105"/>
  <c r="H176" i="105" s="1"/>
  <c r="I176" i="105" s="1"/>
  <c r="K176" i="105" s="1"/>
  <c r="I60" i="105"/>
  <c r="H158" i="105" s="1"/>
  <c r="I158" i="105" s="1"/>
  <c r="K158" i="105" s="1"/>
  <c r="I25" i="105"/>
  <c r="H120" i="105" s="1"/>
  <c r="I120" i="105" s="1"/>
  <c r="K120" i="105" s="1"/>
  <c r="I48" i="105"/>
  <c r="H143" i="105" s="1"/>
  <c r="I89" i="105"/>
  <c r="H187" i="105" s="1"/>
  <c r="I31" i="105"/>
  <c r="H126" i="105" s="1"/>
  <c r="I126" i="105" s="1"/>
  <c r="K126" i="105" s="1"/>
  <c r="I33" i="105"/>
  <c r="H128" i="105" s="1"/>
  <c r="I86" i="105"/>
  <c r="H184" i="105" s="1"/>
  <c r="I62" i="105"/>
  <c r="H160" i="105" s="1"/>
  <c r="I160" i="105" s="1"/>
  <c r="K160" i="105" s="1"/>
  <c r="I71" i="105"/>
  <c r="H169" i="105" s="1"/>
  <c r="I64" i="105"/>
  <c r="H162" i="105" s="1"/>
  <c r="I162" i="105" s="1"/>
  <c r="K162" i="105" s="1"/>
  <c r="I75" i="105"/>
  <c r="H173" i="105" s="1"/>
  <c r="I173" i="105" s="1"/>
  <c r="K173" i="105" s="1"/>
  <c r="I46" i="105"/>
  <c r="H141" i="105" s="1"/>
  <c r="I47" i="105"/>
  <c r="H142" i="105" s="1"/>
  <c r="I45" i="105"/>
  <c r="H140" i="105" s="1"/>
  <c r="I28" i="105"/>
  <c r="H123" i="105" s="1"/>
  <c r="I123" i="105" s="1"/>
  <c r="K123" i="105" s="1"/>
  <c r="I30" i="105"/>
  <c r="H125" i="105" s="1"/>
  <c r="I125" i="105" s="1"/>
  <c r="K125" i="105" s="1"/>
  <c r="I22" i="105"/>
  <c r="H117" i="105" s="1"/>
  <c r="I117" i="105" s="1"/>
  <c r="K117" i="105" s="1"/>
  <c r="I68" i="105"/>
  <c r="H166" i="105" s="1"/>
  <c r="I166" i="105" s="1"/>
  <c r="K166" i="105" s="1"/>
  <c r="I88" i="105"/>
  <c r="H186" i="105" s="1"/>
  <c r="I38" i="105"/>
  <c r="H133" i="105" s="1"/>
  <c r="I133" i="105" s="1"/>
  <c r="K133" i="105" s="1"/>
  <c r="I50" i="105"/>
  <c r="H145" i="105" s="1"/>
  <c r="I51" i="105"/>
  <c r="H146" i="105" s="1"/>
  <c r="E155" i="117"/>
  <c r="E156" i="117"/>
  <c r="I288" i="117"/>
  <c r="G288" i="117"/>
  <c r="G295" i="117"/>
  <c r="I295" i="117"/>
  <c r="I287" i="117"/>
  <c r="G287" i="117"/>
  <c r="G289" i="117"/>
  <c r="I289" i="117"/>
  <c r="I296" i="117"/>
  <c r="G296" i="117"/>
  <c r="I286" i="117"/>
  <c r="G286" i="117"/>
  <c r="G293" i="117"/>
  <c r="I293" i="117"/>
  <c r="G290" i="117"/>
  <c r="I290" i="117"/>
  <c r="G291" i="117"/>
  <c r="I291" i="117"/>
  <c r="G294" i="117"/>
  <c r="I294" i="117"/>
  <c r="G292" i="117"/>
  <c r="I292" i="117"/>
  <c r="F254" i="117"/>
  <c r="G254" i="117" s="1"/>
  <c r="G123" i="117"/>
  <c r="I123" i="117"/>
  <c r="I124" i="117"/>
  <c r="G124" i="117"/>
  <c r="I125" i="117"/>
  <c r="G125" i="117"/>
  <c r="I127" i="117"/>
  <c r="G127" i="117"/>
  <c r="G129" i="117"/>
  <c r="I129" i="117"/>
  <c r="I126" i="117"/>
  <c r="G126" i="117"/>
  <c r="G128" i="117"/>
  <c r="I128" i="117"/>
  <c r="Q33" i="102"/>
  <c r="P33" i="102"/>
  <c r="O33" i="102"/>
  <c r="N33" i="102"/>
  <c r="N32" i="102"/>
  <c r="O32" i="102"/>
  <c r="Q32" i="102"/>
  <c r="P32" i="102"/>
  <c r="Q27" i="102"/>
  <c r="P27" i="102"/>
  <c r="O27" i="102"/>
  <c r="N27" i="102"/>
  <c r="Q26" i="102"/>
  <c r="P26" i="102"/>
  <c r="O26" i="102"/>
  <c r="N26" i="102"/>
  <c r="Q34" i="102"/>
  <c r="P34" i="102"/>
  <c r="O34" i="102"/>
  <c r="N34" i="102"/>
  <c r="N29" i="102"/>
  <c r="Q29" i="102"/>
  <c r="O29" i="102"/>
  <c r="P29" i="102"/>
  <c r="O25" i="102"/>
  <c r="N25" i="102"/>
  <c r="Q25" i="102"/>
  <c r="P25" i="102"/>
  <c r="O38" i="102"/>
  <c r="N38" i="102"/>
  <c r="Q38" i="102"/>
  <c r="P38" i="102"/>
  <c r="N28" i="102"/>
  <c r="O28" i="102"/>
  <c r="Q28" i="102"/>
  <c r="P28" i="102"/>
  <c r="Q37" i="102"/>
  <c r="P37" i="102"/>
  <c r="O37" i="102"/>
  <c r="N37" i="102"/>
  <c r="N36" i="102"/>
  <c r="Q36" i="102"/>
  <c r="O36" i="102"/>
  <c r="P36" i="102"/>
  <c r="Q30" i="102"/>
  <c r="P30" i="102"/>
  <c r="O30" i="102"/>
  <c r="N30" i="102"/>
  <c r="O35" i="102"/>
  <c r="Q35" i="102"/>
  <c r="P35" i="102"/>
  <c r="N35" i="102"/>
  <c r="O31" i="102"/>
  <c r="N31" i="102"/>
  <c r="Q31" i="102"/>
  <c r="P31" i="102"/>
  <c r="E63" i="101"/>
  <c r="E61" i="101"/>
  <c r="P25" i="101"/>
  <c r="E45" i="101" s="1"/>
  <c r="O25" i="101"/>
  <c r="E44" i="101" s="1"/>
  <c r="N25" i="101"/>
  <c r="E43" i="101" s="1"/>
  <c r="Q25" i="101"/>
  <c r="E46" i="101" s="1"/>
  <c r="H260" i="117"/>
  <c r="F252" i="117"/>
  <c r="G252" i="117" s="1"/>
  <c r="F253" i="117"/>
  <c r="G253" i="117" s="1"/>
  <c r="K253" i="117"/>
  <c r="H253" i="117"/>
  <c r="H255" i="117"/>
  <c r="K255" i="117"/>
  <c r="F255" i="117"/>
  <c r="G255" i="117" s="1"/>
  <c r="K257" i="117"/>
  <c r="H257" i="117"/>
  <c r="F257" i="117"/>
  <c r="G257" i="117" s="1"/>
  <c r="F261" i="117"/>
  <c r="G261" i="117" s="1"/>
  <c r="K261" i="117"/>
  <c r="H261" i="117"/>
  <c r="K254" i="117"/>
  <c r="K259" i="117"/>
  <c r="H259" i="117"/>
  <c r="F259" i="117"/>
  <c r="G259" i="117" s="1"/>
  <c r="H254" i="117"/>
  <c r="F256" i="117"/>
  <c r="G256" i="117" s="1"/>
  <c r="K256" i="117"/>
  <c r="H256" i="117"/>
  <c r="K260" i="117"/>
  <c r="F258" i="117"/>
  <c r="G258" i="117" s="1"/>
  <c r="H258" i="117"/>
  <c r="K258" i="117"/>
  <c r="F260" i="117"/>
  <c r="G260" i="117" s="1"/>
  <c r="H252" i="117"/>
  <c r="N33" i="83"/>
  <c r="M33" i="83"/>
  <c r="L33" i="83"/>
  <c r="N31" i="83"/>
  <c r="M31" i="83"/>
  <c r="L31" i="83"/>
  <c r="AC39" i="88"/>
  <c r="AB39" i="88"/>
  <c r="AA39" i="88"/>
  <c r="J26" i="88"/>
  <c r="L26" i="88"/>
  <c r="K26" i="88"/>
  <c r="J98" i="84"/>
  <c r="K98" i="84"/>
  <c r="L98" i="84"/>
  <c r="L95" i="84"/>
  <c r="K95" i="84"/>
  <c r="J95" i="84"/>
  <c r="AA36" i="88"/>
  <c r="AC36" i="88"/>
  <c r="AB36" i="88"/>
  <c r="AC37" i="88"/>
  <c r="AB37" i="88"/>
  <c r="AA37" i="88"/>
  <c r="J25" i="117"/>
  <c r="J24" i="117"/>
  <c r="J32" i="117"/>
  <c r="J31" i="117"/>
  <c r="J29" i="117"/>
  <c r="J28" i="117"/>
  <c r="J27" i="117"/>
  <c r="J26" i="117"/>
  <c r="J30" i="117"/>
  <c r="E657" i="117"/>
  <c r="V133" i="88"/>
  <c r="F55" i="13" a="1"/>
  <c r="F55" i="13" s="1"/>
  <c r="I55" i="13" s="1"/>
  <c r="E62" i="101"/>
  <c r="E58" i="101"/>
  <c r="O11" i="90" a="1"/>
  <c r="O11" i="90" s="1"/>
  <c r="H23" i="117"/>
  <c r="J23" i="117" s="1"/>
  <c r="AM240" i="117" a="1"/>
  <c r="AM240" i="117" s="1"/>
  <c r="X32" i="83" a="1"/>
  <c r="X32" i="83" s="1"/>
  <c r="Y32" i="83" s="1" a="1"/>
  <c r="Y32" i="83" s="1"/>
  <c r="X37" i="83" a="1"/>
  <c r="X37" i="83" s="1"/>
  <c r="Y37" i="83" s="1" a="1"/>
  <c r="Y37" i="83" s="1"/>
  <c r="X38" i="83" a="1"/>
  <c r="X38" i="83" s="1"/>
  <c r="Y38" i="83" s="1" a="1"/>
  <c r="Y38" i="83" s="1"/>
  <c r="X36" i="83" a="1"/>
  <c r="X36" i="83" s="1"/>
  <c r="Y36" i="83" s="1" a="1"/>
  <c r="Y36" i="83" s="1"/>
  <c r="X35" i="83" a="1"/>
  <c r="X35" i="83" s="1"/>
  <c r="Y35" i="83" s="1" a="1"/>
  <c r="Y35" i="83" s="1"/>
  <c r="X34" i="83" a="1"/>
  <c r="X34" i="83" s="1"/>
  <c r="Y34" i="83" s="1" a="1"/>
  <c r="Y34" i="83" s="1"/>
  <c r="X39" i="83" a="1"/>
  <c r="X39" i="83" s="1"/>
  <c r="Y39" i="83" s="1" a="1"/>
  <c r="Y39" i="83" s="1"/>
  <c r="X29" i="83" a="1"/>
  <c r="X29" i="83" s="1"/>
  <c r="Y29" i="83" s="1" a="1"/>
  <c r="Y29" i="83" s="1"/>
  <c r="X33" i="83" a="1"/>
  <c r="X33" i="83" s="1"/>
  <c r="Y33" i="83" s="1" a="1"/>
  <c r="Y33" i="83" s="1"/>
  <c r="X30" i="83" a="1"/>
  <c r="X30" i="83" s="1"/>
  <c r="Y30" i="83" s="1" a="1"/>
  <c r="Y30" i="83" s="1"/>
  <c r="X31" i="83" a="1"/>
  <c r="X31" i="83" s="1"/>
  <c r="Y31" i="83" s="1" a="1"/>
  <c r="Y31" i="83" s="1"/>
  <c r="X28" i="83" a="1"/>
  <c r="X28" i="83" s="1"/>
  <c r="Y28" i="83" s="1" a="1"/>
  <c r="Y28" i="83" s="1"/>
  <c r="AM238" i="117" a="1"/>
  <c r="AM238" i="117" s="1"/>
  <c r="V108" i="84" a="1"/>
  <c r="V108" i="84" s="1"/>
  <c r="W108" i="84" s="1" a="1"/>
  <c r="W108" i="84" s="1"/>
  <c r="V111" i="84" a="1"/>
  <c r="V111" i="84" s="1"/>
  <c r="W111" i="84" s="1" a="1"/>
  <c r="W111" i="84" s="1"/>
  <c r="V180" i="84" a="1"/>
  <c r="V180" i="84" s="1"/>
  <c r="V109" i="84" a="1"/>
  <c r="V109" i="84" s="1"/>
  <c r="W109" i="84" s="1" a="1"/>
  <c r="W109" i="84" s="1"/>
  <c r="V107" i="84" a="1"/>
  <c r="V107" i="84" s="1"/>
  <c r="W107" i="84" s="1" a="1"/>
  <c r="W107" i="84" s="1"/>
  <c r="V188" i="84" a="1"/>
  <c r="V188" i="84" s="1"/>
  <c r="V182" i="84" a="1"/>
  <c r="V182" i="84" s="1"/>
  <c r="V187" i="84" a="1"/>
  <c r="V187" i="84" s="1"/>
  <c r="V183" i="84" a="1"/>
  <c r="V183" i="84" s="1"/>
  <c r="V189" i="84" a="1"/>
  <c r="V189" i="84" s="1"/>
  <c r="V101" i="84" a="1"/>
  <c r="V101" i="84" s="1"/>
  <c r="W101" i="84" s="1" a="1"/>
  <c r="W101" i="84" s="1"/>
  <c r="V190" i="84" a="1"/>
  <c r="V190" i="84" s="1"/>
  <c r="V100" i="84" a="1"/>
  <c r="V100" i="84" s="1"/>
  <c r="W100" i="84" s="1" a="1"/>
  <c r="W100" i="84" s="1"/>
  <c r="V186" i="84" a="1"/>
  <c r="V186" i="84" s="1"/>
  <c r="V184" i="84" a="1"/>
  <c r="V184" i="84" s="1"/>
  <c r="V104" i="84" a="1"/>
  <c r="V104" i="84" s="1"/>
  <c r="W104" i="84" s="1" a="1"/>
  <c r="W104" i="84" s="1"/>
  <c r="V110" i="84" a="1"/>
  <c r="V110" i="84" s="1"/>
  <c r="W110" i="84" s="1" a="1"/>
  <c r="W110" i="84" s="1"/>
  <c r="V185" i="84" a="1"/>
  <c r="V185" i="84" s="1"/>
  <c r="V103" i="84" a="1"/>
  <c r="V103" i="84" s="1"/>
  <c r="W103" i="84" s="1" a="1"/>
  <c r="W103" i="84" s="1"/>
  <c r="V106" i="84" a="1"/>
  <c r="V106" i="84" s="1"/>
  <c r="W106" i="84" s="1" a="1"/>
  <c r="W106" i="84" s="1"/>
  <c r="V191" i="84" a="1"/>
  <c r="V191" i="84" s="1"/>
  <c r="V102" i="84" a="1"/>
  <c r="V102" i="84" s="1"/>
  <c r="W102" i="84" s="1" a="1"/>
  <c r="W102" i="84" s="1"/>
  <c r="V181" i="84" a="1"/>
  <c r="V181" i="84" s="1"/>
  <c r="V105" i="84" a="1"/>
  <c r="V105" i="84" s="1"/>
  <c r="W105" i="84" s="1" a="1"/>
  <c r="W105" i="84" s="1"/>
  <c r="AM245" i="117" a="1"/>
  <c r="AM245" i="117" s="1"/>
  <c r="AG236" i="117"/>
  <c r="AI236" i="117" s="1" a="1"/>
  <c r="AI236" i="117" s="1"/>
  <c r="AI240" i="117" a="1"/>
  <c r="AI240" i="117" s="1"/>
  <c r="AI242" i="117" a="1"/>
  <c r="AI242" i="117" s="1"/>
  <c r="AI244" i="117" a="1"/>
  <c r="AI244" i="117" s="1"/>
  <c r="AI237" i="117" a="1"/>
  <c r="AI237" i="117" s="1"/>
  <c r="AI239" i="117" a="1"/>
  <c r="AI239" i="117" s="1"/>
  <c r="AI241" i="117" a="1"/>
  <c r="AI241" i="117" s="1"/>
  <c r="AI243" i="117" a="1"/>
  <c r="AI243" i="117" s="1"/>
  <c r="AI245" i="117" a="1"/>
  <c r="AI245" i="117" s="1"/>
  <c r="AI238" i="117" a="1"/>
  <c r="AI238" i="117" s="1"/>
  <c r="G21" i="105" a="1"/>
  <c r="G21" i="105" s="1"/>
  <c r="G116" i="105" a="1"/>
  <c r="G116" i="105" s="1"/>
  <c r="G157" i="105" a="1"/>
  <c r="G157" i="105" s="1"/>
  <c r="AM243" i="117" a="1"/>
  <c r="AM243" i="117" s="1"/>
  <c r="X235" i="83"/>
  <c r="Y276" i="83"/>
  <c r="AM241" i="117" a="1"/>
  <c r="AM241" i="117" s="1"/>
  <c r="E64" i="101"/>
  <c r="U236" i="117"/>
  <c r="W236" i="117" s="1" a="1"/>
  <c r="W236" i="117" s="1"/>
  <c r="W245" i="117" a="1"/>
  <c r="W245" i="117" s="1"/>
  <c r="W238" i="117" a="1"/>
  <c r="W238" i="117" s="1"/>
  <c r="W240" i="117" a="1"/>
  <c r="W240" i="117" s="1"/>
  <c r="W242" i="117" a="1"/>
  <c r="W242" i="117" s="1"/>
  <c r="W244" i="117" a="1"/>
  <c r="W244" i="117" s="1"/>
  <c r="W237" i="117" a="1"/>
  <c r="W237" i="117" s="1"/>
  <c r="W239" i="117" a="1"/>
  <c r="W239" i="117" s="1"/>
  <c r="W241" i="117" a="1"/>
  <c r="W241" i="117" s="1"/>
  <c r="W243" i="117" a="1"/>
  <c r="W243" i="117" s="1"/>
  <c r="AM239" i="117" a="1"/>
  <c r="AM239" i="117" s="1"/>
  <c r="AM237" i="117" a="1"/>
  <c r="AM237" i="117" s="1"/>
  <c r="Y236" i="117"/>
  <c r="AA236" i="117" s="1" a="1"/>
  <c r="AA236" i="117" s="1"/>
  <c r="AA245" i="117" a="1"/>
  <c r="AA245" i="117" s="1"/>
  <c r="AA238" i="117" a="1"/>
  <c r="AA238" i="117" s="1"/>
  <c r="AA240" i="117" a="1"/>
  <c r="AA240" i="117" s="1"/>
  <c r="AA242" i="117" a="1"/>
  <c r="AA242" i="117" s="1"/>
  <c r="AA244" i="117" a="1"/>
  <c r="AA244" i="117" s="1"/>
  <c r="AA237" i="117" a="1"/>
  <c r="AA237" i="117" s="1"/>
  <c r="AA239" i="117" a="1"/>
  <c r="AA239" i="117" s="1"/>
  <c r="AA241" i="117" a="1"/>
  <c r="AA241" i="117" s="1"/>
  <c r="AA243" i="117" a="1"/>
  <c r="AA243" i="117" s="1"/>
  <c r="O21" i="90"/>
  <c r="AM244" i="117" a="1"/>
  <c r="AM244" i="117" s="1"/>
  <c r="AM242" i="117" a="1"/>
  <c r="AM242" i="117" s="1"/>
  <c r="AM236" i="117" a="1"/>
  <c r="AM236" i="117" s="1"/>
  <c r="Q236" i="117"/>
  <c r="S236" i="117" s="1" a="1"/>
  <c r="S236" i="117" s="1"/>
  <c r="S243" i="117" a="1"/>
  <c r="S243" i="117" s="1"/>
  <c r="S245" i="117" a="1"/>
  <c r="S245" i="117" s="1"/>
  <c r="S238" i="117" a="1"/>
  <c r="S238" i="117" s="1"/>
  <c r="S240" i="117" a="1"/>
  <c r="S240" i="117" s="1"/>
  <c r="S242" i="117" a="1"/>
  <c r="S242" i="117" s="1"/>
  <c r="S244" i="117" a="1"/>
  <c r="S244" i="117" s="1"/>
  <c r="S237" i="117" a="1"/>
  <c r="S237" i="117" s="1"/>
  <c r="S239" i="117" a="1"/>
  <c r="S239" i="117" s="1"/>
  <c r="S241" i="117" a="1"/>
  <c r="S241" i="117" s="1"/>
  <c r="AC236" i="117"/>
  <c r="AE236" i="117" s="1" a="1"/>
  <c r="AE236" i="117" s="1"/>
  <c r="AE240" i="117" a="1"/>
  <c r="AE240" i="117" s="1"/>
  <c r="AE242" i="117" a="1"/>
  <c r="AE242" i="117" s="1"/>
  <c r="AE244" i="117" a="1"/>
  <c r="AE244" i="117" s="1"/>
  <c r="AE237" i="117" a="1"/>
  <c r="AE237" i="117" s="1"/>
  <c r="AE239" i="117" a="1"/>
  <c r="AE239" i="117" s="1"/>
  <c r="AE241" i="117" a="1"/>
  <c r="AE241" i="117" s="1"/>
  <c r="AE243" i="117" a="1"/>
  <c r="AE243" i="117" s="1"/>
  <c r="AE245" i="117" a="1"/>
  <c r="AE245" i="117" s="1"/>
  <c r="AE238" i="117" a="1"/>
  <c r="AE238" i="117" s="1"/>
  <c r="E285" i="117"/>
  <c r="F285" i="117" a="1"/>
  <c r="F285" i="117" s="1"/>
  <c r="J33" i="108"/>
  <c r="E25" i="109"/>
  <c r="T33" i="108"/>
  <c r="O25" i="109"/>
  <c r="E94" i="117"/>
  <c r="F40" i="13" s="1" a="1"/>
  <c r="F40" i="13" s="1"/>
  <c r="I40" i="13" s="1"/>
  <c r="E57" i="101"/>
  <c r="E56" i="101"/>
  <c r="E55" i="101"/>
  <c r="E393" i="117"/>
  <c r="E394" i="117"/>
  <c r="E331" i="117"/>
  <c r="E45" i="13" s="1" a="1"/>
  <c r="E45" i="13" s="1"/>
  <c r="H45" i="13" s="1"/>
  <c r="E456" i="117"/>
  <c r="E47" i="13" s="1" a="1"/>
  <c r="E47" i="13" s="1"/>
  <c r="H47" i="13" s="1"/>
  <c r="E474" i="117"/>
  <c r="E48" i="13" s="1" a="1"/>
  <c r="E48" i="13" s="1"/>
  <c r="H48" i="13" s="1"/>
  <c r="E475" i="117"/>
  <c r="F48" i="13" s="1" a="1"/>
  <c r="F48" i="13" s="1"/>
  <c r="I48" i="13" s="1"/>
  <c r="E457" i="117"/>
  <c r="F47" i="13" s="1" a="1"/>
  <c r="F47" i="13" s="1"/>
  <c r="I47" i="13" s="1"/>
  <c r="E332" i="117"/>
  <c r="F45" i="13" s="1" a="1"/>
  <c r="F45" i="13" s="1"/>
  <c r="I45" i="13" s="1"/>
  <c r="H52" i="13"/>
  <c r="D32" i="81"/>
  <c r="D40" i="81"/>
  <c r="H55" i="81"/>
  <c r="H53" i="81"/>
  <c r="E72" i="72"/>
  <c r="E71" i="72"/>
  <c r="G43" i="72"/>
  <c r="D49" i="72"/>
  <c r="D65" i="72"/>
  <c r="D68" i="72" a="1"/>
  <c r="E70" i="72" s="1"/>
  <c r="D51" i="72" a="1"/>
  <c r="D51" i="72" s="1"/>
  <c r="D55" i="72" a="1"/>
  <c r="E58" i="72"/>
  <c r="F58" i="72"/>
  <c r="E59" i="72"/>
  <c r="F59" i="72"/>
  <c r="J79" i="78"/>
  <c r="J78" i="78"/>
  <c r="J77" i="78"/>
  <c r="J76" i="78"/>
  <c r="J69" i="78"/>
  <c r="J68" i="78"/>
  <c r="J67" i="78"/>
  <c r="J66" i="78"/>
  <c r="I127" i="105" l="1"/>
  <c r="K127" i="105" s="1"/>
  <c r="I144" i="105"/>
  <c r="K144" i="105" s="1"/>
  <c r="I138" i="105"/>
  <c r="K138" i="105" s="1"/>
  <c r="I21" i="105"/>
  <c r="H116" i="105" s="1"/>
  <c r="I116" i="105" s="1"/>
  <c r="G285" i="117"/>
  <c r="E298" i="117" s="1"/>
  <c r="E44" i="13" s="1" a="1"/>
  <c r="E44" i="13" s="1"/>
  <c r="H44" i="13" s="1"/>
  <c r="I285" i="117"/>
  <c r="E43" i="102"/>
  <c r="E52" i="102"/>
  <c r="E46" i="102"/>
  <c r="E49" i="102"/>
  <c r="E50" i="102"/>
  <c r="F236" i="117"/>
  <c r="F241" i="117"/>
  <c r="F239" i="117"/>
  <c r="F237" i="117"/>
  <c r="F244" i="117"/>
  <c r="F242" i="117"/>
  <c r="F240" i="117"/>
  <c r="F238" i="117"/>
  <c r="F245" i="117"/>
  <c r="F243" i="117"/>
  <c r="AB108" i="84"/>
  <c r="AA108" i="84"/>
  <c r="AC108" i="84"/>
  <c r="AB101" i="84"/>
  <c r="AC101" i="84"/>
  <c r="AA101" i="84"/>
  <c r="AC105" i="84"/>
  <c r="AB105" i="84"/>
  <c r="AA105" i="84"/>
  <c r="AE30" i="83"/>
  <c r="AD30" i="83"/>
  <c r="AC30" i="83"/>
  <c r="AE32" i="83"/>
  <c r="AD32" i="83"/>
  <c r="AC32" i="83"/>
  <c r="AD28" i="83"/>
  <c r="AE28" i="83"/>
  <c r="AC28" i="83"/>
  <c r="AE31" i="83"/>
  <c r="AD31" i="83"/>
  <c r="AC31" i="83"/>
  <c r="AC33" i="83"/>
  <c r="AE33" i="83"/>
  <c r="AD33" i="83"/>
  <c r="AC100" i="84"/>
  <c r="AB100" i="84"/>
  <c r="AA100" i="84"/>
  <c r="AC102" i="84"/>
  <c r="AB102" i="84"/>
  <c r="AA102" i="84"/>
  <c r="AE29" i="83"/>
  <c r="AD29" i="83"/>
  <c r="AC29" i="83"/>
  <c r="AE34" i="83"/>
  <c r="AD34" i="83"/>
  <c r="AC34" i="83"/>
  <c r="AC107" i="84"/>
  <c r="AB107" i="84"/>
  <c r="AA107" i="84"/>
  <c r="AD35" i="83"/>
  <c r="AE35" i="83"/>
  <c r="AC35" i="83"/>
  <c r="AC103" i="84"/>
  <c r="AB103" i="84"/>
  <c r="AA103" i="84"/>
  <c r="AC109" i="84"/>
  <c r="AB109" i="84"/>
  <c r="AA109" i="84"/>
  <c r="AE36" i="83"/>
  <c r="AD36" i="83"/>
  <c r="AC36" i="83"/>
  <c r="AA106" i="84"/>
  <c r="AC106" i="84"/>
  <c r="AB106" i="84"/>
  <c r="AC110" i="84"/>
  <c r="AB110" i="84"/>
  <c r="AA110" i="84"/>
  <c r="AC38" i="83"/>
  <c r="AE38" i="83"/>
  <c r="AD38" i="83"/>
  <c r="AE39" i="83"/>
  <c r="AD39" i="83"/>
  <c r="AC39" i="83"/>
  <c r="AA104" i="84"/>
  <c r="AC104" i="84"/>
  <c r="AB104" i="84"/>
  <c r="AC111" i="84"/>
  <c r="AB111" i="84"/>
  <c r="AA111" i="84"/>
  <c r="AE37" i="83"/>
  <c r="AD37" i="83"/>
  <c r="AC37" i="83"/>
  <c r="J71" i="78"/>
  <c r="I157" i="105"/>
  <c r="K157" i="105" s="1"/>
  <c r="I185" i="105"/>
  <c r="K185" i="105" s="1"/>
  <c r="I179" i="105"/>
  <c r="K179" i="105" s="1"/>
  <c r="E44" i="102"/>
  <c r="E51" i="102"/>
  <c r="E70" i="101"/>
  <c r="I530" i="117" s="1"/>
  <c r="E45" i="102"/>
  <c r="E34" i="117"/>
  <c r="E93" i="117" s="1"/>
  <c r="E40" i="13" s="1" a="1"/>
  <c r="E40" i="13" s="1"/>
  <c r="H40" i="13" s="1"/>
  <c r="I168" i="105"/>
  <c r="K168" i="105" s="1"/>
  <c r="AC184" i="84" a="1"/>
  <c r="AC184" i="84" s="1"/>
  <c r="Y184" i="84" a="1"/>
  <c r="Y184" i="84" s="1"/>
  <c r="W184" i="84" a="1"/>
  <c r="W184" i="84" s="1"/>
  <c r="AC186" i="84" a="1"/>
  <c r="AC186" i="84" s="1"/>
  <c r="Y186" i="84" a="1"/>
  <c r="Y186" i="84" s="1"/>
  <c r="W186" i="84" a="1"/>
  <c r="W186" i="84" s="1"/>
  <c r="Y190" i="84" a="1"/>
  <c r="Y190" i="84" s="1"/>
  <c r="AC190" i="84" a="1"/>
  <c r="AC190" i="84" s="1"/>
  <c r="W190" i="84" a="1"/>
  <c r="W190" i="84" s="1"/>
  <c r="E299" i="117"/>
  <c r="F44" i="13" s="1" a="1"/>
  <c r="F44" i="13" s="1"/>
  <c r="I44" i="13" s="1"/>
  <c r="W189" i="84" a="1"/>
  <c r="W189" i="84" s="1"/>
  <c r="AC189" i="84" a="1"/>
  <c r="AC189" i="84" s="1"/>
  <c r="Y189" i="84" a="1"/>
  <c r="Y189" i="84" s="1"/>
  <c r="W181" i="84" a="1"/>
  <c r="W181" i="84" s="1"/>
  <c r="AC181" i="84" a="1"/>
  <c r="AC181" i="84" s="1"/>
  <c r="Y181" i="84" a="1"/>
  <c r="Y181" i="84" s="1"/>
  <c r="AC183" i="84" a="1"/>
  <c r="AC183" i="84" s="1"/>
  <c r="Y183" i="84" a="1"/>
  <c r="Y183" i="84" s="1"/>
  <c r="W183" i="84" a="1"/>
  <c r="W183" i="84" s="1"/>
  <c r="AC187" i="84" a="1"/>
  <c r="AC187" i="84" s="1"/>
  <c r="Y187" i="84" a="1"/>
  <c r="Y187" i="84" s="1"/>
  <c r="W187" i="84" a="1"/>
  <c r="W187" i="84" s="1"/>
  <c r="AC191" i="84" a="1"/>
  <c r="AC191" i="84" s="1"/>
  <c r="Y191" i="84" a="1"/>
  <c r="Y191" i="84" s="1"/>
  <c r="W191" i="84" a="1"/>
  <c r="W191" i="84" s="1"/>
  <c r="Y182" i="84" a="1"/>
  <c r="Y182" i="84" s="1"/>
  <c r="W182" i="84" a="1"/>
  <c r="W182" i="84" s="1"/>
  <c r="AC182" i="84" a="1"/>
  <c r="AC182" i="84" s="1"/>
  <c r="Y188" i="84" a="1"/>
  <c r="Y188" i="84" s="1"/>
  <c r="W188" i="84" a="1"/>
  <c r="W188" i="84" s="1"/>
  <c r="AC188" i="84" a="1"/>
  <c r="AC188" i="84" s="1"/>
  <c r="J81" i="78"/>
  <c r="E69" i="101"/>
  <c r="AC185" i="84" a="1"/>
  <c r="AC185" i="84" s="1"/>
  <c r="Y185" i="84" a="1"/>
  <c r="Y185" i="84" s="1"/>
  <c r="W185" i="84" a="1"/>
  <c r="W185" i="84" s="1"/>
  <c r="AC180" i="84" a="1"/>
  <c r="AC180" i="84" s="1"/>
  <c r="Y180" i="84" a="1"/>
  <c r="Y180" i="84" s="1"/>
  <c r="W180" i="84" a="1"/>
  <c r="W180" i="84" s="1"/>
  <c r="E68" i="101"/>
  <c r="E67" i="101"/>
  <c r="E131" i="117"/>
  <c r="E159" i="117" s="1"/>
  <c r="E41" i="13" s="1" a="1"/>
  <c r="E41" i="13" s="1"/>
  <c r="H41" i="13" s="1"/>
  <c r="E132" i="117"/>
  <c r="E160" i="117" s="1"/>
  <c r="F41" i="13" s="1" a="1"/>
  <c r="F41" i="13" s="1"/>
  <c r="I41" i="13" s="1"/>
  <c r="E69" i="72"/>
  <c r="E61" i="13"/>
  <c r="D68" i="72"/>
  <c r="F57" i="72"/>
  <c r="E57" i="72"/>
  <c r="D55" i="72"/>
  <c r="J8" i="78"/>
  <c r="J60" i="78"/>
  <c r="J59" i="78"/>
  <c r="J58" i="78"/>
  <c r="J57" i="78"/>
  <c r="J47" i="78"/>
  <c r="J51" i="78"/>
  <c r="J50" i="78"/>
  <c r="J49" i="78"/>
  <c r="J48" i="78"/>
  <c r="J31" i="78"/>
  <c r="J41" i="78"/>
  <c r="J40" i="78"/>
  <c r="J39" i="78"/>
  <c r="J38" i="78"/>
  <c r="J37" i="78"/>
  <c r="J36" i="78"/>
  <c r="J35" i="78"/>
  <c r="J34" i="78"/>
  <c r="J33" i="78"/>
  <c r="J32" i="78"/>
  <c r="J30" i="78"/>
  <c r="J19" i="78"/>
  <c r="J24" i="78"/>
  <c r="J23" i="78"/>
  <c r="J22" i="78"/>
  <c r="J21" i="78"/>
  <c r="J20" i="78"/>
  <c r="J9" i="78"/>
  <c r="J13" i="78"/>
  <c r="J12" i="78"/>
  <c r="J11" i="78"/>
  <c r="J10" i="78"/>
  <c r="D9" i="87"/>
  <c r="I158" i="83"/>
  <c r="D117" i="79" a="1"/>
  <c r="D117" i="79" s="1"/>
  <c r="D107" i="79" a="1"/>
  <c r="D107" i="79" s="1"/>
  <c r="D83" i="79" a="1"/>
  <c r="D83" i="79" s="1"/>
  <c r="D59" i="79" a="1"/>
  <c r="D59" i="79" s="1"/>
  <c r="K116" i="105" l="1"/>
  <c r="E151" i="105" s="1"/>
  <c r="E55" i="102"/>
  <c r="E58" i="102"/>
  <c r="I531" i="117" s="1"/>
  <c r="E533" i="117" s="1"/>
  <c r="E51" i="13" s="1" a="1"/>
  <c r="E51" i="13" s="1"/>
  <c r="F51" i="13" s="1"/>
  <c r="I51" i="13" s="1"/>
  <c r="E56" i="102"/>
  <c r="J62" i="78"/>
  <c r="J53" i="78"/>
  <c r="J43" i="78"/>
  <c r="J26" i="78"/>
  <c r="J15" i="78"/>
  <c r="E192" i="105"/>
  <c r="E54" i="13" s="1" a="1"/>
  <c r="E54" i="13" s="1"/>
  <c r="F54" i="13" s="1"/>
  <c r="I54" i="13" s="1"/>
  <c r="E57" i="102"/>
  <c r="Q51" i="109"/>
  <c r="G51" i="109"/>
  <c r="Q38" i="85"/>
  <c r="Z279" i="83"/>
  <c r="G38" i="85"/>
  <c r="X270" i="84"/>
  <c r="Q43" i="108"/>
  <c r="G232" i="84"/>
  <c r="G43" i="108"/>
  <c r="X165" i="88"/>
  <c r="G131" i="88"/>
  <c r="G97" i="95"/>
  <c r="G53" i="92"/>
  <c r="P113" i="90"/>
  <c r="O591" i="117"/>
  <c r="G591" i="117"/>
  <c r="G83" i="90"/>
  <c r="P39" i="86"/>
  <c r="G82" i="94"/>
  <c r="G39" i="86"/>
  <c r="G247" i="83"/>
  <c r="G149" i="94"/>
  <c r="E68" i="82"/>
  <c r="N96" i="82"/>
  <c r="J72" i="82"/>
  <c r="G144" i="82"/>
  <c r="J84" i="82"/>
  <c r="E73" i="82"/>
  <c r="E72" i="82"/>
  <c r="G98" i="82"/>
  <c r="I64" i="82"/>
  <c r="L63" i="82"/>
  <c r="E106" i="82"/>
  <c r="I76" i="82"/>
  <c r="G28" i="84"/>
  <c r="E93" i="82"/>
  <c r="E100" i="82"/>
  <c r="D28" i="84"/>
  <c r="K61" i="82"/>
  <c r="G117" i="82"/>
  <c r="M63" i="82"/>
  <c r="E153" i="82"/>
  <c r="E166" i="83" s="1"/>
  <c r="G106" i="82"/>
  <c r="M76" i="82"/>
  <c r="J69" i="82"/>
  <c r="M135" i="82"/>
  <c r="L127" i="82"/>
  <c r="G105" i="82"/>
  <c r="L106" i="82"/>
  <c r="E92" i="82"/>
  <c r="E75" i="82"/>
  <c r="E107" i="82"/>
  <c r="E86" i="82"/>
  <c r="H83" i="82"/>
  <c r="H72" i="82"/>
  <c r="K28" i="84"/>
  <c r="N68" i="82"/>
  <c r="L98" i="82"/>
  <c r="H137" i="82"/>
  <c r="M78" i="82"/>
  <c r="I117" i="82"/>
  <c r="L67" i="82"/>
  <c r="F96" i="82"/>
  <c r="F136" i="82"/>
  <c r="G143" i="82"/>
  <c r="F99" i="82"/>
  <c r="F139" i="82"/>
  <c r="G112" i="82"/>
  <c r="E142" i="82"/>
  <c r="F115" i="82"/>
  <c r="N144" i="82"/>
  <c r="M93" i="82"/>
  <c r="G122" i="82"/>
  <c r="N93" i="82"/>
  <c r="H122" i="82"/>
  <c r="M143" i="82"/>
  <c r="H111" i="82"/>
  <c r="E67" i="82"/>
  <c r="K95" i="82"/>
  <c r="K135" i="82"/>
  <c r="L75" i="82"/>
  <c r="N119" i="82"/>
  <c r="F75" i="82"/>
  <c r="I28" i="84"/>
  <c r="J83" i="82"/>
  <c r="G69" i="82"/>
  <c r="I74" i="82"/>
  <c r="K107" i="82"/>
  <c r="M83" i="82"/>
  <c r="K73" i="82"/>
  <c r="I61" i="82"/>
  <c r="F129" i="82"/>
  <c r="K106" i="82"/>
  <c r="F108" i="82"/>
  <c r="I105" i="82"/>
  <c r="E83" i="82"/>
  <c r="I108" i="82"/>
  <c r="G96" i="82"/>
  <c r="L84" i="82"/>
  <c r="G76" i="82"/>
  <c r="L28" i="84"/>
  <c r="H70" i="82"/>
  <c r="F100" i="82"/>
  <c r="L138" i="82"/>
  <c r="E89" i="82"/>
  <c r="M118" i="82"/>
  <c r="F69" i="82"/>
  <c r="J97" i="82"/>
  <c r="J137" i="82"/>
  <c r="K144" i="82"/>
  <c r="J100" i="82"/>
  <c r="J140" i="82"/>
  <c r="K113" i="82"/>
  <c r="I143" i="82"/>
  <c r="J116" i="82"/>
  <c r="F68" i="82"/>
  <c r="G95" i="82"/>
  <c r="M133" i="82"/>
  <c r="H95" i="82"/>
  <c r="N133" i="82"/>
  <c r="F67" i="82"/>
  <c r="L112" i="82"/>
  <c r="G67" i="82"/>
  <c r="E97" i="82"/>
  <c r="E137" i="82"/>
  <c r="F77" i="82"/>
  <c r="H121" i="82"/>
  <c r="H28" i="84"/>
  <c r="E120" i="82"/>
  <c r="E63" i="82"/>
  <c r="K72" i="82"/>
  <c r="K98" i="82"/>
  <c r="G111" i="82"/>
  <c r="G85" i="82"/>
  <c r="K77" i="82"/>
  <c r="M62" i="82"/>
  <c r="J130" i="82"/>
  <c r="E108" i="82"/>
  <c r="E119" i="82"/>
  <c r="M106" i="82"/>
  <c r="I84" i="82"/>
  <c r="M121" i="82"/>
  <c r="L105" i="82"/>
  <c r="F86" i="82"/>
  <c r="I83" i="82"/>
  <c r="M28" i="84"/>
  <c r="L71" i="82"/>
  <c r="L111" i="82"/>
  <c r="F140" i="82"/>
  <c r="I90" i="82"/>
  <c r="G120" i="82"/>
  <c r="J70" i="82"/>
  <c r="N98" i="82"/>
  <c r="N138" i="82"/>
  <c r="G89" i="82"/>
  <c r="F112" i="82"/>
  <c r="N141" i="82"/>
  <c r="E115" i="82"/>
  <c r="M144" i="82"/>
  <c r="N117" i="82"/>
  <c r="N70" i="82"/>
  <c r="K96" i="82"/>
  <c r="G135" i="82"/>
  <c r="L96" i="82"/>
  <c r="H135" i="82"/>
  <c r="J68" i="82"/>
  <c r="F114" i="82"/>
  <c r="K68" i="82"/>
  <c r="I98" i="82"/>
  <c r="I138" i="82"/>
  <c r="J78" i="82"/>
  <c r="L122" i="82"/>
  <c r="L64" i="82"/>
  <c r="H63" i="82"/>
  <c r="K78" i="82"/>
  <c r="N76" i="82"/>
  <c r="H86" i="82"/>
  <c r="N116" i="82"/>
  <c r="G97" i="82"/>
  <c r="F130" i="82"/>
  <c r="G130" i="82"/>
  <c r="J127" i="82"/>
  <c r="E129" i="82"/>
  <c r="N112" i="82"/>
  <c r="K130" i="82"/>
  <c r="L70" i="82"/>
  <c r="K64" i="82"/>
  <c r="K129" i="82"/>
  <c r="L129" i="82"/>
  <c r="M134" i="82"/>
  <c r="J28" i="84"/>
  <c r="N75" i="82"/>
  <c r="F120" i="82"/>
  <c r="K74" i="82"/>
  <c r="K121" i="82"/>
  <c r="F76" i="82"/>
  <c r="N118" i="82"/>
  <c r="I140" i="82"/>
  <c r="N114" i="82"/>
  <c r="G92" i="82"/>
  <c r="I136" i="82"/>
  <c r="L113" i="82"/>
  <c r="E71" i="82"/>
  <c r="M113" i="82"/>
  <c r="L89" i="82"/>
  <c r="L136" i="82"/>
  <c r="J75" i="82"/>
  <c r="J135" i="82"/>
  <c r="M92" i="82"/>
  <c r="G141" i="82"/>
  <c r="F97" i="82"/>
  <c r="I67" i="82"/>
  <c r="N85" i="82"/>
  <c r="I121" i="82"/>
  <c r="M122" i="82"/>
  <c r="M75" i="82"/>
  <c r="N128" i="82"/>
  <c r="I130" i="82"/>
  <c r="N136" i="82"/>
  <c r="K70" i="82"/>
  <c r="M74" i="82"/>
  <c r="M70" i="82"/>
  <c r="I133" i="82"/>
  <c r="E134" i="82"/>
  <c r="G62" i="82"/>
  <c r="E28" i="84"/>
  <c r="H77" i="82"/>
  <c r="J121" i="82"/>
  <c r="E76" i="82"/>
  <c r="G133" i="82"/>
  <c r="J77" i="82"/>
  <c r="H120" i="82"/>
  <c r="M141" i="82"/>
  <c r="K91" i="82"/>
  <c r="E61" i="82"/>
  <c r="F61" i="82"/>
  <c r="N99" i="82"/>
  <c r="H130" i="82"/>
  <c r="K111" i="82"/>
  <c r="J61" i="82"/>
  <c r="E74" i="82"/>
  <c r="G78" i="82"/>
  <c r="M85" i="82"/>
  <c r="I141" i="82"/>
  <c r="F62" i="82"/>
  <c r="K63" i="82"/>
  <c r="E171" i="83"/>
  <c r="L78" i="82"/>
  <c r="N122" i="82"/>
  <c r="I77" i="82"/>
  <c r="K134" i="82"/>
  <c r="N78" i="82"/>
  <c r="L121" i="82"/>
  <c r="N67" i="82"/>
  <c r="L117" i="82"/>
  <c r="E95" i="82"/>
  <c r="G139" i="82"/>
  <c r="L120" i="82"/>
  <c r="M73" i="82"/>
  <c r="K116" i="82"/>
  <c r="J92" i="82"/>
  <c r="J139" i="82"/>
  <c r="H91" i="82"/>
  <c r="L139" i="82"/>
  <c r="M99" i="82"/>
  <c r="E144" i="82"/>
  <c r="J111" i="82"/>
  <c r="I62" i="82"/>
  <c r="J62" i="82"/>
  <c r="E133" i="82"/>
  <c r="H61" i="82"/>
  <c r="G64" i="82"/>
  <c r="N62" i="82"/>
  <c r="F78" i="82"/>
  <c r="H84" i="82"/>
  <c r="I93" i="82"/>
  <c r="E62" i="82"/>
  <c r="J63" i="82"/>
  <c r="M67" i="82"/>
  <c r="M89" i="82"/>
  <c r="H90" i="82"/>
  <c r="F133" i="82"/>
  <c r="M91" i="82"/>
  <c r="E136" i="82"/>
  <c r="F89" i="82"/>
  <c r="H133" i="82"/>
  <c r="N74" i="82"/>
  <c r="F119" i="82"/>
  <c r="I96" i="82"/>
  <c r="K140" i="82"/>
  <c r="F122" i="82"/>
  <c r="G75" i="82"/>
  <c r="E118" i="82"/>
  <c r="F98" i="82"/>
  <c r="N140" i="82"/>
  <c r="G77" i="82"/>
  <c r="J76" i="82"/>
  <c r="N63" i="82"/>
  <c r="G61" i="82"/>
  <c r="L62" i="82"/>
  <c r="L69" i="82"/>
  <c r="H64" i="82"/>
  <c r="G84" i="82"/>
  <c r="L85" i="82"/>
  <c r="J105" i="82"/>
  <c r="I63" i="82"/>
  <c r="N64" i="82"/>
  <c r="M84" i="82"/>
  <c r="G91" i="82"/>
  <c r="L91" i="82"/>
  <c r="J134" i="82"/>
  <c r="I134" i="82"/>
  <c r="N89" i="82"/>
  <c r="H62" i="82"/>
  <c r="E113" i="82"/>
  <c r="N92" i="82"/>
  <c r="E172" i="83"/>
  <c r="G70" i="82"/>
  <c r="N143" i="82"/>
  <c r="I107" i="82"/>
  <c r="E99" i="82"/>
  <c r="L83" i="82"/>
  <c r="J73" i="82"/>
  <c r="L86" i="82"/>
  <c r="I85" i="82"/>
  <c r="F84" i="82"/>
  <c r="N127" i="82"/>
  <c r="I129" i="82"/>
  <c r="F128" i="82"/>
  <c r="G83" i="82"/>
  <c r="M105" i="82"/>
  <c r="H107" i="82"/>
  <c r="E114" i="82"/>
  <c r="F28" i="84"/>
  <c r="E140" i="82"/>
  <c r="I94" i="82"/>
  <c r="M108" i="82"/>
  <c r="F106" i="82"/>
  <c r="F85" i="82"/>
  <c r="K86" i="82"/>
  <c r="E105" i="82"/>
  <c r="M86" i="82"/>
  <c r="J85" i="82"/>
  <c r="H129" i="82"/>
  <c r="M130" i="82"/>
  <c r="J129" i="82"/>
  <c r="K84" i="82"/>
  <c r="G107" i="82"/>
  <c r="L108" i="82"/>
  <c r="I115" i="82"/>
  <c r="F113" i="82"/>
  <c r="K67" i="82"/>
  <c r="G100" i="82"/>
  <c r="I144" i="82"/>
  <c r="N111" i="82"/>
  <c r="I113" i="82"/>
  <c r="J93" i="82"/>
  <c r="L137" i="82"/>
  <c r="G119" i="82"/>
  <c r="J96" i="82"/>
  <c r="L140" i="82"/>
  <c r="E98" i="82"/>
  <c r="M140" i="82"/>
  <c r="H115" i="82"/>
  <c r="E141" i="82"/>
  <c r="H118" i="82"/>
  <c r="K75" i="82"/>
  <c r="M119" i="82"/>
  <c r="H74" i="82"/>
  <c r="F137" i="82"/>
  <c r="G137" i="82"/>
  <c r="K118" i="82"/>
  <c r="G127" i="82"/>
  <c r="J107" i="82"/>
  <c r="J86" i="82"/>
  <c r="I100" i="82"/>
  <c r="I106" i="82"/>
  <c r="F105" i="82"/>
  <c r="N86" i="82"/>
  <c r="L130" i="82"/>
  <c r="M115" i="82"/>
  <c r="N130" i="82"/>
  <c r="F107" i="82"/>
  <c r="K108" i="82"/>
  <c r="F127" i="82"/>
  <c r="M116" i="82"/>
  <c r="J114" i="82"/>
  <c r="E69" i="82"/>
  <c r="M111" i="82"/>
  <c r="G71" i="82"/>
  <c r="H113" i="82"/>
  <c r="M114" i="82"/>
  <c r="N94" i="82"/>
  <c r="H143" i="82"/>
  <c r="K120" i="82"/>
  <c r="N97" i="82"/>
  <c r="F142" i="82"/>
  <c r="I99" i="82"/>
  <c r="G142" i="82"/>
  <c r="L116" i="82"/>
  <c r="I142" i="82"/>
  <c r="L119" i="82"/>
  <c r="E77" i="82"/>
  <c r="G121" i="82"/>
  <c r="F90" i="82"/>
  <c r="J138" i="82"/>
  <c r="M142" i="82"/>
  <c r="N72" i="82"/>
  <c r="E130" i="82"/>
  <c r="H127" i="82"/>
  <c r="I127" i="82"/>
  <c r="L107" i="82"/>
  <c r="K112" i="82"/>
  <c r="N107" i="82"/>
  <c r="M127" i="82"/>
  <c r="F63" i="82"/>
  <c r="M61" i="82"/>
  <c r="K105" i="82"/>
  <c r="I122" i="82"/>
  <c r="I128" i="82"/>
  <c r="N129" i="82"/>
  <c r="F73" i="82"/>
  <c r="H117" i="82"/>
  <c r="M71" i="82"/>
  <c r="K114" i="82"/>
  <c r="H73" i="82"/>
  <c r="F116" i="82"/>
  <c r="K137" i="82"/>
  <c r="L97" i="82"/>
  <c r="I89" i="82"/>
  <c r="K133" i="82"/>
  <c r="E152" i="82"/>
  <c r="E165" i="83" s="1"/>
  <c r="L128" i="82"/>
  <c r="M128" i="82"/>
  <c r="E112" i="82"/>
  <c r="K127" i="82"/>
  <c r="G116" i="82"/>
  <c r="G129" i="82"/>
  <c r="J64" i="82"/>
  <c r="G63" i="82"/>
  <c r="G128" i="82"/>
  <c r="H128" i="82"/>
  <c r="M129" i="82"/>
  <c r="J74" i="82"/>
  <c r="L118" i="82"/>
  <c r="G73" i="82"/>
  <c r="E116" i="82"/>
  <c r="L74" i="82"/>
  <c r="J117" i="82"/>
  <c r="E139" i="82"/>
  <c r="J113" i="82"/>
  <c r="M90" i="82"/>
  <c r="E135" i="82"/>
  <c r="H112" i="82"/>
  <c r="K69" i="82"/>
  <c r="I112" i="82"/>
  <c r="F71" i="82"/>
  <c r="N120" i="82"/>
  <c r="F74" i="82"/>
  <c r="F134" i="82"/>
  <c r="I91" i="82"/>
  <c r="M139" i="82"/>
  <c r="L95" i="82"/>
  <c r="F144" i="82"/>
  <c r="H116" i="82"/>
  <c r="K93" i="82"/>
  <c r="M137" i="82"/>
  <c r="H119" i="82"/>
  <c r="I72" i="82"/>
  <c r="G115" i="82"/>
  <c r="F91" i="82"/>
  <c r="F138" i="82"/>
  <c r="H78" i="82"/>
  <c r="H138" i="82"/>
  <c r="G94" i="82"/>
  <c r="K142" i="82"/>
  <c r="J98" i="82"/>
  <c r="F83" i="82"/>
  <c r="E64" i="82"/>
  <c r="K117" i="82"/>
  <c r="F72" i="82"/>
  <c r="I95" i="82"/>
  <c r="E96" i="82"/>
  <c r="H100" i="82"/>
  <c r="J120" i="82"/>
  <c r="H92" i="82"/>
  <c r="K89" i="82"/>
  <c r="F111" i="82"/>
  <c r="J95" i="82"/>
  <c r="I111" i="82"/>
  <c r="J91" i="82"/>
  <c r="M112" i="82"/>
  <c r="L61" i="82"/>
  <c r="I137" i="82"/>
  <c r="L141" i="82"/>
  <c r="H136" i="82"/>
  <c r="L100" i="82"/>
  <c r="E111" i="82"/>
  <c r="F121" i="82"/>
  <c r="F117" i="82"/>
  <c r="N61" i="82"/>
  <c r="H97" i="82"/>
  <c r="I119" i="82"/>
  <c r="I118" i="82"/>
  <c r="N69" i="82"/>
  <c r="I69" i="82"/>
  <c r="K85" i="82"/>
  <c r="H75" i="82"/>
  <c r="J67" i="82"/>
  <c r="I97" i="82"/>
  <c r="L114" i="82"/>
  <c r="N121" i="82"/>
  <c r="L93" i="82"/>
  <c r="E91" i="82"/>
  <c r="J112" i="82"/>
  <c r="H98" i="82"/>
  <c r="H94" i="82"/>
  <c r="N95" i="82"/>
  <c r="J119" i="82"/>
  <c r="E117" i="82"/>
  <c r="I135" i="82"/>
  <c r="H106" i="82"/>
  <c r="K90" i="82"/>
  <c r="J108" i="82"/>
  <c r="F93" i="82"/>
  <c r="M98" i="82"/>
  <c r="L134" i="82"/>
  <c r="J133" i="82"/>
  <c r="F95" i="82"/>
  <c r="I92" i="82"/>
  <c r="N113" i="82"/>
  <c r="L99" i="82"/>
  <c r="G114" i="82"/>
  <c r="H114" i="82"/>
  <c r="I75" i="82"/>
  <c r="G108" i="82"/>
  <c r="M138" i="82"/>
  <c r="L144" i="82"/>
  <c r="L133" i="82"/>
  <c r="J122" i="82"/>
  <c r="J118" i="82"/>
  <c r="F64" i="82"/>
  <c r="H105" i="82"/>
  <c r="G72" i="82"/>
  <c r="J94" i="82"/>
  <c r="G113" i="82"/>
  <c r="H140" i="82"/>
  <c r="N134" i="82"/>
  <c r="H99" i="82"/>
  <c r="M100" i="82"/>
  <c r="F118" i="82"/>
  <c r="J115" i="82"/>
  <c r="K115" i="82"/>
  <c r="L115" i="82"/>
  <c r="N83" i="82"/>
  <c r="F143" i="82"/>
  <c r="H142" i="82"/>
  <c r="K128" i="82"/>
  <c r="K83" i="82"/>
  <c r="H85" i="82"/>
  <c r="M96" i="82"/>
  <c r="E85" i="82"/>
  <c r="M107" i="82"/>
  <c r="I120" i="82"/>
  <c r="E127" i="82"/>
  <c r="N115" i="82"/>
  <c r="G140" i="82"/>
  <c r="J144" i="82"/>
  <c r="M97" i="82"/>
  <c r="F135" i="82"/>
  <c r="M120" i="82"/>
  <c r="L143" i="82"/>
  <c r="F141" i="82"/>
  <c r="K122" i="82"/>
  <c r="H134" i="82"/>
  <c r="H69" i="82"/>
  <c r="N142" i="82"/>
  <c r="L142" i="82"/>
  <c r="K71" i="82"/>
  <c r="I86" i="82"/>
  <c r="L73" i="82"/>
  <c r="E128" i="82"/>
  <c r="G86" i="82"/>
  <c r="N135" i="82"/>
  <c r="K141" i="82"/>
  <c r="G136" i="82"/>
  <c r="G99" i="82"/>
  <c r="J136" i="82"/>
  <c r="K136" i="82"/>
  <c r="M136" i="82"/>
  <c r="J142" i="82"/>
  <c r="G134" i="82"/>
  <c r="L135" i="82"/>
  <c r="H139" i="82"/>
  <c r="G118" i="82"/>
  <c r="M95" i="82"/>
  <c r="N108" i="82"/>
  <c r="M77" i="82"/>
  <c r="N139" i="82"/>
  <c r="K97" i="82"/>
  <c r="J141" i="82"/>
  <c r="E143" i="82"/>
  <c r="H76" i="82"/>
  <c r="K100" i="82"/>
  <c r="N137" i="82"/>
  <c r="E138" i="82"/>
  <c r="G138" i="82"/>
  <c r="E70" i="82"/>
  <c r="I68" i="82"/>
  <c r="H141" i="82"/>
  <c r="I114" i="82"/>
  <c r="N106" i="82"/>
  <c r="N105" i="82"/>
  <c r="N71" i="82"/>
  <c r="L77" i="82"/>
  <c r="I116" i="82"/>
  <c r="I139" i="82"/>
  <c r="K139" i="82"/>
  <c r="I71" i="82"/>
  <c r="K119" i="82"/>
  <c r="E84" i="82"/>
  <c r="N84" i="82"/>
  <c r="K138" i="82"/>
  <c r="I73" i="82"/>
  <c r="J106" i="82"/>
  <c r="H108" i="82"/>
  <c r="J128" i="82"/>
  <c r="H144" i="82"/>
  <c r="J90" i="82"/>
  <c r="H89" i="82"/>
  <c r="M117" i="82"/>
  <c r="J143" i="82"/>
  <c r="K143" i="82"/>
  <c r="H71" i="82"/>
  <c r="M72" i="82"/>
  <c r="H67" i="82"/>
  <c r="L76" i="82"/>
  <c r="M69" i="82"/>
  <c r="E121" i="82"/>
  <c r="I70" i="82"/>
  <c r="N91" i="82"/>
  <c r="L90" i="82"/>
  <c r="E122" i="82"/>
  <c r="G68" i="82"/>
  <c r="H68" i="82"/>
  <c r="L72" i="82"/>
  <c r="G74" i="82"/>
  <c r="L68" i="82"/>
  <c r="G90" i="82"/>
  <c r="K99" i="82"/>
  <c r="N73" i="82"/>
  <c r="M94" i="82"/>
  <c r="K92" i="82"/>
  <c r="G93" i="82"/>
  <c r="H93" i="82"/>
  <c r="F92" i="82"/>
  <c r="J89" i="82"/>
  <c r="K76" i="82"/>
  <c r="J99" i="82"/>
  <c r="L92" i="82"/>
  <c r="I78" i="82"/>
  <c r="F70" i="82"/>
  <c r="H96" i="82"/>
  <c r="E78" i="82"/>
  <c r="M68" i="82"/>
  <c r="K62" i="82"/>
  <c r="N77" i="82"/>
  <c r="M64" i="82"/>
  <c r="E94" i="82"/>
  <c r="K94" i="82"/>
  <c r="L94" i="82"/>
  <c r="N90" i="82"/>
  <c r="F94" i="82"/>
  <c r="E90" i="82"/>
  <c r="N100" i="82"/>
  <c r="J71" i="82"/>
  <c r="J15" i="109"/>
  <c r="X171" i="83"/>
  <c r="X172" i="83"/>
  <c r="I33" i="86"/>
  <c r="J37" i="109"/>
  <c r="I68" i="118"/>
  <c r="H25" i="109"/>
  <c r="I14" i="86"/>
  <c r="D8" i="87"/>
  <c r="I49" i="118"/>
  <c r="I29" i="85"/>
  <c r="E68" i="72"/>
  <c r="E73" i="72" s="1"/>
  <c r="E55" i="72"/>
  <c r="F55" i="72"/>
  <c r="H48" i="79"/>
  <c r="I51" i="91" s="1"/>
  <c r="H52" i="79"/>
  <c r="E22" i="75"/>
  <c r="E19" i="75"/>
  <c r="H50" i="79"/>
  <c r="J88" i="118" s="1"/>
  <c r="H54" i="79"/>
  <c r="H49" i="79"/>
  <c r="H53" i="79"/>
  <c r="H51" i="79"/>
  <c r="S25" i="109" l="1"/>
  <c r="N46" i="109" s="1"/>
  <c r="I25" i="109"/>
  <c r="O74" i="118"/>
  <c r="T86" i="118" s="1"/>
  <c r="E74" i="118"/>
  <c r="J86" i="118" s="1"/>
  <c r="J15" i="118"/>
  <c r="E83" i="78"/>
  <c r="E603" i="117"/>
  <c r="H51" i="13"/>
  <c r="H54" i="13"/>
  <c r="S94" i="90"/>
  <c r="E115" i="83" a="1"/>
  <c r="E115" i="83" s="1"/>
  <c r="K46" i="92"/>
  <c r="E153" i="84" a="1"/>
  <c r="E153" i="84" s="1"/>
  <c r="V164" i="84" a="1"/>
  <c r="V164" i="84" s="1"/>
  <c r="J92" i="95"/>
  <c r="D46" i="109"/>
  <c r="J35" i="108"/>
  <c r="I55" i="90"/>
  <c r="I33" i="85"/>
  <c r="J54" i="94"/>
  <c r="S99" i="90"/>
  <c r="I53" i="118"/>
  <c r="I129" i="94"/>
  <c r="H226" i="84"/>
  <c r="I20" i="93"/>
  <c r="I30" i="85"/>
  <c r="E68" i="83" a="1"/>
  <c r="E68" i="83" s="1"/>
  <c r="E56" i="88" a="1"/>
  <c r="E56" i="88" s="1"/>
  <c r="E119" i="84" a="1"/>
  <c r="E119" i="84" s="1"/>
  <c r="E23" i="72"/>
  <c r="F60" i="81" s="1"/>
  <c r="E20" i="84" a="1"/>
  <c r="N36" i="84" s="1"/>
  <c r="E52" i="83" a="1"/>
  <c r="E48" i="88" a="1"/>
  <c r="J38" i="109"/>
  <c r="I126" i="94"/>
  <c r="I50" i="118"/>
  <c r="X115" i="83" a="1"/>
  <c r="X115" i="83" s="1"/>
  <c r="V44" i="88" a="1"/>
  <c r="X44" i="83" a="1"/>
  <c r="V20" i="84" a="1"/>
  <c r="I34" i="86"/>
  <c r="J51" i="94"/>
  <c r="V60" i="88" a="1"/>
  <c r="V60" i="88" s="1"/>
  <c r="V120" i="84" a="1"/>
  <c r="V120" i="84" s="1"/>
  <c r="X60" i="83" a="1"/>
  <c r="X60" i="83" s="1"/>
  <c r="E24" i="72"/>
  <c r="G60" i="81" s="1"/>
  <c r="I51" i="90"/>
  <c r="I16" i="77"/>
  <c r="I15" i="77"/>
  <c r="I14" i="77"/>
  <c r="I13" i="77"/>
  <c r="I12" i="77"/>
  <c r="I11" i="77"/>
  <c r="I10" i="77"/>
  <c r="I9" i="77"/>
  <c r="I8" i="77"/>
  <c r="I7" i="77"/>
  <c r="E10" i="76" a="1"/>
  <c r="E10" i="76" s="1"/>
  <c r="E9" i="76" a="1"/>
  <c r="E9" i="76" s="1"/>
  <c r="E55" i="118" l="1"/>
  <c r="J585" i="117" s="1"/>
  <c r="O55" i="118"/>
  <c r="R585" i="117" s="1"/>
  <c r="H27" i="93"/>
  <c r="H26" i="93"/>
  <c r="H29" i="93"/>
  <c r="H28" i="93"/>
  <c r="H25" i="93"/>
  <c r="O90" i="118"/>
  <c r="R586" i="117" s="1"/>
  <c r="E90" i="118"/>
  <c r="J586" i="117" s="1"/>
  <c r="O46" i="109"/>
  <c r="O48" i="109" s="1"/>
  <c r="Q50" i="109" s="1"/>
  <c r="O53" i="109" s="1" a="1"/>
  <c r="O53" i="109" s="1"/>
  <c r="E46" i="109"/>
  <c r="E48" i="109" s="1"/>
  <c r="G50" i="109" s="1"/>
  <c r="E53" i="109" s="1" a="1"/>
  <c r="E53" i="109" s="1"/>
  <c r="AD47" i="84"/>
  <c r="AE47" i="84"/>
  <c r="AB47" i="84"/>
  <c r="AC47" i="84"/>
  <c r="Z47" i="84"/>
  <c r="AA47" i="84"/>
  <c r="X47" i="84"/>
  <c r="Y47" i="84"/>
  <c r="V47" i="84"/>
  <c r="W47" i="84"/>
  <c r="AD46" i="84"/>
  <c r="AE46" i="84"/>
  <c r="AB46" i="84"/>
  <c r="AC46" i="84"/>
  <c r="Z46" i="84"/>
  <c r="AA46" i="84"/>
  <c r="X46" i="84"/>
  <c r="Y46" i="84"/>
  <c r="V46" i="84"/>
  <c r="W46" i="84"/>
  <c r="AD45" i="84"/>
  <c r="AE45" i="84"/>
  <c r="AB45" i="84"/>
  <c r="AC45" i="84"/>
  <c r="Z45" i="84"/>
  <c r="AA45" i="84"/>
  <c r="X45" i="84"/>
  <c r="Y45" i="84"/>
  <c r="V45" i="84"/>
  <c r="W45" i="84"/>
  <c r="AD44" i="84"/>
  <c r="AE44" i="84"/>
  <c r="AB44" i="84"/>
  <c r="AC44" i="84"/>
  <c r="Z44" i="84"/>
  <c r="AA44" i="84"/>
  <c r="X44" i="84"/>
  <c r="Y44" i="84"/>
  <c r="V44" i="84"/>
  <c r="W44" i="84"/>
  <c r="AD43" i="84"/>
  <c r="AE43" i="84"/>
  <c r="AB43" i="84"/>
  <c r="AC43" i="84"/>
  <c r="Z43" i="84"/>
  <c r="AA43" i="84"/>
  <c r="X43" i="84"/>
  <c r="Y43" i="84"/>
  <c r="V43" i="84"/>
  <c r="W43" i="84"/>
  <c r="AD42" i="84"/>
  <c r="AE42" i="84"/>
  <c r="AB42" i="84"/>
  <c r="AC42" i="84"/>
  <c r="Z42" i="84"/>
  <c r="AA42" i="84"/>
  <c r="X42" i="84"/>
  <c r="Y42" i="84"/>
  <c r="V42" i="84"/>
  <c r="W42" i="84"/>
  <c r="AD41" i="84"/>
  <c r="AE41" i="84"/>
  <c r="AB41" i="84"/>
  <c r="AC41" i="84"/>
  <c r="Z41" i="84"/>
  <c r="AA41" i="84"/>
  <c r="X41" i="84"/>
  <c r="Y41" i="84"/>
  <c r="V41" i="84"/>
  <c r="W41" i="84"/>
  <c r="AD40" i="84"/>
  <c r="AE40" i="84"/>
  <c r="AB40" i="84"/>
  <c r="AC40" i="84"/>
  <c r="Z40" i="84"/>
  <c r="AA40" i="84"/>
  <c r="X40" i="84"/>
  <c r="Y40" i="84"/>
  <c r="V40" i="84"/>
  <c r="W40" i="84"/>
  <c r="AD39" i="84"/>
  <c r="AE39" i="84"/>
  <c r="AB39" i="84"/>
  <c r="AC39" i="84"/>
  <c r="Z39" i="84"/>
  <c r="AA39" i="84"/>
  <c r="X39" i="84"/>
  <c r="Y39" i="84"/>
  <c r="V39" i="84"/>
  <c r="W39" i="84"/>
  <c r="AD38" i="84"/>
  <c r="AE38" i="84"/>
  <c r="AB38" i="84"/>
  <c r="AC38" i="84"/>
  <c r="Z38" i="84"/>
  <c r="AA38" i="84"/>
  <c r="X38" i="84"/>
  <c r="Y38" i="84"/>
  <c r="V38" i="84"/>
  <c r="W38" i="84"/>
  <c r="AD37" i="84"/>
  <c r="AE37" i="84"/>
  <c r="AB37" i="84"/>
  <c r="AC37" i="84"/>
  <c r="Z37" i="84"/>
  <c r="AA37" i="84"/>
  <c r="X37" i="84"/>
  <c r="Y37" i="84"/>
  <c r="V37" i="84"/>
  <c r="W37" i="84"/>
  <c r="AD36" i="84"/>
  <c r="AE36" i="84"/>
  <c r="AB36" i="84"/>
  <c r="AC36" i="84"/>
  <c r="Z36" i="84"/>
  <c r="AA36" i="84"/>
  <c r="X36" i="84"/>
  <c r="Y36" i="84"/>
  <c r="W36" i="84"/>
  <c r="L36" i="84"/>
  <c r="M36" i="84"/>
  <c r="J36" i="84"/>
  <c r="K36" i="84"/>
  <c r="H36" i="84"/>
  <c r="I36" i="84"/>
  <c r="F36" i="84"/>
  <c r="G36" i="84"/>
  <c r="N35" i="84"/>
  <c r="E36" i="84"/>
  <c r="L35" i="84"/>
  <c r="M35" i="84"/>
  <c r="J35" i="84"/>
  <c r="K35" i="84"/>
  <c r="H35" i="84"/>
  <c r="I35" i="84"/>
  <c r="F35" i="84"/>
  <c r="G35" i="84"/>
  <c r="N34" i="84"/>
  <c r="E35" i="84"/>
  <c r="L34" i="84"/>
  <c r="M34" i="84"/>
  <c r="J34" i="84"/>
  <c r="K34" i="84"/>
  <c r="H34" i="84"/>
  <c r="I34" i="84"/>
  <c r="F34" i="84"/>
  <c r="G34" i="84"/>
  <c r="N33" i="84"/>
  <c r="E34" i="84"/>
  <c r="L33" i="84"/>
  <c r="M33" i="84"/>
  <c r="J33" i="84"/>
  <c r="K33" i="84"/>
  <c r="H33" i="84"/>
  <c r="I33" i="84"/>
  <c r="F33" i="84"/>
  <c r="G33" i="84"/>
  <c r="N87" i="83"/>
  <c r="N134" i="83" s="1"/>
  <c r="M87" i="83"/>
  <c r="M134" i="83" s="1"/>
  <c r="L87" i="83"/>
  <c r="L134" i="83" s="1"/>
  <c r="J87" i="83"/>
  <c r="J134" i="83" s="1"/>
  <c r="K87" i="83"/>
  <c r="K134" i="83" s="1"/>
  <c r="I87" i="83"/>
  <c r="I134" i="83" s="1"/>
  <c r="H87" i="83"/>
  <c r="H134" i="83" s="1"/>
  <c r="G87" i="83"/>
  <c r="G134" i="83" s="1"/>
  <c r="F87" i="83"/>
  <c r="F134" i="83" s="1"/>
  <c r="E87" i="83"/>
  <c r="E134" i="83" s="1"/>
  <c r="N86" i="83"/>
  <c r="N133" i="83" s="1"/>
  <c r="M86" i="83"/>
  <c r="M133" i="83" s="1"/>
  <c r="L86" i="83"/>
  <c r="L133" i="83" s="1"/>
  <c r="K86" i="83"/>
  <c r="K133" i="83" s="1"/>
  <c r="J86" i="83"/>
  <c r="J133" i="83" s="1"/>
  <c r="I86" i="83"/>
  <c r="I133" i="83" s="1"/>
  <c r="G86" i="83"/>
  <c r="G133" i="83" s="1"/>
  <c r="H86" i="83"/>
  <c r="H133" i="83" s="1"/>
  <c r="F86" i="83"/>
  <c r="F133" i="83" s="1"/>
  <c r="N85" i="83"/>
  <c r="N132" i="83" s="1"/>
  <c r="E86" i="83"/>
  <c r="E133" i="83" s="1"/>
  <c r="M85" i="83"/>
  <c r="M132" i="83" s="1"/>
  <c r="L85" i="83"/>
  <c r="L132" i="83" s="1"/>
  <c r="K85" i="83"/>
  <c r="K132" i="83" s="1"/>
  <c r="J85" i="83"/>
  <c r="J132" i="83" s="1"/>
  <c r="I85" i="83"/>
  <c r="I132" i="83" s="1"/>
  <c r="H85" i="83"/>
  <c r="H132" i="83" s="1"/>
  <c r="F85" i="83"/>
  <c r="F132" i="83" s="1"/>
  <c r="G85" i="83"/>
  <c r="G132" i="83" s="1"/>
  <c r="E85" i="83"/>
  <c r="E132" i="83" s="1"/>
  <c r="N84" i="83"/>
  <c r="N131" i="83" s="1"/>
  <c r="M84" i="83"/>
  <c r="M131" i="83" s="1"/>
  <c r="L84" i="83"/>
  <c r="L131" i="83" s="1"/>
  <c r="AG87" i="83"/>
  <c r="AG142" i="83" s="1"/>
  <c r="K84" i="83"/>
  <c r="K131" i="83" s="1"/>
  <c r="J84" i="83"/>
  <c r="J131" i="83" s="1"/>
  <c r="I84" i="83"/>
  <c r="I131" i="83" s="1"/>
  <c r="H84" i="83"/>
  <c r="H131" i="83" s="1"/>
  <c r="G84" i="83"/>
  <c r="G131" i="83" s="1"/>
  <c r="F84" i="83"/>
  <c r="F131" i="83" s="1"/>
  <c r="AE87" i="83"/>
  <c r="AE142" i="83" s="1"/>
  <c r="AF87" i="83"/>
  <c r="AF142" i="83" s="1"/>
  <c r="AC87" i="83"/>
  <c r="AC142" i="83" s="1"/>
  <c r="AD87" i="83"/>
  <c r="AD142" i="83" s="1"/>
  <c r="AB87" i="83"/>
  <c r="AB142" i="83" s="1"/>
  <c r="Z87" i="83"/>
  <c r="Z142" i="83" s="1"/>
  <c r="AA87" i="83"/>
  <c r="AA142" i="83" s="1"/>
  <c r="X87" i="83"/>
  <c r="X142" i="83" s="1"/>
  <c r="Y87" i="83"/>
  <c r="Y142" i="83" s="1"/>
  <c r="AF86" i="83"/>
  <c r="AF141" i="83" s="1"/>
  <c r="AG86" i="83"/>
  <c r="AG141" i="83" s="1"/>
  <c r="AE86" i="83"/>
  <c r="AE141" i="83" s="1"/>
  <c r="AD86" i="83"/>
  <c r="AD141" i="83" s="1"/>
  <c r="AB86" i="83"/>
  <c r="AB141" i="83" s="1"/>
  <c r="AC86" i="83"/>
  <c r="AC141" i="83" s="1"/>
  <c r="Z86" i="83"/>
  <c r="Z141" i="83" s="1"/>
  <c r="AA86" i="83"/>
  <c r="AA141" i="83" s="1"/>
  <c r="X86" i="83"/>
  <c r="X141" i="83" s="1"/>
  <c r="Y86" i="83"/>
  <c r="Y141" i="83" s="1"/>
  <c r="AF85" i="83"/>
  <c r="AF140" i="83" s="1"/>
  <c r="AG85" i="83"/>
  <c r="AG140" i="83" s="1"/>
  <c r="AD85" i="83"/>
  <c r="AD140" i="83" s="1"/>
  <c r="AE85" i="83"/>
  <c r="AE140" i="83" s="1"/>
  <c r="AC85" i="83"/>
  <c r="AC140" i="83" s="1"/>
  <c r="AA85" i="83"/>
  <c r="AA140" i="83" s="1"/>
  <c r="AB85" i="83"/>
  <c r="AB140" i="83" s="1"/>
  <c r="Y85" i="83"/>
  <c r="Y140" i="83" s="1"/>
  <c r="Z85" i="83"/>
  <c r="Z140" i="83" s="1"/>
  <c r="AG84" i="83"/>
  <c r="AG139" i="83" s="1"/>
  <c r="X85" i="83"/>
  <c r="X140" i="83" s="1"/>
  <c r="AF84" i="83"/>
  <c r="AF139" i="83" s="1"/>
  <c r="AD84" i="83"/>
  <c r="AD139" i="83" s="1"/>
  <c r="AE84" i="83"/>
  <c r="AE139" i="83" s="1"/>
  <c r="AB84" i="83"/>
  <c r="AB139" i="83" s="1"/>
  <c r="AC84" i="83"/>
  <c r="AC139" i="83" s="1"/>
  <c r="Z84" i="83"/>
  <c r="Z139" i="83" s="1"/>
  <c r="AA84" i="83"/>
  <c r="AA139" i="83" s="1"/>
  <c r="Y84" i="83"/>
  <c r="Y139" i="83" s="1"/>
  <c r="AG83" i="83"/>
  <c r="AG138" i="83" s="1"/>
  <c r="X84" i="83"/>
  <c r="X139" i="83" s="1"/>
  <c r="AE83" i="83"/>
  <c r="AE138" i="83" s="1"/>
  <c r="AF83" i="83"/>
  <c r="AF138" i="83" s="1"/>
  <c r="AD83" i="83"/>
  <c r="AD138" i="83" s="1"/>
  <c r="AB83" i="83"/>
  <c r="AB138" i="83" s="1"/>
  <c r="AC83" i="83"/>
  <c r="AC138" i="83" s="1"/>
  <c r="Z83" i="83"/>
  <c r="Z138" i="83" s="1"/>
  <c r="AA83" i="83"/>
  <c r="AA138" i="83" s="1"/>
  <c r="Y83" i="83"/>
  <c r="Y138" i="83" s="1"/>
  <c r="X83" i="83"/>
  <c r="X138" i="83" s="1"/>
  <c r="AF82" i="83"/>
  <c r="AF137" i="83" s="1"/>
  <c r="AG82" i="83"/>
  <c r="AG137" i="83" s="1"/>
  <c r="AD82" i="83"/>
  <c r="AD137" i="83" s="1"/>
  <c r="AE82" i="83"/>
  <c r="AE137" i="83" s="1"/>
  <c r="AB82" i="83"/>
  <c r="AB137" i="83" s="1"/>
  <c r="AC82" i="83"/>
  <c r="AC137" i="83" s="1"/>
  <c r="Z82" i="83"/>
  <c r="Z137" i="83" s="1"/>
  <c r="AA82" i="83"/>
  <c r="AA137" i="83" s="1"/>
  <c r="X82" i="83"/>
  <c r="X137" i="83" s="1"/>
  <c r="Y82" i="83"/>
  <c r="Y137" i="83" s="1"/>
  <c r="AF81" i="83"/>
  <c r="AF136" i="83" s="1"/>
  <c r="AG81" i="83"/>
  <c r="AG136" i="83" s="1"/>
  <c r="AE81" i="83"/>
  <c r="AE136" i="83" s="1"/>
  <c r="AD81" i="83"/>
  <c r="AD136" i="83" s="1"/>
  <c r="AB81" i="83"/>
  <c r="AB136" i="83" s="1"/>
  <c r="AC81" i="83"/>
  <c r="AC136" i="83" s="1"/>
  <c r="Z81" i="83"/>
  <c r="Z136" i="83" s="1"/>
  <c r="AA81" i="83"/>
  <c r="AA136" i="83" s="1"/>
  <c r="X81" i="83"/>
  <c r="X136" i="83" s="1"/>
  <c r="Y81" i="83"/>
  <c r="Y136" i="83" s="1"/>
  <c r="AF80" i="83"/>
  <c r="AF135" i="83" s="1"/>
  <c r="AG80" i="83"/>
  <c r="AG135" i="83" s="1"/>
  <c r="AD80" i="83"/>
  <c r="AD135" i="83" s="1"/>
  <c r="AE80" i="83"/>
  <c r="AE135" i="83" s="1"/>
  <c r="AB80" i="83"/>
  <c r="AB135" i="83" s="1"/>
  <c r="AC80" i="83"/>
  <c r="AC135" i="83" s="1"/>
  <c r="Z80" i="83"/>
  <c r="Z135" i="83" s="1"/>
  <c r="AA80" i="83"/>
  <c r="AA135" i="83" s="1"/>
  <c r="Y80" i="83"/>
  <c r="Y135" i="83" s="1"/>
  <c r="X80" i="83"/>
  <c r="X135" i="83" s="1"/>
  <c r="AF79" i="83"/>
  <c r="AF134" i="83" s="1"/>
  <c r="AG79" i="83"/>
  <c r="AG134" i="83" s="1"/>
  <c r="AD79" i="83"/>
  <c r="AD134" i="83" s="1"/>
  <c r="AE79" i="83"/>
  <c r="AE134" i="83" s="1"/>
  <c r="AC79" i="83"/>
  <c r="AC134" i="83" s="1"/>
  <c r="AA79" i="83"/>
  <c r="AA134" i="83" s="1"/>
  <c r="AB79" i="83"/>
  <c r="AB134" i="83" s="1"/>
  <c r="Z79" i="83"/>
  <c r="Z134" i="83" s="1"/>
  <c r="X79" i="83"/>
  <c r="X134" i="83" s="1"/>
  <c r="Y79" i="83"/>
  <c r="Y134" i="83" s="1"/>
  <c r="AF78" i="83"/>
  <c r="AF133" i="83" s="1"/>
  <c r="AG78" i="83"/>
  <c r="AG133" i="83" s="1"/>
  <c r="AD78" i="83"/>
  <c r="AD133" i="83" s="1"/>
  <c r="AE78" i="83"/>
  <c r="AE133" i="83" s="1"/>
  <c r="AB78" i="83"/>
  <c r="AB133" i="83" s="1"/>
  <c r="AC78" i="83"/>
  <c r="AC133" i="83" s="1"/>
  <c r="AA78" i="83"/>
  <c r="AA133" i="83" s="1"/>
  <c r="Y78" i="83"/>
  <c r="Y133" i="83" s="1"/>
  <c r="Z78" i="83"/>
  <c r="Z133" i="83" s="1"/>
  <c r="X78" i="83"/>
  <c r="X133" i="83" s="1"/>
  <c r="AF77" i="83"/>
  <c r="AF132" i="83" s="1"/>
  <c r="AG77" i="83"/>
  <c r="AG132" i="83" s="1"/>
  <c r="AD77" i="83"/>
  <c r="AD132" i="83" s="1"/>
  <c r="AE77" i="83"/>
  <c r="AE132" i="83" s="1"/>
  <c r="AC77" i="83"/>
  <c r="AC132" i="83" s="1"/>
  <c r="AB77" i="83"/>
  <c r="AB132" i="83" s="1"/>
  <c r="Z77" i="83"/>
  <c r="Z132" i="83" s="1"/>
  <c r="AA77" i="83"/>
  <c r="AA132" i="83" s="1"/>
  <c r="X77" i="83"/>
  <c r="X132" i="83" s="1"/>
  <c r="Y77" i="83"/>
  <c r="Y132" i="83" s="1"/>
  <c r="AF76" i="83"/>
  <c r="AF131" i="83" s="1"/>
  <c r="AG76" i="83"/>
  <c r="AG131" i="83" s="1"/>
  <c r="AD76" i="83"/>
  <c r="AD131" i="83" s="1"/>
  <c r="AE76" i="83"/>
  <c r="AE131" i="83" s="1"/>
  <c r="AB76" i="83"/>
  <c r="AB131" i="83" s="1"/>
  <c r="AC76" i="83"/>
  <c r="AC131" i="83" s="1"/>
  <c r="AA76" i="83"/>
  <c r="AA131" i="83" s="1"/>
  <c r="Y76" i="83"/>
  <c r="Y131" i="83" s="1"/>
  <c r="Z76" i="83"/>
  <c r="Z131" i="83" s="1"/>
  <c r="AE87" i="88"/>
  <c r="AD87" i="88"/>
  <c r="AD108" i="88" s="1"/>
  <c r="AD160" i="88" s="1"/>
  <c r="AB87" i="88"/>
  <c r="AB108" i="88" s="1"/>
  <c r="AB160" i="88" s="1"/>
  <c r="AC87" i="88"/>
  <c r="AC108" i="88" s="1"/>
  <c r="AC160" i="88" s="1"/>
  <c r="Z87" i="88"/>
  <c r="AA87" i="88"/>
  <c r="Y87" i="88"/>
  <c r="X87" i="88"/>
  <c r="V87" i="88"/>
  <c r="W87" i="88"/>
  <c r="AD86" i="88"/>
  <c r="AE86" i="88"/>
  <c r="AC86" i="88"/>
  <c r="AA86" i="88"/>
  <c r="AB86" i="88"/>
  <c r="Y86" i="88"/>
  <c r="Z86" i="88"/>
  <c r="W86" i="88"/>
  <c r="X86" i="88"/>
  <c r="X107" i="88" s="1"/>
  <c r="X159" i="88" s="1"/>
  <c r="AE85" i="88"/>
  <c r="V86" i="88"/>
  <c r="AC85" i="88"/>
  <c r="AD85" i="88"/>
  <c r="AD106" i="88" s="1"/>
  <c r="AD158" i="88" s="1"/>
  <c r="AA85" i="88"/>
  <c r="AB85" i="88"/>
  <c r="Z85" i="88"/>
  <c r="X85" i="88"/>
  <c r="Y85" i="88"/>
  <c r="W85" i="88"/>
  <c r="V85" i="88"/>
  <c r="AD84" i="88"/>
  <c r="AE84" i="88"/>
  <c r="AC84" i="88"/>
  <c r="AB84" i="88"/>
  <c r="AA84" i="88"/>
  <c r="Z84" i="88"/>
  <c r="Y84" i="88"/>
  <c r="X84" i="88"/>
  <c r="W84" i="88"/>
  <c r="V84" i="88"/>
  <c r="AE83" i="88"/>
  <c r="AC83" i="88"/>
  <c r="AD83" i="88"/>
  <c r="AB83" i="88"/>
  <c r="Z83" i="88"/>
  <c r="AA83" i="88"/>
  <c r="X83" i="88"/>
  <c r="Y83" i="88"/>
  <c r="W83" i="88"/>
  <c r="V83" i="88"/>
  <c r="AD82" i="88"/>
  <c r="AE82" i="88"/>
  <c r="AB82" i="88"/>
  <c r="AC82" i="88"/>
  <c r="Z82" i="88"/>
  <c r="AA82" i="88"/>
  <c r="X82" i="88"/>
  <c r="Y82" i="88"/>
  <c r="V82" i="88"/>
  <c r="W82" i="88"/>
  <c r="AD81" i="88"/>
  <c r="AE81" i="88"/>
  <c r="AB81" i="88"/>
  <c r="AC81" i="88"/>
  <c r="Z81" i="88"/>
  <c r="AA81" i="88"/>
  <c r="Y81" i="88"/>
  <c r="X81" i="88"/>
  <c r="W81" i="88"/>
  <c r="V81" i="88"/>
  <c r="AD80" i="88"/>
  <c r="AE80" i="88"/>
  <c r="AB80" i="88"/>
  <c r="AC80" i="88"/>
  <c r="AA80" i="88"/>
  <c r="Z80" i="88"/>
  <c r="Y80" i="88"/>
  <c r="X80" i="88"/>
  <c r="W80" i="88"/>
  <c r="V80" i="88"/>
  <c r="AE79" i="88"/>
  <c r="AD79" i="88"/>
  <c r="AC79" i="88"/>
  <c r="AB79" i="88"/>
  <c r="AA79" i="88"/>
  <c r="Z79" i="88"/>
  <c r="Y79" i="88"/>
  <c r="X79" i="88"/>
  <c r="W79" i="88"/>
  <c r="V79" i="88"/>
  <c r="AE78" i="88"/>
  <c r="AC78" i="88"/>
  <c r="AD78" i="88"/>
  <c r="AB78" i="88"/>
  <c r="AA78" i="88"/>
  <c r="Z78" i="88"/>
  <c r="X78" i="88"/>
  <c r="Y78" i="88"/>
  <c r="W78" i="88"/>
  <c r="V78" i="88"/>
  <c r="AD77" i="88"/>
  <c r="AE77" i="88"/>
  <c r="AC77" i="88"/>
  <c r="AA77" i="88"/>
  <c r="AB77" i="88"/>
  <c r="Z77" i="88"/>
  <c r="Y77" i="88"/>
  <c r="X77" i="88"/>
  <c r="V77" i="88"/>
  <c r="W77" i="88"/>
  <c r="AD76" i="88"/>
  <c r="AE76" i="88"/>
  <c r="AC76" i="88"/>
  <c r="AB76" i="88"/>
  <c r="AA76" i="88"/>
  <c r="Z76" i="88"/>
  <c r="X76" i="88"/>
  <c r="Y76" i="88"/>
  <c r="W76" i="88"/>
  <c r="N67" i="88"/>
  <c r="M67" i="88"/>
  <c r="L67" i="88"/>
  <c r="J67" i="88"/>
  <c r="K67" i="88"/>
  <c r="I67" i="88"/>
  <c r="H67" i="88"/>
  <c r="G67" i="88"/>
  <c r="F67" i="88"/>
  <c r="E67" i="88"/>
  <c r="N66" i="88"/>
  <c r="M66" i="88"/>
  <c r="L66" i="88"/>
  <c r="K66" i="88"/>
  <c r="I66" i="88"/>
  <c r="J66" i="88"/>
  <c r="H66" i="88"/>
  <c r="G66" i="88"/>
  <c r="E66" i="88"/>
  <c r="F66" i="88"/>
  <c r="M65" i="88"/>
  <c r="N65" i="88"/>
  <c r="L65" i="88"/>
  <c r="K65" i="88"/>
  <c r="I65" i="88"/>
  <c r="J65" i="88"/>
  <c r="G65" i="88"/>
  <c r="H65" i="88"/>
  <c r="E65" i="88"/>
  <c r="F65" i="88"/>
  <c r="M64" i="88"/>
  <c r="N64" i="88"/>
  <c r="L64" i="88"/>
  <c r="J64" i="88"/>
  <c r="K64" i="88"/>
  <c r="H64" i="88"/>
  <c r="I64" i="88"/>
  <c r="F64" i="88"/>
  <c r="G64" i="88"/>
  <c r="V20" i="84"/>
  <c r="V36" i="84" s="1"/>
  <c r="X44" i="83"/>
  <c r="E20" i="84"/>
  <c r="E33" i="84" s="1"/>
  <c r="V44" i="88"/>
  <c r="H56" i="89"/>
  <c r="F32" i="89"/>
  <c r="G32" i="89" s="1"/>
  <c r="G15" i="89"/>
  <c r="I15" i="89" s="1"/>
  <c r="G21" i="89"/>
  <c r="I21" i="89" s="1"/>
  <c r="F34" i="89"/>
  <c r="G34" i="89" s="1"/>
  <c r="G17" i="89"/>
  <c r="I17" i="89" s="1"/>
  <c r="F31" i="89"/>
  <c r="G31" i="89" s="1"/>
  <c r="G13" i="89"/>
  <c r="F42" i="89"/>
  <c r="G42" i="89" s="1"/>
  <c r="H55" i="89"/>
  <c r="F30" i="89"/>
  <c r="G30" i="89" s="1"/>
  <c r="F29" i="89"/>
  <c r="G29" i="89" s="1"/>
  <c r="H54" i="89"/>
  <c r="F28" i="89"/>
  <c r="G28" i="89" s="1"/>
  <c r="F27" i="89"/>
  <c r="G27" i="89" s="1"/>
  <c r="F44" i="89"/>
  <c r="G44" i="89" s="1"/>
  <c r="F25" i="89"/>
  <c r="F43" i="89"/>
  <c r="G43" i="89" s="1"/>
  <c r="G20" i="89"/>
  <c r="I20" i="89" s="1"/>
  <c r="G19" i="89"/>
  <c r="I19" i="89" s="1"/>
  <c r="G18" i="89"/>
  <c r="I18" i="89" s="1"/>
  <c r="F26" i="89"/>
  <c r="G26" i="89" s="1"/>
  <c r="F33" i="89"/>
  <c r="G33" i="89" s="1"/>
  <c r="G16" i="89"/>
  <c r="I16" i="89" s="1"/>
  <c r="E22" i="72"/>
  <c r="I128" i="94"/>
  <c r="I125" i="94" s="1"/>
  <c r="F138" i="94" s="1"/>
  <c r="I18" i="95"/>
  <c r="I14" i="95" s="1"/>
  <c r="S98" i="90"/>
  <c r="I54" i="90"/>
  <c r="I50" i="90" s="1"/>
  <c r="I60" i="95"/>
  <c r="I56" i="95" s="1"/>
  <c r="J53" i="94"/>
  <c r="J50" i="94" s="1"/>
  <c r="E48" i="88"/>
  <c r="E52" i="83"/>
  <c r="E29" i="72"/>
  <c r="F66" i="95" l="1"/>
  <c r="F65" i="95"/>
  <c r="F75" i="95"/>
  <c r="F74" i="95"/>
  <c r="F73" i="95"/>
  <c r="F72" i="95"/>
  <c r="F71" i="95"/>
  <c r="F67" i="95"/>
  <c r="F69" i="95"/>
  <c r="F68" i="95"/>
  <c r="F70" i="95"/>
  <c r="F143" i="94"/>
  <c r="F141" i="94"/>
  <c r="F139" i="94"/>
  <c r="F144" i="94"/>
  <c r="F140" i="94"/>
  <c r="F142" i="94"/>
  <c r="F137" i="94"/>
  <c r="AH188" i="83"/>
  <c r="AH262" i="83" s="1"/>
  <c r="AH200" i="83"/>
  <c r="AH274" i="83" s="1"/>
  <c r="AG188" i="83"/>
  <c r="AG262" i="83" s="1"/>
  <c r="AG200" i="83"/>
  <c r="AG274" i="83" s="1"/>
  <c r="AF188" i="83"/>
  <c r="AF262" i="83" s="1"/>
  <c r="AF200" i="83"/>
  <c r="AF274" i="83" s="1"/>
  <c r="AE188" i="83"/>
  <c r="AE262" i="83" s="1"/>
  <c r="AE200" i="83"/>
  <c r="AE274" i="83" s="1"/>
  <c r="AD188" i="83"/>
  <c r="AD262" i="83" s="1"/>
  <c r="AD200" i="83"/>
  <c r="AD274" i="83" s="1"/>
  <c r="AC188" i="83"/>
  <c r="AC262" i="83" s="1"/>
  <c r="AC200" i="83"/>
  <c r="AC274" i="83" s="1"/>
  <c r="AB188" i="83"/>
  <c r="AB262" i="83" s="1"/>
  <c r="AB200" i="83"/>
  <c r="AB274" i="83" s="1"/>
  <c r="AA188" i="83"/>
  <c r="AA262" i="83" s="1"/>
  <c r="AA200" i="83"/>
  <c r="AA274" i="83" s="1"/>
  <c r="Z188" i="83"/>
  <c r="Z262" i="83" s="1"/>
  <c r="Z200" i="83"/>
  <c r="Z274" i="83" s="1"/>
  <c r="Y188" i="83"/>
  <c r="Y262" i="83" s="1"/>
  <c r="Y200" i="83"/>
  <c r="Y274" i="83" s="1"/>
  <c r="AH187" i="83"/>
  <c r="AH261" i="83" s="1"/>
  <c r="AH199" i="83"/>
  <c r="AH273" i="83" s="1"/>
  <c r="AG187" i="83"/>
  <c r="AG261" i="83" s="1"/>
  <c r="AG199" i="83"/>
  <c r="AG273" i="83" s="1"/>
  <c r="AF187" i="83"/>
  <c r="AF261" i="83" s="1"/>
  <c r="AF199" i="83"/>
  <c r="AF273" i="83" s="1"/>
  <c r="AE187" i="83"/>
  <c r="AE261" i="83" s="1"/>
  <c r="AE199" i="83"/>
  <c r="AE273" i="83" s="1"/>
  <c r="AD187" i="83"/>
  <c r="AD261" i="83" s="1"/>
  <c r="AD199" i="83"/>
  <c r="AD273" i="83" s="1"/>
  <c r="AC187" i="83"/>
  <c r="AC261" i="83" s="1"/>
  <c r="AC199" i="83"/>
  <c r="AC273" i="83" s="1"/>
  <c r="AB187" i="83"/>
  <c r="AB261" i="83" s="1"/>
  <c r="AB199" i="83"/>
  <c r="AB273" i="83" s="1"/>
  <c r="AA187" i="83"/>
  <c r="AA261" i="83" s="1"/>
  <c r="AA199" i="83"/>
  <c r="AA273" i="83" s="1"/>
  <c r="Z187" i="83"/>
  <c r="Z261" i="83" s="1"/>
  <c r="Z199" i="83"/>
  <c r="Z273" i="83" s="1"/>
  <c r="Y187" i="83"/>
  <c r="Y261" i="83" s="1"/>
  <c r="Y199" i="83"/>
  <c r="Y273" i="83" s="1"/>
  <c r="AH186" i="83"/>
  <c r="AH260" i="83" s="1"/>
  <c r="AH198" i="83"/>
  <c r="AH272" i="83" s="1"/>
  <c r="AG186" i="83"/>
  <c r="AG260" i="83" s="1"/>
  <c r="AG198" i="83"/>
  <c r="AG272" i="83" s="1"/>
  <c r="AF186" i="83"/>
  <c r="AF260" i="83" s="1"/>
  <c r="AF198" i="83"/>
  <c r="AF272" i="83" s="1"/>
  <c r="AE186" i="83"/>
  <c r="AE260" i="83" s="1"/>
  <c r="AE198" i="83"/>
  <c r="AE272" i="83" s="1"/>
  <c r="AD186" i="83"/>
  <c r="AD260" i="83" s="1"/>
  <c r="AD198" i="83"/>
  <c r="AD272" i="83" s="1"/>
  <c r="AC186" i="83"/>
  <c r="AC260" i="83" s="1"/>
  <c r="AC198" i="83"/>
  <c r="AC272" i="83" s="1"/>
  <c r="AB186" i="83"/>
  <c r="AB260" i="83" s="1"/>
  <c r="AB198" i="83"/>
  <c r="AB272" i="83" s="1"/>
  <c r="AA186" i="83"/>
  <c r="AA260" i="83" s="1"/>
  <c r="AA198" i="83"/>
  <c r="AA272" i="83" s="1"/>
  <c r="Z186" i="83"/>
  <c r="Z260" i="83" s="1"/>
  <c r="Z198" i="83"/>
  <c r="Z272" i="83" s="1"/>
  <c r="Y186" i="83"/>
  <c r="Y260" i="83" s="1"/>
  <c r="Y198" i="83"/>
  <c r="Y272" i="83" s="1"/>
  <c r="AH185" i="83"/>
  <c r="AH259" i="83" s="1"/>
  <c r="AH197" i="83"/>
  <c r="AH271" i="83" s="1"/>
  <c r="AG185" i="83"/>
  <c r="AG259" i="83" s="1"/>
  <c r="AG197" i="83"/>
  <c r="AG271" i="83" s="1"/>
  <c r="AF185" i="83"/>
  <c r="AF259" i="83" s="1"/>
  <c r="AF197" i="83"/>
  <c r="AF271" i="83" s="1"/>
  <c r="AE185" i="83"/>
  <c r="AE259" i="83" s="1"/>
  <c r="AE197" i="83"/>
  <c r="AE271" i="83" s="1"/>
  <c r="AD185" i="83"/>
  <c r="AD259" i="83" s="1"/>
  <c r="AD197" i="83"/>
  <c r="AD271" i="83" s="1"/>
  <c r="AC185" i="83"/>
  <c r="AC259" i="83" s="1"/>
  <c r="AC197" i="83"/>
  <c r="AC271" i="83" s="1"/>
  <c r="AB185" i="83"/>
  <c r="AB259" i="83" s="1"/>
  <c r="AB197" i="83"/>
  <c r="AB271" i="83" s="1"/>
  <c r="AA185" i="83"/>
  <c r="AA259" i="83" s="1"/>
  <c r="AA197" i="83"/>
  <c r="AA271" i="83" s="1"/>
  <c r="Z185" i="83"/>
  <c r="Z259" i="83" s="1"/>
  <c r="Z197" i="83"/>
  <c r="Z271" i="83" s="1"/>
  <c r="Y185" i="83"/>
  <c r="Y259" i="83" s="1"/>
  <c r="Y197" i="83"/>
  <c r="Y271" i="83" s="1"/>
  <c r="AH184" i="83"/>
  <c r="AH258" i="83" s="1"/>
  <c r="AH196" i="83"/>
  <c r="AH270" i="83" s="1"/>
  <c r="AG184" i="83"/>
  <c r="AG258" i="83" s="1"/>
  <c r="AG196" i="83"/>
  <c r="AG270" i="83" s="1"/>
  <c r="AF184" i="83"/>
  <c r="AF258" i="83" s="1"/>
  <c r="AF196" i="83"/>
  <c r="AF270" i="83" s="1"/>
  <c r="AE184" i="83"/>
  <c r="AE258" i="83" s="1"/>
  <c r="AE196" i="83"/>
  <c r="AE270" i="83" s="1"/>
  <c r="AD184" i="83"/>
  <c r="AD258" i="83" s="1"/>
  <c r="AD196" i="83"/>
  <c r="AD270" i="83" s="1"/>
  <c r="AC184" i="83"/>
  <c r="AC258" i="83" s="1"/>
  <c r="AC196" i="83"/>
  <c r="AC270" i="83" s="1"/>
  <c r="AB184" i="83"/>
  <c r="AB258" i="83" s="1"/>
  <c r="AB196" i="83"/>
  <c r="AB270" i="83" s="1"/>
  <c r="AA184" i="83"/>
  <c r="AA258" i="83" s="1"/>
  <c r="AA196" i="83"/>
  <c r="AA270" i="83" s="1"/>
  <c r="Z184" i="83"/>
  <c r="Z258" i="83" s="1"/>
  <c r="Z196" i="83"/>
  <c r="Z270" i="83" s="1"/>
  <c r="Y184" i="83"/>
  <c r="Y258" i="83" s="1"/>
  <c r="Y196" i="83"/>
  <c r="Y270" i="83" s="1"/>
  <c r="AH183" i="83"/>
  <c r="AH257" i="83" s="1"/>
  <c r="AH195" i="83"/>
  <c r="AH269" i="83" s="1"/>
  <c r="AG183" i="83"/>
  <c r="AG257" i="83" s="1"/>
  <c r="AG195" i="83"/>
  <c r="AG269" i="83" s="1"/>
  <c r="AF183" i="83"/>
  <c r="AF257" i="83" s="1"/>
  <c r="AF195" i="83"/>
  <c r="AF269" i="83" s="1"/>
  <c r="AE183" i="83"/>
  <c r="AE257" i="83" s="1"/>
  <c r="AE195" i="83"/>
  <c r="AE269" i="83" s="1"/>
  <c r="AD183" i="83"/>
  <c r="AD257" i="83" s="1"/>
  <c r="AD195" i="83"/>
  <c r="AD269" i="83" s="1"/>
  <c r="AC183" i="83"/>
  <c r="AC257" i="83" s="1"/>
  <c r="AC195" i="83"/>
  <c r="AC269" i="83" s="1"/>
  <c r="AB183" i="83"/>
  <c r="AB257" i="83" s="1"/>
  <c r="AB195" i="83"/>
  <c r="AB269" i="83" s="1"/>
  <c r="AA183" i="83"/>
  <c r="AA257" i="83" s="1"/>
  <c r="AA195" i="83"/>
  <c r="AA269" i="83" s="1"/>
  <c r="Z183" i="83"/>
  <c r="Z257" i="83" s="1"/>
  <c r="Z195" i="83"/>
  <c r="Z269" i="83" s="1"/>
  <c r="Y183" i="83"/>
  <c r="Y257" i="83" s="1"/>
  <c r="Y195" i="83"/>
  <c r="Y269" i="83" s="1"/>
  <c r="AH182" i="83"/>
  <c r="AH256" i="83" s="1"/>
  <c r="AH194" i="83"/>
  <c r="AH268" i="83" s="1"/>
  <c r="AG182" i="83"/>
  <c r="AG256" i="83" s="1"/>
  <c r="AG194" i="83"/>
  <c r="AG268" i="83" s="1"/>
  <c r="AF182" i="83"/>
  <c r="AF256" i="83" s="1"/>
  <c r="AF194" i="83"/>
  <c r="AF268" i="83" s="1"/>
  <c r="AE182" i="83"/>
  <c r="AE256" i="83" s="1"/>
  <c r="AE194" i="83"/>
  <c r="AE268" i="83" s="1"/>
  <c r="AD182" i="83"/>
  <c r="AD256" i="83" s="1"/>
  <c r="AD194" i="83"/>
  <c r="AD268" i="83" s="1"/>
  <c r="AC182" i="83"/>
  <c r="AC256" i="83" s="1"/>
  <c r="AC194" i="83"/>
  <c r="AC268" i="83" s="1"/>
  <c r="AB182" i="83"/>
  <c r="AB256" i="83" s="1"/>
  <c r="AB194" i="83"/>
  <c r="AB268" i="83" s="1"/>
  <c r="AA182" i="83"/>
  <c r="AA256" i="83" s="1"/>
  <c r="AA194" i="83"/>
  <c r="AA268" i="83" s="1"/>
  <c r="Z182" i="83"/>
  <c r="Z256" i="83" s="1"/>
  <c r="Z194" i="83"/>
  <c r="Z268" i="83" s="1"/>
  <c r="Y182" i="83"/>
  <c r="Y256" i="83" s="1"/>
  <c r="Y194" i="83"/>
  <c r="Y268" i="83" s="1"/>
  <c r="AH181" i="83"/>
  <c r="AH255" i="83" s="1"/>
  <c r="AH193" i="83"/>
  <c r="AH267" i="83" s="1"/>
  <c r="AG181" i="83"/>
  <c r="AG255" i="83" s="1"/>
  <c r="AG193" i="83"/>
  <c r="AG267" i="83" s="1"/>
  <c r="AF181" i="83"/>
  <c r="AF255" i="83" s="1"/>
  <c r="AF193" i="83"/>
  <c r="AF267" i="83" s="1"/>
  <c r="AE181" i="83"/>
  <c r="AE255" i="83" s="1"/>
  <c r="AE193" i="83"/>
  <c r="AE267" i="83" s="1"/>
  <c r="AD181" i="83"/>
  <c r="AD255" i="83" s="1"/>
  <c r="AD193" i="83"/>
  <c r="AD267" i="83" s="1"/>
  <c r="AC181" i="83"/>
  <c r="AC255" i="83" s="1"/>
  <c r="AC193" i="83"/>
  <c r="AC267" i="83" s="1"/>
  <c r="AB181" i="83"/>
  <c r="AB255" i="83" s="1"/>
  <c r="AB193" i="83"/>
  <c r="AB267" i="83" s="1"/>
  <c r="AA181" i="83"/>
  <c r="AA255" i="83" s="1"/>
  <c r="AA193" i="83"/>
  <c r="AA267" i="83" s="1"/>
  <c r="Z181" i="83"/>
  <c r="Z255" i="83" s="1"/>
  <c r="Z193" i="83"/>
  <c r="Z267" i="83" s="1"/>
  <c r="Y181" i="83"/>
  <c r="Y255" i="83" s="1"/>
  <c r="Y193" i="83"/>
  <c r="Y267" i="83" s="1"/>
  <c r="AH180" i="83"/>
  <c r="AH254" i="83" s="1"/>
  <c r="AH192" i="83"/>
  <c r="AH266" i="83" s="1"/>
  <c r="AG180" i="83"/>
  <c r="AG254" i="83" s="1"/>
  <c r="AG192" i="83"/>
  <c r="AG266" i="83" s="1"/>
  <c r="AF180" i="83"/>
  <c r="AF254" i="83" s="1"/>
  <c r="AF192" i="83"/>
  <c r="AF266" i="83" s="1"/>
  <c r="AE180" i="83"/>
  <c r="AE254" i="83" s="1"/>
  <c r="AE192" i="83"/>
  <c r="AE266" i="83" s="1"/>
  <c r="AD180" i="83"/>
  <c r="AD254" i="83" s="1"/>
  <c r="AD192" i="83"/>
  <c r="AD266" i="83" s="1"/>
  <c r="AC180" i="83"/>
  <c r="AC254" i="83" s="1"/>
  <c r="AC192" i="83"/>
  <c r="AC266" i="83" s="1"/>
  <c r="AB180" i="83"/>
  <c r="AB254" i="83" s="1"/>
  <c r="AB192" i="83"/>
  <c r="AB266" i="83" s="1"/>
  <c r="AA180" i="83"/>
  <c r="AA254" i="83" s="1"/>
  <c r="AA192" i="83"/>
  <c r="AA266" i="83" s="1"/>
  <c r="Z180" i="83"/>
  <c r="Z254" i="83" s="1"/>
  <c r="Z192" i="83"/>
  <c r="Z266" i="83" s="1"/>
  <c r="Y180" i="83"/>
  <c r="Y254" i="83" s="1"/>
  <c r="Y192" i="83"/>
  <c r="Y266" i="83" s="1"/>
  <c r="AH179" i="83"/>
  <c r="AH253" i="83" s="1"/>
  <c r="AH191" i="83"/>
  <c r="AH265" i="83" s="1"/>
  <c r="AG179" i="83"/>
  <c r="AG253" i="83" s="1"/>
  <c r="AG191" i="83"/>
  <c r="AG265" i="83" s="1"/>
  <c r="AF179" i="83"/>
  <c r="AF253" i="83" s="1"/>
  <c r="AF191" i="83"/>
  <c r="AF265" i="83" s="1"/>
  <c r="AE179" i="83"/>
  <c r="AE253" i="83" s="1"/>
  <c r="AE191" i="83"/>
  <c r="AE265" i="83" s="1"/>
  <c r="AD179" i="83"/>
  <c r="AD253" i="83" s="1"/>
  <c r="AD191" i="83"/>
  <c r="AD265" i="83" s="1"/>
  <c r="AC179" i="83"/>
  <c r="AC253" i="83" s="1"/>
  <c r="AC191" i="83"/>
  <c r="AC265" i="83" s="1"/>
  <c r="AB179" i="83"/>
  <c r="AB253" i="83" s="1"/>
  <c r="AB191" i="83"/>
  <c r="AB265" i="83" s="1"/>
  <c r="AA179" i="83"/>
  <c r="AA253" i="83" s="1"/>
  <c r="AA191" i="83"/>
  <c r="AA265" i="83" s="1"/>
  <c r="Z179" i="83"/>
  <c r="Z253" i="83" s="1"/>
  <c r="Z191" i="83"/>
  <c r="Z265" i="83" s="1"/>
  <c r="Y179" i="83"/>
  <c r="Y253" i="83" s="1"/>
  <c r="Y191" i="83"/>
  <c r="Y265" i="83" s="1"/>
  <c r="AH178" i="83"/>
  <c r="AH252" i="83" s="1"/>
  <c r="AH190" i="83"/>
  <c r="AH264" i="83" s="1"/>
  <c r="AG178" i="83"/>
  <c r="AG252" i="83" s="1"/>
  <c r="AG190" i="83"/>
  <c r="AG264" i="83" s="1"/>
  <c r="AF178" i="83"/>
  <c r="AF252" i="83" s="1"/>
  <c r="AF190" i="83"/>
  <c r="AF264" i="83" s="1"/>
  <c r="AE178" i="83"/>
  <c r="AE252" i="83" s="1"/>
  <c r="AE190" i="83"/>
  <c r="AE264" i="83" s="1"/>
  <c r="AD178" i="83"/>
  <c r="AD252" i="83" s="1"/>
  <c r="AD190" i="83"/>
  <c r="AD264" i="83" s="1"/>
  <c r="AC178" i="83"/>
  <c r="AC252" i="83" s="1"/>
  <c r="AC190" i="83"/>
  <c r="AC264" i="83" s="1"/>
  <c r="AB178" i="83"/>
  <c r="AB252" i="83" s="1"/>
  <c r="AB190" i="83"/>
  <c r="AB264" i="83" s="1"/>
  <c r="AA178" i="83"/>
  <c r="AA252" i="83" s="1"/>
  <c r="AA190" i="83"/>
  <c r="AA264" i="83" s="1"/>
  <c r="Z178" i="83"/>
  <c r="Z252" i="83" s="1"/>
  <c r="Z190" i="83"/>
  <c r="Z264" i="83" s="1"/>
  <c r="Y178" i="83"/>
  <c r="Y252" i="83" s="1"/>
  <c r="Y190" i="83"/>
  <c r="Y264" i="83" s="1"/>
  <c r="AH177" i="83"/>
  <c r="AH251" i="83" s="1"/>
  <c r="AH189" i="83"/>
  <c r="AH263" i="83" s="1"/>
  <c r="AG177" i="83"/>
  <c r="AG251" i="83" s="1"/>
  <c r="AG189" i="83"/>
  <c r="AG263" i="83" s="1"/>
  <c r="AF177" i="83"/>
  <c r="AF251" i="83" s="1"/>
  <c r="AF189" i="83"/>
  <c r="AF263" i="83" s="1"/>
  <c r="AE177" i="83"/>
  <c r="AE251" i="83" s="1"/>
  <c r="AE189" i="83"/>
  <c r="AE263" i="83" s="1"/>
  <c r="AD177" i="83"/>
  <c r="AD251" i="83" s="1"/>
  <c r="AD189" i="83"/>
  <c r="AD263" i="83" s="1"/>
  <c r="AC177" i="83"/>
  <c r="AC251" i="83" s="1"/>
  <c r="AC189" i="83"/>
  <c r="AC263" i="83" s="1"/>
  <c r="AB177" i="83"/>
  <c r="AB251" i="83" s="1"/>
  <c r="AB189" i="83"/>
  <c r="AB263" i="83" s="1"/>
  <c r="AA177" i="83"/>
  <c r="AA251" i="83" s="1"/>
  <c r="AA189" i="83"/>
  <c r="AA263" i="83" s="1"/>
  <c r="Z177" i="83"/>
  <c r="Z251" i="83" s="1"/>
  <c r="Z189" i="83"/>
  <c r="Z263" i="83" s="1"/>
  <c r="O180" i="83"/>
  <c r="O238" i="83" s="1"/>
  <c r="O184" i="83"/>
  <c r="O242" i="83" s="1"/>
  <c r="N180" i="83"/>
  <c r="N238" i="83" s="1"/>
  <c r="N184" i="83"/>
  <c r="N242" i="83" s="1"/>
  <c r="M180" i="83"/>
  <c r="M238" i="83" s="1"/>
  <c r="M184" i="83"/>
  <c r="M242" i="83" s="1"/>
  <c r="L180" i="83"/>
  <c r="L238" i="83" s="1"/>
  <c r="L184" i="83"/>
  <c r="L242" i="83" s="1"/>
  <c r="K180" i="83"/>
  <c r="K238" i="83" s="1"/>
  <c r="K184" i="83"/>
  <c r="K242" i="83" s="1"/>
  <c r="J180" i="83"/>
  <c r="J238" i="83" s="1"/>
  <c r="J184" i="83"/>
  <c r="J242" i="83" s="1"/>
  <c r="I180" i="83"/>
  <c r="I238" i="83" s="1"/>
  <c r="I184" i="83"/>
  <c r="I242" i="83" s="1"/>
  <c r="H180" i="83"/>
  <c r="H238" i="83" s="1"/>
  <c r="H184" i="83"/>
  <c r="H242" i="83" s="1"/>
  <c r="G180" i="83"/>
  <c r="G238" i="83" s="1"/>
  <c r="G184" i="83"/>
  <c r="G242" i="83" s="1"/>
  <c r="F180" i="83"/>
  <c r="F238" i="83" s="1"/>
  <c r="F184" i="83"/>
  <c r="F242" i="83" s="1"/>
  <c r="O179" i="83"/>
  <c r="O237" i="83" s="1"/>
  <c r="O183" i="83"/>
  <c r="O241" i="83" s="1"/>
  <c r="N179" i="83"/>
  <c r="N237" i="83" s="1"/>
  <c r="N183" i="83"/>
  <c r="N241" i="83" s="1"/>
  <c r="M179" i="83"/>
  <c r="M237" i="83" s="1"/>
  <c r="M183" i="83"/>
  <c r="M241" i="83" s="1"/>
  <c r="L179" i="83"/>
  <c r="L237" i="83" s="1"/>
  <c r="L183" i="83"/>
  <c r="L241" i="83" s="1"/>
  <c r="K179" i="83"/>
  <c r="K237" i="83" s="1"/>
  <c r="K183" i="83"/>
  <c r="K241" i="83" s="1"/>
  <c r="J179" i="83"/>
  <c r="J237" i="83" s="1"/>
  <c r="J183" i="83"/>
  <c r="J241" i="83" s="1"/>
  <c r="I179" i="83"/>
  <c r="I237" i="83" s="1"/>
  <c r="I183" i="83"/>
  <c r="I241" i="83" s="1"/>
  <c r="H179" i="83"/>
  <c r="H237" i="83" s="1"/>
  <c r="H183" i="83"/>
  <c r="H241" i="83" s="1"/>
  <c r="G179" i="83"/>
  <c r="G237" i="83" s="1"/>
  <c r="G183" i="83"/>
  <c r="G241" i="83" s="1"/>
  <c r="F179" i="83"/>
  <c r="F237" i="83" s="1"/>
  <c r="F183" i="83"/>
  <c r="F241" i="83" s="1"/>
  <c r="O178" i="83"/>
  <c r="O236" i="83" s="1"/>
  <c r="O182" i="83"/>
  <c r="O240" i="83" s="1"/>
  <c r="N178" i="83"/>
  <c r="N236" i="83" s="1"/>
  <c r="N182" i="83"/>
  <c r="N240" i="83" s="1"/>
  <c r="M178" i="83"/>
  <c r="M236" i="83" s="1"/>
  <c r="M182" i="83"/>
  <c r="M240" i="83" s="1"/>
  <c r="L178" i="83"/>
  <c r="L236" i="83" s="1"/>
  <c r="L182" i="83"/>
  <c r="L240" i="83" s="1"/>
  <c r="K178" i="83"/>
  <c r="K236" i="83" s="1"/>
  <c r="K182" i="83"/>
  <c r="K240" i="83" s="1"/>
  <c r="J178" i="83"/>
  <c r="J236" i="83" s="1"/>
  <c r="J182" i="83"/>
  <c r="J240" i="83" s="1"/>
  <c r="I178" i="83"/>
  <c r="I236" i="83" s="1"/>
  <c r="I182" i="83"/>
  <c r="I240" i="83" s="1"/>
  <c r="H178" i="83"/>
  <c r="H236" i="83" s="1"/>
  <c r="H182" i="83"/>
  <c r="H240" i="83" s="1"/>
  <c r="G178" i="83"/>
  <c r="G236" i="83" s="1"/>
  <c r="G182" i="83"/>
  <c r="G240" i="83" s="1"/>
  <c r="F178" i="83"/>
  <c r="F236" i="83" s="1"/>
  <c r="F182" i="83"/>
  <c r="F240" i="83" s="1"/>
  <c r="O177" i="83"/>
  <c r="O235" i="83" s="1"/>
  <c r="O181" i="83"/>
  <c r="O239" i="83" s="1"/>
  <c r="N177" i="83"/>
  <c r="N235" i="83" s="1"/>
  <c r="N181" i="83"/>
  <c r="N239" i="83" s="1"/>
  <c r="M177" i="83"/>
  <c r="M235" i="83" s="1"/>
  <c r="M181" i="83"/>
  <c r="M239" i="83" s="1"/>
  <c r="L177" i="83"/>
  <c r="L235" i="83" s="1"/>
  <c r="L181" i="83"/>
  <c r="L239" i="83" s="1"/>
  <c r="K177" i="83"/>
  <c r="K235" i="83" s="1"/>
  <c r="K181" i="83"/>
  <c r="K239" i="83" s="1"/>
  <c r="J177" i="83"/>
  <c r="J235" i="83" s="1"/>
  <c r="J181" i="83"/>
  <c r="J239" i="83" s="1"/>
  <c r="I177" i="83"/>
  <c r="I235" i="83" s="1"/>
  <c r="I181" i="83"/>
  <c r="I239" i="83" s="1"/>
  <c r="H177" i="83"/>
  <c r="H235" i="83" s="1"/>
  <c r="H181" i="83"/>
  <c r="H239" i="83" s="1"/>
  <c r="G177" i="83"/>
  <c r="G235" i="83" s="1"/>
  <c r="G181" i="83"/>
  <c r="G239" i="83" s="1"/>
  <c r="E84" i="83"/>
  <c r="E131" i="83" s="1"/>
  <c r="X76" i="83"/>
  <c r="X131" i="83" s="1"/>
  <c r="AE108" i="88"/>
  <c r="AE160" i="88" s="1"/>
  <c r="AA108" i="88"/>
  <c r="AA160" i="88" s="1"/>
  <c r="Z108" i="88"/>
  <c r="Z160" i="88" s="1"/>
  <c r="Y108" i="88"/>
  <c r="Y160" i="88" s="1"/>
  <c r="X108" i="88"/>
  <c r="X160" i="88" s="1"/>
  <c r="W108" i="88"/>
  <c r="W160" i="88" s="1"/>
  <c r="V108" i="88"/>
  <c r="V160" i="88" s="1"/>
  <c r="AE107" i="88"/>
  <c r="AE159" i="88" s="1"/>
  <c r="AD107" i="88"/>
  <c r="AD159" i="88" s="1"/>
  <c r="AC107" i="88"/>
  <c r="AC159" i="88" s="1"/>
  <c r="AB107" i="88"/>
  <c r="AB159" i="88" s="1"/>
  <c r="AA107" i="88"/>
  <c r="AA159" i="88" s="1"/>
  <c r="Z107" i="88"/>
  <c r="Z159" i="88" s="1"/>
  <c r="Y107" i="88"/>
  <c r="Y159" i="88" s="1"/>
  <c r="W107" i="88"/>
  <c r="W159" i="88" s="1"/>
  <c r="V107" i="88"/>
  <c r="V159" i="88" s="1"/>
  <c r="AE106" i="88"/>
  <c r="AE158" i="88" s="1"/>
  <c r="AC106" i="88"/>
  <c r="AC158" i="88" s="1"/>
  <c r="AB106" i="88"/>
  <c r="AB158" i="88" s="1"/>
  <c r="AA106" i="88"/>
  <c r="AA158" i="88" s="1"/>
  <c r="Z106" i="88"/>
  <c r="Z158" i="88" s="1"/>
  <c r="Y106" i="88"/>
  <c r="Y158" i="88" s="1"/>
  <c r="X106" i="88"/>
  <c r="X158" i="88" s="1"/>
  <c r="W106" i="88"/>
  <c r="W158" i="88" s="1"/>
  <c r="V106" i="88"/>
  <c r="V158" i="88" s="1"/>
  <c r="AE105" i="88"/>
  <c r="AE157" i="88" s="1"/>
  <c r="AD105" i="88"/>
  <c r="AD157" i="88" s="1"/>
  <c r="AC105" i="88"/>
  <c r="AC157" i="88" s="1"/>
  <c r="AB105" i="88"/>
  <c r="AB157" i="88" s="1"/>
  <c r="AA105" i="88"/>
  <c r="AA157" i="88" s="1"/>
  <c r="Z105" i="88"/>
  <c r="Z157" i="88" s="1"/>
  <c r="Y105" i="88"/>
  <c r="Y157" i="88" s="1"/>
  <c r="X105" i="88"/>
  <c r="X157" i="88" s="1"/>
  <c r="W105" i="88"/>
  <c r="W157" i="88" s="1"/>
  <c r="V105" i="88"/>
  <c r="V157" i="88" s="1"/>
  <c r="AE104" i="88"/>
  <c r="AE156" i="88" s="1"/>
  <c r="AD104" i="88"/>
  <c r="AD156" i="88" s="1"/>
  <c r="AC104" i="88"/>
  <c r="AC156" i="88" s="1"/>
  <c r="AB104" i="88"/>
  <c r="AB156" i="88" s="1"/>
  <c r="AA104" i="88"/>
  <c r="AA156" i="88" s="1"/>
  <c r="Z104" i="88"/>
  <c r="Z156" i="88" s="1"/>
  <c r="Y104" i="88"/>
  <c r="Y156" i="88" s="1"/>
  <c r="X104" i="88"/>
  <c r="X156" i="88" s="1"/>
  <c r="W104" i="88"/>
  <c r="W156" i="88" s="1"/>
  <c r="V104" i="88"/>
  <c r="V156" i="88" s="1"/>
  <c r="AE103" i="88"/>
  <c r="AE155" i="88" s="1"/>
  <c r="AD103" i="88"/>
  <c r="AD155" i="88" s="1"/>
  <c r="AC103" i="88"/>
  <c r="AC155" i="88" s="1"/>
  <c r="AB103" i="88"/>
  <c r="AB155" i="88" s="1"/>
  <c r="AA103" i="88"/>
  <c r="AA155" i="88" s="1"/>
  <c r="Z103" i="88"/>
  <c r="Z155" i="88" s="1"/>
  <c r="Y103" i="88"/>
  <c r="Y155" i="88" s="1"/>
  <c r="X103" i="88"/>
  <c r="X155" i="88" s="1"/>
  <c r="W103" i="88"/>
  <c r="W155" i="88" s="1"/>
  <c r="V103" i="88"/>
  <c r="V155" i="88" s="1"/>
  <c r="AE102" i="88"/>
  <c r="AE154" i="88" s="1"/>
  <c r="AD102" i="88"/>
  <c r="AD154" i="88" s="1"/>
  <c r="AC102" i="88"/>
  <c r="AC154" i="88" s="1"/>
  <c r="AB102" i="88"/>
  <c r="AB154" i="88" s="1"/>
  <c r="AA102" i="88"/>
  <c r="AA154" i="88" s="1"/>
  <c r="Z102" i="88"/>
  <c r="Z154" i="88" s="1"/>
  <c r="Y102" i="88"/>
  <c r="Y154" i="88" s="1"/>
  <c r="X102" i="88"/>
  <c r="X154" i="88" s="1"/>
  <c r="W102" i="88"/>
  <c r="W154" i="88" s="1"/>
  <c r="V102" i="88"/>
  <c r="V154" i="88" s="1"/>
  <c r="AE101" i="88"/>
  <c r="AE153" i="88" s="1"/>
  <c r="AD101" i="88"/>
  <c r="AD153" i="88" s="1"/>
  <c r="AC101" i="88"/>
  <c r="AC153" i="88" s="1"/>
  <c r="AB101" i="88"/>
  <c r="AB153" i="88" s="1"/>
  <c r="AA101" i="88"/>
  <c r="AA153" i="88" s="1"/>
  <c r="Z101" i="88"/>
  <c r="Z153" i="88" s="1"/>
  <c r="Y101" i="88"/>
  <c r="Y153" i="88" s="1"/>
  <c r="X101" i="88"/>
  <c r="X153" i="88" s="1"/>
  <c r="W101" i="88"/>
  <c r="W153" i="88" s="1"/>
  <c r="V101" i="88"/>
  <c r="V153" i="88" s="1"/>
  <c r="AE100" i="88"/>
  <c r="AE152" i="88" s="1"/>
  <c r="AD100" i="88"/>
  <c r="AD152" i="88" s="1"/>
  <c r="AC100" i="88"/>
  <c r="AC152" i="88" s="1"/>
  <c r="AB100" i="88"/>
  <c r="AB152" i="88" s="1"/>
  <c r="AA100" i="88"/>
  <c r="AA152" i="88" s="1"/>
  <c r="Z100" i="88"/>
  <c r="Z152" i="88" s="1"/>
  <c r="Y100" i="88"/>
  <c r="Y152" i="88" s="1"/>
  <c r="X100" i="88"/>
  <c r="X152" i="88" s="1"/>
  <c r="W100" i="88"/>
  <c r="W152" i="88" s="1"/>
  <c r="V100" i="88"/>
  <c r="V152" i="88" s="1"/>
  <c r="AE99" i="88"/>
  <c r="AE151" i="88" s="1"/>
  <c r="AD99" i="88"/>
  <c r="AD151" i="88" s="1"/>
  <c r="AC99" i="88"/>
  <c r="AC151" i="88" s="1"/>
  <c r="AB99" i="88"/>
  <c r="AB151" i="88" s="1"/>
  <c r="AA99" i="88"/>
  <c r="AA151" i="88" s="1"/>
  <c r="Z99" i="88"/>
  <c r="Z151" i="88" s="1"/>
  <c r="Y99" i="88"/>
  <c r="Y151" i="88" s="1"/>
  <c r="X99" i="88"/>
  <c r="X151" i="88" s="1"/>
  <c r="W99" i="88"/>
  <c r="W151" i="88" s="1"/>
  <c r="V99" i="88"/>
  <c r="V151" i="88" s="1"/>
  <c r="AE98" i="88"/>
  <c r="AE150" i="88" s="1"/>
  <c r="AD98" i="88"/>
  <c r="AD150" i="88" s="1"/>
  <c r="AC98" i="88"/>
  <c r="AC150" i="88" s="1"/>
  <c r="AB98" i="88"/>
  <c r="AB150" i="88" s="1"/>
  <c r="AA98" i="88"/>
  <c r="AA150" i="88" s="1"/>
  <c r="Z98" i="88"/>
  <c r="Z150" i="88" s="1"/>
  <c r="Y98" i="88"/>
  <c r="Y150" i="88" s="1"/>
  <c r="X98" i="88"/>
  <c r="X150" i="88" s="1"/>
  <c r="W98" i="88"/>
  <c r="W150" i="88" s="1"/>
  <c r="V98" i="88"/>
  <c r="V150" i="88" s="1"/>
  <c r="AE97" i="88"/>
  <c r="AE149" i="88" s="1"/>
  <c r="AD97" i="88"/>
  <c r="AD149" i="88" s="1"/>
  <c r="AC97" i="88"/>
  <c r="AC149" i="88" s="1"/>
  <c r="AB97" i="88"/>
  <c r="AB149" i="88" s="1"/>
  <c r="AA97" i="88"/>
  <c r="AA149" i="88" s="1"/>
  <c r="Z97" i="88"/>
  <c r="Z149" i="88" s="1"/>
  <c r="Y97" i="88"/>
  <c r="Y149" i="88" s="1"/>
  <c r="X97" i="88"/>
  <c r="X149" i="88" s="1"/>
  <c r="W97" i="88"/>
  <c r="W149" i="88" s="1"/>
  <c r="N88" i="88"/>
  <c r="N126" i="88" s="1"/>
  <c r="M88" i="88"/>
  <c r="M126" i="88" s="1"/>
  <c r="L88" i="88"/>
  <c r="L126" i="88" s="1"/>
  <c r="K88" i="88"/>
  <c r="K126" i="88" s="1"/>
  <c r="J88" i="88"/>
  <c r="J126" i="88" s="1"/>
  <c r="I88" i="88"/>
  <c r="I126" i="88" s="1"/>
  <c r="H88" i="88"/>
  <c r="H126" i="88" s="1"/>
  <c r="G88" i="88"/>
  <c r="G126" i="88" s="1"/>
  <c r="F88" i="88"/>
  <c r="F126" i="88" s="1"/>
  <c r="E88" i="88"/>
  <c r="E126" i="88" s="1"/>
  <c r="N87" i="88"/>
  <c r="N125" i="88" s="1"/>
  <c r="M87" i="88"/>
  <c r="M125" i="88" s="1"/>
  <c r="L87" i="88"/>
  <c r="L125" i="88" s="1"/>
  <c r="K87" i="88"/>
  <c r="K125" i="88" s="1"/>
  <c r="J87" i="88"/>
  <c r="J125" i="88" s="1"/>
  <c r="I87" i="88"/>
  <c r="I125" i="88" s="1"/>
  <c r="H87" i="88"/>
  <c r="H125" i="88" s="1"/>
  <c r="G87" i="88"/>
  <c r="G125" i="88" s="1"/>
  <c r="F87" i="88"/>
  <c r="F125" i="88" s="1"/>
  <c r="E87" i="88"/>
  <c r="E125" i="88" s="1"/>
  <c r="N86" i="88"/>
  <c r="N124" i="88" s="1"/>
  <c r="M86" i="88"/>
  <c r="M124" i="88" s="1"/>
  <c r="L86" i="88"/>
  <c r="L124" i="88" s="1"/>
  <c r="K86" i="88"/>
  <c r="K124" i="88" s="1"/>
  <c r="J86" i="88"/>
  <c r="J124" i="88" s="1"/>
  <c r="I86" i="88"/>
  <c r="I124" i="88" s="1"/>
  <c r="H86" i="88"/>
  <c r="H124" i="88" s="1"/>
  <c r="G86" i="88"/>
  <c r="G124" i="88" s="1"/>
  <c r="F86" i="88"/>
  <c r="F124" i="88" s="1"/>
  <c r="E86" i="88"/>
  <c r="E124" i="88" s="1"/>
  <c r="N85" i="88"/>
  <c r="N123" i="88" s="1"/>
  <c r="M85" i="88"/>
  <c r="M123" i="88" s="1"/>
  <c r="L85" i="88"/>
  <c r="L123" i="88" s="1"/>
  <c r="K85" i="88"/>
  <c r="K123" i="88" s="1"/>
  <c r="J85" i="88"/>
  <c r="J123" i="88" s="1"/>
  <c r="I85" i="88"/>
  <c r="I123" i="88" s="1"/>
  <c r="H85" i="88"/>
  <c r="H123" i="88" s="1"/>
  <c r="G85" i="88"/>
  <c r="G123" i="88" s="1"/>
  <c r="F85" i="88"/>
  <c r="F123" i="88" s="1"/>
  <c r="V76" i="88"/>
  <c r="E64" i="88"/>
  <c r="G25" i="89"/>
  <c r="E252" i="117" s="1" a="1"/>
  <c r="P21" i="90" a="1"/>
  <c r="I13" i="89"/>
  <c r="P11" i="90" a="1"/>
  <c r="O108" i="90" a="1"/>
  <c r="O108" i="90" s="1"/>
  <c r="N106" i="90"/>
  <c r="N105" i="90"/>
  <c r="J56" i="89"/>
  <c r="I56" i="89"/>
  <c r="J54" i="89"/>
  <c r="F20" i="92" a="1"/>
  <c r="F20" i="92" s="1"/>
  <c r="I54" i="89"/>
  <c r="G20" i="92" a="1"/>
  <c r="F44" i="81"/>
  <c r="G44" i="81"/>
  <c r="I55" i="89"/>
  <c r="J55" i="89"/>
  <c r="E25" i="93" a="1"/>
  <c r="E27" i="13" a="1"/>
  <c r="E27" i="13" s="1"/>
  <c r="H27" i="13" s="1" a="1"/>
  <c r="H27" i="13" s="1"/>
  <c r="E26" i="13" a="1"/>
  <c r="E26" i="13" s="1"/>
  <c r="E25" i="13" a="1"/>
  <c r="E25" i="13" s="1"/>
  <c r="H25" i="13" s="1"/>
  <c r="E24" i="13" a="1"/>
  <c r="E24" i="13" s="1"/>
  <c r="E23" i="13" a="1"/>
  <c r="E23" i="13" s="1"/>
  <c r="H23" i="13" s="1" a="1"/>
  <c r="H23" i="13" s="1"/>
  <c r="E22" i="13" a="1"/>
  <c r="E22" i="13" s="1"/>
  <c r="H22" i="13" s="1"/>
  <c r="F21" i="13" a="1"/>
  <c r="F21" i="13" s="1"/>
  <c r="I21" i="13" s="1" a="1"/>
  <c r="I21" i="13" s="1"/>
  <c r="E21" i="13" a="1"/>
  <c r="E21" i="13" s="1"/>
  <c r="H21" i="13" s="1" a="1"/>
  <c r="H21" i="13" s="1"/>
  <c r="E13" i="72"/>
  <c r="E18" i="75"/>
  <c r="E20" i="75" s="1"/>
  <c r="E21" i="75" s="1"/>
  <c r="E20" i="72"/>
  <c r="Y177" i="83" l="1"/>
  <c r="Y189" i="83"/>
  <c r="Y263" i="83" s="1"/>
  <c r="F177" i="83"/>
  <c r="F181" i="83"/>
  <c r="F239" i="83" s="1"/>
  <c r="E25" i="72"/>
  <c r="F48" i="81" s="1"/>
  <c r="F56" i="81" s="1"/>
  <c r="E26" i="72"/>
  <c r="G48" i="81" s="1"/>
  <c r="G56" i="81" s="1"/>
  <c r="V97" i="88"/>
  <c r="E85" i="88"/>
  <c r="N108" i="90"/>
  <c r="P11" i="90"/>
  <c r="Q14" i="90"/>
  <c r="Q12" i="90"/>
  <c r="Q13" i="90"/>
  <c r="Q15" i="90"/>
  <c r="E24" i="91" a="1"/>
  <c r="E24" i="91" s="1"/>
  <c r="G24" i="91" s="1"/>
  <c r="E63" i="91" s="1"/>
  <c r="E23" i="91" a="1"/>
  <c r="E23" i="91" s="1"/>
  <c r="G23" i="91" s="1"/>
  <c r="E62" i="91" s="1"/>
  <c r="E22" i="90" a="1"/>
  <c r="E22" i="90" s="1"/>
  <c r="G22" i="90" s="1"/>
  <c r="E63" i="90" s="1"/>
  <c r="E27" i="90" a="1"/>
  <c r="E27" i="90" s="1"/>
  <c r="G27" i="90" s="1"/>
  <c r="E68" i="90" s="1"/>
  <c r="E32" i="90" a="1"/>
  <c r="E32" i="90" s="1"/>
  <c r="G32" i="90" s="1"/>
  <c r="E73" i="90" s="1"/>
  <c r="E33" i="90" a="1"/>
  <c r="E33" i="90" s="1"/>
  <c r="G33" i="90" s="1"/>
  <c r="E74" i="90" s="1"/>
  <c r="E23" i="90" a="1"/>
  <c r="E23" i="90" s="1"/>
  <c r="G23" i="90" s="1"/>
  <c r="E64" i="90" s="1"/>
  <c r="E26" i="90" a="1"/>
  <c r="E26" i="90" s="1"/>
  <c r="G26" i="90" s="1"/>
  <c r="E67" i="90" s="1"/>
  <c r="E19" i="90" a="1"/>
  <c r="E19" i="90" s="1"/>
  <c r="G19" i="90" s="1"/>
  <c r="E60" i="90" s="1"/>
  <c r="E35" i="90" a="1"/>
  <c r="E35" i="90" s="1"/>
  <c r="G35" i="90" s="1"/>
  <c r="E76" i="90" s="1"/>
  <c r="E236" i="117" a="1"/>
  <c r="E19" i="91" a="1"/>
  <c r="E19" i="91" s="1"/>
  <c r="G19" i="91" s="1"/>
  <c r="E58" i="91" s="1"/>
  <c r="E31" i="91" a="1"/>
  <c r="E31" i="91" s="1"/>
  <c r="G31" i="91" s="1"/>
  <c r="E70" i="91" s="1"/>
  <c r="E28" i="91" a="1"/>
  <c r="E28" i="91" s="1"/>
  <c r="G28" i="91" s="1"/>
  <c r="E67" i="91" s="1"/>
  <c r="E25" i="91" a="1"/>
  <c r="E25" i="91" s="1"/>
  <c r="G25" i="91" s="1"/>
  <c r="E64" i="91" s="1"/>
  <c r="E29" i="90" a="1"/>
  <c r="E29" i="90" s="1"/>
  <c r="G29" i="90" s="1"/>
  <c r="E70" i="90" s="1"/>
  <c r="E24" i="90" a="1"/>
  <c r="E24" i="90" s="1"/>
  <c r="G24" i="90" s="1"/>
  <c r="E65" i="90" s="1"/>
  <c r="E21" i="91" a="1"/>
  <c r="E21" i="91" s="1"/>
  <c r="G21" i="91" s="1"/>
  <c r="E60" i="91" s="1"/>
  <c r="E20" i="91" a="1"/>
  <c r="E20" i="91" s="1"/>
  <c r="G20" i="91" s="1"/>
  <c r="E59" i="91" s="1"/>
  <c r="E20" i="90" a="1"/>
  <c r="E20" i="90" s="1"/>
  <c r="G20" i="90" s="1"/>
  <c r="E61" i="90" s="1"/>
  <c r="E21" i="90" a="1"/>
  <c r="E21" i="90" s="1"/>
  <c r="G21" i="90" s="1"/>
  <c r="E62" i="90" s="1"/>
  <c r="E30" i="91" a="1"/>
  <c r="E30" i="91" s="1"/>
  <c r="G30" i="91" s="1"/>
  <c r="E69" i="91" s="1"/>
  <c r="E36" i="91" a="1"/>
  <c r="E36" i="91" s="1"/>
  <c r="G36" i="91" s="1"/>
  <c r="E75" i="91" s="1"/>
  <c r="E35" i="91" a="1"/>
  <c r="E35" i="91" s="1"/>
  <c r="G35" i="91" s="1"/>
  <c r="E74" i="91" s="1"/>
  <c r="E30" i="90" a="1"/>
  <c r="E30" i="90" s="1"/>
  <c r="G30" i="90" s="1"/>
  <c r="E71" i="90" s="1"/>
  <c r="E34" i="91" a="1"/>
  <c r="E34" i="91" s="1"/>
  <c r="G34" i="91" s="1"/>
  <c r="E73" i="91" s="1"/>
  <c r="E28" i="90" a="1"/>
  <c r="E28" i="90" s="1"/>
  <c r="G28" i="90" s="1"/>
  <c r="E69" i="90" s="1"/>
  <c r="E27" i="91" a="1"/>
  <c r="E27" i="91" s="1"/>
  <c r="G27" i="91" s="1"/>
  <c r="E66" i="91" s="1"/>
  <c r="E37" i="90" a="1"/>
  <c r="E37" i="90" s="1"/>
  <c r="G37" i="90" s="1"/>
  <c r="E78" i="90" s="1"/>
  <c r="E34" i="90" a="1"/>
  <c r="E34" i="90" s="1"/>
  <c r="G34" i="90" s="1"/>
  <c r="E75" i="90" s="1"/>
  <c r="E22" i="91" a="1"/>
  <c r="E22" i="91" s="1"/>
  <c r="G22" i="91" s="1"/>
  <c r="E61" i="91" s="1"/>
  <c r="E25" i="90" a="1"/>
  <c r="E25" i="90" s="1"/>
  <c r="G25" i="90" s="1"/>
  <c r="E66" i="90" s="1"/>
  <c r="E26" i="91" a="1"/>
  <c r="E26" i="91" s="1"/>
  <c r="G26" i="91" s="1"/>
  <c r="E65" i="91" s="1"/>
  <c r="E36" i="90" a="1"/>
  <c r="E36" i="90" s="1"/>
  <c r="G36" i="90" s="1"/>
  <c r="E77" i="90" s="1"/>
  <c r="E37" i="91" a="1"/>
  <c r="E37" i="91" s="1"/>
  <c r="G37" i="91" s="1"/>
  <c r="E76" i="91" s="1"/>
  <c r="E31" i="90" a="1"/>
  <c r="E31" i="90" s="1"/>
  <c r="G31" i="90" s="1"/>
  <c r="E72" i="90" s="1"/>
  <c r="E29" i="91" a="1"/>
  <c r="E29" i="91" s="1"/>
  <c r="G29" i="91" s="1"/>
  <c r="E68" i="91" s="1"/>
  <c r="E32" i="91" a="1"/>
  <c r="E32" i="91" s="1"/>
  <c r="G32" i="91" s="1"/>
  <c r="E71" i="91" s="1"/>
  <c r="E25" i="93"/>
  <c r="E33" i="91" a="1"/>
  <c r="E33" i="91" s="1"/>
  <c r="G33" i="91" s="1"/>
  <c r="E72" i="91" s="1"/>
  <c r="P21" i="90"/>
  <c r="Q21" i="90" s="1"/>
  <c r="Q23" i="90"/>
  <c r="Q24" i="90"/>
  <c r="Q22" i="90"/>
  <c r="Q25" i="90"/>
  <c r="E252" i="117"/>
  <c r="G20" i="92"/>
  <c r="K48" i="92"/>
  <c r="K45" i="92" s="1"/>
  <c r="E50" i="92" s="1"/>
  <c r="J17" i="118"/>
  <c r="J14" i="118" s="1"/>
  <c r="H227" i="84"/>
  <c r="H225" i="84" s="1"/>
  <c r="J37" i="108"/>
  <c r="J34" i="108" s="1" a="1"/>
  <c r="J34" i="108" s="1"/>
  <c r="E30" i="97"/>
  <c r="D59" i="13"/>
  <c r="D64" i="13"/>
  <c r="D4" i="13"/>
  <c r="G52" i="81"/>
  <c r="G45" i="81"/>
  <c r="G53" i="81" s="1"/>
  <c r="F45" i="81"/>
  <c r="F53" i="81" s="1"/>
  <c r="F52" i="81"/>
  <c r="D40" i="72"/>
  <c r="F23" i="13"/>
  <c r="I23" i="13" s="1" a="1"/>
  <c r="I23" i="13" s="1"/>
  <c r="F24" i="13"/>
  <c r="I24" i="13" s="1" a="1"/>
  <c r="I24" i="13" s="1"/>
  <c r="H24" i="13" a="1"/>
  <c r="H24" i="13" s="1"/>
  <c r="F26" i="13"/>
  <c r="I26" i="13" s="1" a="1"/>
  <c r="I26" i="13" s="1"/>
  <c r="H26" i="13" a="1"/>
  <c r="H26" i="13" s="1"/>
  <c r="F22" i="13"/>
  <c r="I22" i="13" s="1"/>
  <c r="F25" i="13"/>
  <c r="I25" i="13" s="1"/>
  <c r="F27" i="13"/>
  <c r="I27" i="13" s="1" a="1"/>
  <c r="I27" i="13" s="1"/>
  <c r="O19" i="118" l="1"/>
  <c r="E19" i="118"/>
  <c r="J241" i="117"/>
  <c r="J240" i="117"/>
  <c r="J239" i="117"/>
  <c r="J238" i="117"/>
  <c r="J245" i="117"/>
  <c r="J244" i="117"/>
  <c r="J237" i="117"/>
  <c r="J243" i="117"/>
  <c r="J242" i="117"/>
  <c r="K243" i="117"/>
  <c r="H242" i="117"/>
  <c r="H243" i="117"/>
  <c r="H241" i="117"/>
  <c r="K242" i="117"/>
  <c r="K241" i="117"/>
  <c r="K240" i="117"/>
  <c r="H239" i="117"/>
  <c r="H240" i="117"/>
  <c r="H245" i="117"/>
  <c r="K239" i="117"/>
  <c r="K238" i="117"/>
  <c r="K245" i="117"/>
  <c r="K237" i="117"/>
  <c r="H238" i="117"/>
  <c r="H237" i="117"/>
  <c r="K244" i="117"/>
  <c r="H244" i="117"/>
  <c r="G243" i="117"/>
  <c r="G245" i="117"/>
  <c r="G238" i="117"/>
  <c r="G239" i="117"/>
  <c r="G240" i="117"/>
  <c r="G242" i="117"/>
  <c r="G241" i="117"/>
  <c r="G237" i="117"/>
  <c r="G244" i="117"/>
  <c r="O40" i="108"/>
  <c r="E40" i="108"/>
  <c r="Y251" i="83"/>
  <c r="X276" i="83" s="1"/>
  <c r="F235" i="83"/>
  <c r="E244" i="83" s="1"/>
  <c r="F46" i="81"/>
  <c r="H44" i="81" s="1"/>
  <c r="H45" i="81" s="1"/>
  <c r="G46" i="81"/>
  <c r="I44" i="81" s="1"/>
  <c r="I45" i="81" s="1"/>
  <c r="V149" i="88"/>
  <c r="V162" i="88" s="1"/>
  <c r="E123" i="88"/>
  <c r="E128" i="88" s="1"/>
  <c r="E19" i="94"/>
  <c r="E23" i="95"/>
  <c r="F23" i="95" s="1"/>
  <c r="E103" i="94"/>
  <c r="E135" i="94" s="1"/>
  <c r="F135" i="94" s="1"/>
  <c r="E66" i="95"/>
  <c r="E31" i="94"/>
  <c r="E35" i="95"/>
  <c r="F35" i="95" s="1"/>
  <c r="E30" i="95"/>
  <c r="F30" i="95" s="1"/>
  <c r="E26" i="94"/>
  <c r="E23" i="94"/>
  <c r="E27" i="95"/>
  <c r="F27" i="95" s="1"/>
  <c r="E32" i="92"/>
  <c r="K44" i="92" s="1"/>
  <c r="E102" i="94"/>
  <c r="E134" i="94" s="1"/>
  <c r="F134" i="94" s="1"/>
  <c r="E65" i="95"/>
  <c r="E36" i="94"/>
  <c r="E40" i="95"/>
  <c r="F40" i="95" s="1"/>
  <c r="E20" i="94"/>
  <c r="E24" i="95"/>
  <c r="F24" i="95" s="1"/>
  <c r="E33" i="94"/>
  <c r="E37" i="95"/>
  <c r="F37" i="95" s="1"/>
  <c r="E21" i="94"/>
  <c r="E25" i="95"/>
  <c r="F25" i="95" s="1"/>
  <c r="E36" i="95"/>
  <c r="F36" i="95" s="1"/>
  <c r="E32" i="94"/>
  <c r="E31" i="95"/>
  <c r="F31" i="95" s="1"/>
  <c r="E27" i="94"/>
  <c r="E28" i="95"/>
  <c r="F28" i="95" s="1"/>
  <c r="E24" i="94"/>
  <c r="E22" i="94"/>
  <c r="E26" i="95"/>
  <c r="F26" i="95" s="1"/>
  <c r="E67" i="95"/>
  <c r="E104" i="94"/>
  <c r="E136" i="94" s="1"/>
  <c r="F136" i="94" s="1"/>
  <c r="E33" i="95"/>
  <c r="F33" i="95" s="1"/>
  <c r="E29" i="94"/>
  <c r="E41" i="95"/>
  <c r="F41" i="95" s="1"/>
  <c r="E37" i="94"/>
  <c r="E32" i="95"/>
  <c r="F32" i="95" s="1"/>
  <c r="E28" i="94"/>
  <c r="E34" i="94"/>
  <c r="E38" i="95"/>
  <c r="F38" i="95" s="1"/>
  <c r="I37" i="97"/>
  <c r="I48" i="97"/>
  <c r="I38" i="97"/>
  <c r="I39" i="97"/>
  <c r="I46" i="97"/>
  <c r="I47" i="97"/>
  <c r="E78" i="91"/>
  <c r="E15" i="13" s="1" a="1"/>
  <c r="E15" i="13" s="1"/>
  <c r="E31" i="93"/>
  <c r="E17" i="13" s="1" a="1"/>
  <c r="E17" i="13" s="1"/>
  <c r="E34" i="95"/>
  <c r="F34" i="95" s="1"/>
  <c r="E30" i="94"/>
  <c r="E236" i="117"/>
  <c r="E29" i="95"/>
  <c r="F29" i="95" s="1"/>
  <c r="E25" i="94"/>
  <c r="R584" i="117"/>
  <c r="J584" i="117"/>
  <c r="E35" i="94"/>
  <c r="E39" i="95"/>
  <c r="F39" i="95" s="1"/>
  <c r="Q11" i="90"/>
  <c r="N33" i="90" s="1"/>
  <c r="N34" i="90"/>
  <c r="V63" i="84"/>
  <c r="AC59" i="84"/>
  <c r="V57" i="84"/>
  <c r="AC58" i="84"/>
  <c r="Y60" i="84"/>
  <c r="Y58" i="84"/>
  <c r="X67" i="84"/>
  <c r="AC64" i="84"/>
  <c r="Z63" i="84"/>
  <c r="Z58" i="84"/>
  <c r="Z57" i="84"/>
  <c r="AE65" i="84"/>
  <c r="AB58" i="84"/>
  <c r="AA66" i="84"/>
  <c r="AE59" i="84"/>
  <c r="Y56" i="84"/>
  <c r="Z66" i="84"/>
  <c r="AE60" i="84"/>
  <c r="AC67" i="84"/>
  <c r="W58" i="84"/>
  <c r="AB66" i="84"/>
  <c r="AA63" i="84"/>
  <c r="X66" i="84"/>
  <c r="AE63" i="84"/>
  <c r="Z65" i="84"/>
  <c r="AD66" i="84"/>
  <c r="AD64" i="84"/>
  <c r="W56" i="84"/>
  <c r="X63" i="84"/>
  <c r="AB67" i="84"/>
  <c r="AD60" i="84"/>
  <c r="V58" i="84"/>
  <c r="Y61" i="84"/>
  <c r="X62" i="84"/>
  <c r="AA56" i="84"/>
  <c r="Y67" i="84"/>
  <c r="AB64" i="84"/>
  <c r="W61" i="84"/>
  <c r="V66" i="84"/>
  <c r="AE58" i="84"/>
  <c r="X59" i="84"/>
  <c r="AE67" i="84"/>
  <c r="AA61" i="84"/>
  <c r="AC60" i="84"/>
  <c r="AB57" i="84"/>
  <c r="X58" i="84"/>
  <c r="X65" i="84"/>
  <c r="Y66" i="84"/>
  <c r="AE62" i="84"/>
  <c r="AC57" i="84"/>
  <c r="W62" i="84"/>
  <c r="AE64" i="84"/>
  <c r="AB65" i="84"/>
  <c r="V65" i="84"/>
  <c r="X61" i="84"/>
  <c r="X57" i="84"/>
  <c r="V67" i="84"/>
  <c r="AE61" i="84"/>
  <c r="AB63" i="84"/>
  <c r="W60" i="84"/>
  <c r="W64" i="84"/>
  <c r="AD56" i="84"/>
  <c r="AC62" i="84"/>
  <c r="X64" i="84"/>
  <c r="Y65" i="84"/>
  <c r="W65" i="84"/>
  <c r="AA64" i="84"/>
  <c r="AC66" i="84"/>
  <c r="V62" i="84"/>
  <c r="AD61" i="84"/>
  <c r="Z59" i="84"/>
  <c r="Z61" i="84"/>
  <c r="AA62" i="84"/>
  <c r="X56" i="84"/>
  <c r="V60" i="84"/>
  <c r="W63" i="84"/>
  <c r="AC56" i="84"/>
  <c r="H54" i="84"/>
  <c r="G54" i="84"/>
  <c r="J57" i="84"/>
  <c r="N54" i="84"/>
  <c r="I56" i="84"/>
  <c r="I55" i="84"/>
  <c r="L57" i="84"/>
  <c r="E55" i="84"/>
  <c r="E56" i="84"/>
  <c r="E57" i="84"/>
  <c r="M55" i="84"/>
  <c r="F55" i="84"/>
  <c r="H56" i="84"/>
  <c r="M54" i="84"/>
  <c r="N57" i="84"/>
  <c r="N55" i="84"/>
  <c r="L54" i="84"/>
  <c r="I54" i="84"/>
  <c r="M56" i="84"/>
  <c r="H57" i="84"/>
  <c r="F54" i="84"/>
  <c r="L55" i="84"/>
  <c r="J54" i="84"/>
  <c r="J55" i="84"/>
  <c r="G55" i="84"/>
  <c r="L56" i="84"/>
  <c r="N56" i="84"/>
  <c r="I57" i="84"/>
  <c r="F57" i="84"/>
  <c r="H55" i="84"/>
  <c r="M57" i="84"/>
  <c r="K54" i="84"/>
  <c r="K56" i="84"/>
  <c r="F56" i="84"/>
  <c r="J236" i="117" l="1"/>
  <c r="E264" i="117" s="1"/>
  <c r="H236" i="117"/>
  <c r="E266" i="117" s="1"/>
  <c r="E43" i="13" s="1" a="1"/>
  <c r="E43" i="13" s="1"/>
  <c r="H43" i="13" s="1"/>
  <c r="H56" i="13" s="1"/>
  <c r="K236" i="117"/>
  <c r="E267" i="117" s="1"/>
  <c r="F43" i="13" s="1" a="1"/>
  <c r="F43" i="13" s="1"/>
  <c r="I43" i="13" s="1"/>
  <c r="I56" i="13" s="1"/>
  <c r="G236" i="117"/>
  <c r="E263" i="117" s="1"/>
  <c r="H21" i="94"/>
  <c r="E61" i="94" s="1"/>
  <c r="F61" i="94" s="1"/>
  <c r="H29" i="94"/>
  <c r="E69" i="94" s="1"/>
  <c r="F69" i="94" s="1"/>
  <c r="H31" i="94"/>
  <c r="E71" i="94" s="1"/>
  <c r="F71" i="94" s="1"/>
  <c r="H33" i="94"/>
  <c r="E73" i="94" s="1"/>
  <c r="F73" i="94" s="1"/>
  <c r="H20" i="94"/>
  <c r="E60" i="94" s="1"/>
  <c r="F60" i="94" s="1"/>
  <c r="H19" i="94"/>
  <c r="E59" i="94" s="1"/>
  <c r="F59" i="94" s="1"/>
  <c r="E79" i="94" s="1"/>
  <c r="G81" i="94" s="1"/>
  <c r="E84" i="94" s="1" a="1"/>
  <c r="E84" i="94" s="1"/>
  <c r="H22" i="94"/>
  <c r="E62" i="94" s="1"/>
  <c r="F62" i="94" s="1"/>
  <c r="H36" i="94"/>
  <c r="E76" i="94" s="1"/>
  <c r="F76" i="94" s="1"/>
  <c r="H24" i="94"/>
  <c r="E64" i="94" s="1"/>
  <c r="F64" i="94" s="1"/>
  <c r="H27" i="94"/>
  <c r="E67" i="94" s="1"/>
  <c r="F67" i="94" s="1"/>
  <c r="H35" i="94"/>
  <c r="E75" i="94" s="1"/>
  <c r="F75" i="94" s="1"/>
  <c r="H25" i="94"/>
  <c r="E65" i="94" s="1"/>
  <c r="F65" i="94" s="1"/>
  <c r="H34" i="94"/>
  <c r="E74" i="94" s="1"/>
  <c r="F74" i="94" s="1"/>
  <c r="H26" i="94"/>
  <c r="E66" i="94" s="1"/>
  <c r="F66" i="94" s="1"/>
  <c r="H28" i="94"/>
  <c r="E68" i="94" s="1"/>
  <c r="F68" i="94" s="1"/>
  <c r="H32" i="94"/>
  <c r="E72" i="94" s="1"/>
  <c r="F72" i="94" s="1"/>
  <c r="H23" i="94"/>
  <c r="E63" i="94" s="1"/>
  <c r="F63" i="94" s="1"/>
  <c r="H30" i="94"/>
  <c r="E70" i="94" s="1"/>
  <c r="F70" i="94" s="1"/>
  <c r="H37" i="94"/>
  <c r="E77" i="94" s="1"/>
  <c r="F77" i="94" s="1"/>
  <c r="M588" i="117"/>
  <c r="O590" i="117" s="1"/>
  <c r="M593" i="117" s="1" a="1"/>
  <c r="M593" i="117" s="1"/>
  <c r="E588" i="117"/>
  <c r="G590" i="117" s="1"/>
  <c r="E593" i="117" s="1" a="1"/>
  <c r="E593" i="117" s="1"/>
  <c r="AE83" i="84"/>
  <c r="AE147" i="84" s="1"/>
  <c r="AE207" i="84" s="1"/>
  <c r="AE259" i="84" s="1"/>
  <c r="AC83" i="84"/>
  <c r="AC147" i="84" s="1"/>
  <c r="AC207" i="84" s="1"/>
  <c r="AC259" i="84" s="1"/>
  <c r="AB83" i="84"/>
  <c r="AB147" i="84" s="1"/>
  <c r="AB207" i="84" s="1"/>
  <c r="AB259" i="84" s="1"/>
  <c r="Y83" i="84"/>
  <c r="Y147" i="84" s="1"/>
  <c r="Y207" i="84" s="1"/>
  <c r="Y259" i="84" s="1"/>
  <c r="X83" i="84"/>
  <c r="X147" i="84" s="1"/>
  <c r="X207" i="84" s="1"/>
  <c r="X259" i="84" s="1"/>
  <c r="V83" i="84"/>
  <c r="V147" i="84" s="1"/>
  <c r="V207" i="84" s="1"/>
  <c r="V259" i="84" s="1"/>
  <c r="AD82" i="84"/>
  <c r="AD146" i="84" s="1"/>
  <c r="AD206" i="84" s="1"/>
  <c r="AD258" i="84" s="1"/>
  <c r="AC82" i="84"/>
  <c r="AC146" i="84" s="1"/>
  <c r="AC206" i="84" s="1"/>
  <c r="AC258" i="84" s="1"/>
  <c r="AB82" i="84"/>
  <c r="AB146" i="84" s="1"/>
  <c r="AB206" i="84" s="1"/>
  <c r="AB258" i="84" s="1"/>
  <c r="AA82" i="84"/>
  <c r="AA146" i="84" s="1"/>
  <c r="AA206" i="84" s="1"/>
  <c r="AA258" i="84" s="1"/>
  <c r="Z82" i="84"/>
  <c r="Z146" i="84" s="1"/>
  <c r="Z206" i="84" s="1"/>
  <c r="Z258" i="84" s="1"/>
  <c r="Y82" i="84"/>
  <c r="Y146" i="84" s="1"/>
  <c r="Y206" i="84" s="1"/>
  <c r="Y258" i="84" s="1"/>
  <c r="X82" i="84"/>
  <c r="X146" i="84" s="1"/>
  <c r="X206" i="84" s="1"/>
  <c r="X258" i="84" s="1"/>
  <c r="V82" i="84"/>
  <c r="V146" i="84" s="1"/>
  <c r="V206" i="84" s="1"/>
  <c r="V258" i="84" s="1"/>
  <c r="AE81" i="84"/>
  <c r="AE145" i="84" s="1"/>
  <c r="AE205" i="84" s="1"/>
  <c r="AE257" i="84" s="1"/>
  <c r="AB81" i="84"/>
  <c r="AB145" i="84" s="1"/>
  <c r="AB205" i="84" s="1"/>
  <c r="AB257" i="84" s="1"/>
  <c r="Z81" i="84"/>
  <c r="Z145" i="84" s="1"/>
  <c r="Z205" i="84" s="1"/>
  <c r="Z257" i="84" s="1"/>
  <c r="Y81" i="84"/>
  <c r="Y145" i="84" s="1"/>
  <c r="Y205" i="84" s="1"/>
  <c r="Y257" i="84" s="1"/>
  <c r="X81" i="84"/>
  <c r="X145" i="84" s="1"/>
  <c r="X205" i="84" s="1"/>
  <c r="X257" i="84" s="1"/>
  <c r="W81" i="84"/>
  <c r="W145" i="84" s="1"/>
  <c r="W205" i="84" s="1"/>
  <c r="W257" i="84" s="1"/>
  <c r="V81" i="84"/>
  <c r="V145" i="84" s="1"/>
  <c r="V205" i="84" s="1"/>
  <c r="V257" i="84" s="1"/>
  <c r="AE80" i="84"/>
  <c r="AE144" i="84" s="1"/>
  <c r="AE204" i="84" s="1"/>
  <c r="AE256" i="84" s="1"/>
  <c r="AD80" i="84"/>
  <c r="AD144" i="84" s="1"/>
  <c r="AD204" i="84" s="1"/>
  <c r="AD256" i="84" s="1"/>
  <c r="AC80" i="84"/>
  <c r="AC144" i="84" s="1"/>
  <c r="AC204" i="84" s="1"/>
  <c r="AC256" i="84" s="1"/>
  <c r="AB80" i="84"/>
  <c r="AB144" i="84" s="1"/>
  <c r="AB204" i="84" s="1"/>
  <c r="AB256" i="84" s="1"/>
  <c r="AA80" i="84"/>
  <c r="AA144" i="84" s="1"/>
  <c r="AA204" i="84" s="1"/>
  <c r="AA256" i="84" s="1"/>
  <c r="X80" i="84"/>
  <c r="X144" i="84" s="1"/>
  <c r="X204" i="84" s="1"/>
  <c r="X256" i="84" s="1"/>
  <c r="W80" i="84"/>
  <c r="W144" i="84" s="1"/>
  <c r="W204" i="84" s="1"/>
  <c r="W256" i="84" s="1"/>
  <c r="AE79" i="84"/>
  <c r="AE143" i="84" s="1"/>
  <c r="AE203" i="84" s="1"/>
  <c r="AE255" i="84" s="1"/>
  <c r="AB79" i="84"/>
  <c r="AB143" i="84" s="1"/>
  <c r="AB203" i="84" s="1"/>
  <c r="AB255" i="84" s="1"/>
  <c r="AA79" i="84"/>
  <c r="AA143" i="84" s="1"/>
  <c r="AA203" i="84" s="1"/>
  <c r="AA255" i="84" s="1"/>
  <c r="Z79" i="84"/>
  <c r="Z143" i="84" s="1"/>
  <c r="Z203" i="84" s="1"/>
  <c r="Z255" i="84" s="1"/>
  <c r="X79" i="84"/>
  <c r="X143" i="84" s="1"/>
  <c r="X203" i="84" s="1"/>
  <c r="X255" i="84" s="1"/>
  <c r="W79" i="84"/>
  <c r="W143" i="84" s="1"/>
  <c r="W203" i="84" s="1"/>
  <c r="W255" i="84" s="1"/>
  <c r="V79" i="84"/>
  <c r="V143" i="84" s="1"/>
  <c r="V203" i="84" s="1"/>
  <c r="V255" i="84" s="1"/>
  <c r="AE78" i="84"/>
  <c r="AE142" i="84" s="1"/>
  <c r="AE202" i="84" s="1"/>
  <c r="AE254" i="84" s="1"/>
  <c r="AC78" i="84"/>
  <c r="AC142" i="84" s="1"/>
  <c r="AC202" i="84" s="1"/>
  <c r="AC254" i="84" s="1"/>
  <c r="AA78" i="84"/>
  <c r="AA142" i="84" s="1"/>
  <c r="AA202" i="84" s="1"/>
  <c r="AA254" i="84" s="1"/>
  <c r="X78" i="84"/>
  <c r="X142" i="84" s="1"/>
  <c r="X202" i="84" s="1"/>
  <c r="X254" i="84" s="1"/>
  <c r="W78" i="84"/>
  <c r="W142" i="84" s="1"/>
  <c r="W202" i="84" s="1"/>
  <c r="W254" i="84" s="1"/>
  <c r="V78" i="84"/>
  <c r="V142" i="84" s="1"/>
  <c r="V202" i="84" s="1"/>
  <c r="V254" i="84" s="1"/>
  <c r="AE77" i="84"/>
  <c r="AE141" i="84" s="1"/>
  <c r="AE201" i="84" s="1"/>
  <c r="AE253" i="84" s="1"/>
  <c r="AD77" i="84"/>
  <c r="AD141" i="84" s="1"/>
  <c r="AD201" i="84" s="1"/>
  <c r="AD253" i="84" s="1"/>
  <c r="AA77" i="84"/>
  <c r="AA141" i="84" s="1"/>
  <c r="AA201" i="84" s="1"/>
  <c r="AA253" i="84" s="1"/>
  <c r="Z77" i="84"/>
  <c r="Z141" i="84" s="1"/>
  <c r="Z201" i="84" s="1"/>
  <c r="Z253" i="84" s="1"/>
  <c r="Y77" i="84"/>
  <c r="Y141" i="84" s="1"/>
  <c r="Y201" i="84" s="1"/>
  <c r="Y253" i="84" s="1"/>
  <c r="X77" i="84"/>
  <c r="X141" i="84" s="1"/>
  <c r="X201" i="84" s="1"/>
  <c r="X253" i="84" s="1"/>
  <c r="W77" i="84"/>
  <c r="W141" i="84" s="1"/>
  <c r="W201" i="84" s="1"/>
  <c r="W253" i="84" s="1"/>
  <c r="AE76" i="84"/>
  <c r="AE140" i="84" s="1"/>
  <c r="AE200" i="84" s="1"/>
  <c r="AE252" i="84" s="1"/>
  <c r="AD76" i="84"/>
  <c r="AD140" i="84" s="1"/>
  <c r="AD200" i="84" s="1"/>
  <c r="AD252" i="84" s="1"/>
  <c r="AC76" i="84"/>
  <c r="AC140" i="84" s="1"/>
  <c r="AC200" i="84" s="1"/>
  <c r="AC252" i="84" s="1"/>
  <c r="Y76" i="84"/>
  <c r="Y140" i="84" s="1"/>
  <c r="Y200" i="84" s="1"/>
  <c r="Y252" i="84" s="1"/>
  <c r="W76" i="84"/>
  <c r="W140" i="84" s="1"/>
  <c r="W200" i="84" s="1"/>
  <c r="W252" i="84" s="1"/>
  <c r="V76" i="84"/>
  <c r="V140" i="84" s="1"/>
  <c r="V200" i="84" s="1"/>
  <c r="V252" i="84" s="1"/>
  <c r="AE75" i="84"/>
  <c r="AE139" i="84" s="1"/>
  <c r="AE199" i="84" s="1"/>
  <c r="AE251" i="84" s="1"/>
  <c r="AC75" i="84"/>
  <c r="AC139" i="84" s="1"/>
  <c r="AC199" i="84" s="1"/>
  <c r="AC251" i="84" s="1"/>
  <c r="Z75" i="84"/>
  <c r="Z139" i="84" s="1"/>
  <c r="Z199" i="84" s="1"/>
  <c r="Z251" i="84" s="1"/>
  <c r="X75" i="84"/>
  <c r="X139" i="84" s="1"/>
  <c r="X199" i="84" s="1"/>
  <c r="X251" i="84" s="1"/>
  <c r="AE74" i="84"/>
  <c r="AE138" i="84" s="1"/>
  <c r="AE198" i="84" s="1"/>
  <c r="AE250" i="84" s="1"/>
  <c r="AC74" i="84"/>
  <c r="AC138" i="84" s="1"/>
  <c r="AC198" i="84" s="1"/>
  <c r="AC250" i="84" s="1"/>
  <c r="AB74" i="84"/>
  <c r="AB138" i="84" s="1"/>
  <c r="AB198" i="84" s="1"/>
  <c r="AB250" i="84" s="1"/>
  <c r="Z74" i="84"/>
  <c r="Z138" i="84" s="1"/>
  <c r="Z198" i="84" s="1"/>
  <c r="Z250" i="84" s="1"/>
  <c r="Y74" i="84"/>
  <c r="Y138" i="84" s="1"/>
  <c r="Y198" i="84" s="1"/>
  <c r="Y250" i="84" s="1"/>
  <c r="X74" i="84"/>
  <c r="X138" i="84" s="1"/>
  <c r="X198" i="84" s="1"/>
  <c r="X250" i="84" s="1"/>
  <c r="W74" i="84"/>
  <c r="W138" i="84" s="1"/>
  <c r="W198" i="84" s="1"/>
  <c r="W250" i="84" s="1"/>
  <c r="V74" i="84"/>
  <c r="V138" i="84" s="1"/>
  <c r="V198" i="84" s="1"/>
  <c r="V250" i="84" s="1"/>
  <c r="AC73" i="84"/>
  <c r="AC137" i="84" s="1"/>
  <c r="AC197" i="84" s="1"/>
  <c r="AC249" i="84" s="1"/>
  <c r="AB73" i="84"/>
  <c r="AB137" i="84" s="1"/>
  <c r="AB197" i="84" s="1"/>
  <c r="AB249" i="84" s="1"/>
  <c r="Z73" i="84"/>
  <c r="Z137" i="84" s="1"/>
  <c r="Z197" i="84" s="1"/>
  <c r="Z249" i="84" s="1"/>
  <c r="X73" i="84"/>
  <c r="X137" i="84" s="1"/>
  <c r="X197" i="84" s="1"/>
  <c r="X249" i="84" s="1"/>
  <c r="V73" i="84"/>
  <c r="V137" i="84" s="1"/>
  <c r="V197" i="84" s="1"/>
  <c r="V249" i="84" s="1"/>
  <c r="AD72" i="84"/>
  <c r="AD136" i="84" s="1"/>
  <c r="AD196" i="84" s="1"/>
  <c r="AD248" i="84" s="1"/>
  <c r="AC72" i="84"/>
  <c r="AC136" i="84" s="1"/>
  <c r="AC196" i="84" s="1"/>
  <c r="AC248" i="84" s="1"/>
  <c r="AA72" i="84"/>
  <c r="AA136" i="84" s="1"/>
  <c r="AA196" i="84" s="1"/>
  <c r="AA248" i="84" s="1"/>
  <c r="Y72" i="84"/>
  <c r="Y136" i="84" s="1"/>
  <c r="Y196" i="84" s="1"/>
  <c r="Y248" i="84" s="1"/>
  <c r="X72" i="84"/>
  <c r="X136" i="84" s="1"/>
  <c r="X196" i="84" s="1"/>
  <c r="X248" i="84" s="1"/>
  <c r="W72" i="84"/>
  <c r="W136" i="84" s="1"/>
  <c r="W196" i="84" s="1"/>
  <c r="W248" i="84" s="1"/>
  <c r="N65" i="84"/>
  <c r="N130" i="84" s="1"/>
  <c r="N172" i="84" s="1"/>
  <c r="N210" i="84" s="1"/>
  <c r="M65" i="84"/>
  <c r="M130" i="84" s="1"/>
  <c r="M172" i="84" s="1"/>
  <c r="M210" i="84" s="1"/>
  <c r="L65" i="84"/>
  <c r="L130" i="84" s="1"/>
  <c r="L172" i="84" s="1"/>
  <c r="L210" i="84" s="1"/>
  <c r="J65" i="84"/>
  <c r="J130" i="84" s="1"/>
  <c r="J172" i="84" s="1"/>
  <c r="J210" i="84" s="1"/>
  <c r="I65" i="84"/>
  <c r="I130" i="84" s="1"/>
  <c r="I172" i="84" s="1"/>
  <c r="I210" i="84" s="1"/>
  <c r="H65" i="84"/>
  <c r="H130" i="84" s="1"/>
  <c r="H172" i="84" s="1"/>
  <c r="H210" i="84" s="1"/>
  <c r="F65" i="84"/>
  <c r="F130" i="84" s="1"/>
  <c r="F172" i="84" s="1"/>
  <c r="F210" i="84" s="1"/>
  <c r="E65" i="84"/>
  <c r="E130" i="84" s="1"/>
  <c r="E172" i="84" s="1"/>
  <c r="E210" i="84" s="1"/>
  <c r="N64" i="84"/>
  <c r="N129" i="84" s="1"/>
  <c r="N171" i="84" s="1"/>
  <c r="N209" i="84" s="1"/>
  <c r="M64" i="84"/>
  <c r="M129" i="84" s="1"/>
  <c r="M171" i="84" s="1"/>
  <c r="M209" i="84" s="1"/>
  <c r="L64" i="84"/>
  <c r="L129" i="84" s="1"/>
  <c r="L171" i="84" s="1"/>
  <c r="L209" i="84" s="1"/>
  <c r="K64" i="84"/>
  <c r="K129" i="84" s="1"/>
  <c r="K171" i="84" s="1"/>
  <c r="K209" i="84" s="1"/>
  <c r="I64" i="84"/>
  <c r="I129" i="84" s="1"/>
  <c r="I171" i="84" s="1"/>
  <c r="I209" i="84" s="1"/>
  <c r="H64" i="84"/>
  <c r="H129" i="84" s="1"/>
  <c r="H171" i="84" s="1"/>
  <c r="H209" i="84" s="1"/>
  <c r="F64" i="84"/>
  <c r="F129" i="84" s="1"/>
  <c r="F171" i="84" s="1"/>
  <c r="F209" i="84" s="1"/>
  <c r="E64" i="84"/>
  <c r="E129" i="84" s="1"/>
  <c r="E171" i="84" s="1"/>
  <c r="E209" i="84" s="1"/>
  <c r="N63" i="84"/>
  <c r="N128" i="84" s="1"/>
  <c r="N170" i="84" s="1"/>
  <c r="N208" i="84" s="1"/>
  <c r="M63" i="84"/>
  <c r="M128" i="84" s="1"/>
  <c r="M170" i="84" s="1"/>
  <c r="M208" i="84" s="1"/>
  <c r="L63" i="84"/>
  <c r="L128" i="84" s="1"/>
  <c r="L170" i="84" s="1"/>
  <c r="L208" i="84" s="1"/>
  <c r="J63" i="84"/>
  <c r="J128" i="84" s="1"/>
  <c r="J170" i="84" s="1"/>
  <c r="J208" i="84" s="1"/>
  <c r="I63" i="84"/>
  <c r="I128" i="84" s="1"/>
  <c r="I170" i="84" s="1"/>
  <c r="I208" i="84" s="1"/>
  <c r="H63" i="84"/>
  <c r="H128" i="84" s="1"/>
  <c r="H170" i="84" s="1"/>
  <c r="H208" i="84" s="1"/>
  <c r="G63" i="84"/>
  <c r="G128" i="84" s="1"/>
  <c r="G170" i="84" s="1"/>
  <c r="G208" i="84" s="1"/>
  <c r="F63" i="84"/>
  <c r="F128" i="84" s="1"/>
  <c r="F170" i="84" s="1"/>
  <c r="F208" i="84" s="1"/>
  <c r="E63" i="84"/>
  <c r="E128" i="84" s="1"/>
  <c r="E170" i="84" s="1"/>
  <c r="E208" i="84" s="1"/>
  <c r="N62" i="84"/>
  <c r="N127" i="84" s="1"/>
  <c r="N169" i="84" s="1"/>
  <c r="N207" i="84" s="1"/>
  <c r="M62" i="84"/>
  <c r="M127" i="84" s="1"/>
  <c r="M169" i="84" s="1"/>
  <c r="M207" i="84" s="1"/>
  <c r="L62" i="84"/>
  <c r="L127" i="84" s="1"/>
  <c r="L169" i="84" s="1"/>
  <c r="L207" i="84" s="1"/>
  <c r="K62" i="84"/>
  <c r="K127" i="84" s="1"/>
  <c r="K169" i="84" s="1"/>
  <c r="K207" i="84" s="1"/>
  <c r="J62" i="84"/>
  <c r="J127" i="84" s="1"/>
  <c r="J169" i="84" s="1"/>
  <c r="J207" i="84" s="1"/>
  <c r="I62" i="84"/>
  <c r="I127" i="84" s="1"/>
  <c r="I169" i="84" s="1"/>
  <c r="I207" i="84" s="1"/>
  <c r="H62" i="84"/>
  <c r="H127" i="84" s="1"/>
  <c r="H169" i="84" s="1"/>
  <c r="H207" i="84" s="1"/>
  <c r="G62" i="84"/>
  <c r="G127" i="84" s="1"/>
  <c r="G169" i="84" s="1"/>
  <c r="G207" i="84" s="1"/>
  <c r="F62" i="84"/>
  <c r="F127" i="84" s="1"/>
  <c r="F169" i="84" s="1"/>
  <c r="F207" i="84" s="1"/>
  <c r="F47" i="81"/>
  <c r="F55" i="81" s="1"/>
  <c r="H46" i="81"/>
  <c r="H47" i="81" s="1"/>
  <c r="F54" i="81"/>
  <c r="G47" i="81"/>
  <c r="G55" i="81" s="1"/>
  <c r="G54" i="81"/>
  <c r="I46" i="81"/>
  <c r="I47" i="81" s="1"/>
  <c r="X164" i="88"/>
  <c r="V167" i="88" s="1" a="1"/>
  <c r="V167" i="88" s="1"/>
  <c r="F9" i="13" a="1"/>
  <c r="F9" i="13" s="1"/>
  <c r="I9" i="13" s="1" a="1"/>
  <c r="I9" i="13" s="1"/>
  <c r="G130" i="88"/>
  <c r="E133" i="88" s="1" a="1"/>
  <c r="E133" i="88" s="1"/>
  <c r="E9" i="13" a="1"/>
  <c r="E9" i="13" s="1"/>
  <c r="H9" i="13" s="1" a="1"/>
  <c r="H9" i="13" s="1"/>
  <c r="E50" i="97"/>
  <c r="E146" i="94"/>
  <c r="E18" i="13" s="1" a="1"/>
  <c r="E18" i="13" s="1"/>
  <c r="E77" i="95"/>
  <c r="J90" i="95" s="1"/>
  <c r="Q42" i="108"/>
  <c r="O45" i="108" s="1" a="1"/>
  <c r="O45" i="108" s="1"/>
  <c r="F20" i="13" a="1"/>
  <c r="F20" i="13" s="1"/>
  <c r="I20" i="13" s="1" a="1"/>
  <c r="I20" i="13" s="1"/>
  <c r="S92" i="90"/>
  <c r="N35" i="90"/>
  <c r="F15" i="13"/>
  <c r="I15" i="13" s="1"/>
  <c r="H15" i="13"/>
  <c r="E41" i="97"/>
  <c r="G52" i="92"/>
  <c r="E55" i="92" s="1" a="1"/>
  <c r="E55" i="92" s="1"/>
  <c r="E16" i="13" a="1"/>
  <c r="E16" i="13" s="1"/>
  <c r="E43" i="95"/>
  <c r="J89" i="95" s="1"/>
  <c r="F17" i="13"/>
  <c r="I17" i="13" s="1"/>
  <c r="H17" i="13"/>
  <c r="E80" i="90"/>
  <c r="I566" i="117"/>
  <c r="J35" i="98"/>
  <c r="G42" i="108"/>
  <c r="E45" i="108" s="1" a="1"/>
  <c r="E45" i="108" s="1"/>
  <c r="E20" i="13" a="1"/>
  <c r="E20" i="13" s="1"/>
  <c r="H20" i="13" s="1" a="1"/>
  <c r="H20" i="13" s="1"/>
  <c r="AB59" i="84"/>
  <c r="W57" i="84"/>
  <c r="V61" i="84"/>
  <c r="AA57" i="84"/>
  <c r="AD63" i="84"/>
  <c r="Y62" i="84"/>
  <c r="W66" i="84"/>
  <c r="AB61" i="84"/>
  <c r="AD57" i="84"/>
  <c r="AA58" i="84"/>
  <c r="Z67" i="84"/>
  <c r="AB60" i="84"/>
  <c r="AD58" i="84"/>
  <c r="Y57" i="84"/>
  <c r="X60" i="84"/>
  <c r="G56" i="84"/>
  <c r="K57" i="84"/>
  <c r="AB56" i="84"/>
  <c r="AC63" i="84"/>
  <c r="AC65" i="84"/>
  <c r="AD59" i="84"/>
  <c r="Y64" i="84"/>
  <c r="Y59" i="84"/>
  <c r="W59" i="84"/>
  <c r="J56" i="84"/>
  <c r="V64" i="84"/>
  <c r="AB62" i="84"/>
  <c r="K55" i="84"/>
  <c r="AE57" i="84"/>
  <c r="V59" i="84"/>
  <c r="AD62" i="84"/>
  <c r="AD65" i="84"/>
  <c r="Z64" i="84"/>
  <c r="AE66" i="84"/>
  <c r="Z60" i="84"/>
  <c r="AD67" i="84"/>
  <c r="AA59" i="84"/>
  <c r="Y63" i="84"/>
  <c r="V56" i="84"/>
  <c r="AC61" i="84"/>
  <c r="AE56" i="84"/>
  <c r="AA60" i="84"/>
  <c r="E54" i="84"/>
  <c r="G57" i="84"/>
  <c r="AA67" i="84"/>
  <c r="Z56" i="84"/>
  <c r="AA65" i="84"/>
  <c r="Z62" i="84"/>
  <c r="W67" i="84"/>
  <c r="E94" i="95" l="1"/>
  <c r="E19" i="13" s="1" a="1"/>
  <c r="E19" i="13" s="1"/>
  <c r="G148" i="94"/>
  <c r="E151" i="94" s="1" a="1"/>
  <c r="E151" i="94" s="1"/>
  <c r="AD83" i="84"/>
  <c r="AD147" i="84" s="1"/>
  <c r="AD207" i="84" s="1"/>
  <c r="AD259" i="84" s="1"/>
  <c r="AA83" i="84"/>
  <c r="AA147" i="84" s="1"/>
  <c r="AA207" i="84" s="1"/>
  <c r="AA259" i="84" s="1"/>
  <c r="Z83" i="84"/>
  <c r="Z147" i="84" s="1"/>
  <c r="Z207" i="84" s="1"/>
  <c r="Z259" i="84" s="1"/>
  <c r="W83" i="84"/>
  <c r="W147" i="84" s="1"/>
  <c r="W207" i="84" s="1"/>
  <c r="W259" i="84" s="1"/>
  <c r="AE82" i="84"/>
  <c r="AE146" i="84" s="1"/>
  <c r="AE206" i="84" s="1"/>
  <c r="AE258" i="84" s="1"/>
  <c r="W82" i="84"/>
  <c r="W146" i="84" s="1"/>
  <c r="W206" i="84" s="1"/>
  <c r="W258" i="84" s="1"/>
  <c r="AD81" i="84"/>
  <c r="AD145" i="84" s="1"/>
  <c r="AD205" i="84" s="1"/>
  <c r="AD257" i="84" s="1"/>
  <c r="AC81" i="84"/>
  <c r="AC145" i="84" s="1"/>
  <c r="AC205" i="84" s="1"/>
  <c r="AC257" i="84" s="1"/>
  <c r="AA81" i="84"/>
  <c r="AA145" i="84" s="1"/>
  <c r="AA205" i="84" s="1"/>
  <c r="AA257" i="84" s="1"/>
  <c r="Z80" i="84"/>
  <c r="Z144" i="84" s="1"/>
  <c r="Z204" i="84" s="1"/>
  <c r="Z256" i="84" s="1"/>
  <c r="Y80" i="84"/>
  <c r="Y144" i="84" s="1"/>
  <c r="Y204" i="84" s="1"/>
  <c r="Y256" i="84" s="1"/>
  <c r="V80" i="84"/>
  <c r="V144" i="84" s="1"/>
  <c r="V204" i="84" s="1"/>
  <c r="V256" i="84" s="1"/>
  <c r="AD79" i="84"/>
  <c r="AD143" i="84" s="1"/>
  <c r="AD203" i="84" s="1"/>
  <c r="AD255" i="84" s="1"/>
  <c r="AC79" i="84"/>
  <c r="AC143" i="84" s="1"/>
  <c r="AC203" i="84" s="1"/>
  <c r="AC255" i="84" s="1"/>
  <c r="Y79" i="84"/>
  <c r="Y143" i="84" s="1"/>
  <c r="Y203" i="84" s="1"/>
  <c r="Y255" i="84" s="1"/>
  <c r="AD78" i="84"/>
  <c r="AD142" i="84" s="1"/>
  <c r="AD202" i="84" s="1"/>
  <c r="AD254" i="84" s="1"/>
  <c r="AB78" i="84"/>
  <c r="AB142" i="84" s="1"/>
  <c r="AB202" i="84" s="1"/>
  <c r="AB254" i="84" s="1"/>
  <c r="Z78" i="84"/>
  <c r="Z142" i="84" s="1"/>
  <c r="Z202" i="84" s="1"/>
  <c r="Z254" i="84" s="1"/>
  <c r="Y78" i="84"/>
  <c r="Y142" i="84" s="1"/>
  <c r="Y202" i="84" s="1"/>
  <c r="Y254" i="84" s="1"/>
  <c r="AC77" i="84"/>
  <c r="AC141" i="84" s="1"/>
  <c r="AC201" i="84" s="1"/>
  <c r="AC253" i="84" s="1"/>
  <c r="AB77" i="84"/>
  <c r="AB141" i="84" s="1"/>
  <c r="AB201" i="84" s="1"/>
  <c r="AB253" i="84" s="1"/>
  <c r="V77" i="84"/>
  <c r="V141" i="84" s="1"/>
  <c r="V201" i="84" s="1"/>
  <c r="V253" i="84" s="1"/>
  <c r="AB76" i="84"/>
  <c r="AB140" i="84" s="1"/>
  <c r="AB200" i="84" s="1"/>
  <c r="AB252" i="84" s="1"/>
  <c r="AA76" i="84"/>
  <c r="AA140" i="84" s="1"/>
  <c r="AA200" i="84" s="1"/>
  <c r="AA252" i="84" s="1"/>
  <c r="Z76" i="84"/>
  <c r="Z140" i="84" s="1"/>
  <c r="Z200" i="84" s="1"/>
  <c r="Z252" i="84" s="1"/>
  <c r="X76" i="84"/>
  <c r="X140" i="84" s="1"/>
  <c r="X200" i="84" s="1"/>
  <c r="X252" i="84" s="1"/>
  <c r="AD75" i="84"/>
  <c r="AD139" i="84" s="1"/>
  <c r="AD199" i="84" s="1"/>
  <c r="AD251" i="84" s="1"/>
  <c r="AB75" i="84"/>
  <c r="AB139" i="84" s="1"/>
  <c r="AB199" i="84" s="1"/>
  <c r="AB251" i="84" s="1"/>
  <c r="AA75" i="84"/>
  <c r="AA139" i="84" s="1"/>
  <c r="AA199" i="84" s="1"/>
  <c r="AA251" i="84" s="1"/>
  <c r="Y75" i="84"/>
  <c r="Y139" i="84" s="1"/>
  <c r="Y199" i="84" s="1"/>
  <c r="Y251" i="84" s="1"/>
  <c r="W75" i="84"/>
  <c r="W139" i="84" s="1"/>
  <c r="W199" i="84" s="1"/>
  <c r="W251" i="84" s="1"/>
  <c r="V75" i="84"/>
  <c r="V139" i="84" s="1"/>
  <c r="V199" i="84" s="1"/>
  <c r="V251" i="84" s="1"/>
  <c r="AD74" i="84"/>
  <c r="AD138" i="84" s="1"/>
  <c r="AD198" i="84" s="1"/>
  <c r="AD250" i="84" s="1"/>
  <c r="AA74" i="84"/>
  <c r="AA138" i="84" s="1"/>
  <c r="AA198" i="84" s="1"/>
  <c r="AA250" i="84" s="1"/>
  <c r="AE73" i="84"/>
  <c r="AE137" i="84" s="1"/>
  <c r="AE197" i="84" s="1"/>
  <c r="AE249" i="84" s="1"/>
  <c r="AD73" i="84"/>
  <c r="AD137" i="84" s="1"/>
  <c r="AD197" i="84" s="1"/>
  <c r="AD249" i="84" s="1"/>
  <c r="AA73" i="84"/>
  <c r="AA137" i="84" s="1"/>
  <c r="AA197" i="84" s="1"/>
  <c r="AA249" i="84" s="1"/>
  <c r="Y73" i="84"/>
  <c r="Y137" i="84" s="1"/>
  <c r="Y197" i="84" s="1"/>
  <c r="Y249" i="84" s="1"/>
  <c r="W73" i="84"/>
  <c r="W137" i="84" s="1"/>
  <c r="W197" i="84" s="1"/>
  <c r="W249" i="84" s="1"/>
  <c r="AE72" i="84"/>
  <c r="AE136" i="84" s="1"/>
  <c r="AE196" i="84" s="1"/>
  <c r="AE248" i="84" s="1"/>
  <c r="AB72" i="84"/>
  <c r="AB136" i="84" s="1"/>
  <c r="AB196" i="84" s="1"/>
  <c r="AB248" i="84" s="1"/>
  <c r="Z72" i="84"/>
  <c r="Z136" i="84" s="1"/>
  <c r="Z196" i="84" s="1"/>
  <c r="Z248" i="84" s="1"/>
  <c r="V72" i="84"/>
  <c r="V136" i="84" s="1"/>
  <c r="V196" i="84" s="1"/>
  <c r="V248" i="84" s="1"/>
  <c r="K65" i="84"/>
  <c r="K130" i="84" s="1"/>
  <c r="K172" i="84" s="1"/>
  <c r="K210" i="84" s="1"/>
  <c r="G65" i="84"/>
  <c r="G130" i="84" s="1"/>
  <c r="G172" i="84" s="1"/>
  <c r="G210" i="84" s="1"/>
  <c r="J64" i="84"/>
  <c r="J129" i="84" s="1"/>
  <c r="J171" i="84" s="1"/>
  <c r="J209" i="84" s="1"/>
  <c r="G64" i="84"/>
  <c r="G129" i="84" s="1"/>
  <c r="G171" i="84" s="1"/>
  <c r="G209" i="84" s="1"/>
  <c r="K63" i="84"/>
  <c r="K128" i="84" s="1"/>
  <c r="K170" i="84" s="1"/>
  <c r="K208" i="84" s="1"/>
  <c r="E62" i="84"/>
  <c r="E127" i="84" s="1"/>
  <c r="E169" i="84" s="1"/>
  <c r="E207" i="84" s="1"/>
  <c r="H16" i="13" a="1"/>
  <c r="H16" i="13" s="1"/>
  <c r="F16" i="13"/>
  <c r="I16" i="13" s="1" a="1"/>
  <c r="I16" i="13" s="1"/>
  <c r="G82" i="90"/>
  <c r="E85" i="90" s="1" a="1"/>
  <c r="E85" i="90" s="1"/>
  <c r="E14" i="13" a="1"/>
  <c r="E14" i="13" s="1"/>
  <c r="H14" i="13" s="1" a="1"/>
  <c r="H14" i="13" s="1"/>
  <c r="R60" i="90"/>
  <c r="R46" i="90"/>
  <c r="R76" i="90"/>
  <c r="I565" i="117"/>
  <c r="J34" i="98"/>
  <c r="E34" i="13" s="1" a="1"/>
  <c r="E34" i="13" s="1"/>
  <c r="H18" i="13" a="1"/>
  <c r="H18" i="13" s="1"/>
  <c r="F18" i="13"/>
  <c r="I18" i="13" s="1" a="1"/>
  <c r="I18" i="13" s="1"/>
  <c r="N79" i="90" l="1"/>
  <c r="O107" i="90" s="1"/>
  <c r="N49" i="90"/>
  <c r="O105" i="90" s="1"/>
  <c r="S93" i="90" s="1"/>
  <c r="N110" i="90" s="1"/>
  <c r="F14" i="13" s="1" a="1"/>
  <c r="F14" i="13" s="1"/>
  <c r="I14" i="13" s="1" a="1"/>
  <c r="I14" i="13" s="1"/>
  <c r="N63" i="90"/>
  <c r="O106" i="90" s="1"/>
  <c r="G96" i="95"/>
  <c r="E99" i="95" s="1" a="1"/>
  <c r="E99" i="95" s="1"/>
  <c r="F34" i="13"/>
  <c r="I34" i="13" s="1"/>
  <c r="I35" i="13" s="1"/>
  <c r="H34" i="13"/>
  <c r="H35" i="13" s="1"/>
  <c r="H19" i="13" a="1"/>
  <c r="H19" i="13" s="1"/>
  <c r="F19" i="13"/>
  <c r="I19" i="13" s="1" a="1"/>
  <c r="I19" i="13" s="1"/>
  <c r="E212" i="84"/>
  <c r="V261" i="84"/>
  <c r="V267" i="84" s="1"/>
  <c r="G246" i="83"/>
  <c r="E249" i="83" s="1" a="1"/>
  <c r="E249" i="83" s="1"/>
  <c r="P112" i="90" l="1"/>
  <c r="N115" i="90" s="1" a="1"/>
  <c r="N115" i="90" s="1"/>
  <c r="J13" i="85"/>
  <c r="E229" i="84"/>
  <c r="G231" i="84" s="1"/>
  <c r="E234" i="84" s="1" a="1"/>
  <c r="E234" i="84" s="1"/>
  <c r="I13" i="86"/>
  <c r="E10" i="13" a="1"/>
  <c r="E10" i="13" s="1"/>
  <c r="H10" i="13" s="1" a="1"/>
  <c r="H10" i="13" s="1"/>
  <c r="Z278" i="83"/>
  <c r="X281" i="83" s="1" a="1"/>
  <c r="X281" i="83" s="1"/>
  <c r="E20" i="86" l="1"/>
  <c r="I32" i="86" s="1"/>
  <c r="E16" i="85"/>
  <c r="I28" i="85" s="1"/>
  <c r="E11" i="13" a="1"/>
  <c r="E11" i="13" s="1"/>
  <c r="H11" i="13" s="1" a="1"/>
  <c r="H11" i="13" s="1"/>
  <c r="H28" i="13" s="1"/>
  <c r="T13" i="85"/>
  <c r="R13" i="86"/>
  <c r="F10" i="13" a="1"/>
  <c r="F10" i="13" s="1"/>
  <c r="I10" i="13" s="1" a="1"/>
  <c r="I10" i="13" s="1"/>
  <c r="E36" i="86" l="1"/>
  <c r="E13" i="13" s="1" a="1"/>
  <c r="E13" i="13" s="1"/>
  <c r="H13" i="13" s="1" a="1"/>
  <c r="H13" i="13" s="1"/>
  <c r="N20" i="86"/>
  <c r="R32" i="86" s="1"/>
  <c r="E35" i="85"/>
  <c r="E12" i="13" s="1" a="1"/>
  <c r="E12" i="13" s="1"/>
  <c r="H12" i="13" s="1" a="1"/>
  <c r="H12" i="13" s="1"/>
  <c r="O16" i="85"/>
  <c r="S28" i="85" s="1"/>
  <c r="E68" i="13"/>
  <c r="E67" i="13"/>
  <c r="X269" i="84"/>
  <c r="V272" i="84" s="1" a="1"/>
  <c r="V272" i="84" s="1"/>
  <c r="E56" i="72"/>
  <c r="E60" i="72" s="1"/>
  <c r="J54" i="81" s="1"/>
  <c r="F11" i="13" a="1"/>
  <c r="F11" i="13" s="1"/>
  <c r="I11" i="13" s="1" a="1"/>
  <c r="I11" i="13" s="1"/>
  <c r="G38" i="86" l="1"/>
  <c r="E41" i="86" s="1" a="1"/>
  <c r="E41" i="86" s="1"/>
  <c r="N36" i="86"/>
  <c r="F13" i="13" s="1" a="1"/>
  <c r="F13" i="13" s="1"/>
  <c r="I13" i="13" s="1" a="1"/>
  <c r="I13" i="13" s="1"/>
  <c r="G37" i="85"/>
  <c r="E40" i="85" s="1" a="1"/>
  <c r="E40" i="85" s="1"/>
  <c r="O35" i="85"/>
  <c r="Q37" i="85" s="1"/>
  <c r="O40" i="85" s="1" a="1"/>
  <c r="O40" i="85" s="1"/>
  <c r="E37" i="81"/>
  <c r="K60" i="81" s="1"/>
  <c r="J46" i="81"/>
  <c r="J52" i="81"/>
  <c r="E36" i="81"/>
  <c r="J44" i="81"/>
  <c r="I28" i="13"/>
  <c r="P38" i="86" l="1"/>
  <c r="N41" i="86" s="1" a="1"/>
  <c r="N41" i="86" s="1"/>
  <c r="F12" i="13" a="1"/>
  <c r="F12" i="13" s="1"/>
  <c r="I12" i="13" s="1" a="1"/>
  <c r="I12" i="13" s="1"/>
  <c r="F68" i="13"/>
  <c r="F67" i="13"/>
  <c r="F56" i="72"/>
  <c r="F60" i="72" s="1"/>
  <c r="K46" i="81" s="1"/>
  <c r="J53" i="81"/>
  <c r="J45" i="81"/>
  <c r="J47" i="81"/>
  <c r="J60" i="81"/>
  <c r="J55" i="81"/>
  <c r="F37" i="81" l="1"/>
  <c r="K47" i="81" s="1"/>
  <c r="K52" i="81"/>
  <c r="K54" i="81"/>
  <c r="K44" i="81"/>
  <c r="F36" i="81"/>
  <c r="K53" i="81" l="1"/>
  <c r="K55" i="81"/>
  <c r="K45" i="8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RICHVALUE" minSupportedVersion="120000" copy="1" pasteAll="1" pasteValues="1" merge="1" splitFirst="1" rowColShift="1" clearFormats="1" clearComments="1" assign="1" coerce="1"/>
    <metadataType name="XLDAPR" minSupportedVersion="120000" copy="1" pasteAll="1" pasteValues="1" merge="1" splitFirst="1" rowColShift="1" clearFormats="1" clearComments="1" assign="1" coerce="1" cellMeta="1"/>
  </metadataTypes>
  <futureMetadata name="XLRICHVALUE" count="1">
    <bk>
      <extLst>
        <ext uri="{3e2802c4-a4d2-4d8b-9148-e3be6c30e623}">
          <xlrd:rvb i="0"/>
        </ext>
      </extLst>
    </bk>
  </futureMetadata>
  <futureMetadata name="XLDAPR" count="1">
    <bk>
      <extLst>
        <ext uri="{bdbb8cdc-fa1e-496e-a857-3c3f30c029c3}">
          <xda:dynamicArrayProperties fDynamic="1" fCollapsed="0"/>
        </ext>
      </extLst>
    </bk>
  </futureMetadata>
  <cellMetadata count="1">
    <bk>
      <rc t="2" v="0"/>
    </bk>
  </cellMetadata>
  <valueMetadata count="1">
    <bk>
      <rc t="1" v="0"/>
    </bk>
  </valueMetadata>
</metadata>
</file>

<file path=xl/sharedStrings.xml><?xml version="1.0" encoding="utf-8"?>
<sst xmlns="http://schemas.openxmlformats.org/spreadsheetml/2006/main" count="10155" uniqueCount="2536">
  <si>
    <t>INPUTS</t>
  </si>
  <si>
    <t>APPENDICES</t>
  </si>
  <si>
    <t>CALCULATIONS</t>
  </si>
  <si>
    <t>Scope 1 source</t>
  </si>
  <si>
    <t>GHG Unit</t>
  </si>
  <si>
    <t>t CH4</t>
  </si>
  <si>
    <t>t CO2e</t>
  </si>
  <si>
    <t>GHG emissions method 1</t>
  </si>
  <si>
    <t>GHG emissions method 2</t>
  </si>
  <si>
    <t>CO2-e emissions method 1</t>
  </si>
  <si>
    <t>CO2-e emissions method 2</t>
  </si>
  <si>
    <t>4.2.1.1-2 Manure methane</t>
  </si>
  <si>
    <t>t N2O</t>
  </si>
  <si>
    <t>4.2.1.3-4 Soil direct N2O</t>
  </si>
  <si>
    <t>4.2.1.5-6 Soil atmospheric deposition</t>
  </si>
  <si>
    <t>4.2.1.7-8 Soil leaching and runoff</t>
  </si>
  <si>
    <t>Production timeframe start</t>
  </si>
  <si>
    <t>Production timeframe end</t>
  </si>
  <si>
    <t>Production timeframe length</t>
  </si>
  <si>
    <t>Emissions calculation period start date</t>
  </si>
  <si>
    <t>Emissions calculation period end date</t>
  </si>
  <si>
    <t>Production</t>
  </si>
  <si>
    <t>Liveweight sold</t>
  </si>
  <si>
    <t>Liveweight grown - method 1</t>
  </si>
  <si>
    <t>Liveweight grown - method 2</t>
  </si>
  <si>
    <t>Percent manure sold</t>
  </si>
  <si>
    <t>Percent manure applied as fertiliser on own farm</t>
  </si>
  <si>
    <t>Percent manure applied to soil with no purpose (as waste)</t>
  </si>
  <si>
    <t>tonnes</t>
  </si>
  <si>
    <t>Constants - Common</t>
  </si>
  <si>
    <t>State/Territory</t>
  </si>
  <si>
    <t>Common Name</t>
  </si>
  <si>
    <t>Abbreviation</t>
  </si>
  <si>
    <t>SA 4 Name</t>
  </si>
  <si>
    <t>Gas</t>
  </si>
  <si>
    <t>CO2-e factor</t>
  </si>
  <si>
    <t>Conversion factor</t>
  </si>
  <si>
    <t>Conversion factor 1</t>
  </si>
  <si>
    <t>Conversion factor 2</t>
  </si>
  <si>
    <t>Conversion factor combined</t>
  </si>
  <si>
    <t>Climate zone</t>
  </si>
  <si>
    <t>Wet or Dry Zone</t>
  </si>
  <si>
    <t>MAT</t>
  </si>
  <si>
    <t>MAP</t>
  </si>
  <si>
    <t>Frost days per year</t>
  </si>
  <si>
    <t>Elevation</t>
  </si>
  <si>
    <t>MAP:PET</t>
  </si>
  <si>
    <t>Min temp</t>
  </si>
  <si>
    <t>Max temp</t>
  </si>
  <si>
    <t>Min rainfall</t>
  </si>
  <si>
    <t>Max rainfall</t>
  </si>
  <si>
    <t>Min frost days</t>
  </si>
  <si>
    <t>Max frost days</t>
  </si>
  <si>
    <t>Min elevation</t>
  </si>
  <si>
    <t>Max elevation</t>
  </si>
  <si>
    <t>Min MAP:PET</t>
  </si>
  <si>
    <t>Max MAP:PET</t>
  </si>
  <si>
    <t>Temperature Zone</t>
  </si>
  <si>
    <t>Min MAT</t>
  </si>
  <si>
    <t>Max MAT</t>
  </si>
  <si>
    <t>Rainfall Zone</t>
  </si>
  <si>
    <t>Annual rainfall</t>
  </si>
  <si>
    <t>Leaching Zone</t>
  </si>
  <si>
    <t>Leaching criteria</t>
  </si>
  <si>
    <t>Is in leaching zone</t>
  </si>
  <si>
    <t>FracWET</t>
  </si>
  <si>
    <t>Irrigation type i</t>
  </si>
  <si>
    <t>Data source</t>
  </si>
  <si>
    <t>Data score</t>
  </si>
  <si>
    <t>Production system j</t>
  </si>
  <si>
    <t>EFN2O</t>
  </si>
  <si>
    <t>Production system only</t>
  </si>
  <si>
    <t>Irrigation method</t>
  </si>
  <si>
    <t>Rainfall zone</t>
  </si>
  <si>
    <t>EFPRP</t>
  </si>
  <si>
    <t>Month</t>
  </si>
  <si>
    <t>Season</t>
  </si>
  <si>
    <t>Temperature zone</t>
  </si>
  <si>
    <t>MAT (ºC)</t>
  </si>
  <si>
    <t>Anaerobic lagoon</t>
  </si>
  <si>
    <t>Digester / covered lagoons</t>
  </si>
  <si>
    <t>Liquid systems</t>
  </si>
  <si>
    <t>Daily spread</t>
  </si>
  <si>
    <t>Composting (passive windrow)</t>
  </si>
  <si>
    <t>Solid storage</t>
  </si>
  <si>
    <t>Pit storage</t>
  </si>
  <si>
    <t>Deep litter</t>
  </si>
  <si>
    <t>Poultry manure with bedding</t>
  </si>
  <si>
    <t>Poultry manure without bedding</t>
  </si>
  <si>
    <t>Direct processing</t>
  </si>
  <si>
    <t>Direct application</t>
  </si>
  <si>
    <t>Pasture range and paddock</t>
  </si>
  <si>
    <t>MAT raw</t>
  </si>
  <si>
    <t>Climate Zone</t>
  </si>
  <si>
    <t>EFNi &amp; EFN2Oi</t>
  </si>
  <si>
    <t>Input - Site</t>
  </si>
  <si>
    <t>Your business</t>
  </si>
  <si>
    <t>Farm name</t>
  </si>
  <si>
    <t>Reporting entity name</t>
  </si>
  <si>
    <t>💡An 'Emissions accounting period' is a 12 month period where the business can report on the emissions, and is typically the same as the business' financial accounting period.</t>
  </si>
  <si>
    <r>
      <rPr>
        <sz val="10"/>
        <color theme="1" tint="0.34998626667073579"/>
        <rFont val="Arial"/>
        <family val="1"/>
      </rPr>
      <t xml:space="preserve">← </t>
    </r>
    <r>
      <rPr>
        <i/>
        <sz val="10"/>
        <color theme="1" tint="0.34998626667073579"/>
        <rFont val="Arial"/>
        <family val="1"/>
      </rPr>
      <t>DD/MM/YYYY or DD Month YYYY</t>
    </r>
  </si>
  <si>
    <r>
      <rPr>
        <sz val="10"/>
        <color theme="1" tint="0.34998626667073579"/>
        <rFont val="Arial"/>
        <family val="1"/>
      </rPr>
      <t xml:space="preserve">← </t>
    </r>
    <r>
      <rPr>
        <i/>
        <sz val="10"/>
        <color theme="1" tint="0.34998626667073579"/>
        <rFont val="Arial"/>
        <family val="1"/>
      </rPr>
      <t>Automatically calculated, 12 months after start date</t>
    </r>
  </si>
  <si>
    <t>Location and climate</t>
  </si>
  <si>
    <t>Location information is used to reference some region and climate-specific emission factors</t>
  </si>
  <si>
    <t>Tip: Use the web-based GAF Location Helper tool to easily get region and climate information. You will need an internet connection to use the GAF Location Helper.</t>
  </si>
  <si>
    <t>State</t>
  </si>
  <si>
    <r>
      <rPr>
        <sz val="10"/>
        <color theme="1" tint="0.34998626667073579"/>
        <rFont val="Arial"/>
        <family val="1"/>
      </rPr>
      <t xml:space="preserve">← </t>
    </r>
    <r>
      <rPr>
        <i/>
        <sz val="10"/>
        <color theme="1" tint="0.34998626667073579"/>
        <rFont val="Arial"/>
        <family val="1"/>
      </rPr>
      <t>Please select</t>
    </r>
  </si>
  <si>
    <t>Region (ABS Statistical area level 4) if state is WA</t>
  </si>
  <si>
    <t>Leaching zone</t>
  </si>
  <si>
    <t>Meters</t>
  </si>
  <si>
    <t>Average temperature for reporting period</t>
  </si>
  <si>
    <t>Degrees celsius</t>
  </si>
  <si>
    <t>Total rainfall for reporting period</t>
  </si>
  <si>
    <t>Millimetres</t>
  </si>
  <si>
    <t>Potential evapotranspiration for reporting period</t>
  </si>
  <si>
    <t>Number of frost days for reporting period</t>
  </si>
  <si>
    <t>Days</t>
  </si>
  <si>
    <t>MAP:PET ratio</t>
  </si>
  <si>
    <t>Wet or dry climate zone</t>
  </si>
  <si>
    <t>Emissions calculation cycle</t>
  </si>
  <si>
    <t>Months</t>
  </si>
  <si>
    <t>Unit</t>
  </si>
  <si>
    <t>t co2e/t liveweight sold</t>
  </si>
  <si>
    <t>t co2e/t manure</t>
  </si>
  <si>
    <t>Emissions intensity (Method 1)</t>
  </si>
  <si>
    <t>Emissions intensity (Method 2)</t>
  </si>
  <si>
    <t>Product type</t>
  </si>
  <si>
    <t>Main product</t>
  </si>
  <si>
    <t>Co-product</t>
  </si>
  <si>
    <t>Manure used as fertiliser on own farm</t>
  </si>
  <si>
    <t>N/A</t>
  </si>
  <si>
    <t>Residual product</t>
  </si>
  <si>
    <t>CO2 removed attributed to this enterprise</t>
  </si>
  <si>
    <t>t CO2</t>
  </si>
  <si>
    <t>Total emissions for production cycle</t>
  </si>
  <si>
    <t>Total carbon removals for production cycle</t>
  </si>
  <si>
    <t>Method 1</t>
  </si>
  <si>
    <t>Method 2</t>
  </si>
  <si>
    <t>Liveweight grown - Method 1</t>
  </si>
  <si>
    <t>Product</t>
  </si>
  <si>
    <t>t co2e/t liveweight grown</t>
  </si>
  <si>
    <t>3.2.1.1-2 Enteric methane</t>
  </si>
  <si>
    <t>5.1.1.1-2 Inorganic fert N2O</t>
  </si>
  <si>
    <t>5.1.1.3-4 Inorganic fert CO2</t>
  </si>
  <si>
    <t>5.2.1.1-2 Organic fert N2O</t>
  </si>
  <si>
    <t>5.3.1.1-2 Lime CO2</t>
  </si>
  <si>
    <t>5.4.1.1-4 Atmos. deposition</t>
  </si>
  <si>
    <t>5.5.1.1-2 Leaching &amp; runoff</t>
  </si>
  <si>
    <t>6.2.1.1-2 Pasture residue N2O</t>
  </si>
  <si>
    <t>6.3.1.1-2 Leach &amp; runoff (pasture)</t>
  </si>
  <si>
    <t>8.1.1.1-2 Transport fuel CO2</t>
  </si>
  <si>
    <t>8.1.1.1-2 Transport fuel N2O</t>
  </si>
  <si>
    <t>8.1.1.1-2 Transport fuel CH4</t>
  </si>
  <si>
    <t>8.2.1.1-2 Stationary fuel CO2</t>
  </si>
  <si>
    <t>8.2.1.1-2 Stationary fuel CH4</t>
  </si>
  <si>
    <t>8.2.1.1-2 Stationary fuel N2O</t>
  </si>
  <si>
    <t>Input - Enterprise</t>
  </si>
  <si>
    <t>percent</t>
  </si>
  <si>
    <t>Manure produced - method 1</t>
  </si>
  <si>
    <t>Manure produced - method 2</t>
  </si>
  <si>
    <t>Percentage of income from liveweight sold</t>
  </si>
  <si>
    <t>Percentage of income from manure sold</t>
  </si>
  <si>
    <t>Product emissions - Mass</t>
  </si>
  <si>
    <t>Product emissions - Economic</t>
  </si>
  <si>
    <t>Economic emissions assignment</t>
  </si>
  <si>
    <t>Emissions per tonne liveweight grown</t>
  </si>
  <si>
    <t>Liveweight sold - excluding removals</t>
  </si>
  <si>
    <t>Liveweight sold - net emissions</t>
  </si>
  <si>
    <t>Manure sold - excluding removals</t>
  </si>
  <si>
    <t>Manure sold - net emissions</t>
  </si>
  <si>
    <t>Input - Fertiliser Production System</t>
  </si>
  <si>
    <t>Production system</t>
  </si>
  <si>
    <t>Crop type</t>
  </si>
  <si>
    <t>Area under cropping</t>
  </si>
  <si>
    <t>Pasture</t>
  </si>
  <si>
    <t>These inputs are used for fertiliser calculations, and they take their values from the "Input - Pasture" sheet. Do not edit these cells.</t>
  </si>
  <si>
    <t>Input - Livestock sales</t>
  </si>
  <si>
    <t>⚠️ Livestock sales are not automatically reflected in the duration and head tables - you will need to manually adjust head count and average liveweight</t>
  </si>
  <si>
    <t>Transaction name</t>
  </si>
  <si>
    <t>Class (select)</t>
  </si>
  <si>
    <t>Sale date</t>
  </si>
  <si>
    <t>Head sold</t>
  </si>
  <si>
    <t>Average weight per head (kg)</t>
  </si>
  <si>
    <t>Total liveweight sold</t>
  </si>
  <si>
    <t>Bulls &gt; 1 year</t>
  </si>
  <si>
    <t>Input - Data quality</t>
  </si>
  <si>
    <t>Notes</t>
  </si>
  <si>
    <t>Evidence files</t>
  </si>
  <si>
    <t>Score</t>
  </si>
  <si>
    <t>TR4</t>
  </si>
  <si>
    <t>SR5</t>
  </si>
  <si>
    <t>SS3</t>
  </si>
  <si>
    <t>Data quality scoring</t>
  </si>
  <si>
    <t>Table_SourceData_DataQuality_TemporalRepresentativeness</t>
  </si>
  <si>
    <t>Description</t>
  </si>
  <si>
    <t>ID</t>
  </si>
  <si>
    <t>Data collected covers the time-period for which emissions are being estimated  </t>
  </si>
  <si>
    <t>TR5</t>
  </si>
  <si>
    <t>Data collected represents activities that occurred within 2 years of the time-period being assessed  </t>
  </si>
  <si>
    <t>Data collected represents activities that occurred within 3 years of to the time-period being assessed  </t>
  </si>
  <si>
    <t>TR3</t>
  </si>
  <si>
    <t>Data collected represents activities that occurred within 4 years of the time-period being assessed  </t>
  </si>
  <si>
    <t>TR2</t>
  </si>
  <si>
    <t>Age of data unknown or data more than 4 years older than the time-period being reported  </t>
  </si>
  <si>
    <t>TR1</t>
  </si>
  <si>
    <t>Table_SourceData_DataQuality_SpatialRepresentativeness</t>
  </si>
  <si>
    <t>Data covers specific entity location(s) with spatial partitioning or using stratified sampling within property </t>
  </si>
  <si>
    <t>Data covers specific entity location(s) without spatial partitioning within property  </t>
  </si>
  <si>
    <t>SR4</t>
  </si>
  <si>
    <t>Data based on regional data from a government or industry database or survey </t>
  </si>
  <si>
    <t>SR3</t>
  </si>
  <si>
    <t>Data based on state data from a government or industry database or survey </t>
  </si>
  <si>
    <t>SR2</t>
  </si>
  <si>
    <t>Data based on national data from a government or industry database or survey </t>
  </si>
  <si>
    <t>SR1</t>
  </si>
  <si>
    <t>Table_SourceData_DataQuality_SampleSize</t>
  </si>
  <si>
    <t>Data based on sample size of &gt;90% (e.g. total annual fuel purchases) </t>
  </si>
  <si>
    <t>SS5</t>
  </si>
  <si>
    <t>Data based on sample size of 51-90%  </t>
  </si>
  <si>
    <t>SS4</t>
  </si>
  <si>
    <t>Data based on sample size of 21-50%  </t>
  </si>
  <si>
    <t>Data based on sample size of &lt;20% (e.g. liveweight measured for 10% of herd) </t>
  </si>
  <si>
    <t>SS2</t>
  </si>
  <si>
    <t>Unknown (e.g. data based on national/state/regional data source) </t>
  </si>
  <si>
    <t>SS1</t>
  </si>
  <si>
    <t>Table_SourceData_DataQuality_Scope3</t>
  </si>
  <si>
    <t>Verified data provided by supplier consistent with ISO14067:2018 or GHG Protocol Product Lifecycle Accounting and Reporting Standard </t>
  </si>
  <si>
    <t>S35</t>
  </si>
  <si>
    <t>Unverified supplier data, consistent with ISO14067:2018 or GHG Protocol Product Lifecycle Accounting and Reporting Standard, or consistent with these Guidelines (where appropriate)</t>
  </si>
  <si>
    <t>S34</t>
  </si>
  <si>
    <t>Regionally relevant product specific value from database developed using international best practice </t>
  </si>
  <si>
    <t>S33</t>
  </si>
  <si>
    <t>Nationally relevant product specific value from database developed using international best practice   </t>
  </si>
  <si>
    <t>S32</t>
  </si>
  <si>
    <t>Geographically generic product specific value from database developed using international best practice </t>
  </si>
  <si>
    <t>S31</t>
  </si>
  <si>
    <t>Enterprise</t>
  </si>
  <si>
    <t>When was the data sourced?</t>
  </si>
  <si>
    <t>Where is the data sourced from?</t>
  </si>
  <si>
    <t>How much of the data was from direct samples?</t>
  </si>
  <si>
    <t>During this emissions calculation period</t>
  </si>
  <si>
    <t>This location without spatial partitioning</t>
  </si>
  <si>
    <t>Over 90%</t>
  </si>
  <si>
    <t>Between 21% and 50%</t>
  </si>
  <si>
    <t>Regional-level data from a government or industry database/survey</t>
  </si>
  <si>
    <t>Between 51% and 90%</t>
  </si>
  <si>
    <t>Site</t>
  </si>
  <si>
    <t>Within 2 years of this emissions calculation period</t>
  </si>
  <si>
    <t>Within 3 years of this emissions calculation period</t>
  </si>
  <si>
    <t>Pasture Beef</t>
  </si>
  <si>
    <t>Livestock production region</t>
  </si>
  <si>
    <t>Cattle breed</t>
  </si>
  <si>
    <t>Liveweight</t>
  </si>
  <si>
    <t>Liveweight gain</t>
  </si>
  <si>
    <t>Less than 20%</t>
  </si>
  <si>
    <t>Unknown</t>
  </si>
  <si>
    <t>Pasture management</t>
  </si>
  <si>
    <t>Pasture type</t>
  </si>
  <si>
    <t>Area under pasture</t>
  </si>
  <si>
    <t>Pasture yield</t>
  </si>
  <si>
    <t>State-level data from a government or industry database/survey</t>
  </si>
  <si>
    <t>Area of pasture renewed or removed</t>
  </si>
  <si>
    <t>Fertiliser applications</t>
  </si>
  <si>
    <t>Lime applications</t>
  </si>
  <si>
    <t>Organic fertiliser applications</t>
  </si>
  <si>
    <t>This location with spatial partitioning</t>
  </si>
  <si>
    <t>National-level data from a government or industry database/survey</t>
  </si>
  <si>
    <t>Within 4 years of this emissions calculation period</t>
  </si>
  <si>
    <t>Unknown, or more than 4 years of this emissions calculation period</t>
  </si>
  <si>
    <t>User friendly description</t>
  </si>
  <si>
    <t>Verified report complying to ISO14067 2018 or GHG Protocol Lifecycle Accounting and Reporting Standard</t>
  </si>
  <si>
    <t>Report consistent with ISO14067 2018, GHG Protocol Lifecycle Accounting and Reporting Standard or this tool</t>
  </si>
  <si>
    <t>Regional-level database</t>
  </si>
  <si>
    <t>National-level database</t>
  </si>
  <si>
    <t>Geographically generic database</t>
  </si>
  <si>
    <t>Data type</t>
  </si>
  <si>
    <t>Fuel and electricity</t>
  </si>
  <si>
    <t>Farm input purchases, freight and waste outputs</t>
  </si>
  <si>
    <t>Total data quality score</t>
  </si>
  <si>
    <t>Results - Product emissions intensity</t>
  </si>
  <si>
    <t>Results - Activity period</t>
  </si>
  <si>
    <t>Net emissions for production cycle</t>
  </si>
  <si>
    <t>Planting name</t>
  </si>
  <si>
    <t>Total removed CO2</t>
  </si>
  <si>
    <t>Percent allocated to this enterprise</t>
  </si>
  <si>
    <t>Enter the method 1 and 2 CO2e emissions (excluding removals) from previous emissions calculation periods if applicable.</t>
  </si>
  <si>
    <t>Removal allocated to this enterprise</t>
  </si>
  <si>
    <t>Carbon removals</t>
  </si>
  <si>
    <t>Production cycle emissions and removals</t>
  </si>
  <si>
    <t>Emissions for production cycle excluding removals</t>
  </si>
  <si>
    <t>Total removals</t>
  </si>
  <si>
    <t>Total net emissions</t>
  </si>
  <si>
    <t>t CO2-e</t>
  </si>
  <si>
    <t>Total scope 1</t>
  </si>
  <si>
    <t>Scope 2</t>
  </si>
  <si>
    <t>Scope 2 source</t>
  </si>
  <si>
    <t>Total scope 2</t>
  </si>
  <si>
    <t>Scope 1</t>
  </si>
  <si>
    <t>Scope 3</t>
  </si>
  <si>
    <t>Scope 3 source</t>
  </si>
  <si>
    <t>15.1.1.1 Purchased livestock</t>
  </si>
  <si>
    <t>15.2.1.1 Purchased feed</t>
  </si>
  <si>
    <t>15.3.1.1 Mineral supplements</t>
  </si>
  <si>
    <t>15.4.1.1 Fertiliser</t>
  </si>
  <si>
    <t>15.5.1.1 Agrichemicals</t>
  </si>
  <si>
    <t>15.6.1.1 Lime</t>
  </si>
  <si>
    <t>15.7.1.1 Services and contractor operations</t>
  </si>
  <si>
    <t>15.10.1.1 Other: Cleaning chemicals</t>
  </si>
  <si>
    <t>15.10.1.1 Other: Pharmacy chemicals</t>
  </si>
  <si>
    <t>15.10.1.1 Other: Miscellaneous</t>
  </si>
  <si>
    <t>15.10.1.1 Other: Uncategorised</t>
  </si>
  <si>
    <t>15.11.1.1 Fuel</t>
  </si>
  <si>
    <t>15.14.1.1 Incoming freight</t>
  </si>
  <si>
    <t>15.13.1.1 Waste sent to treatment facility</t>
  </si>
  <si>
    <t>15.14.1.1 Outgoing freight</t>
  </si>
  <si>
    <t>Total scope 3</t>
  </si>
  <si>
    <t>Amount in tonnes (Method 1)</t>
  </si>
  <si>
    <t>Amount in tonnes (Method 2)</t>
  </si>
  <si>
    <t>Mass emissions assignment (Method 1)</t>
  </si>
  <si>
    <t>Mass emissions assignment (Method 2)</t>
  </si>
  <si>
    <t>Input -Pasture Beef</t>
  </si>
  <si>
    <t>Herd movement</t>
  </si>
  <si>
    <t>South West</t>
  </si>
  <si>
    <r>
      <rPr>
        <b/>
        <sz val="10"/>
        <color rgb="FF0070C0"/>
        <rFont val="Arial"/>
        <family val="1"/>
      </rPr>
      <t>NOTE:</t>
    </r>
    <r>
      <rPr>
        <sz val="10"/>
        <color rgb="FF0070C0"/>
        <rFont val="Arial"/>
        <family val="1"/>
      </rPr>
      <t xml:space="preserve"> VEERG states that under method 2, time periods may be seasons, months or a custom time period. In this example, method 2 time periods are months.</t>
    </r>
  </si>
  <si>
    <t>Duration on farm</t>
  </si>
  <si>
    <t>Method 1 default values (do not edit)</t>
  </si>
  <si>
    <t>Bulls &lt; 1 year</t>
  </si>
  <si>
    <t>Cows &lt; 1 year</t>
  </si>
  <si>
    <t>Cows 1-2 years</t>
  </si>
  <si>
    <t>Cows 2-3 years</t>
  </si>
  <si>
    <t>Cows &gt; 3 years</t>
  </si>
  <si>
    <t>Steers &lt; 1 year</t>
  </si>
  <si>
    <t>Steers 1-2 years</t>
  </si>
  <si>
    <t>Steers 2-3 years</t>
  </si>
  <si>
    <t>Steers &gt;3 years</t>
  </si>
  <si>
    <t>Spring</t>
  </si>
  <si>
    <t>Summer</t>
  </si>
  <si>
    <t>Autumn</t>
  </si>
  <si>
    <t>Winter</t>
  </si>
  <si>
    <t>Method 2 custom values (edit if known)</t>
  </si>
  <si>
    <t>Head</t>
  </si>
  <si>
    <t>Method 1 values</t>
  </si>
  <si>
    <t>Method 2 values</t>
  </si>
  <si>
    <t>kg/head</t>
  </si>
  <si>
    <t>kg/head/day</t>
  </si>
  <si>
    <t>Dry matter digestibility</t>
  </si>
  <si>
    <t>fraction</t>
  </si>
  <si>
    <t>Crude protein</t>
  </si>
  <si>
    <t>Manure management</t>
  </si>
  <si>
    <t>Are all dams and natural water sources fenced off so cattle cannot access them?</t>
  </si>
  <si>
    <t>No</t>
  </si>
  <si>
    <t>Manure management system</t>
  </si>
  <si>
    <t>Percent in MMS</t>
  </si>
  <si>
    <t>Percent</t>
  </si>
  <si>
    <t>Where did the livestock spend most of their time grazing?</t>
  </si>
  <si>
    <t>Sprinkler irrigation</t>
  </si>
  <si>
    <t>Proportion of cows &gt; 1 years in calf in the season of calving</t>
  </si>
  <si>
    <t>Calving season</t>
  </si>
  <si>
    <t>Calves born</t>
  </si>
  <si>
    <t>Calving season (select)</t>
  </si>
  <si>
    <t>Yes</t>
  </si>
  <si>
    <t>Proportion born this season</t>
  </si>
  <si>
    <r>
      <t>MC = (PB</t>
    </r>
    <r>
      <rPr>
        <b/>
        <vertAlign val="subscript"/>
        <sz val="12"/>
        <color theme="1" tint="0.24994659260841701"/>
        <rFont val="Arial"/>
        <family val="1"/>
      </rPr>
      <t>calv</t>
    </r>
    <r>
      <rPr>
        <b/>
        <sz val="12"/>
        <color theme="1" tint="0.24994659260841701"/>
        <rFont val="Arial"/>
        <family val="1"/>
      </rPr>
      <t>*6) + (PB</t>
    </r>
    <r>
      <rPr>
        <b/>
        <vertAlign val="subscript"/>
        <sz val="12"/>
        <color theme="1" tint="0.24994659260841701"/>
        <rFont val="Arial"/>
        <family val="1"/>
      </rPr>
      <t>prev</t>
    </r>
    <r>
      <rPr>
        <b/>
        <sz val="12"/>
        <color theme="1" tint="0.24994659260841701"/>
        <rFont val="Arial"/>
        <family val="1"/>
      </rPr>
      <t>*4) + (PB</t>
    </r>
    <r>
      <rPr>
        <b/>
        <vertAlign val="subscript"/>
        <sz val="12"/>
        <color theme="1" tint="0.24994659260841701"/>
        <rFont val="Arial"/>
        <family val="1"/>
      </rPr>
      <t>earlier</t>
    </r>
    <r>
      <rPr>
        <b/>
        <sz val="12"/>
        <color theme="1" tint="0.24994659260841701"/>
        <rFont val="Arial"/>
        <family val="1"/>
      </rPr>
      <t>*0)</t>
    </r>
  </si>
  <si>
    <t>First calving month</t>
  </si>
  <si>
    <t>August 2024</t>
  </si>
  <si>
    <t>Calving month 2</t>
  </si>
  <si>
    <t>Births</t>
  </si>
  <si>
    <t>Proportion born last season</t>
  </si>
  <si>
    <t>Proportion born earlier than last season</t>
  </si>
  <si>
    <t>MC</t>
  </si>
  <si>
    <t>Calving month 3</t>
  </si>
  <si>
    <t>4.2.1.1-2 Manure Methane</t>
  </si>
  <si>
    <t>EntericMethane_PastureBeef_Equations.VEERG_3_2_1_1__4_AdditionalIntakeForMilkProduction</t>
  </si>
  <si>
    <t>Variable</t>
  </si>
  <si>
    <t>M1_Table_LC_j_k-4-5</t>
  </si>
  <si>
    <t>M2_Table_LC_j_k-4-5</t>
  </si>
  <si>
    <t>Proportion of cows in calf during season (Method 1)</t>
  </si>
  <si>
    <t>Proportion of cows in calf during season (Method 2)</t>
  </si>
  <si>
    <t>Fraction</t>
  </si>
  <si>
    <t>M2_Table_MA_j_k-4-5</t>
  </si>
  <si>
    <t>Additional intake for milk production in calving and post-calving seasons (Method 2)</t>
  </si>
  <si>
    <t>M1_Table_MA_j_k-4-5</t>
  </si>
  <si>
    <r>
      <t>FA</t>
    </r>
    <r>
      <rPr>
        <b/>
        <vertAlign val="subscript"/>
        <sz val="10"/>
        <color rgb="FF183C1B"/>
        <rFont val="Arial"/>
        <family val="1"/>
      </rPr>
      <t>jk=4,5</t>
    </r>
  </si>
  <si>
    <t>Additional intake for milk production in calving and post-calving seasons (Method 1)</t>
  </si>
  <si>
    <t>Season after calving</t>
  </si>
  <si>
    <t>Cows &lt; 3 months</t>
  </si>
  <si>
    <t>Cows 3-6 months</t>
  </si>
  <si>
    <t>Cows 6 months-1 year</t>
  </si>
  <si>
    <t>M2_Table_W_j_k_l</t>
  </si>
  <si>
    <t>Liveweight (Method 2)</t>
  </si>
  <si>
    <t>M1_Table_W_j_k_l</t>
  </si>
  <si>
    <t>Liveweight (Method 1)</t>
  </si>
  <si>
    <t>M2_Table_LWG_j_k_l</t>
  </si>
  <si>
    <t>Liveweight gain (Method 2)</t>
  </si>
  <si>
    <t>M1_Table_LWG_j_k_l</t>
  </si>
  <si>
    <t>Liveweight gain (Method 1)</t>
  </si>
  <si>
    <t>M2_Table_I_j_k_l</t>
  </si>
  <si>
    <t>Feed intake (Method 2)</t>
  </si>
  <si>
    <t>M1_Table_I_j_k_l</t>
  </si>
  <si>
    <t>Feed intake (Method 1)</t>
  </si>
  <si>
    <t>M1_Table_DMD_j_k_l</t>
  </si>
  <si>
    <t>M2_Table_DMD_j_k_l</t>
  </si>
  <si>
    <t>Dry matter digestibility (Method 1)</t>
  </si>
  <si>
    <t>Dry matter digestibility (Method 2)</t>
  </si>
  <si>
    <t>M1_Table_VS_j_k_l</t>
  </si>
  <si>
    <t>M2_Table_VS_j_k_l</t>
  </si>
  <si>
    <t>Volatile solid production (Method 1)</t>
  </si>
  <si>
    <t>Volatile solid production (Method 2)</t>
  </si>
  <si>
    <t>Table_MMS_m</t>
  </si>
  <si>
    <t>Fraction of waste in each MMS</t>
  </si>
  <si>
    <t>MMS</t>
  </si>
  <si>
    <t>MMSm</t>
  </si>
  <si>
    <t>M1_Table_MCF_i_m</t>
  </si>
  <si>
    <t>M2_Table_MCF_i_m</t>
  </si>
  <si>
    <t>Methane conversion factor (Method 1)</t>
  </si>
  <si>
    <t>Methane conversion factor (Method 2)</t>
  </si>
  <si>
    <r>
      <t>MCF</t>
    </r>
    <r>
      <rPr>
        <b/>
        <vertAlign val="subscript"/>
        <sz val="10"/>
        <color rgb="FF183C1B"/>
        <rFont val="Arial"/>
        <family val="1"/>
      </rPr>
      <t>im</t>
    </r>
  </si>
  <si>
    <t>M1_Table_M_j_k_l_m</t>
  </si>
  <si>
    <t>M2_Table_M_j_k_l_m</t>
  </si>
  <si>
    <t>Methane production from manure (Method 1)</t>
  </si>
  <si>
    <t>Methane production from manure (Method 2)</t>
  </si>
  <si>
    <t>M1_Table_N_j_k_l</t>
  </si>
  <si>
    <t>M2_Table_N_j_k_l</t>
  </si>
  <si>
    <t>Number of beef cattle (Method 1)</t>
  </si>
  <si>
    <t>Number of beef cattle (Method 2)</t>
  </si>
  <si>
    <t>head</t>
  </si>
  <si>
    <t>M1_Table_D_j</t>
  </si>
  <si>
    <t>Duration of stay in each time period (Method 1)</t>
  </si>
  <si>
    <t>days</t>
  </si>
  <si>
    <t>M1_Table_E_CH4</t>
  </si>
  <si>
    <t>M2_Table_D_j</t>
  </si>
  <si>
    <t>Total methane production (Method 1)</t>
  </si>
  <si>
    <t>Duration of stay in each time period (Method 2)</t>
  </si>
  <si>
    <r>
      <t>E</t>
    </r>
    <r>
      <rPr>
        <b/>
        <vertAlign val="subscript"/>
        <sz val="14"/>
        <color theme="1" tint="0.24994659260841701"/>
        <rFont val="Arial"/>
        <family val="1"/>
      </rPr>
      <t>CH4</t>
    </r>
  </si>
  <si>
    <t>M2_Table_E_CH4</t>
  </si>
  <si>
    <r>
      <t>E</t>
    </r>
    <r>
      <rPr>
        <vertAlign val="subscript"/>
        <sz val="10"/>
        <color theme="1" tint="0.24994659260841701"/>
        <rFont val="Arial"/>
        <family val="1"/>
      </rPr>
      <t>CO2e</t>
    </r>
  </si>
  <si>
    <t>Total methane production (Method 2)</t>
  </si>
  <si>
    <t>4.2.1.3-4 Manure Direct N2O</t>
  </si>
  <si>
    <t>M2_Table_LW_j_k_l</t>
  </si>
  <si>
    <t>Table_SRW_k</t>
  </si>
  <si>
    <t>Standard reference weight</t>
  </si>
  <si>
    <t>M1_Table_Z_j_k_l</t>
  </si>
  <si>
    <t>Relative size (Method 1)</t>
  </si>
  <si>
    <t>M2_Table_Z_j_k_l</t>
  </si>
  <si>
    <t>Relative size (Method 2)</t>
  </si>
  <si>
    <t>M1_Table_L_j_k_l</t>
  </si>
  <si>
    <t>Intake relative to maintenance (Method 1)</t>
  </si>
  <si>
    <t>M2_Table_L_j_k_l</t>
  </si>
  <si>
    <t>Intake relative to maintenance (Method 2)</t>
  </si>
  <si>
    <t>MMS_PastureBeef_Soil_N2ODirect_Equations.VEERG_4_2_1_3__5_MilkProductionForCalvingSeason</t>
  </si>
  <si>
    <t>M1_Table_MP_j_k-4-5</t>
  </si>
  <si>
    <t>Milk production</t>
  </si>
  <si>
    <r>
      <t>DMP</t>
    </r>
    <r>
      <rPr>
        <b/>
        <vertAlign val="subscript"/>
        <sz val="10"/>
        <color rgb="FF183C1B"/>
        <rFont val="Arial"/>
        <family val="1"/>
      </rPr>
      <t>jk=4,5</t>
    </r>
  </si>
  <si>
    <t>M2_Table_MP_j_k-4-5</t>
  </si>
  <si>
    <t>M1_Table_NR_j_k_l</t>
  </si>
  <si>
    <t>Nitrogen retained in the body (Method 1)</t>
  </si>
  <si>
    <t>M2_Table_NR_j_k_l</t>
  </si>
  <si>
    <t>Nitrogen retained in the body (Method 2)</t>
  </si>
  <si>
    <t>M1_Table_CP_j</t>
  </si>
  <si>
    <t>Crude protein (Method 1)</t>
  </si>
  <si>
    <t>M1_Table_MC_j_k_1-3-6</t>
  </si>
  <si>
    <t>Milk consumption (Method 1)</t>
  </si>
  <si>
    <t>M2_Table_CP_j</t>
  </si>
  <si>
    <t>Crude protein (Method 2)</t>
  </si>
  <si>
    <t>M1_Table_NE_j_k_l</t>
  </si>
  <si>
    <t>Nitrogen excreted (Method 1)</t>
  </si>
  <si>
    <t>M2_Table_MC_j_k_1-3-6</t>
  </si>
  <si>
    <t>Milk consumption (Method 2)</t>
  </si>
  <si>
    <t>M2_Table_NE_j_k_l</t>
  </si>
  <si>
    <t>Nitrogen excreted (Method 2)</t>
  </si>
  <si>
    <t>M1_Table_AE</t>
  </si>
  <si>
    <t>Total nitrogen excreted to pasture, range and paddock (Method 1)</t>
  </si>
  <si>
    <t>AE</t>
  </si>
  <si>
    <r>
      <t>E</t>
    </r>
    <r>
      <rPr>
        <b/>
        <vertAlign val="subscript"/>
        <sz val="14"/>
        <color theme="1" tint="0.24994659260841701"/>
        <rFont val="Arial"/>
        <family val="1"/>
      </rPr>
      <t>N2O,dir</t>
    </r>
  </si>
  <si>
    <t>M2_Table_AE</t>
  </si>
  <si>
    <t>Total nitrogen excreted to pasture, range and paddock (Method 2)</t>
  </si>
  <si>
    <t>4.2.1.5-6 Soil atmospheric deposition N2O</t>
  </si>
  <si>
    <r>
      <t>M</t>
    </r>
    <r>
      <rPr>
        <b/>
        <vertAlign val="subscript"/>
        <sz val="10"/>
        <color theme="1" tint="0.24994659260841701"/>
        <rFont val="Arial"/>
        <family val="1"/>
      </rPr>
      <t>vol</t>
    </r>
  </si>
  <si>
    <r>
      <t>E</t>
    </r>
    <r>
      <rPr>
        <b/>
        <vertAlign val="subscript"/>
        <sz val="10"/>
        <color theme="1" tint="0.24994659260841701"/>
        <rFont val="Arial"/>
        <family val="1"/>
      </rPr>
      <t>N2O,ad</t>
    </r>
  </si>
  <si>
    <t>4.3.1.12-13 Soil leaching and runoff N2O</t>
  </si>
  <si>
    <r>
      <t>M</t>
    </r>
    <r>
      <rPr>
        <b/>
        <vertAlign val="subscript"/>
        <sz val="10"/>
        <color theme="1" tint="0.24994659260841701"/>
        <rFont val="Arial"/>
        <family val="1"/>
      </rPr>
      <t>leach</t>
    </r>
  </si>
  <si>
    <r>
      <t>E</t>
    </r>
    <r>
      <rPr>
        <b/>
        <vertAlign val="subscript"/>
        <sz val="10"/>
        <color theme="1" tint="0.24994659260841701"/>
        <rFont val="Arial"/>
        <family val="1"/>
      </rPr>
      <t>N2O,leach</t>
    </r>
  </si>
  <si>
    <t>Constants - Pasture Beef</t>
  </si>
  <si>
    <t>Pasture beefcrop or pasture production systems</t>
  </si>
  <si>
    <t>Irrigation methods</t>
  </si>
  <si>
    <t>Table_SourceData_PastureBeef_Region_WesternAustralia</t>
  </si>
  <si>
    <t>Table_SourceData_PastureBeef_Region_Queensland</t>
  </si>
  <si>
    <t>Table_SourceData_PastureBeef_Region_NorthernTerritory</t>
  </si>
  <si>
    <t>Table_SourceData_PastureBeef_Region_Victoria</t>
  </si>
  <si>
    <t>Region</t>
  </si>
  <si>
    <t>Not irrigated</t>
  </si>
  <si>
    <t>Alice Springs</t>
  </si>
  <si>
    <t>High</t>
  </si>
  <si>
    <t>n/a</t>
  </si>
  <si>
    <t>Drip irrigation</t>
  </si>
  <si>
    <t>Pilbara</t>
  </si>
  <si>
    <t>Barkly</t>
  </si>
  <si>
    <t>Moderate/High</t>
  </si>
  <si>
    <t>Kimberley</t>
  </si>
  <si>
    <t>Northern</t>
  </si>
  <si>
    <t>Moderate/Low</t>
  </si>
  <si>
    <t>Table_SourceData_PastureBeef_Region_NewSouthWales</t>
  </si>
  <si>
    <t>Surface irrigation</t>
  </si>
  <si>
    <t>Low</t>
  </si>
  <si>
    <t>Other irrigation</t>
  </si>
  <si>
    <t>Table_SourceData_PastureBeef_Region_SouthAustralia</t>
  </si>
  <si>
    <t>Table_LivestockClasses_Beefcattle</t>
  </si>
  <si>
    <t>Bull &lt; 1</t>
  </si>
  <si>
    <t>Bull &gt; 1</t>
  </si>
  <si>
    <t>Cow &lt; 1</t>
  </si>
  <si>
    <t>Cow 1-2</t>
  </si>
  <si>
    <t>Cow &gt; 2</t>
  </si>
  <si>
    <t>Steer &lt; 1</t>
  </si>
  <si>
    <t>Steer &gt; 1</t>
  </si>
  <si>
    <t>Livestock class</t>
  </si>
  <si>
    <t>Table_SourceData_PastureBeef_Region_Tasmania</t>
  </si>
  <si>
    <t>Table_SourceData_PastureBeef_Region_ACT</t>
  </si>
  <si>
    <t>Table_ProductRegions_Beefcattle</t>
  </si>
  <si>
    <t>Scope3 region</t>
  </si>
  <si>
    <t>ACT</t>
  </si>
  <si>
    <t>NSW</t>
  </si>
  <si>
    <t>SA</t>
  </si>
  <si>
    <t>TAS</t>
  </si>
  <si>
    <t>VIC</t>
  </si>
  <si>
    <t>WA - South west</t>
  </si>
  <si>
    <t>WA</t>
  </si>
  <si>
    <t>WA - Pilbara</t>
  </si>
  <si>
    <t>WA - Kimberley</t>
  </si>
  <si>
    <t>NT - Alice Springs</t>
  </si>
  <si>
    <t>NT</t>
  </si>
  <si>
    <t>NT - Barkly</t>
  </si>
  <si>
    <t>NT - Northern</t>
  </si>
  <si>
    <t>QLD - High</t>
  </si>
  <si>
    <t>QLD</t>
  </si>
  <si>
    <t>QLD - Moderate/High</t>
  </si>
  <si>
    <t>QLD - Moderate/Low</t>
  </si>
  <si>
    <t>QLD - Low</t>
  </si>
  <si>
    <t>Australia</t>
  </si>
  <si>
    <t>Bull &lt;1</t>
  </si>
  <si>
    <t>Bull &gt;1</t>
  </si>
  <si>
    <t>Cows &lt;1</t>
  </si>
  <si>
    <t>Cows 1-2</t>
  </si>
  <si>
    <t>Cows 2-3</t>
  </si>
  <si>
    <t>Cows &gt;3</t>
  </si>
  <si>
    <t>Steer &lt;1</t>
  </si>
  <si>
    <t>Steer 1-2</t>
  </si>
  <si>
    <t>Steer 2-3</t>
  </si>
  <si>
    <t>Steer &gt;3</t>
  </si>
  <si>
    <t>Beef pasture cattle - Liveweight (kg) (Wjkl) all states</t>
  </si>
  <si>
    <t>Cow &lt;1</t>
  </si>
  <si>
    <t>Cow &gt;2</t>
  </si>
  <si>
    <t>Steer &gt;1</t>
  </si>
  <si>
    <t>Cow 2-3</t>
  </si>
  <si>
    <t>Cow &gt;3</t>
  </si>
  <si>
    <t>VARIATION ON SOURCE: Changed 'Season' values from season names to 'Calving season' and 'Season after calving' to acommodate cases where calving happens outside spring or summer</t>
  </si>
  <si>
    <t>Breed</t>
  </si>
  <si>
    <t>Feed adjustment</t>
  </si>
  <si>
    <t>Milk intake/production</t>
  </si>
  <si>
    <t>Bulls &lt;1</t>
  </si>
  <si>
    <t>Bulls &gt;1</t>
  </si>
  <si>
    <t>Cows &gt;2</t>
  </si>
  <si>
    <t>State abbreviation</t>
  </si>
  <si>
    <t>Typo in VEERG declares unit as fraction when values are percent</t>
  </si>
  <si>
    <t>Uncovered Anaerobic lagoon</t>
  </si>
  <si>
    <t>Category</t>
  </si>
  <si>
    <t>Region of origin</t>
  </si>
  <si>
    <t>Quantity Unit</t>
  </si>
  <si>
    <t>AusLCI Emissions intensity</t>
  </si>
  <si>
    <t>System boundary</t>
  </si>
  <si>
    <t>3.2.1.1-2 Enteric Beef Grazing</t>
  </si>
  <si>
    <t>M1_Table_M_j_k_l</t>
  </si>
  <si>
    <t>Daily production of enteric methane (Method 1)</t>
  </si>
  <si>
    <t>M2_Table_M_j_k_l</t>
  </si>
  <si>
    <t>Daily production of enteric methane (Method 2)</t>
  </si>
  <si>
    <t>M1_Table_E_enteric</t>
  </si>
  <si>
    <t>Total enteric methane production (Method 1)</t>
  </si>
  <si>
    <t>M2_Table_E_enteric</t>
  </si>
  <si>
    <t>Total enteric methane production (Method 2)</t>
  </si>
  <si>
    <t>Input - Fertiliser</t>
  </si>
  <si>
    <t>Inorganic fertiliser applied</t>
  </si>
  <si>
    <t>💡You can add more rows to tables by right-clicking on the table and selecting "Insert &gt; Table rows above/below".</t>
  </si>
  <si>
    <t>💡The application area is the same as the area under pasture / cropping by default. You can edit it if the application area is different.</t>
  </si>
  <si>
    <t>Branded fertiliser products</t>
  </si>
  <si>
    <t>Product (select)</t>
  </si>
  <si>
    <r>
      <t xml:space="preserve">Amount applied </t>
    </r>
    <r>
      <rPr>
        <sz val="10"/>
        <color theme="1"/>
        <rFont val="Arial"/>
        <family val="1"/>
      </rPr>
      <t>per hectare</t>
    </r>
  </si>
  <si>
    <t>Application unit</t>
  </si>
  <si>
    <t>Application area (ha)</t>
  </si>
  <si>
    <t>Density</t>
  </si>
  <si>
    <t>Total applied (kg)</t>
  </si>
  <si>
    <t>Ingredient 1</t>
  </si>
  <si>
    <t>Ingredient 1 percent</t>
  </si>
  <si>
    <t>Ingredient 2</t>
  </si>
  <si>
    <t>Ingredient 2 percent</t>
  </si>
  <si>
    <t>Ingredient 3</t>
  </si>
  <si>
    <t>Ingredient 3 percent</t>
  </si>
  <si>
    <t>Ingredient 4</t>
  </si>
  <si>
    <t>Ingredient 4 percent</t>
  </si>
  <si>
    <t>Ingredient 5</t>
  </si>
  <si>
    <t>Ingredient 5 percent</t>
  </si>
  <si>
    <t>Ingredient 6</t>
  </si>
  <si>
    <t>Ingredient 6 percent</t>
  </si>
  <si>
    <t>% N (Ingredients)</t>
  </si>
  <si>
    <t>% N (declared)</t>
  </si>
  <si>
    <t>N application rate (kg/ha)</t>
  </si>
  <si>
    <t>Urea source</t>
  </si>
  <si>
    <t>Ammonia source</t>
  </si>
  <si>
    <t>Custom fertiliser blends</t>
  </si>
  <si>
    <t>Custom blend name</t>
  </si>
  <si>
    <r>
      <t xml:space="preserve">Amount applied </t>
    </r>
    <r>
      <rPr>
        <sz val="10"/>
        <color theme="1"/>
        <rFont val="Arial"/>
        <family val="1"/>
      </rPr>
      <t>(kg / ha)</t>
    </r>
  </si>
  <si>
    <t>Ingredient 1 (select)</t>
  </si>
  <si>
    <t>Urea source (Select)</t>
  </si>
  <si>
    <t>Ammonia source (select)</t>
  </si>
  <si>
    <t>💡 You can add more rows to the table by right-clicking on the table and selecting "Insert &gt; Table rows above/below".</t>
  </si>
  <si>
    <t>💡 'Lime' refers to calcium carbonate - CaCO3. 'Dolomite' refers to calcium magnesium carbonate - CaMg(CO3)2</t>
  </si>
  <si>
    <t>Amount applied (t/hectare)</t>
  </si>
  <si>
    <t>Total amount applied (t)</t>
  </si>
  <si>
    <r>
      <t>Percent Lime CaCO</t>
    </r>
    <r>
      <rPr>
        <b/>
        <vertAlign val="subscript"/>
        <sz val="10"/>
        <color rgb="FF533001"/>
        <rFont val="Arial"/>
        <family val="1"/>
      </rPr>
      <t>3</t>
    </r>
  </si>
  <si>
    <r>
      <t>Percent Dolomite CaMg(CO</t>
    </r>
    <r>
      <rPr>
        <b/>
        <vertAlign val="subscript"/>
        <sz val="10"/>
        <color rgb="FF533001"/>
        <rFont val="Arial"/>
        <family val="1"/>
      </rPr>
      <t>3</t>
    </r>
    <r>
      <rPr>
        <b/>
        <sz val="10"/>
        <color rgb="FF533001"/>
        <rFont val="Arial"/>
        <family val="1"/>
      </rPr>
      <t>)</t>
    </r>
    <r>
      <rPr>
        <b/>
        <vertAlign val="subscript"/>
        <sz val="10"/>
        <color rgb="FF533001"/>
        <rFont val="Arial"/>
        <family val="1"/>
      </rPr>
      <t>2</t>
    </r>
  </si>
  <si>
    <t>Percent Gypsum</t>
  </si>
  <si>
    <t>Total</t>
  </si>
  <si>
    <t>Organic fertiliser type (select)</t>
  </si>
  <si>
    <t>Percentage of N in fertiliser</t>
  </si>
  <si>
    <t>Amount applied (kg/hectare)</t>
  </si>
  <si>
    <t>Amount N applied (kg/hectare)</t>
  </si>
  <si>
    <t>Total organic fertliser applied</t>
  </si>
  <si>
    <t>Total nitrogen applied (kg)</t>
  </si>
  <si>
    <t>Manure - Other</t>
  </si>
  <si>
    <t>Manure - Poultry</t>
  </si>
  <si>
    <t>Other organic fertiliser</t>
  </si>
  <si>
    <t>5.1.1.1-2 Inorganic fertiliser application N2O emissions</t>
  </si>
  <si>
    <r>
      <t>ALERT: For method 2 the application rate (N) and mass of nitrogen (MN) is calculated per</t>
    </r>
    <r>
      <rPr>
        <b/>
        <i/>
        <sz val="10"/>
        <color rgb="FFCC6600"/>
        <rFont val="Arial"/>
        <family val="1"/>
      </rPr>
      <t xml:space="preserve"> fertiliser application instance</t>
    </r>
    <r>
      <rPr>
        <b/>
        <sz val="10"/>
        <color rgb="FFCC6600"/>
        <rFont val="Arial"/>
        <family val="1"/>
      </rPr>
      <t>, not per fertiliser type.</t>
    </r>
  </si>
  <si>
    <t>Method 2 prioritises the 'Declared N' value for branded fertiliser products, meaning the amount of N delcared by the manufacturer is used instead of the product ingredients and estimated amount of N for each ingredient.</t>
  </si>
  <si>
    <t>M2_Table_FertApplications</t>
  </si>
  <si>
    <t>Fertiliser product applications (Method 2)</t>
  </si>
  <si>
    <t>kg / hectare</t>
  </si>
  <si>
    <t>hectares</t>
  </si>
  <si>
    <t>kg</t>
  </si>
  <si>
    <t>Product applied</t>
  </si>
  <si>
    <t>N Application rate</t>
  </si>
  <si>
    <t>Application area</t>
  </si>
  <si>
    <t>MN</t>
  </si>
  <si>
    <t>Branded product</t>
  </si>
  <si>
    <t>Table_MN_j_f</t>
  </si>
  <si>
    <t>Mass of nitrogen applied</t>
  </si>
  <si>
    <t>Fertiliser type f</t>
  </si>
  <si>
    <r>
      <t>TM</t>
    </r>
    <r>
      <rPr>
        <b/>
        <vertAlign val="subscript"/>
        <sz val="10"/>
        <color rgb="FF533001"/>
        <rFont val="Arial"/>
        <family val="1"/>
      </rPr>
      <t>jf</t>
    </r>
  </si>
  <si>
    <r>
      <t>FN</t>
    </r>
    <r>
      <rPr>
        <b/>
        <vertAlign val="subscript"/>
        <sz val="10"/>
        <color rgb="FF183C1B"/>
        <rFont val="Arial"/>
        <family val="1"/>
      </rPr>
      <t>inorganic,f</t>
    </r>
  </si>
  <si>
    <r>
      <t>MN</t>
    </r>
    <r>
      <rPr>
        <b/>
        <vertAlign val="subscript"/>
        <sz val="10"/>
        <color rgb="FF533001"/>
        <rFont val="Arial"/>
        <family val="1"/>
      </rPr>
      <t>jf</t>
    </r>
  </si>
  <si>
    <t>Custom blend</t>
  </si>
  <si>
    <t>MN total</t>
  </si>
  <si>
    <t>Application area total</t>
  </si>
  <si>
    <t>N application rate</t>
  </si>
  <si>
    <t>Not used - application rate calculated per product blend application</t>
  </si>
  <si>
    <r>
      <t>EF</t>
    </r>
    <r>
      <rPr>
        <b/>
        <vertAlign val="subscript"/>
        <sz val="10"/>
        <color theme="1" tint="0.24994659260841701"/>
        <rFont val="Arial"/>
        <family val="1"/>
      </rPr>
      <t>fj=irrigatedmaizeN2O</t>
    </r>
  </si>
  <si>
    <t>M1_Table_E_N2O</t>
  </si>
  <si>
    <t>Nitrous oxide emissions from inorganic fertiliser application (Method 1)</t>
  </si>
  <si>
    <r>
      <t>E</t>
    </r>
    <r>
      <rPr>
        <b/>
        <vertAlign val="subscript"/>
        <sz val="10"/>
        <color rgb="FF183C1B"/>
        <rFont val="Arial"/>
        <family val="1"/>
      </rPr>
      <t>N2O</t>
    </r>
  </si>
  <si>
    <r>
      <t>EF</t>
    </r>
    <r>
      <rPr>
        <b/>
        <vertAlign val="subscript"/>
        <sz val="10"/>
        <color theme="1" tint="0.24994659260841701"/>
        <rFont val="Arial"/>
        <family val="1"/>
      </rPr>
      <t>jf=nonirrigatedgrainsN2O</t>
    </r>
  </si>
  <si>
    <t>Capped cotton applicationj rate to 300 based on VEERG "application rate of inorganic fertiliser type f in the cotton crop (kg N/ha). This is capped at a maximum of 0.0183 kg CO2e/kg N, equivalent to N application rates of 300 kg N/ha "</t>
  </si>
  <si>
    <r>
      <t>E</t>
    </r>
    <r>
      <rPr>
        <b/>
        <vertAlign val="subscript"/>
        <sz val="14"/>
        <color theme="1" tint="0.24994659260841701"/>
        <rFont val="Arial"/>
        <family val="1"/>
      </rPr>
      <t>N2O</t>
    </r>
  </si>
  <si>
    <t>Not used</t>
  </si>
  <si>
    <t>M2_Table_EF</t>
  </si>
  <si>
    <t>Emission factor for nitrous oxide for inorganic fertilisers (Method 2)</t>
  </si>
  <si>
    <t>Is used</t>
  </si>
  <si>
    <t>EF</t>
  </si>
  <si>
    <t>Irrigated maize</t>
  </si>
  <si>
    <t>Non-irrigated crop, high rainfall</t>
  </si>
  <si>
    <t>Cotton</t>
  </si>
  <si>
    <t>All other production systems</t>
  </si>
  <si>
    <t>5.1.1.3-4 Inorganic fertiliser application CO2 emissions</t>
  </si>
  <si>
    <t>Table_MU_j_f</t>
  </si>
  <si>
    <t>Mass of urea applied</t>
  </si>
  <si>
    <r>
      <t>FU</t>
    </r>
    <r>
      <rPr>
        <b/>
        <vertAlign val="subscript"/>
        <sz val="10"/>
        <color rgb="FF183C1B"/>
        <rFont val="Arial"/>
        <family val="1"/>
      </rPr>
      <t>f</t>
    </r>
  </si>
  <si>
    <r>
      <t>MU</t>
    </r>
    <r>
      <rPr>
        <b/>
        <vertAlign val="subscript"/>
        <sz val="10"/>
        <color rgb="FF533001"/>
        <rFont val="Arial"/>
        <family val="1"/>
      </rPr>
      <t>jf</t>
    </r>
  </si>
  <si>
    <t>M1_Table_E_CO2</t>
  </si>
  <si>
    <t>Carbon dioxide oxide emissions from inorganic fertiliser application (Method 1)</t>
  </si>
  <si>
    <r>
      <t>E</t>
    </r>
    <r>
      <rPr>
        <b/>
        <vertAlign val="subscript"/>
        <sz val="14"/>
        <color theme="1" tint="0.24994659260841701"/>
        <rFont val="Arial"/>
        <family val="1"/>
      </rPr>
      <t>CO2</t>
    </r>
  </si>
  <si>
    <t>5.2.1.1 1-2 Organic fertiliser application N2O emissions</t>
  </si>
  <si>
    <t>Table_MNSoil_j_f</t>
  </si>
  <si>
    <t>Mass of nitrogen in organic fertilisers</t>
  </si>
  <si>
    <t>Organic fertiliser type (f)</t>
  </si>
  <si>
    <t>Amount applied (kg/ha)</t>
  </si>
  <si>
    <r>
      <t>M</t>
    </r>
    <r>
      <rPr>
        <b/>
        <vertAlign val="subscript"/>
        <sz val="10"/>
        <color rgb="FF183C1B"/>
        <rFont val="Arial"/>
        <family val="1"/>
      </rPr>
      <t>organicjf</t>
    </r>
  </si>
  <si>
    <t>FNorganicf</t>
  </si>
  <si>
    <r>
      <t>MNSoil</t>
    </r>
    <r>
      <rPr>
        <b/>
        <vertAlign val="subscript"/>
        <sz val="10"/>
        <color rgb="FF183C1B"/>
        <rFont val="Arial"/>
        <family val="1"/>
      </rPr>
      <t>jf</t>
    </r>
  </si>
  <si>
    <r>
      <t>MNSoil</t>
    </r>
    <r>
      <rPr>
        <b/>
        <vertAlign val="subscript"/>
        <sz val="10"/>
        <color theme="1" tint="0.24994659260841701"/>
        <rFont val="Arial"/>
        <family val="1"/>
      </rPr>
      <t>jf</t>
    </r>
  </si>
  <si>
    <t>5.3.1.1 1-2 Lime application CO2</t>
  </si>
  <si>
    <t>Table_E_lime</t>
  </si>
  <si>
    <t>Element</t>
  </si>
  <si>
    <t>M</t>
  </si>
  <si>
    <t>FracLime</t>
  </si>
  <si>
    <t>FracDol</t>
  </si>
  <si>
    <t>Elime</t>
  </si>
  <si>
    <r>
      <t>E</t>
    </r>
    <r>
      <rPr>
        <b/>
        <vertAlign val="subscript"/>
        <sz val="14"/>
        <color theme="1" tint="0.24994659260841701"/>
        <rFont val="Arial"/>
        <family val="1"/>
      </rPr>
      <t>lime</t>
    </r>
  </si>
  <si>
    <t>5.4.1.1-4  Atmospheric deposition resulting from fertiliser application</t>
  </si>
  <si>
    <t>Table_M_vol_inorganic_j_f</t>
  </si>
  <si>
    <t>Mass of nitrogen volatilised from inorganic fertiliser application</t>
  </si>
  <si>
    <t>Chemical compound</t>
  </si>
  <si>
    <r>
      <t>MN</t>
    </r>
    <r>
      <rPr>
        <b/>
        <vertAlign val="subscript"/>
        <sz val="10"/>
        <color rgb="FF183C1B"/>
        <rFont val="Arial"/>
        <family val="1"/>
      </rPr>
      <t>jf</t>
    </r>
  </si>
  <si>
    <t>Basis</t>
  </si>
  <si>
    <r>
      <t>FracGASF</t>
    </r>
    <r>
      <rPr>
        <b/>
        <vertAlign val="subscript"/>
        <sz val="10"/>
        <color rgb="FF183C1B"/>
        <rFont val="Arial"/>
        <family val="1"/>
      </rPr>
      <t>f</t>
    </r>
  </si>
  <si>
    <r>
      <t>M</t>
    </r>
    <r>
      <rPr>
        <b/>
        <vertAlign val="subscript"/>
        <sz val="10"/>
        <color rgb="FF183C1B"/>
        <rFont val="Arial"/>
        <family val="1"/>
      </rPr>
      <t>volinorganicjf</t>
    </r>
  </si>
  <si>
    <t>Table_E_ad_inorganic</t>
  </si>
  <si>
    <t>Atmospheric deposition emissions from inorganic fertiliser</t>
  </si>
  <si>
    <r>
      <t>E</t>
    </r>
    <r>
      <rPr>
        <b/>
        <vertAlign val="subscript"/>
        <sz val="10"/>
        <color rgb="FF183C1B"/>
        <rFont val="Arial"/>
        <family val="1"/>
      </rPr>
      <t>ad,inorganic</t>
    </r>
  </si>
  <si>
    <r>
      <t>E</t>
    </r>
    <r>
      <rPr>
        <b/>
        <vertAlign val="subscript"/>
        <sz val="14"/>
        <color theme="1" tint="0.24994659260841701"/>
        <rFont val="Arial"/>
        <family val="1"/>
      </rPr>
      <t>ad,inorganic</t>
    </r>
  </si>
  <si>
    <t>Table_M_vol_organic_j_f</t>
  </si>
  <si>
    <t>Mass of nitrogen volatilised from organic fertiliser applied</t>
  </si>
  <si>
    <r>
      <t>M</t>
    </r>
    <r>
      <rPr>
        <b/>
        <vertAlign val="subscript"/>
        <sz val="10"/>
        <color rgb="FF183C1B"/>
        <rFont val="Arial"/>
        <family val="1"/>
      </rPr>
      <t>vol,organic,jf</t>
    </r>
  </si>
  <si>
    <t>Table_E_ad_organic</t>
  </si>
  <si>
    <t>Atmospheric deposition emissions from organic fertiliser</t>
  </si>
  <si>
    <r>
      <t>E</t>
    </r>
    <r>
      <rPr>
        <b/>
        <vertAlign val="subscript"/>
        <sz val="10"/>
        <color rgb="FF183C1B"/>
        <rFont val="Arial"/>
        <family val="1"/>
      </rPr>
      <t>ad,organic</t>
    </r>
  </si>
  <si>
    <r>
      <t>E</t>
    </r>
    <r>
      <rPr>
        <b/>
        <vertAlign val="subscript"/>
        <sz val="14"/>
        <color theme="1" tint="0.24994659260841701"/>
        <rFont val="Arial"/>
        <family val="1"/>
      </rPr>
      <t>ad,organic</t>
    </r>
  </si>
  <si>
    <t>5.5.1.1-2  Leaching and runoff</t>
  </si>
  <si>
    <t>Table_M_leach_inorganic_j</t>
  </si>
  <si>
    <t>Mass of nitrogen from inorganic fertiliser lost through leaching and runoff</t>
  </si>
  <si>
    <r>
      <t>M</t>
    </r>
    <r>
      <rPr>
        <b/>
        <vertAlign val="subscript"/>
        <sz val="10"/>
        <color rgb="FF183C1B"/>
        <rFont val="Arial"/>
        <family val="1"/>
      </rPr>
      <t>leach,inorganic,j</t>
    </r>
  </si>
  <si>
    <r>
      <t>M</t>
    </r>
    <r>
      <rPr>
        <b/>
        <vertAlign val="subscript"/>
        <sz val="10"/>
        <color theme="1" tint="0.24994659260841701"/>
        <rFont val="Arial"/>
        <family val="1"/>
      </rPr>
      <t>leach,inorganic,j</t>
    </r>
  </si>
  <si>
    <t>Table_M_leach_organic_j</t>
  </si>
  <si>
    <t>Mass of nitrogen from organic fertiliser lost through leaching and runoff</t>
  </si>
  <si>
    <r>
      <t>M</t>
    </r>
    <r>
      <rPr>
        <b/>
        <vertAlign val="subscript"/>
        <sz val="10"/>
        <color rgb="FF183C1B"/>
        <rFont val="Arial"/>
        <family val="1"/>
      </rPr>
      <t>leach,organic,j</t>
    </r>
  </si>
  <si>
    <r>
      <t>M</t>
    </r>
    <r>
      <rPr>
        <b/>
        <vertAlign val="subscript"/>
        <sz val="10"/>
        <color theme="1" tint="0.24994659260841701"/>
        <rFont val="Arial"/>
        <family val="1"/>
      </rPr>
      <t>leach,organic,j</t>
    </r>
  </si>
  <si>
    <r>
      <t>E</t>
    </r>
    <r>
      <rPr>
        <b/>
        <vertAlign val="subscript"/>
        <sz val="14"/>
        <color theme="1" tint="0.24994659260841701"/>
        <rFont val="Arial"/>
        <family val="1"/>
      </rPr>
      <t>fert,leach</t>
    </r>
  </si>
  <si>
    <t>Constants - Fertiliser</t>
  </si>
  <si>
    <t>FNinorganic f</t>
  </si>
  <si>
    <t>FU f</t>
  </si>
  <si>
    <t>Lifecycles Scope 3 definition</t>
  </si>
  <si>
    <t>Source</t>
  </si>
  <si>
    <t>Production systems</t>
  </si>
  <si>
    <t>Crop types</t>
  </si>
  <si>
    <t>Organic fertiliser types</t>
  </si>
  <si>
    <t>Organic fertiliser type</t>
  </si>
  <si>
    <t>Manure - Cattle</t>
  </si>
  <si>
    <t>Crop</t>
  </si>
  <si>
    <t>Grains</t>
  </si>
  <si>
    <t>Maize</t>
  </si>
  <si>
    <t>Manure - Swine</t>
  </si>
  <si>
    <t>FracGASF f</t>
  </si>
  <si>
    <t>P</t>
  </si>
  <si>
    <t>Fertiliser products</t>
  </si>
  <si>
    <t>Company</t>
  </si>
  <si>
    <t>Contains inhibitor</t>
  </si>
  <si>
    <t>N declared</t>
  </si>
  <si>
    <t>P declared</t>
  </si>
  <si>
    <t>K declared</t>
  </si>
  <si>
    <t>S declared</t>
  </si>
  <si>
    <t>Ingredient 7</t>
  </si>
  <si>
    <t>Ingredient 7 percent</t>
  </si>
  <si>
    <t>Ingredient 8</t>
  </si>
  <si>
    <t>Ingredient 8 percent</t>
  </si>
  <si>
    <t>Ingredient 9</t>
  </si>
  <si>
    <t>Ingredient 9 percent</t>
  </si>
  <si>
    <t>Ingredient 10</t>
  </si>
  <si>
    <t>Ingredient 10 percent</t>
  </si>
  <si>
    <t>Input - Electricity</t>
  </si>
  <si>
    <t>How do you want to calculate electricity emissions?</t>
  </si>
  <si>
    <t>Option 1: Location-based electricity</t>
  </si>
  <si>
    <t>State grid electricity purchases</t>
  </si>
  <si>
    <t>💡The grid you purchase electricity from is typically the same as the state and region the farm is in.</t>
  </si>
  <si>
    <t>Amount purchased in kWh</t>
  </si>
  <si>
    <t>kWh</t>
  </si>
  <si>
    <t>State and region your farm is in</t>
  </si>
  <si>
    <t>Grid where electricity purchased from</t>
  </si>
  <si>
    <t>Option 2: Market-based electricity</t>
  </si>
  <si>
    <t>Electricity purchased in kWh (excluding GreenPower providers)</t>
  </si>
  <si>
    <t xml:space="preserve">Renewable Power Percentage </t>
  </si>
  <si>
    <t>Jurisdictional renewable power percentage (ACT only)</t>
  </si>
  <si>
    <t>Electricity purchased from an accredited GreenPower provider</t>
  </si>
  <si>
    <t>Start of reporting year</t>
  </si>
  <si>
    <t>End of reporting year</t>
  </si>
  <si>
    <t>Voluntarily surrendered Renewable Energy Certificates (RECs)</t>
  </si>
  <si>
    <t>💡 You can add more rows to the table by right-clicking on the table and selecting "Insert &gt; Table rows above/below"</t>
  </si>
  <si>
    <t>Source (select)</t>
  </si>
  <si>
    <t>Generation date</t>
  </si>
  <si>
    <t>Number of certificates</t>
  </si>
  <si>
    <t>MWh</t>
  </si>
  <si>
    <t>Elegibility</t>
  </si>
  <si>
    <t>Dec 2020 certs</t>
  </si>
  <si>
    <t>Jan 2022 certs</t>
  </si>
  <si>
    <t>2024 certs</t>
  </si>
  <si>
    <t>Total elegible voluntarily surrendered RECs</t>
  </si>
  <si>
    <t xml:space="preserve"> </t>
  </si>
  <si>
    <t>Renewable Energy Certificates (RECs) for electricity produced on-site and consumed by the entity</t>
  </si>
  <si>
    <t>May 2022 generated</t>
  </si>
  <si>
    <t>Jul 24 certs generated</t>
  </si>
  <si>
    <t>Total elegible RECs for electricity produced on-site and consumed by entity</t>
  </si>
  <si>
    <t>14.1.1-2 Purchased Electricity</t>
  </si>
  <si>
    <r>
      <rPr>
        <b/>
        <sz val="14"/>
        <color theme="1" tint="0.24994659260841701"/>
        <rFont val="Arial"/>
        <family val="1"/>
      </rPr>
      <t>E</t>
    </r>
    <r>
      <rPr>
        <b/>
        <vertAlign val="subscript"/>
        <sz val="14"/>
        <color theme="1" tint="0.24994659260841701"/>
        <rFont val="Arial"/>
        <family val="1"/>
      </rPr>
      <t>2,elec</t>
    </r>
  </si>
  <si>
    <t>Constants - Electricity</t>
  </si>
  <si>
    <t>State, Territory or grid description</t>
  </si>
  <si>
    <t>Scope 2 Emission Factors (kg CO2-e/kWh)</t>
  </si>
  <si>
    <t>Scope 3 Emission Factors (kg CO2-e/kWh)</t>
  </si>
  <si>
    <t>Scope 2 EF (kg CO2-e/kWh)</t>
  </si>
  <si>
    <t>Scope 2 EF (kg CO2-e/GJ)</t>
  </si>
  <si>
    <t>Scope 3 EF (kg CO2-e/kWh)</t>
  </si>
  <si>
    <t>Scope 3 EF (kg CO2-e/GJ)</t>
  </si>
  <si>
    <t>Input - Fuel</t>
  </si>
  <si>
    <t>Fuel purchases and consumption</t>
  </si>
  <si>
    <t>A 'Metropolitan' location is:</t>
  </si>
  <si>
    <t>● On or east of the dividing range in NSW (including Canberra and Queanbeyan)</t>
  </si>
  <si>
    <t>● In Melbourne, Brisbane, Adelaide or Perth</t>
  </si>
  <si>
    <t>Is the property in a Metropolitan location?</t>
  </si>
  <si>
    <t>Metro</t>
  </si>
  <si>
    <t>💡 'Percent consumed" is 100% by default. If you purchased more fuel than was consumed you can edit this field.</t>
  </si>
  <si>
    <t>Fuel use (select)</t>
  </si>
  <si>
    <t>Fuel type (select)</t>
  </si>
  <si>
    <t>Amount purchased</t>
  </si>
  <si>
    <t>Amount unit</t>
  </si>
  <si>
    <t>Percent consumed</t>
  </si>
  <si>
    <t>Amount consumed</t>
  </si>
  <si>
    <t>Amount consumed unit</t>
  </si>
  <si>
    <t>Power standalone machinery or heating</t>
  </si>
  <si>
    <t>Town gas in GJ</t>
  </si>
  <si>
    <t>Petrol</t>
  </si>
  <si>
    <t>Cars and light commercial vehicles</t>
  </si>
  <si>
    <t>Diesel</t>
  </si>
  <si>
    <t>Off-road Agriculture and forestry equipment</t>
  </si>
  <si>
    <t>Vessels</t>
  </si>
  <si>
    <t>Fuel oil</t>
  </si>
  <si>
    <t>8.1.1.1-2 Transport fuel combustion</t>
  </si>
  <si>
    <t>Table_E_g</t>
  </si>
  <si>
    <t>Emissions for transport fuel combustion</t>
  </si>
  <si>
    <t>Fuel use</t>
  </si>
  <si>
    <t>Fuel type (NGAF terminology)</t>
  </si>
  <si>
    <t>Fuel type (q)</t>
  </si>
  <si>
    <r>
      <t>EC</t>
    </r>
    <r>
      <rPr>
        <b/>
        <vertAlign val="subscript"/>
        <sz val="10"/>
        <color rgb="FF183C1B"/>
        <rFont val="Arial"/>
        <family val="1"/>
      </rPr>
      <t>Trans,q</t>
    </r>
  </si>
  <si>
    <r>
      <t>EF</t>
    </r>
    <r>
      <rPr>
        <b/>
        <vertAlign val="subscript"/>
        <sz val="10"/>
        <color rgb="FF183C1B"/>
        <rFont val="Arial"/>
        <family val="1"/>
      </rPr>
      <t>Trans,1,q,g=CO2</t>
    </r>
  </si>
  <si>
    <r>
      <t>EF</t>
    </r>
    <r>
      <rPr>
        <b/>
        <vertAlign val="subscript"/>
        <sz val="10"/>
        <color rgb="FF183C1B"/>
        <rFont val="Arial"/>
        <family val="1"/>
      </rPr>
      <t>Trans,1,q,g=CH4</t>
    </r>
  </si>
  <si>
    <r>
      <t>EF</t>
    </r>
    <r>
      <rPr>
        <b/>
        <vertAlign val="subscript"/>
        <sz val="10"/>
        <color rgb="FF183C1B"/>
        <rFont val="Arial"/>
        <family val="1"/>
      </rPr>
      <t>Trans,1,q,g=N20</t>
    </r>
  </si>
  <si>
    <r>
      <t>EF</t>
    </r>
    <r>
      <rPr>
        <b/>
        <vertAlign val="subscript"/>
        <sz val="10"/>
        <color rgb="FF183C1B"/>
        <rFont val="Arial"/>
        <family val="1"/>
      </rPr>
      <t>Trans,3,q</t>
    </r>
  </si>
  <si>
    <r>
      <t>Q</t>
    </r>
    <r>
      <rPr>
        <b/>
        <vertAlign val="subscript"/>
        <sz val="10"/>
        <color rgb="FF533001"/>
        <rFont val="Arial"/>
        <family val="1"/>
      </rPr>
      <t>Trans,q</t>
    </r>
  </si>
  <si>
    <t>Q unit</t>
  </si>
  <si>
    <r>
      <t>E</t>
    </r>
    <r>
      <rPr>
        <b/>
        <vertAlign val="subscript"/>
        <sz val="10"/>
        <color rgb="FF183C1B"/>
        <rFont val="Arial"/>
        <family val="1"/>
      </rPr>
      <t>g=CO2</t>
    </r>
  </si>
  <si>
    <r>
      <t>E</t>
    </r>
    <r>
      <rPr>
        <b/>
        <vertAlign val="subscript"/>
        <sz val="10"/>
        <color rgb="FF183C1B"/>
        <rFont val="Arial"/>
        <family val="1"/>
      </rPr>
      <t>g=CH4</t>
    </r>
  </si>
  <si>
    <r>
      <t>E</t>
    </r>
    <r>
      <rPr>
        <b/>
        <vertAlign val="subscript"/>
        <sz val="10"/>
        <color rgb="FF183C1B"/>
        <rFont val="Arial"/>
        <family val="1"/>
      </rPr>
      <t>g=N20</t>
    </r>
  </si>
  <si>
    <r>
      <t>E</t>
    </r>
    <r>
      <rPr>
        <b/>
        <vertAlign val="subscript"/>
        <sz val="10"/>
        <color rgb="FF183C1B"/>
        <rFont val="Arial"/>
        <family val="1"/>
      </rPr>
      <t>3WTT,trans,q</t>
    </r>
  </si>
  <si>
    <t>CO2</t>
  </si>
  <si>
    <t>CH4</t>
  </si>
  <si>
    <t>N2O</t>
  </si>
  <si>
    <t>Total sope 1 - All transport fuel combustion</t>
  </si>
  <si>
    <t>8.2.1.1-2 Stationary fuel combustion</t>
  </si>
  <si>
    <t>Emissions for stationary fuel combustion</t>
  </si>
  <si>
    <r>
      <t>EC</t>
    </r>
    <r>
      <rPr>
        <b/>
        <vertAlign val="subscript"/>
        <sz val="10"/>
        <color rgb="FF183C1B"/>
        <rFont val="Arial"/>
        <family val="1"/>
      </rPr>
      <t>SC,q</t>
    </r>
  </si>
  <si>
    <r>
      <t>EF</t>
    </r>
    <r>
      <rPr>
        <b/>
        <vertAlign val="subscript"/>
        <sz val="10"/>
        <color rgb="FF183C1B"/>
        <rFont val="Arial"/>
        <family val="1"/>
      </rPr>
      <t>SC,1,q,g=CO2</t>
    </r>
  </si>
  <si>
    <r>
      <t>EF</t>
    </r>
    <r>
      <rPr>
        <b/>
        <vertAlign val="subscript"/>
        <sz val="10"/>
        <color rgb="FF183C1B"/>
        <rFont val="Arial"/>
        <family val="1"/>
      </rPr>
      <t>SC,1,q,g=CH4</t>
    </r>
  </si>
  <si>
    <r>
      <t>EF</t>
    </r>
    <r>
      <rPr>
        <b/>
        <vertAlign val="subscript"/>
        <sz val="10"/>
        <color rgb="FF183C1B"/>
        <rFont val="Arial"/>
        <family val="1"/>
      </rPr>
      <t>SC,1,q,g=N20</t>
    </r>
  </si>
  <si>
    <r>
      <t>EF</t>
    </r>
    <r>
      <rPr>
        <b/>
        <vertAlign val="subscript"/>
        <sz val="10"/>
        <color rgb="FF183C1B"/>
        <rFont val="Arial"/>
        <family val="1"/>
      </rPr>
      <t>SC,3,q</t>
    </r>
  </si>
  <si>
    <r>
      <t>Q</t>
    </r>
    <r>
      <rPr>
        <b/>
        <vertAlign val="subscript"/>
        <sz val="10"/>
        <color rgb="FF533001"/>
        <rFont val="Arial"/>
        <family val="1"/>
      </rPr>
      <t>SC,q</t>
    </r>
  </si>
  <si>
    <r>
      <t>E</t>
    </r>
    <r>
      <rPr>
        <b/>
        <vertAlign val="subscript"/>
        <sz val="10"/>
        <color rgb="FF183C1B"/>
        <rFont val="Arial"/>
        <family val="1"/>
      </rPr>
      <t>WTT,SC,q=N20</t>
    </r>
  </si>
  <si>
    <t>Total scope 1 - All stationary fuel use</t>
  </si>
  <si>
    <t>Constants - Fuel</t>
  </si>
  <si>
    <t>Transport type</t>
  </si>
  <si>
    <t>Fuel combusted</t>
  </si>
  <si>
    <t>Energy Content Factor (GJ per unit of fuel)</t>
  </si>
  <si>
    <t>Fuel unit</t>
  </si>
  <si>
    <t>Scope 1 Emission Factor (kg CO2 - e / GJ) CO2</t>
  </si>
  <si>
    <t>Scope 1 Emission Factor (kg CO2 - e / GJ) CH4</t>
  </si>
  <si>
    <t>Scope 1 Emission Factor (kg CO2 - e / GJ) N2O</t>
  </si>
  <si>
    <t>Scope 1 Emission Factor (kg CO2 - e / GJ) Combined gases</t>
  </si>
  <si>
    <t>Scope 3 Emission Factor (kg CO2 - e / GJ)</t>
  </si>
  <si>
    <t>Transport type t</t>
  </si>
  <si>
    <t>Fuel type q</t>
  </si>
  <si>
    <t>ECTrans,q (GJ/kL)</t>
  </si>
  <si>
    <t>Scope 1 CO2 EFTran,1,tqg (kg CO2-e/GJ)</t>
  </si>
  <si>
    <t>Scope 1 CH4 EFTran,1,tgg (kg CO2-e/GJ)</t>
  </si>
  <si>
    <t>Scope 1 N2O EFTran,1,tgg (kg CO2-e/GJ)</t>
  </si>
  <si>
    <t>Scope 3 EFTrans,3,q (kg CO2-e/GJ)</t>
  </si>
  <si>
    <t>State or territory</t>
  </si>
  <si>
    <t>Non-metro</t>
  </si>
  <si>
    <t>Appendices</t>
  </si>
  <si>
    <t>Generators</t>
  </si>
  <si>
    <t>Aviation</t>
  </si>
  <si>
    <t>Fuel type</t>
  </si>
  <si>
    <t>Input Unit</t>
  </si>
  <si>
    <t>kL</t>
  </si>
  <si>
    <t>L</t>
  </si>
  <si>
    <t>Liquefied petroleum gas (LPG)</t>
  </si>
  <si>
    <t>Biodiesel</t>
  </si>
  <si>
    <t>Ethanol</t>
  </si>
  <si>
    <t>Other biofuels</t>
  </si>
  <si>
    <t>Renewable diesel</t>
  </si>
  <si>
    <t>Avgas</t>
  </si>
  <si>
    <t>Jet A1, Jet B</t>
  </si>
  <si>
    <t>Renewable aviation kerosene</t>
  </si>
  <si>
    <t>Liquified natural gas (LNG)</t>
  </si>
  <si>
    <t>Diesel - Euro iv or higher</t>
  </si>
  <si>
    <t>Diesel - Euro iii</t>
  </si>
  <si>
    <t>Diesel - Euro i</t>
  </si>
  <si>
    <t>Renewable diesel – Euro iv or higher</t>
  </si>
  <si>
    <t>Renewable diesel – Euro iii</t>
  </si>
  <si>
    <t>Renewable diesel – Euro i</t>
  </si>
  <si>
    <t>Natural gas (via pipeline) in GJ</t>
  </si>
  <si>
    <t>GJ</t>
  </si>
  <si>
    <t>Input - Solid waste</t>
  </si>
  <si>
    <t>Solid waste treatment</t>
  </si>
  <si>
    <t>Treatment type (select)</t>
  </si>
  <si>
    <t>Waste type (select)</t>
  </si>
  <si>
    <t>Treatment location (select)</t>
  </si>
  <si>
    <t>Amount</t>
  </si>
  <si>
    <t>Amount unit (select)</t>
  </si>
  <si>
    <t>10.1.1-2 Solid waste treatment</t>
  </si>
  <si>
    <t>Table_V_w_t_onsite</t>
  </si>
  <si>
    <t>Volume of solid waste treated on-site (scope 1)</t>
  </si>
  <si>
    <t>Treatment</t>
  </si>
  <si>
    <t>Waste type</t>
  </si>
  <si>
    <t>Vwt</t>
  </si>
  <si>
    <r>
      <t>VTM</t>
    </r>
    <r>
      <rPr>
        <b/>
        <vertAlign val="subscript"/>
        <sz val="10"/>
        <color rgb="FF183C1B"/>
        <rFont val="Arial"/>
        <family val="1"/>
      </rPr>
      <t>w</t>
    </r>
  </si>
  <si>
    <r>
      <t>Q</t>
    </r>
    <r>
      <rPr>
        <b/>
        <vertAlign val="subscript"/>
        <sz val="10"/>
        <color rgb="FF183C1B"/>
        <rFont val="Arial"/>
        <family val="1"/>
      </rPr>
      <t>wt</t>
    </r>
  </si>
  <si>
    <t>Table_V_w_t_offsite</t>
  </si>
  <si>
    <t>Volume of solid waste sent offsite for treatment by third party (scope 3)</t>
  </si>
  <si>
    <t>Table_E_g_onsite</t>
  </si>
  <si>
    <t>Emissions from waste management of waste treated on-site (scope 1)</t>
  </si>
  <si>
    <r>
      <t>Q</t>
    </r>
    <r>
      <rPr>
        <b/>
        <vertAlign val="subscript"/>
        <sz val="10"/>
        <color rgb="FF533001"/>
        <rFont val="Arial"/>
        <family val="1"/>
      </rPr>
      <t>masswt</t>
    </r>
  </si>
  <si>
    <r>
      <t>Q</t>
    </r>
    <r>
      <rPr>
        <b/>
        <vertAlign val="subscript"/>
        <sz val="10"/>
        <color rgb="FF183C1B"/>
        <rFont val="Arial"/>
        <family val="1"/>
      </rPr>
      <t>volwt</t>
    </r>
  </si>
  <si>
    <r>
      <t>EF</t>
    </r>
    <r>
      <rPr>
        <b/>
        <vertAlign val="subscript"/>
        <sz val="10"/>
        <color rgb="FF183C1B"/>
        <rFont val="Arial"/>
        <family val="1"/>
      </rPr>
      <t>wtg</t>
    </r>
  </si>
  <si>
    <r>
      <t>E</t>
    </r>
    <r>
      <rPr>
        <b/>
        <vertAlign val="subscript"/>
        <sz val="10"/>
        <color rgb="FF183C1B"/>
        <rFont val="Arial"/>
        <family val="1"/>
      </rPr>
      <t>g</t>
    </r>
  </si>
  <si>
    <t>Summed above</t>
  </si>
  <si>
    <r>
      <rPr>
        <b/>
        <sz val="14"/>
        <color theme="1" tint="0.24994659260841701"/>
        <rFont val="Arial"/>
        <family val="1"/>
      </rPr>
      <t>E</t>
    </r>
    <r>
      <rPr>
        <b/>
        <vertAlign val="subscript"/>
        <sz val="14"/>
        <color theme="1" tint="0.24994659260841701"/>
        <rFont val="Arial"/>
        <family val="1"/>
      </rPr>
      <t>g</t>
    </r>
  </si>
  <si>
    <t>Table_E_g_offsite</t>
  </si>
  <si>
    <t>Emissions from waste management of waste taken off-site (scope 3)</t>
  </si>
  <si>
    <t>Constants - Solid Waste</t>
  </si>
  <si>
    <t>Table_WasteTypes_Landfill</t>
  </si>
  <si>
    <t>Table_WasteTypes_Incineration</t>
  </si>
  <si>
    <t>Table_WasteTypes_Composting</t>
  </si>
  <si>
    <t>Table_WasteTypes_Anaerobicdigestion</t>
  </si>
  <si>
    <t>Treatment type t</t>
  </si>
  <si>
    <t>Waste type w</t>
  </si>
  <si>
    <t>EFwt</t>
  </si>
  <si>
    <t>EF source</t>
  </si>
  <si>
    <t>VTMw</t>
  </si>
  <si>
    <t>Input - Pasture</t>
  </si>
  <si>
    <t>Area</t>
  </si>
  <si>
    <t>If multiple paddocks were managed in the same way at the same time, you can enter information for them all together.</t>
  </si>
  <si>
    <t>← Please select</t>
  </si>
  <si>
    <t>Hectares</t>
  </si>
  <si>
    <t>Yield</t>
  </si>
  <si>
    <t>💡 'Pasture yield' is the average amount of dry matter that is grazed.</t>
  </si>
  <si>
    <t xml:space="preserve">       A default value is provided based on pasture type. You can edit this if known.</t>
  </si>
  <si>
    <t>Tonnes dry matter / hectare</t>
  </si>
  <si>
    <t>Total pasture yield</t>
  </si>
  <si>
    <t>Tonnes</t>
  </si>
  <si>
    <t>Residue management</t>
  </si>
  <si>
    <t>6.2.1.1-2 Return of pasture residue to soils</t>
  </si>
  <si>
    <r>
      <t>M</t>
    </r>
    <r>
      <rPr>
        <b/>
        <vertAlign val="subscript"/>
        <sz val="10"/>
        <color theme="1" tint="0.24994659260841701"/>
        <rFont val="Arial"/>
        <family val="1"/>
      </rPr>
      <t>p</t>
    </r>
  </si>
  <si>
    <r>
      <t>E</t>
    </r>
    <r>
      <rPr>
        <vertAlign val="subscript"/>
        <sz val="10"/>
        <color theme="1" tint="0.24994659260841701"/>
        <rFont val="Arial"/>
        <family val="1"/>
      </rPr>
      <t>N2O</t>
    </r>
    <r>
      <rPr>
        <sz val="10"/>
        <color theme="1" tint="0.24994659260841701"/>
        <rFont val="Arial"/>
        <family val="1"/>
      </rPr>
      <t xml:space="preserve"> GWP</t>
    </r>
  </si>
  <si>
    <t>6.3.1.1-2 Leaching and run-off from pasture residues only</t>
  </si>
  <si>
    <t>M1_Table_M_leach_cp</t>
  </si>
  <si>
    <t>M2_Table_M_leach_cp</t>
  </si>
  <si>
    <t>Mass of nitrogen lost through leaching and runoff (Method 1)</t>
  </si>
  <si>
    <t>Mass of nitrogen lost through leaching and runoff (Method 2)</t>
  </si>
  <si>
    <t>Crop or pasture</t>
  </si>
  <si>
    <t>M_cp</t>
  </si>
  <si>
    <t>Irrigation</t>
  </si>
  <si>
    <t>FracWET_j</t>
  </si>
  <si>
    <t>M_leachcp</t>
  </si>
  <si>
    <t>Nitrous oxide leaching and runoff emissions (Method 1)</t>
  </si>
  <si>
    <t>E_N2O</t>
  </si>
  <si>
    <r>
      <t>E</t>
    </r>
    <r>
      <rPr>
        <b/>
        <vertAlign val="subscript"/>
        <sz val="14"/>
        <color theme="1"/>
        <rFont val="Arial"/>
        <family val="1"/>
      </rPr>
      <t>N2O</t>
    </r>
  </si>
  <si>
    <t>Constants - Agricultural residue</t>
  </si>
  <si>
    <t>Purpose</t>
  </si>
  <si>
    <t>Per hectare unit</t>
  </si>
  <si>
    <t>harvest term</t>
  </si>
  <si>
    <t>harvest endpoint</t>
  </si>
  <si>
    <t>Harvest uit</t>
  </si>
  <si>
    <t>Yield note</t>
  </si>
  <si>
    <t>Residue crop ratio note</t>
  </si>
  <si>
    <t>Total production note</t>
  </si>
  <si>
    <t>Residue: Crop ratio</t>
  </si>
  <si>
    <t>Below-ground: above-ground residue ratio</t>
  </si>
  <si>
    <t>Dry matter content</t>
  </si>
  <si>
    <t>Carbon fraction in dry matter</t>
  </si>
  <si>
    <t>N content above-ground</t>
  </si>
  <si>
    <t>N content below-ground</t>
  </si>
  <si>
    <t>Fraction of residue remaining at time of burning (b)</t>
  </si>
  <si>
    <t>Fraction burnt</t>
  </si>
  <si>
    <t>Climate zone type i</t>
  </si>
  <si>
    <t>EF i N2O</t>
  </si>
  <si>
    <t>Average Yield (t DM ha) Yp</t>
  </si>
  <si>
    <t>Below-ground: above-ground residue ratio RBGp</t>
  </si>
  <si>
    <t>N content Above-ground NCAGp</t>
  </si>
  <si>
    <t>N content Below-ground NCBGp</t>
  </si>
  <si>
    <t>Fraction of pasture yield that is removed FFODp</t>
  </si>
  <si>
    <t>Gas species</t>
  </si>
  <si>
    <t>Emission factor EFg (Gg element in species/ Gg element in fuel burnt)</t>
  </si>
  <si>
    <t>Elemental to molecular mass conversion factor (Cg)</t>
  </si>
  <si>
    <t>Crop type c</t>
  </si>
  <si>
    <t>Fraction removed</t>
  </si>
  <si>
    <t>Input - Beef Cattle Purchases</t>
  </si>
  <si>
    <t>⚠️ Livestock sales and purchases are not automatically reflected in the duration and head count tables - you will need to manually adjust head count, duration and average liveweight</t>
  </si>
  <si>
    <t>Purchase date</t>
  </si>
  <si>
    <t>Purchase class (select)</t>
  </si>
  <si>
    <t>Source region (Select)</t>
  </si>
  <si>
    <t>Quantity (head)</t>
  </si>
  <si>
    <t>Liveweight (kg/head) Method 1</t>
  </si>
  <si>
    <t>Liveweight (kg/head) Method 2</t>
  </si>
  <si>
    <t>Input - Common farm inputs</t>
  </si>
  <si>
    <t>Cleaning chemicals</t>
  </si>
  <si>
    <t>Product name</t>
  </si>
  <si>
    <t>Type (select)</t>
  </si>
  <si>
    <t>Quantity purchased (kg)</t>
  </si>
  <si>
    <t>Services and contractors</t>
  </si>
  <si>
    <t>Service provider / contractor</t>
  </si>
  <si>
    <t>Activity</t>
  </si>
  <si>
    <t>Total amount</t>
  </si>
  <si>
    <t>Uncategorised products</t>
  </si>
  <si>
    <t>Product / service name</t>
  </si>
  <si>
    <t>Input - Crop and pasture farm inputs</t>
  </si>
  <si>
    <t>Pesticides</t>
  </si>
  <si>
    <t xml:space="preserve">💡You can find specific product information in the Australian Government's 'PubCRIS' database search. </t>
  </si>
  <si>
    <t>Click here to find instructions on how to use the PubCRIS database</t>
  </si>
  <si>
    <t>Amount applied per ha</t>
  </si>
  <si>
    <t>Application unit (select)</t>
  </si>
  <si>
    <t>Total applied</t>
  </si>
  <si>
    <t>Constituent unit (select)</t>
  </si>
  <si>
    <t>Active ingredient 1 (select)</t>
  </si>
  <si>
    <t>Active ingredient 1 amount</t>
  </si>
  <si>
    <t>Total active ingredient 1 (kg)</t>
  </si>
  <si>
    <t>Active ingredient 2 (select)</t>
  </si>
  <si>
    <t>Active ingredient 2 amount</t>
  </si>
  <si>
    <t>Total active ingredient 2 (kg)</t>
  </si>
  <si>
    <t>Active ingredient 3 (select)</t>
  </si>
  <si>
    <t>Active ingredient 3 amount</t>
  </si>
  <si>
    <t>Total active ingredient 3 (kg)</t>
  </si>
  <si>
    <t>Seed</t>
  </si>
  <si>
    <t>Input - Livestock farm inputs</t>
  </si>
  <si>
    <t>Feed</t>
  </si>
  <si>
    <t>Lick blocks</t>
  </si>
  <si>
    <t>Feed rations</t>
  </si>
  <si>
    <t>Purchased feed blends for livestock</t>
  </si>
  <si>
    <t>Feed blend name</t>
  </si>
  <si>
    <t>Amount fed (kg)</t>
  </si>
  <si>
    <t>Ingredient 1 source region</t>
  </si>
  <si>
    <t>Ingredient 2 (select)</t>
  </si>
  <si>
    <t>Ingredient 2 source region</t>
  </si>
  <si>
    <t>Ingredient 3 (select)</t>
  </si>
  <si>
    <t>Ingredient 3 source region</t>
  </si>
  <si>
    <t>Ingredient 4 (select)</t>
  </si>
  <si>
    <t>Ingredient 4 source region</t>
  </si>
  <si>
    <t>Livestock pharmacy chemicals</t>
  </si>
  <si>
    <t>Number of head treated</t>
  </si>
  <si>
    <t>Miscellaneous inputs</t>
  </si>
  <si>
    <t>tags</t>
  </si>
  <si>
    <t>Input - Freight</t>
  </si>
  <si>
    <t>Incoming freight</t>
  </si>
  <si>
    <t>Route name</t>
  </si>
  <si>
    <t>Freight type (select)</t>
  </si>
  <si>
    <t>Route distance (km)</t>
  </si>
  <si>
    <t>Average weight of freight per trip (t)</t>
  </si>
  <si>
    <t>Number of trips taken</t>
  </si>
  <si>
    <t>Outgoing freight</t>
  </si>
  <si>
    <t>Input - Manure sent off-site</t>
  </si>
  <si>
    <t>Manure sent off-site</t>
  </si>
  <si>
    <t>For each relevant livestock type:</t>
  </si>
  <si>
    <r>
      <t>Use the 'Mass of nitrogen applied to soil for scope 3 emissions (MNSoil</t>
    </r>
    <r>
      <rPr>
        <vertAlign val="subscript"/>
        <sz val="10"/>
        <color theme="1" tint="0.24994659260841701"/>
        <rFont val="Arial"/>
        <family val="1"/>
      </rPr>
      <t>scope3</t>
    </r>
    <r>
      <rPr>
        <sz val="10"/>
        <color theme="1" tint="0.24994659260841701"/>
        <rFont val="Arial"/>
        <family val="1"/>
      </rPr>
      <t>)' value calculated in the 'Manure applied to soils' equations (Chapter 4 of VEERG)</t>
    </r>
  </si>
  <si>
    <t>Mass of Nitrogen from manure sent offsite (MNSoil) - Method 1</t>
  </si>
  <si>
    <t>kg N</t>
  </si>
  <si>
    <t>Mass of Nitrogen from manure sent offsite (MNSoil) - Method 2</t>
  </si>
  <si>
    <t>Production system where manure is anticipated to be deposited</t>
  </si>
  <si>
    <t>Irrigation method where manure is anticipated to be deposited</t>
  </si>
  <si>
    <t>15 Scope 3 emissions</t>
  </si>
  <si>
    <t>Scope 3 emissions are calculated on a maximum of 10 livestock purchases for each category</t>
  </si>
  <si>
    <t>Beef cattle</t>
  </si>
  <si>
    <t>Transaction description</t>
  </si>
  <si>
    <t>Livestock type c</t>
  </si>
  <si>
    <t>Origin o</t>
  </si>
  <si>
    <r>
      <t>N</t>
    </r>
    <r>
      <rPr>
        <b/>
        <vertAlign val="subscript"/>
        <sz val="10"/>
        <color theme="1"/>
        <rFont val="Arial"/>
        <family val="1"/>
      </rPr>
      <t>co</t>
    </r>
  </si>
  <si>
    <r>
      <t>W</t>
    </r>
    <r>
      <rPr>
        <b/>
        <vertAlign val="subscript"/>
        <sz val="10"/>
        <color theme="1"/>
        <rFont val="Arial"/>
        <family val="1"/>
      </rPr>
      <t>co</t>
    </r>
    <r>
      <rPr>
        <b/>
        <sz val="10"/>
        <color theme="1"/>
        <rFont val="Arial"/>
        <family val="2"/>
      </rPr>
      <t xml:space="preserve"> - Method 1 (kg/head)</t>
    </r>
  </si>
  <si>
    <r>
      <t>EF</t>
    </r>
    <r>
      <rPr>
        <b/>
        <vertAlign val="subscript"/>
        <sz val="10"/>
        <color rgb="FF183C1B"/>
        <rFont val="Arial"/>
        <family val="1"/>
      </rPr>
      <t>co</t>
    </r>
    <r>
      <rPr>
        <b/>
        <sz val="10"/>
        <color rgb="FF183C1B"/>
        <rFont val="Arial"/>
        <family val="1"/>
      </rPr>
      <t xml:space="preserve"> (Method 1)</t>
    </r>
  </si>
  <si>
    <t>E (Method 1)</t>
  </si>
  <si>
    <r>
      <t>W</t>
    </r>
    <r>
      <rPr>
        <b/>
        <vertAlign val="subscript"/>
        <sz val="10"/>
        <color theme="1"/>
        <rFont val="Arial"/>
        <family val="1"/>
      </rPr>
      <t>co</t>
    </r>
    <r>
      <rPr>
        <b/>
        <sz val="10"/>
        <color theme="1"/>
        <rFont val="Arial"/>
        <family val="2"/>
      </rPr>
      <t xml:space="preserve"> - Method 2 (kg/head)</t>
    </r>
  </si>
  <si>
    <r>
      <t>EF</t>
    </r>
    <r>
      <rPr>
        <b/>
        <vertAlign val="subscript"/>
        <sz val="10"/>
        <color rgb="FF533001"/>
        <rFont val="Arial"/>
        <family val="1"/>
      </rPr>
      <t>co</t>
    </r>
    <r>
      <rPr>
        <b/>
        <sz val="10"/>
        <color rgb="FF533001"/>
        <rFont val="Arial"/>
        <family val="1"/>
      </rPr>
      <t xml:space="preserve"> (Method 2)</t>
    </r>
  </si>
  <si>
    <t>E (Method 2)</t>
  </si>
  <si>
    <t>Method 2 EF source</t>
  </si>
  <si>
    <t>Method 2 EF source type (Select)</t>
  </si>
  <si>
    <t>Method 2 EF proof link</t>
  </si>
  <si>
    <t>Denise did a full LCA</t>
  </si>
  <si>
    <t>Verified credential matching ISO14067</t>
  </si>
  <si>
    <t>http://denisesdairy.com/LCA2024.pdf</t>
  </si>
  <si>
    <t>E - Beef cattle (Method 1)</t>
  </si>
  <si>
    <t>E - Beef cattle (Method 2)</t>
  </si>
  <si>
    <t>Dairy cattle</t>
  </si>
  <si>
    <r>
      <t>EF</t>
    </r>
    <r>
      <rPr>
        <vertAlign val="subscript"/>
        <sz val="9"/>
        <color theme="1" tint="0.34998626667073579"/>
        <rFont val="Arial"/>
        <family val="1"/>
      </rPr>
      <t>co</t>
    </r>
    <r>
      <rPr>
        <sz val="9"/>
        <color theme="1" tint="0.34998626667073579"/>
        <rFont val="Arial"/>
        <family val="1"/>
      </rPr>
      <t xml:space="preserve"> (Method 1)</t>
    </r>
  </si>
  <si>
    <t>E - Dairy cattle (Method 1)</t>
  </si>
  <si>
    <t>E - Dairy cattle (Method 2)</t>
  </si>
  <si>
    <t>Pigs</t>
  </si>
  <si>
    <t>E - Pigs (Method 1)</t>
  </si>
  <si>
    <t>E - Pigs (Method 2)</t>
  </si>
  <si>
    <t>Poultry</t>
  </si>
  <si>
    <t>E - Poultry (Method 1)</t>
  </si>
  <si>
    <t>E - Poultry (Method 2)</t>
  </si>
  <si>
    <t>Feed blends</t>
  </si>
  <si>
    <t xml:space="preserve">The method 1 product EF is calculated by multiplying the EF of each ingredient by the fraction of that ingredient in the product, then adding them all together. </t>
  </si>
  <si>
    <t>This is to allow for comparison with a method 2 product EF that might be provided by the supplier.</t>
  </si>
  <si>
    <t>If using an EF value from the manufacturer, make sure theirs is derived from the ingredients only to ensure a valid comparison with method 1 EF</t>
  </si>
  <si>
    <t>Scope 3 emissions are calculated on a maximum of 10 feed blends</t>
  </si>
  <si>
    <t>Blend name</t>
  </si>
  <si>
    <r>
      <t>Q</t>
    </r>
    <r>
      <rPr>
        <b/>
        <vertAlign val="subscript"/>
        <sz val="10"/>
        <color rgb="FF533001"/>
        <rFont val="Arial"/>
        <family val="1"/>
      </rPr>
      <t>j</t>
    </r>
  </si>
  <si>
    <r>
      <t>EF</t>
    </r>
    <r>
      <rPr>
        <b/>
        <vertAlign val="subscript"/>
        <sz val="10"/>
        <color rgb="FF183C1B"/>
        <rFont val="Arial"/>
        <family val="1"/>
      </rPr>
      <t>j</t>
    </r>
    <r>
      <rPr>
        <b/>
        <sz val="10"/>
        <color rgb="FF183C1B"/>
        <rFont val="Arial"/>
        <family val="1"/>
      </rPr>
      <t xml:space="preserve"> (Method 1)</t>
    </r>
  </si>
  <si>
    <r>
      <t>EF</t>
    </r>
    <r>
      <rPr>
        <b/>
        <vertAlign val="subscript"/>
        <sz val="10"/>
        <color rgb="FF533001"/>
        <rFont val="Arial"/>
        <family val="1"/>
      </rPr>
      <t>j</t>
    </r>
    <r>
      <rPr>
        <b/>
        <sz val="10"/>
        <color rgb="FF533001"/>
        <rFont val="Arial"/>
        <family val="1"/>
      </rPr>
      <t xml:space="preserve"> (Method 2)</t>
    </r>
  </si>
  <si>
    <t>Ingredient 1 source</t>
  </si>
  <si>
    <t>Ingredient 1 EF</t>
  </si>
  <si>
    <t>Ingredient 2 source</t>
  </si>
  <si>
    <t>Ingredient 2 EF</t>
  </si>
  <si>
    <t>Ingredient 3 source</t>
  </si>
  <si>
    <t>Ingredient 3 EF</t>
  </si>
  <si>
    <t>Ingredient 4 source</t>
  </si>
  <si>
    <t>Ingredient 4 EF</t>
  </si>
  <si>
    <t>Aquaculture and wild catch fieshery feed and bait</t>
  </si>
  <si>
    <r>
      <t>Q</t>
    </r>
    <r>
      <rPr>
        <b/>
        <vertAlign val="subscript"/>
        <sz val="10"/>
        <color rgb="FF533001"/>
        <rFont val="Arial"/>
        <family val="1"/>
      </rPr>
      <t>m</t>
    </r>
  </si>
  <si>
    <r>
      <t>EF</t>
    </r>
    <r>
      <rPr>
        <b/>
        <vertAlign val="subscript"/>
        <sz val="10"/>
        <color rgb="FF183C1B"/>
        <rFont val="Arial"/>
        <family val="1"/>
      </rPr>
      <t>m</t>
    </r>
    <r>
      <rPr>
        <b/>
        <sz val="10"/>
        <color rgb="FF183C1B"/>
        <rFont val="Arial"/>
        <family val="1"/>
      </rPr>
      <t xml:space="preserve"> (Method 1)</t>
    </r>
  </si>
  <si>
    <r>
      <t>EF</t>
    </r>
    <r>
      <rPr>
        <b/>
        <vertAlign val="subscript"/>
        <sz val="10"/>
        <color rgb="FF533001"/>
        <rFont val="Arial"/>
        <family val="1"/>
      </rPr>
      <t>m</t>
    </r>
    <r>
      <rPr>
        <b/>
        <sz val="10"/>
        <color rgb="FF533001"/>
        <rFont val="Arial"/>
        <family val="1"/>
      </rPr>
      <t xml:space="preserve"> (Method 2)</t>
    </r>
  </si>
  <si>
    <t>Branded fertiliser product purchases</t>
  </si>
  <si>
    <t>Scope 3 emissions are calculated on a maximum of 20 branded fertiliser product purchases</t>
  </si>
  <si>
    <t>Total amount (kg)</t>
  </si>
  <si>
    <r>
      <t>EF</t>
    </r>
    <r>
      <rPr>
        <b/>
        <vertAlign val="subscript"/>
        <sz val="10"/>
        <color rgb="FF183C1B"/>
        <rFont val="Arial"/>
        <family val="1"/>
      </rPr>
      <t>f</t>
    </r>
    <r>
      <rPr>
        <b/>
        <sz val="10"/>
        <color rgb="FF183C1B"/>
        <rFont val="Arial"/>
        <family val="1"/>
      </rPr>
      <t xml:space="preserve"> (Method 1)</t>
    </r>
  </si>
  <si>
    <t>E- Product (Method 1)</t>
  </si>
  <si>
    <t>E - Fertiliser components (Method 1)</t>
  </si>
  <si>
    <r>
      <t>EF</t>
    </r>
    <r>
      <rPr>
        <b/>
        <vertAlign val="subscript"/>
        <sz val="10"/>
        <color rgb="FF533001"/>
        <rFont val="Arial"/>
        <family val="1"/>
      </rPr>
      <t>f</t>
    </r>
    <r>
      <rPr>
        <b/>
        <sz val="10"/>
        <color rgb="FF533001"/>
        <rFont val="Arial"/>
        <family val="1"/>
      </rPr>
      <t xml:space="preserve"> (Method 2)</t>
    </r>
  </si>
  <si>
    <t>E- Product (Method 2)</t>
  </si>
  <si>
    <t>E - Fertiliser components (Method 2)</t>
  </si>
  <si>
    <r>
      <t>EF</t>
    </r>
    <r>
      <rPr>
        <b/>
        <vertAlign val="subscript"/>
        <sz val="10"/>
        <color rgb="FF183C1B"/>
        <rFont val="Arial"/>
        <family val="1"/>
      </rPr>
      <t xml:space="preserve">c - </t>
    </r>
    <r>
      <rPr>
        <b/>
        <sz val="10"/>
        <color rgb="FF183C1B"/>
        <rFont val="Arial"/>
        <family val="1"/>
      </rPr>
      <t>Ingredient 1 (Method 1)</t>
    </r>
  </si>
  <si>
    <r>
      <t>EF</t>
    </r>
    <r>
      <rPr>
        <b/>
        <vertAlign val="subscript"/>
        <sz val="10"/>
        <color rgb="FF533001"/>
        <rFont val="Arial"/>
        <family val="1"/>
      </rPr>
      <t>c</t>
    </r>
    <r>
      <rPr>
        <b/>
        <sz val="10"/>
        <color rgb="FF533001"/>
        <rFont val="Arial"/>
        <family val="1"/>
      </rPr>
      <t xml:space="preserve"> - Ingredient 1 (Method 2)</t>
    </r>
  </si>
  <si>
    <r>
      <t>EF</t>
    </r>
    <r>
      <rPr>
        <b/>
        <vertAlign val="subscript"/>
        <sz val="10"/>
        <color rgb="FF183C1B"/>
        <rFont val="Arial"/>
        <family val="1"/>
      </rPr>
      <t xml:space="preserve">c - </t>
    </r>
    <r>
      <rPr>
        <b/>
        <sz val="10"/>
        <color rgb="FF183C1B"/>
        <rFont val="Arial"/>
        <family val="1"/>
      </rPr>
      <t>Ingredient 2 (Method 1)</t>
    </r>
  </si>
  <si>
    <r>
      <t>EF</t>
    </r>
    <r>
      <rPr>
        <b/>
        <vertAlign val="subscript"/>
        <sz val="10"/>
        <color rgb="FF533001"/>
        <rFont val="Arial"/>
        <family val="1"/>
      </rPr>
      <t>c</t>
    </r>
    <r>
      <rPr>
        <b/>
        <sz val="10"/>
        <color rgb="FF533001"/>
        <rFont val="Arial"/>
        <family val="1"/>
      </rPr>
      <t xml:space="preserve"> - Ingredient 2 (Method 2)</t>
    </r>
  </si>
  <si>
    <r>
      <t>EF</t>
    </r>
    <r>
      <rPr>
        <b/>
        <vertAlign val="subscript"/>
        <sz val="10"/>
        <color rgb="FF183C1B"/>
        <rFont val="Arial"/>
        <family val="1"/>
      </rPr>
      <t xml:space="preserve">c - </t>
    </r>
    <r>
      <rPr>
        <b/>
        <sz val="10"/>
        <color rgb="FF183C1B"/>
        <rFont val="Arial"/>
        <family val="1"/>
      </rPr>
      <t>Ingredient 3 (Method 1)</t>
    </r>
  </si>
  <si>
    <r>
      <t>EF</t>
    </r>
    <r>
      <rPr>
        <b/>
        <vertAlign val="subscript"/>
        <sz val="10"/>
        <color rgb="FF533001"/>
        <rFont val="Arial"/>
        <family val="1"/>
      </rPr>
      <t>c</t>
    </r>
    <r>
      <rPr>
        <b/>
        <sz val="10"/>
        <color rgb="FF533001"/>
        <rFont val="Arial"/>
        <family val="1"/>
      </rPr>
      <t xml:space="preserve"> - Ingredient 3 (Method 2)</t>
    </r>
  </si>
  <si>
    <r>
      <t>EF</t>
    </r>
    <r>
      <rPr>
        <b/>
        <vertAlign val="subscript"/>
        <sz val="10"/>
        <color rgb="FF183C1B"/>
        <rFont val="Arial"/>
        <family val="1"/>
      </rPr>
      <t xml:space="preserve">c - </t>
    </r>
    <r>
      <rPr>
        <b/>
        <sz val="10"/>
        <color rgb="FF183C1B"/>
        <rFont val="Arial"/>
        <family val="1"/>
      </rPr>
      <t>Ingredient 4 (Method 1)</t>
    </r>
  </si>
  <si>
    <r>
      <t>EF</t>
    </r>
    <r>
      <rPr>
        <b/>
        <vertAlign val="subscript"/>
        <sz val="10"/>
        <color rgb="FF533001"/>
        <rFont val="Arial"/>
        <family val="1"/>
      </rPr>
      <t>c</t>
    </r>
    <r>
      <rPr>
        <b/>
        <sz val="10"/>
        <color rgb="FF533001"/>
        <rFont val="Arial"/>
        <family val="1"/>
      </rPr>
      <t xml:space="preserve"> - Ingredient 4 (Method 2)</t>
    </r>
  </si>
  <si>
    <r>
      <t>EF</t>
    </r>
    <r>
      <rPr>
        <b/>
        <vertAlign val="subscript"/>
        <sz val="10"/>
        <color rgb="FF183C1B"/>
        <rFont val="Arial"/>
        <family val="1"/>
      </rPr>
      <t xml:space="preserve">c - </t>
    </r>
    <r>
      <rPr>
        <b/>
        <sz val="10"/>
        <color rgb="FF183C1B"/>
        <rFont val="Arial"/>
        <family val="1"/>
      </rPr>
      <t>Ingredient 5 (Method 1)</t>
    </r>
  </si>
  <si>
    <r>
      <t>EF</t>
    </r>
    <r>
      <rPr>
        <b/>
        <vertAlign val="subscript"/>
        <sz val="10"/>
        <color rgb="FF533001"/>
        <rFont val="Arial"/>
        <family val="1"/>
      </rPr>
      <t>c</t>
    </r>
    <r>
      <rPr>
        <b/>
        <sz val="10"/>
        <color rgb="FF533001"/>
        <rFont val="Arial"/>
        <family val="1"/>
      </rPr>
      <t xml:space="preserve"> - Ingredient 5 (Method 2)</t>
    </r>
  </si>
  <si>
    <r>
      <t>EF</t>
    </r>
    <r>
      <rPr>
        <b/>
        <vertAlign val="subscript"/>
        <sz val="10"/>
        <color rgb="FF183C1B"/>
        <rFont val="Arial"/>
        <family val="1"/>
      </rPr>
      <t xml:space="preserve">c - </t>
    </r>
    <r>
      <rPr>
        <b/>
        <sz val="10"/>
        <color rgb="FF183C1B"/>
        <rFont val="Arial"/>
        <family val="1"/>
      </rPr>
      <t>Ingredient 6 (Method 1)</t>
    </r>
  </si>
  <si>
    <r>
      <t>EF</t>
    </r>
    <r>
      <rPr>
        <b/>
        <vertAlign val="subscript"/>
        <sz val="10"/>
        <color rgb="FF533001"/>
        <rFont val="Arial"/>
        <family val="1"/>
      </rPr>
      <t>c</t>
    </r>
    <r>
      <rPr>
        <b/>
        <sz val="10"/>
        <color rgb="FF533001"/>
        <rFont val="Arial"/>
        <family val="1"/>
      </rPr>
      <t xml:space="preserve"> - Ingredient 6 (Method 2)</t>
    </r>
  </si>
  <si>
    <t>Fertiliser custom blends</t>
  </si>
  <si>
    <t>Scope 3 emissions are calculated on a maximum of 20 custom fertiliser blends</t>
  </si>
  <si>
    <t>E (Method 1) - Product EF</t>
  </si>
  <si>
    <t>E (Method 2) - Product EF</t>
  </si>
  <si>
    <t>E (Method 1) - Component EF</t>
  </si>
  <si>
    <t>E (Method 2) - Component EF</t>
  </si>
  <si>
    <t>Active ingredient type</t>
  </si>
  <si>
    <r>
      <t>EF</t>
    </r>
    <r>
      <rPr>
        <b/>
        <vertAlign val="subscript"/>
        <sz val="10"/>
        <color rgb="FF183C1B"/>
        <rFont val="Arial"/>
        <family val="1"/>
      </rPr>
      <t>h</t>
    </r>
    <r>
      <rPr>
        <b/>
        <sz val="10"/>
        <color rgb="FF183C1B"/>
        <rFont val="Arial"/>
        <family val="1"/>
      </rPr>
      <t xml:space="preserve"> (Method 1)</t>
    </r>
  </si>
  <si>
    <r>
      <t>EF</t>
    </r>
    <r>
      <rPr>
        <b/>
        <vertAlign val="subscript"/>
        <sz val="10"/>
        <color rgb="FF533001"/>
        <rFont val="Arial"/>
        <family val="1"/>
      </rPr>
      <t>h</t>
    </r>
    <r>
      <rPr>
        <b/>
        <sz val="10"/>
        <color rgb="FF533001"/>
        <rFont val="Arial"/>
        <family val="1"/>
      </rPr>
      <t xml:space="preserve"> (Method 2)</t>
    </r>
  </si>
  <si>
    <r>
      <t>EF</t>
    </r>
    <r>
      <rPr>
        <vertAlign val="subscript"/>
        <sz val="10"/>
        <color theme="1" tint="0.24994659260841701"/>
        <rFont val="Arial"/>
        <family val="1"/>
      </rPr>
      <t>l</t>
    </r>
    <r>
      <rPr>
        <sz val="10"/>
        <color theme="1" tint="0.24994659260841701"/>
        <rFont val="Arial"/>
        <family val="1"/>
      </rPr>
      <t xml:space="preserve"> - Lime</t>
    </r>
  </si>
  <si>
    <r>
      <t>EF</t>
    </r>
    <r>
      <rPr>
        <vertAlign val="subscript"/>
        <sz val="10"/>
        <color theme="1" tint="0.24994659260841701"/>
        <rFont val="Arial"/>
        <family val="1"/>
      </rPr>
      <t>l</t>
    </r>
    <r>
      <rPr>
        <sz val="10"/>
        <color theme="1" tint="0.24994659260841701"/>
        <rFont val="Arial"/>
        <family val="1"/>
      </rPr>
      <t xml:space="preserve"> - Dolomite</t>
    </r>
  </si>
  <si>
    <r>
      <t>EF</t>
    </r>
    <r>
      <rPr>
        <vertAlign val="subscript"/>
        <sz val="10"/>
        <color theme="1" tint="0.24994659260841701"/>
        <rFont val="Arial"/>
        <family val="1"/>
      </rPr>
      <t>l</t>
    </r>
    <r>
      <rPr>
        <sz val="10"/>
        <color theme="1" tint="0.24994659260841701"/>
        <rFont val="Arial"/>
        <family val="1"/>
      </rPr>
      <t xml:space="preserve"> - Gypsum</t>
    </r>
  </si>
  <si>
    <t>Total amount (t)</t>
  </si>
  <si>
    <r>
      <t>M</t>
    </r>
    <r>
      <rPr>
        <b/>
        <vertAlign val="subscript"/>
        <sz val="10"/>
        <color rgb="FF533001"/>
        <rFont val="Arial"/>
        <family val="1"/>
      </rPr>
      <t>lime</t>
    </r>
    <r>
      <rPr>
        <b/>
        <sz val="10"/>
        <color rgb="FF533001"/>
        <rFont val="Arial"/>
        <family val="1"/>
      </rPr>
      <t xml:space="preserve"> - Lime</t>
    </r>
  </si>
  <si>
    <r>
      <t>M</t>
    </r>
    <r>
      <rPr>
        <b/>
        <vertAlign val="subscript"/>
        <sz val="10"/>
        <color rgb="FF533001"/>
        <rFont val="Arial"/>
        <family val="1"/>
      </rPr>
      <t>lime</t>
    </r>
    <r>
      <rPr>
        <b/>
        <sz val="10"/>
        <color rgb="FF533001"/>
        <rFont val="Arial"/>
        <family val="1"/>
      </rPr>
      <t xml:space="preserve"> - Dolomite</t>
    </r>
  </si>
  <si>
    <r>
      <t>M</t>
    </r>
    <r>
      <rPr>
        <b/>
        <vertAlign val="subscript"/>
        <sz val="10"/>
        <color rgb="FF533001"/>
        <rFont val="Arial"/>
        <family val="1"/>
      </rPr>
      <t>lime</t>
    </r>
    <r>
      <rPr>
        <b/>
        <sz val="10"/>
        <color rgb="FF533001"/>
        <rFont val="Arial"/>
        <family val="1"/>
      </rPr>
      <t xml:space="preserve"> - Gypsum</t>
    </r>
  </si>
  <si>
    <t>E(Method 2)</t>
  </si>
  <si>
    <t>VEERG_15_7_1_1__1_EmissionsFromPurchasedServices_Result_Method1</t>
  </si>
  <si>
    <r>
      <t xml:space="preserve">⚠️ </t>
    </r>
    <r>
      <rPr>
        <b/>
        <sz val="10"/>
        <color rgb="FFC44340"/>
        <rFont val="Arial"/>
        <family val="1"/>
      </rPr>
      <t>ALERT:</t>
    </r>
    <r>
      <rPr>
        <sz val="10"/>
        <color rgb="FFC44340"/>
        <rFont val="Arial"/>
        <family val="1"/>
      </rPr>
      <t xml:space="preserve"> No Method 1 EF data for purchased services and contractor operations is in </t>
    </r>
    <r>
      <rPr>
        <i/>
        <sz val="10"/>
        <color rgb="FFC44340"/>
        <rFont val="Arial"/>
        <family val="1"/>
      </rPr>
      <t>Greenhouse Gas Emission Intensities for Material Inputs to Australian Agriculture, Fisheries and Forestry</t>
    </r>
    <r>
      <rPr>
        <sz val="10"/>
        <color rgb="FFC44340"/>
        <rFont val="Arial"/>
        <family val="1"/>
      </rPr>
      <t>. Use method 2 EF values from your chosen data source.</t>
    </r>
  </si>
  <si>
    <t>Product EF (Method 1)</t>
  </si>
  <si>
    <t>Scope 3 (Method 1)</t>
  </si>
  <si>
    <t>Product EF (Method 2)</t>
  </si>
  <si>
    <t>Scope 3 (Method 2)</t>
  </si>
  <si>
    <t>Scope 3 unit</t>
  </si>
  <si>
    <t>No data</t>
  </si>
  <si>
    <t>Primary material</t>
  </si>
  <si>
    <r>
      <t>Q</t>
    </r>
    <r>
      <rPr>
        <b/>
        <vertAlign val="subscript"/>
        <sz val="10"/>
        <color theme="1"/>
        <rFont val="Arial"/>
        <family val="1"/>
      </rPr>
      <t>p</t>
    </r>
    <r>
      <rPr>
        <b/>
        <sz val="10"/>
        <color theme="1"/>
        <rFont val="Arial"/>
        <family val="2"/>
      </rPr>
      <t xml:space="preserve"> (kg)</t>
    </r>
  </si>
  <si>
    <r>
      <t>EF</t>
    </r>
    <r>
      <rPr>
        <b/>
        <vertAlign val="subscript"/>
        <sz val="10"/>
        <color rgb="FF183C1B"/>
        <rFont val="Arial"/>
        <family val="1"/>
      </rPr>
      <t xml:space="preserve">p </t>
    </r>
    <r>
      <rPr>
        <b/>
        <sz val="10"/>
        <color rgb="FF183C1B"/>
        <rFont val="Arial"/>
        <family val="1"/>
      </rPr>
      <t>(Method 1)</t>
    </r>
  </si>
  <si>
    <r>
      <t>EF</t>
    </r>
    <r>
      <rPr>
        <b/>
        <vertAlign val="subscript"/>
        <sz val="10"/>
        <color rgb="FF533001"/>
        <rFont val="Arial"/>
        <family val="1"/>
      </rPr>
      <t>p</t>
    </r>
    <r>
      <rPr>
        <b/>
        <sz val="10"/>
        <color rgb="FF533001"/>
        <rFont val="Arial"/>
        <family val="1"/>
      </rPr>
      <t xml:space="preserve"> (Method 2)</t>
    </r>
  </si>
  <si>
    <t>Grow media type</t>
  </si>
  <si>
    <t>VARIATION ON SOURCE: In order for result to be in t CO2e, convert known EF kg values to tonnes by multiplying by 10^-3, and added a check for EF unit where EF is not constant.</t>
  </si>
  <si>
    <t>Cleaning chemical purchases</t>
  </si>
  <si>
    <t>Type</t>
  </si>
  <si>
    <t>Amount purcahsed (kg)</t>
  </si>
  <si>
    <t>Pharmacy chemical purchases</t>
  </si>
  <si>
    <t>EF (Method 1)</t>
  </si>
  <si>
    <t>EF (Method 2)</t>
  </si>
  <si>
    <t>Amount (kg)</t>
  </si>
  <si>
    <t>Miscellaneous Inputs</t>
  </si>
  <si>
    <t>Uncategorised products with no Method 1 EF data</t>
  </si>
  <si>
    <t>EF (Method 2) Unit</t>
  </si>
  <si>
    <t>t / amount unit</t>
  </si>
  <si>
    <t>E</t>
  </si>
  <si>
    <r>
      <t>E</t>
    </r>
    <r>
      <rPr>
        <b/>
        <vertAlign val="subscript"/>
        <sz val="12"/>
        <color theme="1" tint="0.24994659260841701"/>
        <rFont val="Arial"/>
        <family val="1"/>
      </rPr>
      <t>3,elec</t>
    </r>
  </si>
  <si>
    <t>Route</t>
  </si>
  <si>
    <r>
      <t>W</t>
    </r>
    <r>
      <rPr>
        <b/>
        <vertAlign val="subscript"/>
        <sz val="10"/>
        <color rgb="FF533001"/>
        <rFont val="Arial"/>
        <family val="1"/>
      </rPr>
      <t>f</t>
    </r>
    <r>
      <rPr>
        <b/>
        <sz val="10"/>
        <color rgb="FF533001"/>
        <rFont val="Arial"/>
        <family val="1"/>
      </rPr>
      <t xml:space="preserve"> (t)</t>
    </r>
  </si>
  <si>
    <r>
      <t>D</t>
    </r>
    <r>
      <rPr>
        <b/>
        <vertAlign val="subscript"/>
        <sz val="10"/>
        <color rgb="FF533001"/>
        <rFont val="Arial"/>
        <family val="1"/>
      </rPr>
      <t>f</t>
    </r>
    <r>
      <rPr>
        <b/>
        <sz val="10"/>
        <color rgb="FF533001"/>
        <rFont val="Arial"/>
        <family val="1"/>
      </rPr>
      <t xml:space="preserve"> (km)</t>
    </r>
  </si>
  <si>
    <r>
      <t>EF</t>
    </r>
    <r>
      <rPr>
        <b/>
        <vertAlign val="superscript"/>
        <sz val="10"/>
        <color rgb="FF183C1B"/>
        <rFont val="Arial"/>
        <family val="1"/>
      </rPr>
      <t>f</t>
    </r>
    <r>
      <rPr>
        <b/>
        <sz val="10"/>
        <color rgb="FF183C1B"/>
        <rFont val="Arial"/>
        <family val="1"/>
      </rPr>
      <t xml:space="preserve"> (Method 1)</t>
    </r>
  </si>
  <si>
    <t>E - Incoming freight (Method 1)</t>
  </si>
  <si>
    <t>E - Incoming freight (Method 2)</t>
  </si>
  <si>
    <t>E - Outgoing freight (Method 1)</t>
  </si>
  <si>
    <t>E - Outgoing freight (Method 2)</t>
  </si>
  <si>
    <t>Calcs - Manure sent off-site</t>
  </si>
  <si>
    <r>
      <t>M</t>
    </r>
    <r>
      <rPr>
        <b/>
        <vertAlign val="subscript"/>
        <sz val="10"/>
        <color theme="1" tint="0.24994659260841701"/>
        <rFont val="Arial"/>
        <family val="1"/>
      </rPr>
      <t>vol,inorganic,jf</t>
    </r>
  </si>
  <si>
    <r>
      <t>M</t>
    </r>
    <r>
      <rPr>
        <b/>
        <vertAlign val="subscript"/>
        <sz val="10"/>
        <color theme="1" tint="0.24994659260841701"/>
        <rFont val="Arial"/>
        <family val="1"/>
      </rPr>
      <t>leach,inorganic,jf</t>
    </r>
  </si>
  <si>
    <t>Animals</t>
  </si>
  <si>
    <t>Emissions intensity</t>
  </si>
  <si>
    <t>GHGEI-MIAFF</t>
  </si>
  <si>
    <t>Chemicals</t>
  </si>
  <si>
    <t>Inorganic fertilisers</t>
  </si>
  <si>
    <t>Quantity</t>
  </si>
  <si>
    <t>Other agricultural inputs</t>
  </si>
  <si>
    <t>Packaging</t>
  </si>
  <si>
    <t>Soil ameliorants</t>
  </si>
  <si>
    <t>Fish feed and bait</t>
  </si>
  <si>
    <t>VEERG</t>
  </si>
  <si>
    <t>Constants - Livestock</t>
  </si>
  <si>
    <t>Symbol</t>
  </si>
  <si>
    <t>Symbol and MMS</t>
  </si>
  <si>
    <t>Source region</t>
  </si>
  <si>
    <t>Table_SourceData_LivestockProduct_Beefcattle</t>
  </si>
  <si>
    <t>Table_SourceData_LivestockProduct_Sheep</t>
  </si>
  <si>
    <t>Table_SourceData_LivestockProduct_Chickens</t>
  </si>
  <si>
    <t>Table_SourceData_LivestockProduct_Dairycattle</t>
  </si>
  <si>
    <t>Table_SourceData_LivestockProduct_Pigs</t>
  </si>
  <si>
    <t>Total emissions excluding removals</t>
  </si>
  <si>
    <t>Additional intake for milk production in the season of calving and the season after calving</t>
  </si>
  <si>
    <t>VEERG 2026: 3.2.1.1, Equation (4)</t>
  </si>
  <si>
    <t>MA_jk45</t>
  </si>
  <si>
    <t>LC_jk45</t>
  </si>
  <si>
    <t>proportion of cows greater than 1 year in calf in the season of calving expressed as a fraction</t>
  </si>
  <si>
    <t>FA_jk45calv</t>
  </si>
  <si>
    <t>feed adjustment value for lactating cows in the season of calving expressed as a fraction</t>
  </si>
  <si>
    <t>FA_jk45after</t>
  </si>
  <si>
    <t>feed adjustment value for lactating cows in the season immediately after calving expressed as a fraction</t>
  </si>
  <si>
    <t>b</t>
  </si>
  <si>
    <t>breed of cattle</t>
  </si>
  <si>
    <t>Input</t>
  </si>
  <si>
    <t>Constant</t>
  </si>
  <si>
    <t>Feed intake for grazing beef cattle</t>
  </si>
  <si>
    <t>VEERG 2026: 3.2.1.1, Equation (3)</t>
  </si>
  <si>
    <t>I_{jkl}=(1.185+0.00454\times W_{jkl}-0.0000026\times W_{jkl}^{2}+0.315\times LWG_{jkl})^2\times MA_{jk=4,5}</t>
  </si>
  <si>
    <t>I_jkl</t>
  </si>
  <si>
    <t>kg DM/head/day</t>
  </si>
  <si>
    <t>W_jkl</t>
  </si>
  <si>
    <t>liveweight (kg)</t>
  </si>
  <si>
    <t>LWG_jkl</t>
  </si>
  <si>
    <t>live weight gain (kg/head/day)</t>
  </si>
  <si>
    <t>additional intake for milk production in cows greater than 2 years</t>
  </si>
  <si>
    <t>Calculated from 3.2.1.1, (4)</t>
  </si>
  <si>
    <t>Daily production of enteric methane</t>
  </si>
  <si>
    <t>VEERG 2026: 3.2.1.1, Equation (2)</t>
  </si>
  <si>
    <t>M_jkl</t>
  </si>
  <si>
    <t>kg CH4/head/day</t>
  </si>
  <si>
    <t>dry matter intake</t>
  </si>
  <si>
    <t>Calculated from 3.2.1.1, (3)</t>
  </si>
  <si>
    <t>Total annual methane production from enteric fermentation in grazing beef cattle</t>
  </si>
  <si>
    <t>VEERG 2026: 3.2.1.1, Equation (1)</t>
  </si>
  <si>
    <t>E_enteric</t>
  </si>
  <si>
    <t>D_j</t>
  </si>
  <si>
    <t>number of days the animal is on the farm in each time-period</t>
  </si>
  <si>
    <t>daily production of enteric methane in each time-period, class and subclass</t>
  </si>
  <si>
    <t>N_jkl</t>
  </si>
  <si>
    <t>number of beef cattle in each time-period, class and subclass</t>
  </si>
  <si>
    <t>Calculated from 3.2.1.1, (2)</t>
  </si>
  <si>
    <t>Volatile solid production from grazing beef</t>
  </si>
  <si>
    <t>VEERG 2026: 4.2.1.1, Equation (3)</t>
  </si>
  <si>
    <t>VS_jkl</t>
  </si>
  <si>
    <t>dry matter intake as calculated in Chapter 3 Section 3.2.1</t>
  </si>
  <si>
    <t>DMD_jkl</t>
  </si>
  <si>
    <t>dry matter digestibility expressed as a fraction</t>
  </si>
  <si>
    <t>A</t>
  </si>
  <si>
    <t>ash content of feed intake expressed as a fraction</t>
  </si>
  <si>
    <t>Methane production from the manure of grazing beef cattle</t>
  </si>
  <si>
    <t>VEERG 2026: 4.2.1.1, Equation (2)</t>
  </si>
  <si>
    <t>M_jklm</t>
  </si>
  <si>
    <t>volatile solid production</t>
  </si>
  <si>
    <t>B_o</t>
  </si>
  <si>
    <t>emissions potential</t>
  </si>
  <si>
    <t>MMS_m</t>
  </si>
  <si>
    <t>fraction of waste in each manure management system</t>
  </si>
  <si>
    <t>MCF_im</t>
  </si>
  <si>
    <t>methane conversion factor for temperature zone and MMS</t>
  </si>
  <si>
    <t>rho</t>
  </si>
  <si>
    <t>density of methane</t>
  </si>
  <si>
    <t>i</t>
  </si>
  <si>
    <t>state</t>
  </si>
  <si>
    <t>region</t>
  </si>
  <si>
    <t>kg/day</t>
  </si>
  <si>
    <t>Calculated from 4.2.1.1 (3)</t>
  </si>
  <si>
    <t>m3 CH4/kg VS</t>
  </si>
  <si>
    <t>kg/m3</t>
  </si>
  <si>
    <t>Mean annual temperature</t>
  </si>
  <si>
    <t>°C</t>
  </si>
  <si>
    <t>Total annual methane production from manure management for grazing beef cattle</t>
  </si>
  <si>
    <t>VEERG 2026: 4.2.1.1, Equation (1)</t>
  </si>
  <si>
    <t>E_CH4</t>
  </si>
  <si>
    <t>methane production from manure in each time-period, class, subclass and MMS</t>
  </si>
  <si>
    <t>number of days in each time-period for each input class</t>
  </si>
  <si>
    <t>Calculated from 4.2.1.1 (2)</t>
  </si>
  <si>
    <t>Relative size of the cattle</t>
  </si>
  <si>
    <t>VEERG 2026: 4.2.1.3, Equation (7)</t>
  </si>
  <si>
    <t>Z_jkl</t>
  </si>
  <si>
    <t>ratio</t>
  </si>
  <si>
    <t>SRW_k</t>
  </si>
  <si>
    <t>standard reference weight (kg)</t>
  </si>
  <si>
    <t>Intake relative to that needed for maintenance</t>
  </si>
  <si>
    <t>VEERG 2026: 4.2.1.3, Equation (6)</t>
  </si>
  <si>
    <t>L_jkl</t>
  </si>
  <si>
    <t>dry matter intake as calculated in Chapter 3 Section 3.2.1 (kg DM/head/day)</t>
  </si>
  <si>
    <t>liveweight (kg/head)</t>
  </si>
  <si>
    <t>Calculated from 3.2.1.1 (3)</t>
  </si>
  <si>
    <t>Milk production for the season of calving and season after calving</t>
  </si>
  <si>
    <t>VEERG 2026: 4.2.1.3, Equation (5)</t>
  </si>
  <si>
    <t>MP_jk5</t>
  </si>
  <si>
    <t>LC_jk5curr</t>
  </si>
  <si>
    <t>proportion of cows greater than 2 years lactating for the season of calving</t>
  </si>
  <si>
    <t>LC_jk5prev</t>
  </si>
  <si>
    <t>proportion of cows greater than 2 years lactating for the season after calving</t>
  </si>
  <si>
    <t>DMP_jk5calv</t>
  </si>
  <si>
    <t>daily milk production for the season of calving (kg/head/day)</t>
  </si>
  <si>
    <t>DMP_jk5after</t>
  </si>
  <si>
    <t>daily milk production for the season after calving (kg/head/day)</t>
  </si>
  <si>
    <t>Amount of nitrogen retained by the body</t>
  </si>
  <si>
    <t>VEERG 2026: 4.2.1.3, Equation (4)</t>
  </si>
  <si>
    <t>NR_jkl</t>
  </si>
  <si>
    <t>kg N/head/day</t>
  </si>
  <si>
    <t>milk production (kg/head/day)</t>
  </si>
  <si>
    <t>intake relative to that needed for maintenance</t>
  </si>
  <si>
    <t>relative size</t>
  </si>
  <si>
    <t>liveweight gain (kg/head/day)</t>
  </si>
  <si>
    <t>Calculated from 4.2.1.3 (5)</t>
  </si>
  <si>
    <t>Calculated from 4.2.1.3 (6)</t>
  </si>
  <si>
    <t>Calculated from 4.2.1.3 (7)</t>
  </si>
  <si>
    <t>Nitrogen excreted</t>
  </si>
  <si>
    <t>VEERG 2026: 4.2.1.3, Equation (3)</t>
  </si>
  <si>
    <t>NE_jkl</t>
  </si>
  <si>
    <t>CP_j</t>
  </si>
  <si>
    <t>crude protein content of dry matter intake</t>
  </si>
  <si>
    <t>MC_jk136</t>
  </si>
  <si>
    <t>milk intake (kg/head/day)</t>
  </si>
  <si>
    <t>the amount of nitrogen retained by the body (kg N/head/day)</t>
  </si>
  <si>
    <t>s</t>
  </si>
  <si>
    <t>Calculated from 4.2.1.3 (4)</t>
  </si>
  <si>
    <t>Total nitrogen excreted to pasture, range and paddock</t>
  </si>
  <si>
    <t>VEERG 2026: 4.2.1.3, Equation (2)</t>
  </si>
  <si>
    <t>number of beef cattle by time-period, class and subclass</t>
  </si>
  <si>
    <t>nitrogen excreted in each time-period, by each class and subclass</t>
  </si>
  <si>
    <t>number of days in each time-period (days)</t>
  </si>
  <si>
    <t>Calculated from 4.2.1.3 (3)</t>
  </si>
  <si>
    <t>Total annual direct nitrous oxide emissions from agricultural soils from deposition of urine and dung</t>
  </si>
  <si>
    <t>VEERG 2026: 4.2.1.3, Equation (1)</t>
  </si>
  <si>
    <t>E_N2Odir</t>
  </si>
  <si>
    <t>Mass of nitrogen volatilised</t>
  </si>
  <si>
    <t>VEERG 2026: 4.2.1.5, Equation (2)</t>
  </si>
  <si>
    <t>M_vol</t>
  </si>
  <si>
    <t>total mass of nitrogen excreted on PRP for beef cattle</t>
  </si>
  <si>
    <t>FracGASMsoil</t>
  </si>
  <si>
    <t>fraction of nitrogen volatilised from urine and faeces deposited on pasture ((kg NH3-N + NOx-N)/kg N)</t>
  </si>
  <si>
    <t>Calculated from 4.2.1.3 (2)</t>
  </si>
  <si>
    <t>Atmospheric deposition emissions from urine and dung deposited on pasture</t>
  </si>
  <si>
    <t>VEERG 2026: 4.2.1.5, Equation (1)</t>
  </si>
  <si>
    <t>E_N2Oad</t>
  </si>
  <si>
    <t>mass of nitrogen volatilised from urine and faeces deposited on pasture</t>
  </si>
  <si>
    <t>EF_N2O</t>
  </si>
  <si>
    <t>nitrous oxide emission factor for atmospheric deposition</t>
  </si>
  <si>
    <t>C_N2O</t>
  </si>
  <si>
    <t>factor to convert elemental mass of N2O to molecular mass</t>
  </si>
  <si>
    <t>j</t>
  </si>
  <si>
    <t>production system</t>
  </si>
  <si>
    <t>irrigation method</t>
  </si>
  <si>
    <t>r</t>
  </si>
  <si>
    <t>rainfall zone</t>
  </si>
  <si>
    <t>Calculated from 4.2.1.5 (2)</t>
  </si>
  <si>
    <t>kg N2O-N/kg N</t>
  </si>
  <si>
    <t>Mass of nitrogen lost to leaching and runoff</t>
  </si>
  <si>
    <t>VEERG 2026: 4.2.1.7, Equation (2)</t>
  </si>
  <si>
    <t>M_leach</t>
  </si>
  <si>
    <t>FracWet</t>
  </si>
  <si>
    <t>fraction of N available for leaching and runoff</t>
  </si>
  <si>
    <t>FracLEACH</t>
  </si>
  <si>
    <t>fraction of all N that is lost through leaching and runoff</t>
  </si>
  <si>
    <t>z</t>
  </si>
  <si>
    <t>location in leaching zone</t>
  </si>
  <si>
    <t>ir</t>
  </si>
  <si>
    <t>Leaching and runoff emissions from urine and dung deposited on pasture</t>
  </si>
  <si>
    <t>VEERG 2026: 4.2.1.7, Equation (1)</t>
  </si>
  <si>
    <t>E_N2Oleach</t>
  </si>
  <si>
    <t>mass of nitrogen lost to leaching and runoff</t>
  </si>
  <si>
    <t>EF_leach</t>
  </si>
  <si>
    <t>emission factor for leaching and runoff</t>
  </si>
  <si>
    <t>Calculated from 4.2.1.7 (2)</t>
  </si>
  <si>
    <t>Mass of nitrogen in inorganic fertiliser applied to production system</t>
  </si>
  <si>
    <t>VEERG 2026: 5.1.1.1, Equation (2)</t>
  </si>
  <si>
    <t>MN_jf</t>
  </si>
  <si>
    <t>TM_jf</t>
  </si>
  <si>
    <t>total mass of inorganic fertiliser type f applied to production system j</t>
  </si>
  <si>
    <t>FN_inorganicf</t>
  </si>
  <si>
    <t xml:space="preserve">fraction of nitrogen in inorganic fertiliser type f </t>
  </si>
  <si>
    <t>kg N/kg</t>
  </si>
  <si>
    <t>Emission factor for nitrous oxide for irrigated maize</t>
  </si>
  <si>
    <t>VEERG 2026: 5.1.1.2, Equation (1)</t>
  </si>
  <si>
    <t>Nitrous oxide emissions from the application of all inorganic fertiliser types f to all production systems j</t>
  </si>
  <si>
    <t>VEERG 2026: 5.1.1.1, Equation (1)</t>
  </si>
  <si>
    <t>EF_fjIrrigatedMaizeN2O</t>
  </si>
  <si>
    <t>kg N2O-N/kg N applied</t>
  </si>
  <si>
    <t>N_fjIrrigatedMaize</t>
  </si>
  <si>
    <t>application rate of inorganic fertiliser type f in the irrigated maize crop</t>
  </si>
  <si>
    <t>f</t>
  </si>
  <si>
    <t>Inorganic fertiliser type</t>
  </si>
  <si>
    <t>kg N/ha</t>
  </si>
  <si>
    <t>mass of nitrogen in inorganic fertiliser type f applied to production system j</t>
  </si>
  <si>
    <t>EF_jN2O</t>
  </si>
  <si>
    <t>emission factor for nitrous oxide for inorganic fertilisers</t>
  </si>
  <si>
    <t>factor to convert elemental mass of nitrous oxide to molecular mass</t>
  </si>
  <si>
    <t>Calculated from 5.1.1.1 (2)</t>
  </si>
  <si>
    <t>Emission factor for nitrous oxide for non-irrigated grains in high rainfall zone</t>
  </si>
  <si>
    <t>VEERG 2026: 5.1.1.2, Equation (2)</t>
  </si>
  <si>
    <t>EF_fjNonIrrigatedGrainsN2O</t>
  </si>
  <si>
    <t>N_fjNonIrrigatedGrains</t>
  </si>
  <si>
    <t>application rate of inorganic fertiliser type f in the grains crop</t>
  </si>
  <si>
    <t>Emission factor for nitrous oxide for cotton</t>
  </si>
  <si>
    <t>VEERG 2026: 5.1.1.2, Equation (3)</t>
  </si>
  <si>
    <t>EF_fjCottonN2O</t>
  </si>
  <si>
    <t>N_fjCotton</t>
  </si>
  <si>
    <t>application rate of inorganic fertiliser type f in the cotton crop</t>
  </si>
  <si>
    <t>c</t>
  </si>
  <si>
    <t>Calculated from 5.1.1.2 (1)(2)(3)</t>
  </si>
  <si>
    <t>Mass of urea applied to production system</t>
  </si>
  <si>
    <t>VEERG 2026: 5.1.1.3, Equation (2)</t>
  </si>
  <si>
    <t>MU_jf</t>
  </si>
  <si>
    <t>kg urea</t>
  </si>
  <si>
    <t>FU_f</t>
  </si>
  <si>
    <t>fraction of urea in fertiliser type f</t>
  </si>
  <si>
    <t>kg urea/kg</t>
  </si>
  <si>
    <t>Lookup</t>
  </si>
  <si>
    <t>Carbon dioxide emissions resulting from the use of all inorganic, urea-based fertilisers</t>
  </si>
  <si>
    <t>VEERG 2026: 5.1.1.3, Equation (1)</t>
  </si>
  <si>
    <t>E_CO2</t>
  </si>
  <si>
    <t>mass of urea of inorganic fertiliser type f applied to production system j</t>
  </si>
  <si>
    <t>EF_ureaCO2</t>
  </si>
  <si>
    <t>emission factor for carbon emissions from urea-based fertilisers</t>
  </si>
  <si>
    <t>C_CO2</t>
  </si>
  <si>
    <t>factor to convert elemental mass of carbon to molecular mass of carbon dioxide</t>
  </si>
  <si>
    <t>Calculated</t>
  </si>
  <si>
    <t>kg C/kg urea</t>
  </si>
  <si>
    <t>Mass of nitrogen in purchased organic fertilisers applied to production system</t>
  </si>
  <si>
    <t>VEERG 2026: 5.2.1.1, Equation (2)</t>
  </si>
  <si>
    <t>MNSoil_jf</t>
  </si>
  <si>
    <t>M_organicjf</t>
  </si>
  <si>
    <t>mass of organic fertiliser type f applied to production system j</t>
  </si>
  <si>
    <t>FN_organicf</t>
  </si>
  <si>
    <t>nitrogen fraction of organic fertiliser type f</t>
  </si>
  <si>
    <t>Nitrous oxide emissions from the application of all organic fertiliser types f to all production systems j</t>
  </si>
  <si>
    <t>VEERG 2026: 5.2.1.1, Equation (1)</t>
  </si>
  <si>
    <t>mass of nitrogen in organic fertiliser type f applied to production system j</t>
  </si>
  <si>
    <t>EF_N2Oi</t>
  </si>
  <si>
    <t>emission factor for direct nitrous oxide emissions from organic fertiliser applied to soils and aquatic systems in climate zone i</t>
  </si>
  <si>
    <t>Calculated from 5.2.1.1 (2)</t>
  </si>
  <si>
    <t>Emissions from the application of lime and dolomite to production systems</t>
  </si>
  <si>
    <t>VEERG 2026: 5.3.1.1, Equation (1)</t>
  </si>
  <si>
    <t>E_lime</t>
  </si>
  <si>
    <t>M_lime</t>
  </si>
  <si>
    <t>total mass of lime applied to production system</t>
  </si>
  <si>
    <t>fraction of lime as limestone (CaCO3)</t>
  </si>
  <si>
    <t>P_lime</t>
  </si>
  <si>
    <t>fractional purity of limestone</t>
  </si>
  <si>
    <t>EF_lime</t>
  </si>
  <si>
    <t>emission factor for limestone fraction of lime</t>
  </si>
  <si>
    <t>fraction of lime as dolomite</t>
  </si>
  <si>
    <t>P_dol</t>
  </si>
  <si>
    <t>fractional purity of dolomite</t>
  </si>
  <si>
    <t>EF_dol</t>
  </si>
  <si>
    <t>emission factor for dolomite fraction of lime</t>
  </si>
  <si>
    <t>factor to convert elemental mass of carbon dioxide to molecular mass</t>
  </si>
  <si>
    <t>kg C/kg</t>
  </si>
  <si>
    <t>Mass of nitrogen volatilised from inorganic fertiliser applied to production system</t>
  </si>
  <si>
    <t>VEERG 2026: 5.4.1.1, Equation (2)</t>
  </si>
  <si>
    <t>M_volinorganicjf</t>
  </si>
  <si>
    <t>mass of nitrogen in inorganic fertiliser applied</t>
  </si>
  <si>
    <t>FracGASF_f</t>
  </si>
  <si>
    <t>fraction of inorganic fertiliser that volatilises</t>
  </si>
  <si>
    <t>(kg NH3-N + NOx-N)/kg N</t>
  </si>
  <si>
    <t>Nitrous oxide emissions from atmospheric deposition from all inorganic fertiliser types f and all production systems j</t>
  </si>
  <si>
    <t>VEERG 2026: 5.4.1.1, Equation (1)</t>
  </si>
  <si>
    <t>E_adinorganic</t>
  </si>
  <si>
    <t>mass of nitrogen volatilised from inorganic fertiliser applied to production system</t>
  </si>
  <si>
    <t>EF_N2Oj</t>
  </si>
  <si>
    <t>emission factor for atmospheric deposition</t>
  </si>
  <si>
    <t>rainfall region</t>
  </si>
  <si>
    <t>Calculated from 5.4.1.1 (2)</t>
  </si>
  <si>
    <t>Mass of nitrogen volatilised from organic fertiliser applied to production system</t>
  </si>
  <si>
    <t>VEERG 2026: 5.4.1.3, Equation (2)</t>
  </si>
  <si>
    <t>M_volorganicjf</t>
  </si>
  <si>
    <t>FracGASM_soil</t>
  </si>
  <si>
    <t>fraction of organic fertiliser N that volatilises</t>
  </si>
  <si>
    <t>Nitrous oxide emissions from atmospheric deposition of all organic fertiliser types f and all production systems j</t>
  </si>
  <si>
    <t>VEERG 2026: 5.4.1.3, Equation (1)</t>
  </si>
  <si>
    <t>E_adorganic</t>
  </si>
  <si>
    <t>mass of nitrogen volatilised from organic fertiliser applied to production system</t>
  </si>
  <si>
    <t>emission factor for atmospheric deposition in production system j</t>
  </si>
  <si>
    <t>Calculated from 5.4.1.3 (2)</t>
  </si>
  <si>
    <t>Mass of nitrogen lost through leaching and runoff from inorganic fertiliser application in production system j</t>
  </si>
  <si>
    <t>VEERG 2026: 5.5, Equation (2)</t>
  </si>
  <si>
    <t>M_leachinorganicj</t>
  </si>
  <si>
    <t>mass of nitrogen in inorganic fertiliser</t>
  </si>
  <si>
    <t>FracWETj</t>
  </si>
  <si>
    <t>fraction of N that is lost through leaching and runoff</t>
  </si>
  <si>
    <t>Mass of nitrogen lost through leaching and runoff from organic fertiliser application in production system j</t>
  </si>
  <si>
    <t>VEERG 2026: 5.5, Equation (3)</t>
  </si>
  <si>
    <t>M_leachorganicj</t>
  </si>
  <si>
    <t>mass of nitrogen in organic fertiliser</t>
  </si>
  <si>
    <t>Nitrous oxide emissions from nitrogen leaching and runoff from the application of all fertilisers across all production systems j</t>
  </si>
  <si>
    <t>VEERG 2026: 5.5, Equation (1)</t>
  </si>
  <si>
    <t>E_fertleach</t>
  </si>
  <si>
    <t>mass of nitrogen lost through leaching and runoff from inorganic fertiliser application in production system j</t>
  </si>
  <si>
    <t>mass of nitrogen lost through leaching and runoff from organic fertiliser application</t>
  </si>
  <si>
    <t>emission factor for nitrogen leaching and runoff</t>
  </si>
  <si>
    <t>Calculated from 5.5.1.1 (2)</t>
  </si>
  <si>
    <t>Calculated from 5.5.1.1 (3)</t>
  </si>
  <si>
    <t>Mass of nitrogen in pasture residues returned to the soil</t>
  </si>
  <si>
    <t>VEERG 2026: 6.2.1.1, Equation (2)</t>
  </si>
  <si>
    <t>Mp</t>
  </si>
  <si>
    <t>A_p</t>
  </si>
  <si>
    <t>area of pasture renewed or removed</t>
  </si>
  <si>
    <t>Y_p</t>
  </si>
  <si>
    <t>average yield of pasture crop</t>
  </si>
  <si>
    <t>NC_AGp</t>
  </si>
  <si>
    <t>N content of above-ground pasture residue</t>
  </si>
  <si>
    <t>R_BGp</t>
  </si>
  <si>
    <t>below-ground residue to above-ground residue ratio for pasture crop</t>
  </si>
  <si>
    <t>NC_BGp</t>
  </si>
  <si>
    <t>N content of below-ground pasture crop residue</t>
  </si>
  <si>
    <t>FFOD_p</t>
  </si>
  <si>
    <t>fraction of pasture yield that is removed</t>
  </si>
  <si>
    <t>p</t>
  </si>
  <si>
    <t>ha</t>
  </si>
  <si>
    <t>t DM/ha</t>
  </si>
  <si>
    <t>kg N/kg DM</t>
  </si>
  <si>
    <t>Nitrous oxide emissions from the return of pasture residues from all pasture types to the soil</t>
  </si>
  <si>
    <t>VEERG 2026: 6.2.1.1, Equation (1)</t>
  </si>
  <si>
    <t>EN2O</t>
  </si>
  <si>
    <t>M_p</t>
  </si>
  <si>
    <t>mass of nitrogen in pasture p residues returned to the soil</t>
  </si>
  <si>
    <t>EF_Ni</t>
  </si>
  <si>
    <t>emission factor for crop residues returned to the soil in climate zone i</t>
  </si>
  <si>
    <t>Calculated from 6.2.1.1 (2)</t>
  </si>
  <si>
    <t>dimensionless</t>
  </si>
  <si>
    <t>Mass of nitrogen lost through leaching and runoff</t>
  </si>
  <si>
    <t>VEERG 2026: 6.3.1.1, Equation (2)</t>
  </si>
  <si>
    <t>mass of nitrogen in crop residues c or pasture residues p applied to soils</t>
  </si>
  <si>
    <t>fraction of N that is available for leaching and runoff from the leaching zone z and irrigation type ir</t>
  </si>
  <si>
    <t>Location in leaching zone</t>
  </si>
  <si>
    <t>Crop residue type</t>
  </si>
  <si>
    <t>Pasture residue type</t>
  </si>
  <si>
    <t>Irrigation type</t>
  </si>
  <si>
    <t>Calc from 6.1.1.1 (2) and 6.2.1.1 (2)</t>
  </si>
  <si>
    <t>Nitrous oxide leaching and runoff emissions from crop and pasture residues returned to the soil</t>
  </si>
  <si>
    <t>VEERG 2026: 6.3.1.1, Equation (1)</t>
  </si>
  <si>
    <t>mass of nitrogen lost through leaching and runoff from the crop residue c or pasture residue p</t>
  </si>
  <si>
    <t>Calculated from 6.3.1.1 (2)</t>
  </si>
  <si>
    <t>Emissions for each GHG from the combustion of fuels for transport energy purposes</t>
  </si>
  <si>
    <t>VEERG 2026: 8.1.1.1, Equation (1)</t>
  </si>
  <si>
    <t>Upstream emissions from scope 1 fuel use for transport purposes</t>
  </si>
  <si>
    <t>VEERG 2026: 15.11.1.1, Equation (2)</t>
  </si>
  <si>
    <t>E_g</t>
  </si>
  <si>
    <t>E_WTTtransq</t>
  </si>
  <si>
    <t>Q_Transtq</t>
  </si>
  <si>
    <t>Amount of fuel type q combusted for transport energy purposes</t>
  </si>
  <si>
    <t>EC_Transq</t>
  </si>
  <si>
    <t>Energy content factor for transport energy purposes</t>
  </si>
  <si>
    <t>EF_Trans1tqg</t>
  </si>
  <si>
    <t>Scope 1 emission factor for transport energy purposes for each greenhouse gas</t>
  </si>
  <si>
    <t>q</t>
  </si>
  <si>
    <t>Trans</t>
  </si>
  <si>
    <t>Transport combustion</t>
  </si>
  <si>
    <t>g</t>
  </si>
  <si>
    <t>Greenhouse gas</t>
  </si>
  <si>
    <t>Varies based on fuel type: kL, m3, GJ</t>
  </si>
  <si>
    <t>GJ / unit of fuel</t>
  </si>
  <si>
    <t>kg CO2e / GJ</t>
  </si>
  <si>
    <t>Q_Transq</t>
  </si>
  <si>
    <t>amount of fuel q combusted for transport energy purposes</t>
  </si>
  <si>
    <t>energy content factor for transport energy purposes</t>
  </si>
  <si>
    <t>EF_Trans3q</t>
  </si>
  <si>
    <t>scope 3 emission factor for transport energy purposes</t>
  </si>
  <si>
    <t>GJ/kL or GJ/m3</t>
  </si>
  <si>
    <t>kg CO2e/GJ</t>
  </si>
  <si>
    <t>Emissions for each GHG from the stationary combustion of fuels</t>
  </si>
  <si>
    <t>VEERG 2026: 8.2.1.1, Equation (1)</t>
  </si>
  <si>
    <t>Upstream emissions from scope 1 stationary combustion fuel use</t>
  </si>
  <si>
    <t>VEERG 2026: 15.11.1.1, Equation (3)</t>
  </si>
  <si>
    <t>VARIATION ON SOURCE: Added 'state' and 'metro/non-metro' arguments as gaseous scope 3 EFs are state and metro/non-metro location-based.</t>
  </si>
  <si>
    <t>E_WTTSCq</t>
  </si>
  <si>
    <t>Q_SCq</t>
  </si>
  <si>
    <t>Amount of fuel type q used for stationary combustion operations</t>
  </si>
  <si>
    <t>EC_SCq</t>
  </si>
  <si>
    <t>Energy content factor for stationary combustion operations</t>
  </si>
  <si>
    <t>EF_SC1qg</t>
  </si>
  <si>
    <t>Scope 1 emission factor for stationary combustion for each greenhouse gas</t>
  </si>
  <si>
    <t>SC</t>
  </si>
  <si>
    <t>Stationary combustion</t>
  </si>
  <si>
    <t>amount of fuel q used for stationary combustion operations</t>
  </si>
  <si>
    <t>energy content factor for stationary combustion operations</t>
  </si>
  <si>
    <t>EF_SC3q</t>
  </si>
  <si>
    <t>scope 3 emission factor for stationary combustion operations</t>
  </si>
  <si>
    <t>m</t>
  </si>
  <si>
    <t>metropolitan/non-metropolitan location</t>
  </si>
  <si>
    <t>GJ/kL</t>
  </si>
  <si>
    <t>Mass of waste from waste volume</t>
  </si>
  <si>
    <t>VEERG 2026: 10.1.1.1, Equation (2)</t>
  </si>
  <si>
    <t>Q_wt</t>
  </si>
  <si>
    <t>t</t>
  </si>
  <si>
    <t>V_wt</t>
  </si>
  <si>
    <t>volume of solid waste type w being sent to treatment facility t</t>
  </si>
  <si>
    <t>VTM_w</t>
  </si>
  <si>
    <t>conversion factor of volume to mass for waste type w</t>
  </si>
  <si>
    <t>w</t>
  </si>
  <si>
    <t>waste type</t>
  </si>
  <si>
    <t>treatment facility</t>
  </si>
  <si>
    <t>m3</t>
  </si>
  <si>
    <t>t/m3</t>
  </si>
  <si>
    <t>Emissions from waste management by greenhouse gas</t>
  </si>
  <si>
    <t>VEERG 2026: 10.1.1.1, Equation (1)</t>
  </si>
  <si>
    <t>VARIATION ON SOURCE: Added Q_volwt and Q_masswt variables to clearly track input or calculated Q values</t>
  </si>
  <si>
    <t>quantity of solid waste of type w being sent to treatment facility t, on a wet weight basis</t>
  </si>
  <si>
    <t>EF_wtg</t>
  </si>
  <si>
    <t>emission factor for greenhouse gas g for the management of waste at treatment facility t</t>
  </si>
  <si>
    <t>greenhouse gas</t>
  </si>
  <si>
    <t>Q_volwt</t>
  </si>
  <si>
    <t>quantity of sold waste input as volume and converted to tonnes</t>
  </si>
  <si>
    <t>Q_masswt</t>
  </si>
  <si>
    <t>quantity of solid waste input as mass</t>
  </si>
  <si>
    <t>Sum of Q_volwt and Q_masswt</t>
  </si>
  <si>
    <t>t CO2e/t</t>
  </si>
  <si>
    <t>Calculated from 10.1.1.1 (2)</t>
  </si>
  <si>
    <t>Location-based Scope 2 emissions from purchased electricity</t>
  </si>
  <si>
    <t>VEERG 2026: 14.1.1, Equation (1)</t>
  </si>
  <si>
    <t>Added g variable to capture which grid electricity was purchased from</t>
  </si>
  <si>
    <t>E_2elec</t>
  </si>
  <si>
    <t>Q_elec</t>
  </si>
  <si>
    <t>amount of electricity purchased from the grid</t>
  </si>
  <si>
    <t>EF_2elec</t>
  </si>
  <si>
    <t>location-based Scope 2 emission factor for electricity</t>
  </si>
  <si>
    <t>Grid electricity was purchased from</t>
  </si>
  <si>
    <t>kg CO2e/kWh</t>
  </si>
  <si>
    <t>Market-based Scope 2 emissions from purchased electricity</t>
  </si>
  <si>
    <t>VEERG 2026: 14.1.2, Equation (1)</t>
  </si>
  <si>
    <t>VARIATION ON SOURCE: In order to convert megawatt hours to kilowatt hours, the REC_surrendered and REC_onsite variables are multiplied by 10^3 instead of 10^-3.</t>
  </si>
  <si>
    <t>RPP</t>
  </si>
  <si>
    <t>Renewable Power Percentage under the Large-scale Renewable Energy Target (LRET)</t>
  </si>
  <si>
    <t>JRPP</t>
  </si>
  <si>
    <t>jurisdictional renewable power percentage for the applicable period (ACT only)</t>
  </si>
  <si>
    <t>REC_surrendered</t>
  </si>
  <si>
    <t>Renewable Energy Certificates voluntarily surrendered in the reporting year</t>
  </si>
  <si>
    <t>REC_onsite</t>
  </si>
  <si>
    <t>Renewable Energy Certificates issued for electricity produced on-site during the year and consumed by the entity</t>
  </si>
  <si>
    <t>EF_RMF2elec</t>
  </si>
  <si>
    <t>Scope 2 residual mix emission factor for electricity</t>
  </si>
  <si>
    <t>per cent</t>
  </si>
  <si>
    <t>Total emissions from purchased livestock</t>
  </si>
  <si>
    <t>VEERG 2026: 15.1.1.1, Equation (1)</t>
  </si>
  <si>
    <t>N_co</t>
  </si>
  <si>
    <t>number of animals purchased in livestock type c from origin o</t>
  </si>
  <si>
    <t>W_co</t>
  </si>
  <si>
    <t>average liveweight of purchased livestock at point of purchase</t>
  </si>
  <si>
    <t>EF_co</t>
  </si>
  <si>
    <t>emission factor per livestock type and origin</t>
  </si>
  <si>
    <t>livestock type</t>
  </si>
  <si>
    <t>o</t>
  </si>
  <si>
    <t>origin</t>
  </si>
  <si>
    <t>kg CO2e/kg</t>
  </si>
  <si>
    <t>Emissions from purchased feed</t>
  </si>
  <si>
    <t>VEERG 2026: 15.2.1.1, Equation (1)</t>
  </si>
  <si>
    <t>VARIATION ON SOURCE: Input Q_j in kg instead of t to match EF units. Multiply by 10^-3 to convert kg CO2e to t CO2e.</t>
  </si>
  <si>
    <t>Q_j</t>
  </si>
  <si>
    <t>quantity of feed type j purchased</t>
  </si>
  <si>
    <t>EF_j</t>
  </si>
  <si>
    <t>emission factor of purchased feed</t>
  </si>
  <si>
    <t>feed type</t>
  </si>
  <si>
    <t>Total emissions from purchased mineral supplements</t>
  </si>
  <si>
    <t>VEERG 2026: 15.3.1.1, Equation (1)</t>
  </si>
  <si>
    <t>Q_m</t>
  </si>
  <si>
    <t>total quantity of mineral supplement type m used</t>
  </si>
  <si>
    <t>EF_m</t>
  </si>
  <si>
    <t>emission factor of purchased mineral supplement</t>
  </si>
  <si>
    <t>mineral supplement type</t>
  </si>
  <si>
    <t>Emission factor for fertiliser product derived from components</t>
  </si>
  <si>
    <t>GAF</t>
  </si>
  <si>
    <t>VARIATION ON SOURCE: This equation is added to calculate an EF value from fertiliser components that can be used in 15.4.1.1 (1)</t>
  </si>
  <si>
    <t>EF_f</t>
  </si>
  <si>
    <t>kg CO2e/kg fertiliser</t>
  </si>
  <si>
    <t>F_cf</t>
  </si>
  <si>
    <t>fraction of component c contained within the inorganic fertiliser f</t>
  </si>
  <si>
    <t>EF_c</t>
  </si>
  <si>
    <t>emission factor for the production of component c</t>
  </si>
  <si>
    <t>fertiliser component</t>
  </si>
  <si>
    <t>inorganic fertiliser type</t>
  </si>
  <si>
    <t>wt%</t>
  </si>
  <si>
    <t>kg CO2e/kg component</t>
  </si>
  <si>
    <t>Emissions from purchased fertiliser</t>
  </si>
  <si>
    <t>VEERG 2026: 15.4.1.1, Equation (1)</t>
  </si>
  <si>
    <t>quantity of inorganic fertiliser type f purchased and applied to production system j</t>
  </si>
  <si>
    <t>emission factor of purchased inorganic fertiliser</t>
  </si>
  <si>
    <t>Emissions from purchased fertiliser components</t>
  </si>
  <si>
    <t>VEERG 2026: 15.4.1.1, Equation (2)</t>
  </si>
  <si>
    <t>VARIATION ON SOURCE: removes division by 100 for F_cf, treating F_cf as fraction instead of percent because it is a fraction in scope 1 equations. Convert kg to tonnes by mutiplying by 10^-3.</t>
  </si>
  <si>
    <t>Total emissions from purchased agrichemicals</t>
  </si>
  <si>
    <t>VEERG 2026: 15.5.1.1, Equation (1)</t>
  </si>
  <si>
    <t>Q_h</t>
  </si>
  <si>
    <t>quantity of active ingredients in agrichemical type h purchased and applied to soils</t>
  </si>
  <si>
    <t>EF_h</t>
  </si>
  <si>
    <t>emission factor for purchased agrichemical active ingredient</t>
  </si>
  <si>
    <t>h</t>
  </si>
  <si>
    <t>agrichemical type</t>
  </si>
  <si>
    <t>kg ai</t>
  </si>
  <si>
    <t>kg CO2e/kg ai</t>
  </si>
  <si>
    <t>Embedded emissions for purchased lime</t>
  </si>
  <si>
    <t>VEERG 2026: 15.6.1.1, Equation (1)</t>
  </si>
  <si>
    <t>total quantity of lime applied to soils</t>
  </si>
  <si>
    <t>EF_l</t>
  </si>
  <si>
    <t>emission factor for purchased lime</t>
  </si>
  <si>
    <t>Emissions of purchased services and contractor operations</t>
  </si>
  <si>
    <t>VEERG 2026: 15.7.1.1, Equation (1)</t>
  </si>
  <si>
    <t>activity data of the service that was purchased</t>
  </si>
  <si>
    <t>EF_p</t>
  </si>
  <si>
    <t>life cycle emission factor for the purchased service</t>
  </si>
  <si>
    <t>service type</t>
  </si>
  <si>
    <t>ha or h</t>
  </si>
  <si>
    <t>kg CO2e/ha or kg CO2e/h</t>
  </si>
  <si>
    <t>Embedded emissions from use of packaging materials</t>
  </si>
  <si>
    <t>VEERG 2026: 15.8.1.1, Equation (1)</t>
  </si>
  <si>
    <t>VARIATION ON SOURCE: Changed unit of Q from 'units' to 'kg' as EF data is in kg.</t>
  </si>
  <si>
    <t>Q_p</t>
  </si>
  <si>
    <t>units of packaging type p</t>
  </si>
  <si>
    <t>emission factor for packaging type p</t>
  </si>
  <si>
    <t>packaging type</t>
  </si>
  <si>
    <t>units</t>
  </si>
  <si>
    <t>kg CO2e/unit</t>
  </si>
  <si>
    <t>Embedded emissions from use of grow media products</t>
  </si>
  <si>
    <t>VEERG 2026: 15.9.1.1, Equation (1)</t>
  </si>
  <si>
    <t>Q_g</t>
  </si>
  <si>
    <t>total quantity of grow media type g</t>
  </si>
  <si>
    <t>EF_g</t>
  </si>
  <si>
    <t>emission factor for grow media type g</t>
  </si>
  <si>
    <t>grow media type</t>
  </si>
  <si>
    <t>kg or m3</t>
  </si>
  <si>
    <t>kg CO2e/kg or kg CO2e/m3</t>
  </si>
  <si>
    <t>Other purchased goods and services generic estimate</t>
  </si>
  <si>
    <t>VEERG 2026: 15.10, generic placeholder equation</t>
  </si>
  <si>
    <t>emissions</t>
  </si>
  <si>
    <t>activity_data</t>
  </si>
  <si>
    <t>measured activity for the purchased good or service</t>
  </si>
  <si>
    <t>emission_factor</t>
  </si>
  <si>
    <t>lifecycle emissions per unit of activity</t>
  </si>
  <si>
    <t>varies</t>
  </si>
  <si>
    <t>Total upstream emissions from scope 1 fuel consumption</t>
  </si>
  <si>
    <t>VEERG 2026: 15.11.1.1, Equation (1)</t>
  </si>
  <si>
    <t>upstream emissions from scope 1 transport fuel use</t>
  </si>
  <si>
    <t>upstream emissions from scope 1 stationary combustion fuel use</t>
  </si>
  <si>
    <t>Calculated by 15.11.1.1 (2)</t>
  </si>
  <si>
    <t>Calculated by 15.11.1.1 (3)</t>
  </si>
  <si>
    <t>Scope 3 emissions from purchased electricity location based</t>
  </si>
  <si>
    <t>VEERG 2026: 15.12.1.1, Equation (1)</t>
  </si>
  <si>
    <t>E_3elec</t>
  </si>
  <si>
    <t>EF_3elec</t>
  </si>
  <si>
    <t>scope 3 emission factor for purchased electricity</t>
  </si>
  <si>
    <t>grid electricity was purchased from</t>
  </si>
  <si>
    <t>Scope 3 emissions from purchased electricity market based</t>
  </si>
  <si>
    <t>VEERG 2026: 15.12.1.2, Equation (1)</t>
  </si>
  <si>
    <t>renewable power percentage under LRET for the applicable period</t>
  </si>
  <si>
    <t>jurisdictional renewable power percentage for the applicable period</t>
  </si>
  <si>
    <t>eligible renewable energy certificates voluntarily surrendered</t>
  </si>
  <si>
    <t>eligible renewable energy certificates issued for onsite generated electricity</t>
  </si>
  <si>
    <t>EF_RMF3elec</t>
  </si>
  <si>
    <t>scope 3 residual mix emission factor for electricity</t>
  </si>
  <si>
    <t>Emissions from manure sent off site applied to soils in another farming system or enterprise</t>
  </si>
  <si>
    <t>VEERG 2026: 15.13.1.1, Equation (1)</t>
  </si>
  <si>
    <t>direct nitrous oxide emissions from application of manure to soils outside of scope 1 boundary</t>
  </si>
  <si>
    <t>E_ad</t>
  </si>
  <si>
    <t>nitrous oxide emissions from atmospheric deposition of manure to soils</t>
  </si>
  <si>
    <t>E_leach</t>
  </si>
  <si>
    <t>nitrous oxide emissions from nitrogen leaching and runoff of manure to soils</t>
  </si>
  <si>
    <t>Emissions from solid waste sent to a treatment facility</t>
  </si>
  <si>
    <t>VEERG 2026: 15.13.1.3</t>
  </si>
  <si>
    <t>Embedded emissions from upstream freight</t>
  </si>
  <si>
    <t>VEERG 2026: 15.14.1.1, Equation (1)</t>
  </si>
  <si>
    <t>W_f</t>
  </si>
  <si>
    <t>total mass of goods transported per freight type f</t>
  </si>
  <si>
    <t>D_f</t>
  </si>
  <si>
    <t>total distance transported per freight type f</t>
  </si>
  <si>
    <t>emission factor for freight type f</t>
  </si>
  <si>
    <t>freight type</t>
  </si>
  <si>
    <t>km</t>
  </si>
  <si>
    <t>t CO2e/(t km)</t>
  </si>
  <si>
    <t>Beef pasture cattle - Liveweight (kg) (Wjkl)</t>
  </si>
  <si>
    <t>VEERG 2026: Table A.1.2.1</t>
  </si>
  <si>
    <t>Wjkl</t>
  </si>
  <si>
    <t>ACT/NSW</t>
  </si>
  <si>
    <t>South Australia</t>
  </si>
  <si>
    <t>Tasmania</t>
  </si>
  <si>
    <t>Victoria</t>
  </si>
  <si>
    <t>Western Australia</t>
  </si>
  <si>
    <t>Beef pasture cattle - Liveweight (kg) (Wjkl) for NT and QLD</t>
  </si>
  <si>
    <t>VEERG 2026: Table A.1.2.2</t>
  </si>
  <si>
    <t>Northern Territory</t>
  </si>
  <si>
    <t>NO</t>
  </si>
  <si>
    <t>Queensland</t>
  </si>
  <si>
    <t>Beef pasture cattle - Liveweight gain (kg) (LWGjkl)</t>
  </si>
  <si>
    <t>VEERG 2026: Table A.1.2.3</t>
  </si>
  <si>
    <t>LWGjkl</t>
  </si>
  <si>
    <t>Beef pasture cattle - Liveweight gain (kg) (LWGjkl) for NT and QLD</t>
  </si>
  <si>
    <t>VEERG 2026: Table A.1.2.4</t>
  </si>
  <si>
    <t>Beef pasture cattle - Dry matter digestibility of feed intake (fraction) (DMDj)</t>
  </si>
  <si>
    <t>VEERG 2026: Table A.1.2.5</t>
  </si>
  <si>
    <t>DMDj</t>
  </si>
  <si>
    <t>VARIATION ON SOURCE: Split ACT and NSW into separate rows. Duplicated QLD and NT rows with regions from table A.1.2.2 to aid lookup</t>
  </si>
  <si>
    <t>Beef pasture cattle - Crude protein content of feed intake (fraction) (CPj)</t>
  </si>
  <si>
    <t>VEERG 2026: Table A.1.2.6</t>
  </si>
  <si>
    <t>CPj</t>
  </si>
  <si>
    <t>Beef pasture cattle - Feed intake adjustment and milk production (kg/head/day)</t>
  </si>
  <si>
    <t>VEERG 2026: Table A.1.2.7</t>
  </si>
  <si>
    <t>MCjk=1,3,6; DMPjk=5</t>
  </si>
  <si>
    <t>Hereford or Shorthorn breeds</t>
  </si>
  <si>
    <t>Northern Brahman cross breed</t>
  </si>
  <si>
    <t>Beef pasture cattle - Standard reference weights (kg) (SRWk)</t>
  </si>
  <si>
    <t>VEERG 2026: Table A.1.2.8</t>
  </si>
  <si>
    <t>SRWk</t>
  </si>
  <si>
    <t>VARIATION ON SOURCE: Split ACT and NSW into separate rows. Added 'State abbreviation' column to aid lookup.</t>
  </si>
  <si>
    <t>Beef pasture cattle - Fraction of manure to each manure management system (fraction) (MMSm)</t>
  </si>
  <si>
    <t>VEERG 2026: Table A.1.2.9</t>
  </si>
  <si>
    <t>VARIATION ON SOURCE: Removed comma from 'Pasture range and paddock' to aid lookup</t>
  </si>
  <si>
    <t>Beef pasture cattle - Methane conversion factor per region (fraction) (MCFim)</t>
  </si>
  <si>
    <t>VEERG 2026: Table A.1.2.10</t>
  </si>
  <si>
    <t>MCFim</t>
  </si>
  <si>
    <t>Ash content of feed intake</t>
  </si>
  <si>
    <t>VEERG 2026: 4.2.2.3 CONSTANTS</t>
  </si>
  <si>
    <t>Methane emissions potential</t>
  </si>
  <si>
    <t>B0</t>
  </si>
  <si>
    <t>m3 CH4 / kg VS</t>
  </si>
  <si>
    <t>Fraction of nitrogen volatilised from urine and faeces deposited on pasture</t>
  </si>
  <si>
    <t>FracGASMSoil</t>
  </si>
  <si>
    <t>Default fraction of N that is lost through leaching and runoff</t>
  </si>
  <si>
    <t>Cattle, for manufacturing beef</t>
  </si>
  <si>
    <t>kg liveweight</t>
  </si>
  <si>
    <t>at market</t>
  </si>
  <si>
    <t>Cattle, for prime beef</t>
  </si>
  <si>
    <t>Cattle, weaners</t>
  </si>
  <si>
    <t>Chickens</t>
  </si>
  <si>
    <t>Dairy cows</t>
  </si>
  <si>
    <t>Sheep</t>
  </si>
  <si>
    <t>Sheep, for mutton</t>
  </si>
  <si>
    <t>Sheep, for prime lamb</t>
  </si>
  <si>
    <t>Crop purpose and yield</t>
  </si>
  <si>
    <t>Cash grain crop</t>
  </si>
  <si>
    <t>grain</t>
  </si>
  <si>
    <t>yield</t>
  </si>
  <si>
    <t>harvest</t>
  </si>
  <si>
    <t>Yield is the grain harvested from the plant</t>
  </si>
  <si>
    <t>Residue to crop ratio is provided from default values</t>
  </si>
  <si>
    <t>Total production is the total grain harvested</t>
  </si>
  <si>
    <t>Cash crop for hay/silage</t>
  </si>
  <si>
    <t>above ground biomass</t>
  </si>
  <si>
    <t>plant biomass</t>
  </si>
  <si>
    <t>Yield is the whole plant harvested for hay/silage</t>
  </si>
  <si>
    <t>Residue to crop ratio is 0 assuming the whole plant is harvested for hay/silage</t>
  </si>
  <si>
    <t>Total production is the total whole plant biomass harvested as hay/silage</t>
  </si>
  <si>
    <t>Cover crop</t>
  </si>
  <si>
    <t>mass</t>
  </si>
  <si>
    <t>end of crop cycle</t>
  </si>
  <si>
    <t>Yield is the whole plant kept as cover crop</t>
  </si>
  <si>
    <t>Residue to crop ratio is 1 assuming the whole plant is kept as cover crop</t>
  </si>
  <si>
    <t>Total production is the total whole plant biomass kept as cover crop</t>
  </si>
  <si>
    <t>Table A.2.1.1: Crop attributes</t>
  </si>
  <si>
    <t>VEERG 2026: Table A.2.1.1: Crop attributes</t>
  </si>
  <si>
    <t>Wheat</t>
  </si>
  <si>
    <t>Barley</t>
  </si>
  <si>
    <t>Oats</t>
  </si>
  <si>
    <t>Rice</t>
  </si>
  <si>
    <t>Sorghum</t>
  </si>
  <si>
    <t>Triticale</t>
  </si>
  <si>
    <t>Other cereals</t>
  </si>
  <si>
    <t>Pulses</t>
  </si>
  <si>
    <t>Tubers and roots</t>
  </si>
  <si>
    <t>Peanuts</t>
  </si>
  <si>
    <t>Sugar cane</t>
  </si>
  <si>
    <t>Hops</t>
  </si>
  <si>
    <t>Oilseeds</t>
  </si>
  <si>
    <t>Forage crops</t>
  </si>
  <si>
    <t>Other annual crops</t>
  </si>
  <si>
    <t>Other perennial crops</t>
  </si>
  <si>
    <t>Emission factor for organic fertiliser and crop residues returned to the soil</t>
  </si>
  <si>
    <t>VEERG 2026: Table A.2.1.4</t>
  </si>
  <si>
    <t>Wet climate zone</t>
  </si>
  <si>
    <t>Dry climate zone</t>
  </si>
  <si>
    <t>Table A.2.1.3 Pasture attributes</t>
  </si>
  <si>
    <t>VEERG 2026: Table A.2.1.3: Pasture attributes</t>
  </si>
  <si>
    <t>Annual grass</t>
  </si>
  <si>
    <t>Grass clover mixture</t>
  </si>
  <si>
    <t>Lucerne</t>
  </si>
  <si>
    <t>Other legume</t>
  </si>
  <si>
    <t>Perennial pasture</t>
  </si>
  <si>
    <t>Table 5.31 Burning of agricultural residues - EFs</t>
  </si>
  <si>
    <t>National Inventory Report 2023 volume 2: Table 5.31: Burning of agricultural residues - EFs</t>
  </si>
  <si>
    <t>16/12</t>
  </si>
  <si>
    <t>44/28</t>
  </si>
  <si>
    <t>NOx</t>
  </si>
  <si>
    <t>46/14</t>
  </si>
  <si>
    <t>CO</t>
  </si>
  <si>
    <t>28/12</t>
  </si>
  <si>
    <t>NMVOC</t>
  </si>
  <si>
    <t>14/12</t>
  </si>
  <si>
    <t>Table A.2.1.2: Crop attributes - Fraction removed (FFODc)</t>
  </si>
  <si>
    <t>VEERG 2026: Table A.2.1.2: Crop attributes - Fraction removed (FFODc)</t>
  </si>
  <si>
    <t>All states</t>
  </si>
  <si>
    <t>Sugar Cane</t>
  </si>
  <si>
    <t>All other crop types</t>
  </si>
  <si>
    <t>Table 5.12 Additional symbols used in algorithms for manure related emissions</t>
  </si>
  <si>
    <t>National Inventory Report 2023 Volume 1: Table 5.12</t>
  </si>
  <si>
    <t>Anaerobic lagoon (m=1)</t>
  </si>
  <si>
    <t>Liquid systems (m=2)</t>
  </si>
  <si>
    <t>Daily spread (m=3)</t>
  </si>
  <si>
    <t>3a</t>
  </si>
  <si>
    <t>Sump and dispersal system</t>
  </si>
  <si>
    <t>Sump and dispersal system (m=3a)</t>
  </si>
  <si>
    <t>3b</t>
  </si>
  <si>
    <t>Drains to paddock</t>
  </si>
  <si>
    <t>Drains to paddock (m=3b)</t>
  </si>
  <si>
    <t>Solid storage (m=4)</t>
  </si>
  <si>
    <t>Drylot (feed pad)</t>
  </si>
  <si>
    <t>Drylot (feed pad) (m=5)</t>
  </si>
  <si>
    <t>Composting (passive windrow) (m=6)</t>
  </si>
  <si>
    <t>Digester / covered lagoons (m=7)</t>
  </si>
  <si>
    <t>Deep litter (m=8)</t>
  </si>
  <si>
    <t>Pit storage (m=9)</t>
  </si>
  <si>
    <t>Poultry manure with bedding (m=10)</t>
  </si>
  <si>
    <t>Poultry manure without bedding (m=11)</t>
  </si>
  <si>
    <t>11a</t>
  </si>
  <si>
    <t>Belt manure removal</t>
  </si>
  <si>
    <t>Belt manure removal (m=11a)</t>
  </si>
  <si>
    <t>11b</t>
  </si>
  <si>
    <t>Manure stored in house</t>
  </si>
  <si>
    <t>Manure stored in house (m=11b)</t>
  </si>
  <si>
    <t>Direct processing (m=12)</t>
  </si>
  <si>
    <t>Direct application (m=13)</t>
  </si>
  <si>
    <t>Pasture range and paddock (m=14)</t>
  </si>
  <si>
    <t>Beef cattle products for scope 3</t>
  </si>
  <si>
    <t>Lifecycles. (2026). Greenhouse Gas Emission Intensities for Material Inputs to Australian Agriculture, Fisheries and Forestry. Version 48. doi 10.5281/zenodo.19656580</t>
  </si>
  <si>
    <t>Sheep products for scope 3</t>
  </si>
  <si>
    <t>Chickens products for scope 3</t>
  </si>
  <si>
    <t>Dairy cattle products for scope 3</t>
  </si>
  <si>
    <t>Pigs products for scope 3</t>
  </si>
  <si>
    <t>Electricity scope 2 and scope 3 location-based emission factors</t>
  </si>
  <si>
    <t>Australian National Greenhouse Accounts Factors 2025 - Table 1</t>
  </si>
  <si>
    <t>New South Wales</t>
  </si>
  <si>
    <t>Western Australia - South West Interconnected System (SWIS)</t>
  </si>
  <si>
    <t>Western Australia - North Western Interconnected System (NWIS)</t>
  </si>
  <si>
    <t>Northern Territory - Darwin Katherine Interconnected System (DKIS)</t>
  </si>
  <si>
    <t>National</t>
  </si>
  <si>
    <t>Electricity scope 2 and scope 3 market-based emission factors</t>
  </si>
  <si>
    <t>Australian National Greenhouse Accounts Factors 2025 - Table 2a</t>
  </si>
  <si>
    <t>Common inorganic fertilisers</t>
  </si>
  <si>
    <t>Table A.2.2.3: Fraction of nitrogen in common inorganic fertilisers (kgN/kg) (FNorganic,f) AND Table A.2.2.4: Fraction of urea in common inorganic fertilisers (kg urea/kg) (FUf)</t>
  </si>
  <si>
    <t>VARIATION ON SOURCE</t>
  </si>
  <si>
    <t>Added 'Basis' column to allow cross-referencing with table Table A.2.2.6: Fraction of inorganic fertiliser f that volatilises as NH3 and NOx ((kg NH3-N + NOx-N)/kg N) (FracGASFf)</t>
  </si>
  <si>
    <t>Added extra fertiliser types and generic chemical compounds to allow for custom NPKS blends</t>
  </si>
  <si>
    <t>Added extra 'Scope 3 definition' column to allow mapping with scope 3 data</t>
  </si>
  <si>
    <t>Added 'Source' column</t>
  </si>
  <si>
    <t>Combined data from Table A.2.2.3 and Table A.2.2.4 into one table to aid lookup.</t>
  </si>
  <si>
    <t>Excluded 'References' column</t>
  </si>
  <si>
    <t>Excluded 'Ammonium sulfate' as it is a duplicate of 'Sulphate of ammonia (SOA)'</t>
  </si>
  <si>
    <t>Excluded 'Calcium nitrate' as no scope 3 value available.</t>
  </si>
  <si>
    <t>Set 'Nitrogen - Generic' basis as 'Urea-based fertilisers, as urea is the most commonly used form of nitrogen in Australian fertilisers</t>
  </si>
  <si>
    <t>Set 'Urea-ammonium nitrate' basis as 'Urea-based fertiliser'</t>
  </si>
  <si>
    <t>Ammonia has an FN value of 0.8235 based on (14/17)x100, where 14 is the mass of nitrogen in ammonia and 17 is the molar mass of ammonia.</t>
  </si>
  <si>
    <t>Fraction of nitrogen in common inorganic fertilisers (kgN/kg) (FNorganic,f)</t>
  </si>
  <si>
    <t>VEERG 2026: Table A.2.2.3</t>
  </si>
  <si>
    <t>Fraction of urea in common inorganic fertilisers (kg urea/kg) (FUf)</t>
  </si>
  <si>
    <t>VEERG 2026: Table A.2.2.4</t>
  </si>
  <si>
    <t>Source regions for urea and ammonia</t>
  </si>
  <si>
    <t>Monoammonium phosphate (MAP)</t>
  </si>
  <si>
    <t>Ammonium-based fertilisers</t>
  </si>
  <si>
    <t>Diammonium phosphate (DAP)</t>
  </si>
  <si>
    <t>Urea</t>
  </si>
  <si>
    <t>Urea-based fertilisers</t>
  </si>
  <si>
    <t>Sulphate of ammonia (SOA)</t>
  </si>
  <si>
    <t>Urea-ammonium nitrate (UAN)</t>
  </si>
  <si>
    <t>Ammonium nitrate (AN)</t>
  </si>
  <si>
    <t>Ammonium-nitrate based fertilisers</t>
  </si>
  <si>
    <t>Calcium ammonium nitrate (CAN)</t>
  </si>
  <si>
    <t>Nitrogen - Ammoniacal</t>
  </si>
  <si>
    <t>LifeCycles</t>
  </si>
  <si>
    <t>Nitrogen - Nitrate</t>
  </si>
  <si>
    <t>Nitrate-based fertilisers</t>
  </si>
  <si>
    <t>Nitrogen from Nitrate</t>
  </si>
  <si>
    <t>Nitrogen - Generic</t>
  </si>
  <si>
    <t>Nitrogen from fertiliser</t>
  </si>
  <si>
    <t>Phosphorus - Generic</t>
  </si>
  <si>
    <t>Other fertilisers</t>
  </si>
  <si>
    <t>Phosphorus from fertiliser</t>
  </si>
  <si>
    <t>Potassium - Generic</t>
  </si>
  <si>
    <t>Potassium from fertiliser</t>
  </si>
  <si>
    <t>Sulfur - Generic</t>
  </si>
  <si>
    <t>Sulfur from fertiliser</t>
  </si>
  <si>
    <t>Zinc - Generic</t>
  </si>
  <si>
    <t>Zinc from fertiliser</t>
  </si>
  <si>
    <t>Muriate of potash (MOP)</t>
  </si>
  <si>
    <t>Double superphosphate</t>
  </si>
  <si>
    <t>Single superphosphate (SSP)</t>
  </si>
  <si>
    <t>Ammonia</t>
  </si>
  <si>
    <t>Calcium nitrate</t>
  </si>
  <si>
    <t>Ammonium Sulfate</t>
  </si>
  <si>
    <t>Calcium Nitrate</t>
  </si>
  <si>
    <t>Global</t>
  </si>
  <si>
    <t>Canada</t>
  </si>
  <si>
    <t>China</t>
  </si>
  <si>
    <t>Yemen</t>
  </si>
  <si>
    <t>Fraction of inorganic fertiliser that volatilises as NH3 and NOx</t>
  </si>
  <si>
    <t>Table A.2.2.6: Fraction of inorganic fertiliser f that volatilises as NH3 and NOx ((kg NH3-N + NOx-N)/kg N) (FracGASFf)</t>
  </si>
  <si>
    <t>Emission factor for carbon emissions from urea application</t>
  </si>
  <si>
    <t>VEERG 2026: 5.1.2.2 Constant Parameters</t>
  </si>
  <si>
    <t>EFureaCO2</t>
  </si>
  <si>
    <t>Constants for lime, dolomite and gypsum</t>
  </si>
  <si>
    <t>VEERG 2026: 5.3.2.3 Constant Parameters</t>
  </si>
  <si>
    <t>Lime (Calcium carbonate)</t>
  </si>
  <si>
    <t>Dolomite (Magnesium carbonate)</t>
  </si>
  <si>
    <t>Gypsum</t>
  </si>
  <si>
    <t>Fraction of organic fertiliser that volatilises as NH3 and NOx</t>
  </si>
  <si>
    <t>VEERG 2026: 5.4.2.3 Constant Parameters</t>
  </si>
  <si>
    <t>Fraction of nitrogen that is lost through leaching and runoff</t>
  </si>
  <si>
    <t>VEERG 2026: 5.5.2.3 Constant Parameters</t>
  </si>
  <si>
    <t>Emission factor for nitrogen leaching and runoff</t>
  </si>
  <si>
    <t>EFLeach</t>
  </si>
  <si>
    <t>kg N2O-N / kg N</t>
  </si>
  <si>
    <t>Campbells fertilisers Australia</t>
  </si>
  <si>
    <t>Aqua Finish</t>
  </si>
  <si>
    <t>Aqua Grow</t>
  </si>
  <si>
    <t>Aqua Nitro AN</t>
  </si>
  <si>
    <t>Aqua NitroCal</t>
  </si>
  <si>
    <t>Calcium</t>
  </si>
  <si>
    <t>Aqua NitroCal (VI)</t>
  </si>
  <si>
    <t>Aqua NitroCal Ultimate</t>
  </si>
  <si>
    <t>Aqua Start</t>
  </si>
  <si>
    <t>Aqua Thio-Complete</t>
  </si>
  <si>
    <t>Aqua Thio-Emerge</t>
  </si>
  <si>
    <t>Aqua Thio-Flourish</t>
  </si>
  <si>
    <t>Boost-It</t>
  </si>
  <si>
    <t>Magnesium</t>
  </si>
  <si>
    <t>Zinc</t>
  </si>
  <si>
    <t>Manganese</t>
  </si>
  <si>
    <t>Iron</t>
  </si>
  <si>
    <t>Copper</t>
  </si>
  <si>
    <t>Boron</t>
  </si>
  <si>
    <t>Bronze</t>
  </si>
  <si>
    <t>Calbit C</t>
  </si>
  <si>
    <t>Compass</t>
  </si>
  <si>
    <t>CoRoN 12-0-10</t>
  </si>
  <si>
    <t>Maximum Quick-N</t>
  </si>
  <si>
    <t>SL Tec</t>
  </si>
  <si>
    <t>Crop Booster PLUS</t>
  </si>
  <si>
    <t>Risso-Chemical</t>
  </si>
  <si>
    <t>Ammonium Bicarbonate</t>
  </si>
  <si>
    <t>Ravensdown</t>
  </si>
  <si>
    <t>Ammonium Sulphate - Granular</t>
  </si>
  <si>
    <t>Impact Fertilisers</t>
  </si>
  <si>
    <t>Di-Ammonium Phosphate (DAP)</t>
  </si>
  <si>
    <t>Incitec Pivot Fertilisers</t>
  </si>
  <si>
    <t>Basalt BooSSta</t>
  </si>
  <si>
    <t>Fluoride</t>
  </si>
  <si>
    <t>Summit Fertilizers</t>
  </si>
  <si>
    <t>DAPSZC</t>
  </si>
  <si>
    <t>Easy N</t>
  </si>
  <si>
    <t>Biuret</t>
  </si>
  <si>
    <t>Calcium Ammonium nitrate</t>
  </si>
  <si>
    <t>CellCAL Plus</t>
  </si>
  <si>
    <t>CK55</t>
  </si>
  <si>
    <t>Switch Ag</t>
  </si>
  <si>
    <t>Crop K</t>
  </si>
  <si>
    <t>Crop Starter</t>
  </si>
  <si>
    <t>Gran-Am</t>
  </si>
  <si>
    <t>Encal</t>
  </si>
  <si>
    <t>Granulock SS</t>
  </si>
  <si>
    <t>Granulock Z</t>
  </si>
  <si>
    <t>Farm Ag Leichhardt</t>
  </si>
  <si>
    <t>Flexi-N NBPT</t>
  </si>
  <si>
    <t>Gold Premium</t>
  </si>
  <si>
    <t>High NS</t>
  </si>
  <si>
    <t>Impact SSP</t>
  </si>
  <si>
    <t>In Crop</t>
  </si>
  <si>
    <t>K20</t>
  </si>
  <si>
    <t>Loveland Agriproducts</t>
  </si>
  <si>
    <t>Maximum N-Pact</t>
  </si>
  <si>
    <t>Nitro Combi TE</t>
  </si>
  <si>
    <t>Fulvic acid (organic)</t>
  </si>
  <si>
    <t>Molybdenum</t>
  </si>
  <si>
    <t>PastureMAXX</t>
  </si>
  <si>
    <t>Platinum Nergetic</t>
  </si>
  <si>
    <t>Potassium sulphate</t>
  </si>
  <si>
    <t>Glaze Extend G3 Flexi</t>
  </si>
  <si>
    <t>Mono-Ammonium Phosphate (MAP)</t>
  </si>
  <si>
    <t>Koch Fertiliser Australia</t>
  </si>
  <si>
    <t>Urea Ammonium nitrate (UAN 32-0-0)</t>
  </si>
  <si>
    <t>Polypeptide Urea</t>
  </si>
  <si>
    <t>Polypeptide (amino acids)</t>
  </si>
  <si>
    <t>Yara Australia</t>
  </si>
  <si>
    <t>YaraTera CALCINIT</t>
  </si>
  <si>
    <t>YaraLiva NITRABOR</t>
  </si>
  <si>
    <t>YaraMila COMPLEX</t>
  </si>
  <si>
    <t>YaraRega 9-0-30 (14)</t>
  </si>
  <si>
    <t>YaraRega 13-2-21</t>
  </si>
  <si>
    <t>YaraRega 15-7-13 (7S)</t>
  </si>
  <si>
    <t>YaraTera CALCINIT B</t>
  </si>
  <si>
    <t>YaraTera KRISTA MAP</t>
  </si>
  <si>
    <t>YaraTera KRISTALON RED</t>
  </si>
  <si>
    <t>YaraTera KRISTALON SPECIAL</t>
  </si>
  <si>
    <t>YaraMila 21-7-3(4)</t>
  </si>
  <si>
    <t>YaraTera KRISTALON SCARLET</t>
  </si>
  <si>
    <t>Solu-MAP</t>
  </si>
  <si>
    <t>Solu-Sam</t>
  </si>
  <si>
    <t>Rustica Plus</t>
  </si>
  <si>
    <t>Platinum Plus</t>
  </si>
  <si>
    <t>Tropika</t>
  </si>
  <si>
    <t>Rustica Nergetic</t>
  </si>
  <si>
    <t>Quick-N Nergetic</t>
  </si>
  <si>
    <t>FertPro Manufacturing Pty. Ltd.</t>
  </si>
  <si>
    <t>(SSP) Single Super Fertiliser</t>
  </si>
  <si>
    <t>ZincStar</t>
  </si>
  <si>
    <t>Baileys (Simplot) [listed as Impact]</t>
  </si>
  <si>
    <t>Apex GaIXe Low P 21-1-6</t>
  </si>
  <si>
    <t>SuPerfect</t>
  </si>
  <si>
    <t>Incitec Pivot Fertilisers [listed as Summit]</t>
  </si>
  <si>
    <t>Big N</t>
  </si>
  <si>
    <t>Entec Urea</t>
  </si>
  <si>
    <t>Incitec Pivot Fertilisers (or Ravensdown - see note)</t>
  </si>
  <si>
    <t>Flexi-N NI only</t>
  </si>
  <si>
    <t>Urease/nitrification inhibitor</t>
  </si>
  <si>
    <t>Nutri-Tech Solutions (NTS)</t>
  </si>
  <si>
    <t>Muriate Of Potash MOP</t>
  </si>
  <si>
    <t>Nuturf</t>
  </si>
  <si>
    <t>MAP NUTURF</t>
  </si>
  <si>
    <t>Quick-N</t>
  </si>
  <si>
    <t>SLTEC Fertilizers</t>
  </si>
  <si>
    <t>UAS</t>
  </si>
  <si>
    <t>Triazone Urea</t>
  </si>
  <si>
    <t>Marnco [listed as SLTEC]</t>
  </si>
  <si>
    <t>Ammo 36N</t>
  </si>
  <si>
    <t>Risso Liquid NPK (200-200-200)</t>
  </si>
  <si>
    <t>Turf Group Australia (Simplot)</t>
  </si>
  <si>
    <t>Super Cal 15-0-12</t>
  </si>
  <si>
    <t>CK 88</t>
  </si>
  <si>
    <t>CropLift 15</t>
  </si>
  <si>
    <t>NPKS 19-13-0-9</t>
  </si>
  <si>
    <t>PastureBoosta</t>
  </si>
  <si>
    <t>Greentop K</t>
  </si>
  <si>
    <t>HayBoosta</t>
  </si>
  <si>
    <t>Impact Super Potash 1&amp;1</t>
  </si>
  <si>
    <t>Impact Super Potash 2&amp;1</t>
  </si>
  <si>
    <t>Impact Super Potash 3&amp;1</t>
  </si>
  <si>
    <t>Impact Super Potash 4&amp;1</t>
  </si>
  <si>
    <t>Impact Super Potash 5&amp;1</t>
  </si>
  <si>
    <t>Pacific Fertiliser / Incitec Pivot Fertilisers</t>
  </si>
  <si>
    <t>Cal-Gran</t>
  </si>
  <si>
    <t>Cal-Gran 50/50</t>
  </si>
  <si>
    <t>Cal-Gran 50/50 (S)</t>
  </si>
  <si>
    <t>Cal-Gran 130</t>
  </si>
  <si>
    <t>Cal-Gran 150</t>
  </si>
  <si>
    <t>Cal-Gran Extra K</t>
  </si>
  <si>
    <t>Dairy Pro</t>
  </si>
  <si>
    <t>YaraMila ACTYVA S</t>
  </si>
  <si>
    <t>CSBP</t>
  </si>
  <si>
    <t>Agflow Extra</t>
  </si>
  <si>
    <t>Super &amp; Potash 3:1</t>
  </si>
  <si>
    <t>Yara</t>
  </si>
  <si>
    <t>YaraBela CAN-27</t>
  </si>
  <si>
    <t>Cal-Gran Aftergraze</t>
  </si>
  <si>
    <t>Cal-Gran Prodress</t>
  </si>
  <si>
    <t>Wengfu Australia</t>
  </si>
  <si>
    <t>Wengfu PrimeZinc 10</t>
  </si>
  <si>
    <t>Wengfu Pasture King</t>
  </si>
  <si>
    <t>Wengfu SuStain</t>
  </si>
  <si>
    <t>Wengfu Slam</t>
  </si>
  <si>
    <t>Wengfu Prime MSZ</t>
  </si>
  <si>
    <t>Wengfu 9-20-0-10 MAP SuStain</t>
  </si>
  <si>
    <t>Wengfu 15-17-0-15 DAP SuStain</t>
  </si>
  <si>
    <t>Wengfu 16-18-0-10 DAP SuStain</t>
  </si>
  <si>
    <t>Wengfu 5-15-0-6 Fast Start Legume</t>
  </si>
  <si>
    <t>Wengfu 9-20-0-10 PrimeZinc</t>
  </si>
  <si>
    <t>Wengfu 12-18-0-6 PrimeZinc</t>
  </si>
  <si>
    <t>Wengfu 14-13-0-11 PrimeZinc</t>
  </si>
  <si>
    <t>Wengfu 19-13-0-7 PrimeZinc</t>
  </si>
  <si>
    <t>Wengfu Booster K</t>
  </si>
  <si>
    <t>Wengfu Booster Rich 1</t>
  </si>
  <si>
    <t>Wengfu Booster Grass DAP</t>
  </si>
  <si>
    <t>Wengfu Aftergraze</t>
  </si>
  <si>
    <t>Wengfu Sidedress</t>
  </si>
  <si>
    <t>Wengfu Pasture Booster</t>
  </si>
  <si>
    <t>Wengfu DAP Hay Booster</t>
  </si>
  <si>
    <t>Wengfu MAP Hay Booster</t>
  </si>
  <si>
    <t>Wengfu Fodder Booster</t>
  </si>
  <si>
    <t>K-Till Extra</t>
  </si>
  <si>
    <t>Agras Extra</t>
  </si>
  <si>
    <t>Cobalt</t>
  </si>
  <si>
    <t>Super Copper Zinc Moly</t>
  </si>
  <si>
    <t>Flexi-N</t>
  </si>
  <si>
    <t>Fuel scope 1 and 3 emission factors - Transport</t>
  </si>
  <si>
    <t>Direct (scope 1) and indirect (scope 3) emission factors for the consumption of transport fuels in different transport equipment</t>
  </si>
  <si>
    <t>Australian National Greenhouse Accounts Factors 2025 - Table 9</t>
  </si>
  <si>
    <t>Gasoline</t>
  </si>
  <si>
    <t>kl</t>
  </si>
  <si>
    <t>Diesel oil</t>
  </si>
  <si>
    <t>NE</t>
  </si>
  <si>
    <t>Light duty vehicles</t>
  </si>
  <si>
    <t>Compressed natural gas</t>
  </si>
  <si>
    <t>Liquefied natural gas</t>
  </si>
  <si>
    <t>Heavy duty vehicles</t>
  </si>
  <si>
    <t>Diesel oil - Euro iv or higher</t>
  </si>
  <si>
    <t>Diesel oil - Euro iii</t>
  </si>
  <si>
    <t>Diesel oil - Euro i</t>
  </si>
  <si>
    <t>Gasoline for use as fuel in an aircraft</t>
  </si>
  <si>
    <t>Kerosene for use as fuel in an aircraft</t>
  </si>
  <si>
    <t>Fuel Oil</t>
  </si>
  <si>
    <t>Fuel scope 1 and 3 emission factors - Off-road equipment and vessels</t>
  </si>
  <si>
    <t>VEERG 2026: Table A.4.2.1</t>
  </si>
  <si>
    <t>Vessel</t>
  </si>
  <si>
    <t>Fuel scope 1 and 3 emission factors - Stationary liquid fuels</t>
  </si>
  <si>
    <t>Direct (Scope 1) and indirect (scope 3) emission factors for the consumption of liquid fuels, including certain petroleum based products for stationary energy purposes.</t>
  </si>
  <si>
    <t>Australian National Greenhouse Accounts Factors 2025 - Table 8</t>
  </si>
  <si>
    <t>Petroleum based oils (other than petroleum based oil used as fuel), e.g. lubricants</t>
  </si>
  <si>
    <t>Petroleum based greases</t>
  </si>
  <si>
    <t>Crude oil including crude oil condensates</t>
  </si>
  <si>
    <t>Other natural gas liquids</t>
  </si>
  <si>
    <t>Automotive gasoline / petrol (other than for use as fuel in an aircraft)</t>
  </si>
  <si>
    <t>Aviation gasoline</t>
  </si>
  <si>
    <t>Kerosene (other than for use as fuel in an aircraft)</t>
  </si>
  <si>
    <t>Aviation turbine fuel / kerosene</t>
  </si>
  <si>
    <t>Heating oil</t>
  </si>
  <si>
    <t>Liquefied aromatic hydrocarbons</t>
  </si>
  <si>
    <t>Solvents: mineral turpentine or white spirits</t>
  </si>
  <si>
    <t>Naphtha</t>
  </si>
  <si>
    <t>Petroleum coke</t>
  </si>
  <si>
    <t>Refinery gas and liquids</t>
  </si>
  <si>
    <t>Refinery coke</t>
  </si>
  <si>
    <t>Petroleum based products other than mentioned in the items above</t>
  </si>
  <si>
    <t>Ethanol for use as a fuel in an internal combustion engine</t>
  </si>
  <si>
    <t>Biofuels other than those mentioned in the items above and below</t>
  </si>
  <si>
    <t>Fuel scope 1 emission factors - Stationary gaseous fuels</t>
  </si>
  <si>
    <t xml:space="preserve">Direct (Scope 1) emission factors for the consumption of gaseous fuels including liquefied natural gas  </t>
  </si>
  <si>
    <t>Australian National Greenhouse Accounts Factors 2025 - Table 5</t>
  </si>
  <si>
    <t>Natural gas distributed in a pipeline</t>
  </si>
  <si>
    <t>Coal seam methane that is captured for combustion</t>
  </si>
  <si>
    <t>Coal mine waste gas that is captured for combustion</t>
  </si>
  <si>
    <t>Compressed natural gas(reverting to standard conditions)</t>
  </si>
  <si>
    <t>Unprocessed natural gas</t>
  </si>
  <si>
    <t>Ethane</t>
  </si>
  <si>
    <t>Coke oven gas</t>
  </si>
  <si>
    <t>Blast furnace gas</t>
  </si>
  <si>
    <t>Town gas</t>
  </si>
  <si>
    <t>Gaseous fossil fuels other than those mentioned in the items above</t>
  </si>
  <si>
    <t>Landfill biogas that is captured for combustion (methane only)</t>
  </si>
  <si>
    <t>Sludge biogas that is captured for combustion (methane only)</t>
  </si>
  <si>
    <t>A biogas that is captured for combustion, other than those mentioned in the items above</t>
  </si>
  <si>
    <t>Biomethane</t>
  </si>
  <si>
    <t>Hydrogen</t>
  </si>
  <si>
    <t>Natural gas distributed in a pipeline - Gigajoules</t>
  </si>
  <si>
    <t>Town gas - Gigajoules</t>
  </si>
  <si>
    <t>Fuel scope 3 emission factors - Stationary gaseous fuels</t>
  </si>
  <si>
    <t>Indirect (Scope 3) emission factors for the consumption of natural gas.</t>
  </si>
  <si>
    <t>Australian National Greenhouse Accounts Factors 2025 - Table 6</t>
  </si>
  <si>
    <t>-</t>
  </si>
  <si>
    <t>Column1</t>
  </si>
  <si>
    <t>As Scope 3 factors are calculated at the point where natural gas is delivered to end users, it is necessary to calculate consumption at each of the load centres.</t>
  </si>
  <si>
    <t>Gas reaches end users either from the metro distribution networks or direct from the high - pressure distribution pipelines.</t>
  </si>
  <si>
    <t>Households and commercial users tend to be served by the former, and electricity generators and large industrial plants from the latter.</t>
  </si>
  <si>
    <t>Metro is defined as located on or east of the dividing range in NSW, including Canberra and Queanbeyan, Melbourne, Brisbane, Adelaide or Perth.</t>
  </si>
  <si>
    <t>Otherwise, the non - metro factor should be used.</t>
  </si>
  <si>
    <t>Factors are calculated for all natural gas distributed in a pipeline which may include coal seam methane.</t>
  </si>
  <si>
    <t>Table 6 is not applicable to ethane. See Table 7 Indirect (Scope 3) emissions from the consumption of ethane.</t>
  </si>
  <si>
    <t>C = Confidential. Scope 3 emission factors for Tasmania and the Northern Territory are not available due to confidentiality constraints that arise</t>
  </si>
  <si>
    <t>from the use of a limited number of NGER data inputs. It is suggested that for Tasmania the use of the Victorian emission factors is appropriate,</t>
  </si>
  <si>
    <t>while for Northern Territory the use of the Western Australian emission factors is appropriate.</t>
  </si>
  <si>
    <t>Scope 3 emission factors do not include fugitive emission leakage from low pressure natural gas distribution pipeline networks while those from high pressure</t>
  </si>
  <si>
    <t>gas networks are considered negligible.</t>
  </si>
  <si>
    <t>Alkaline cleaner</t>
  </si>
  <si>
    <t>at manufacturer</t>
  </si>
  <si>
    <t>Bleach</t>
  </si>
  <si>
    <t>Phosphoric acid</t>
  </si>
  <si>
    <t>Pharmacy chemicals</t>
  </si>
  <si>
    <t>Parasite control for cattle (external), dipping</t>
  </si>
  <si>
    <t>p (head)</t>
  </si>
  <si>
    <t>Parasite control for cattle (internal)</t>
  </si>
  <si>
    <t>Parasite control for sheep (external)</t>
  </si>
  <si>
    <t>Parasite control for sheep (internal)</t>
  </si>
  <si>
    <t>Grain</t>
  </si>
  <si>
    <t>Barley grain</t>
  </si>
  <si>
    <t>Maize grain</t>
  </si>
  <si>
    <t>Sorghum grain</t>
  </si>
  <si>
    <t>Wheat grain</t>
  </si>
  <si>
    <t>Hay</t>
  </si>
  <si>
    <t>Cereal hay</t>
  </si>
  <si>
    <t>Cereal silage</t>
  </si>
  <si>
    <t>Lucerne hay</t>
  </si>
  <si>
    <t>Maize silage</t>
  </si>
  <si>
    <t>Oaten hay</t>
  </si>
  <si>
    <t>Pasture hay</t>
  </si>
  <si>
    <t>Meal</t>
  </si>
  <si>
    <t>Canola meal</t>
  </si>
  <si>
    <t>Meat meal</t>
  </si>
  <si>
    <t>Soybean meal</t>
  </si>
  <si>
    <t>Brazil</t>
  </si>
  <si>
    <t>Wheat bran</t>
  </si>
  <si>
    <t>Other</t>
  </si>
  <si>
    <t>Bentonite</t>
  </si>
  <si>
    <t>Canola oil</t>
  </si>
  <si>
    <t>Cotton seed</t>
  </si>
  <si>
    <t>Molasses</t>
  </si>
  <si>
    <t>Mixed rations</t>
  </si>
  <si>
    <t>Feed for chickens</t>
  </si>
  <si>
    <t>Feed for dairy calves</t>
  </si>
  <si>
    <t>Feed for dairy cows</t>
  </si>
  <si>
    <t>Feed for pigs</t>
  </si>
  <si>
    <t>Lick block, dry season mix</t>
  </si>
  <si>
    <t>Lick block, mineral</t>
  </si>
  <si>
    <t>Lick block, weaner</t>
  </si>
  <si>
    <t>Ammonia, AU market mix</t>
  </si>
  <si>
    <t>Ammonia, Canada</t>
  </si>
  <si>
    <t>Ammonia, China</t>
  </si>
  <si>
    <t>Ammonia, Yemen</t>
  </si>
  <si>
    <t>Ammonium nitrate, AU market mix</t>
  </si>
  <si>
    <t>Calcium ammonium nitrate, AU market mix</t>
  </si>
  <si>
    <t>Diammonium phosphate, AU market mix</t>
  </si>
  <si>
    <t>Double superphosphate, AU market mix</t>
  </si>
  <si>
    <t>Monoammonium phosphate, AU market mix</t>
  </si>
  <si>
    <t>Muriate of potash, AU market mix</t>
  </si>
  <si>
    <t>Nitrogen from ammonia, AU market mix</t>
  </si>
  <si>
    <t>Nitrogen from fertilizer, AU market mix</t>
  </si>
  <si>
    <t>Nitrogen from nitrate fertilizer, AU market mix</t>
  </si>
  <si>
    <t>Phosphorus from fertilizer, AU market mix</t>
  </si>
  <si>
    <t>Potassium from fertilizer, AU market mix</t>
  </si>
  <si>
    <t>Single superphosphate, AU market mix</t>
  </si>
  <si>
    <t>Sulfur from fertilizer, AU market mix</t>
  </si>
  <si>
    <t>Ammonium sulphate, AU market mix</t>
  </si>
  <si>
    <t>Urea ammonium nitrate, AU market mix</t>
  </si>
  <si>
    <t>kg P</t>
  </si>
  <si>
    <t>kg K</t>
  </si>
  <si>
    <t>kg S</t>
  </si>
  <si>
    <t>kg Zn</t>
  </si>
  <si>
    <t>Urea, AU market mix</t>
  </si>
  <si>
    <t>Urea, Canada</t>
  </si>
  <si>
    <t>Urea, China</t>
  </si>
  <si>
    <t>Urea, Yemen</t>
  </si>
  <si>
    <t>Zinc from fertilizer</t>
  </si>
  <si>
    <t>Animal ear tags (large)</t>
  </si>
  <si>
    <t>Animal ear tags (small)</t>
  </si>
  <si>
    <t>Barley grain (for seed)</t>
  </si>
  <si>
    <t>Maize grain (for seed)</t>
  </si>
  <si>
    <t>Nylon netting</t>
  </si>
  <si>
    <t>Oat grain (for seed)</t>
  </si>
  <si>
    <t>Sorghum grain (for seed)</t>
  </si>
  <si>
    <t>Wheat grain (for seed)</t>
  </si>
  <si>
    <t>Corrugated board</t>
  </si>
  <si>
    <t>Plastic crate polypropylene</t>
  </si>
  <si>
    <t>Plastic film LDPE</t>
  </si>
  <si>
    <t>Plastic sheet HDPE</t>
  </si>
  <si>
    <t>2,4-D</t>
  </si>
  <si>
    <t>kg AI</t>
  </si>
  <si>
    <t>Atrazine</t>
  </si>
  <si>
    <t>Diuron</t>
  </si>
  <si>
    <t>Glyphosate</t>
  </si>
  <si>
    <t>Mancozeb</t>
  </si>
  <si>
    <t>MCPA</t>
  </si>
  <si>
    <t>Metolachlor</t>
  </si>
  <si>
    <t>Metsulfuron-methyl</t>
  </si>
  <si>
    <t>Pesticides (generic)</t>
  </si>
  <si>
    <t>Tri-allate</t>
  </si>
  <si>
    <t>Tribenuron methyl</t>
  </si>
  <si>
    <t>Trifluralin</t>
  </si>
  <si>
    <t>Dolomite</t>
  </si>
  <si>
    <t>Limestone (crushed)</t>
  </si>
  <si>
    <t>Aquaculture feed</t>
  </si>
  <si>
    <t>Sardines (whole)</t>
  </si>
  <si>
    <t>Not specified</t>
  </si>
  <si>
    <t>Low Animal Protein Formulated Feed</t>
  </si>
  <si>
    <t>Squid</t>
  </si>
  <si>
    <t>Whole fish</t>
  </si>
  <si>
    <t>Custom Bait</t>
  </si>
  <si>
    <t>Emission factors for wastes disposed of at different treatment facilities</t>
  </si>
  <si>
    <t>VEERG 2026: Table A.4.1.1</t>
  </si>
  <si>
    <t>VARIATION ON SOURCE:</t>
  </si>
  <si>
    <t>Fixed typo 'paper and carboard' to 'paper and cardboard'</t>
  </si>
  <si>
    <t>Fixed typo 'prunnings' to 'prunings'</t>
  </si>
  <si>
    <t>Added EF source column with specific references</t>
  </si>
  <si>
    <t>Added sub-categories for 'Incineration: Food waste, green waste, wood, sludge' in order to use volume to mass conversion factor values</t>
  </si>
  <si>
    <t>Added sub-categories for 'Composting: All organic waste' in order to use volume to mass conversion factor values</t>
  </si>
  <si>
    <t>Added sub-categories for 'Anaerobic digestion: All organic waste' in order to use volume to mass conversion factor values</t>
  </si>
  <si>
    <t>t CO2e / t</t>
  </si>
  <si>
    <t>Landfill</t>
  </si>
  <si>
    <t>Food waste (including animal carcasses, spoiled animal feed or crop)</t>
  </si>
  <si>
    <t>NGAF 2025 table 15</t>
  </si>
  <si>
    <t>Paper and cardboard</t>
  </si>
  <si>
    <t>Green waste (including crop residues or prunings)</t>
  </si>
  <si>
    <t>Wood</t>
  </si>
  <si>
    <t>Textiles</t>
  </si>
  <si>
    <t>Sludge</t>
  </si>
  <si>
    <t>Rubber and leather</t>
  </si>
  <si>
    <t>Inert waste (including concrete, metal, plastic or glass)</t>
  </si>
  <si>
    <t>Municipal solid waste</t>
  </si>
  <si>
    <t>Commercial and industrial waste</t>
  </si>
  <si>
    <t>Construction and demolition waste</t>
  </si>
  <si>
    <t>Incineration</t>
  </si>
  <si>
    <t>Food waste, green waste, wood, sludge</t>
  </si>
  <si>
    <t>NGAF 2025 Table 18</t>
  </si>
  <si>
    <t>Composting</t>
  </si>
  <si>
    <t>All organic waste</t>
  </si>
  <si>
    <t>NGAF 2025 Table 19</t>
  </si>
  <si>
    <t>Anaerobic digestion</t>
  </si>
  <si>
    <t>Volume to mass conversion factor for various waste types</t>
  </si>
  <si>
    <t>VEERG 2026: Table A.4.1.2</t>
  </si>
  <si>
    <t>VARIATION OF SOURCE: Changed column header CFw to VTMw to match title variable.</t>
  </si>
  <si>
    <t>Australian states and territories</t>
  </si>
  <si>
    <t>Australian Capital Territory</t>
  </si>
  <si>
    <t>ABS Statistcal Areas Level 4 - Western Australia</t>
  </si>
  <si>
    <t>Australian Bureau of Statistics (ABS) - Statistical Areas Level 2 - 2021 - Shapefile</t>
  </si>
  <si>
    <t>Bunbury</t>
  </si>
  <si>
    <t>Mandurah</t>
  </si>
  <si>
    <t>Perth - Inner</t>
  </si>
  <si>
    <t>Perth - North East</t>
  </si>
  <si>
    <t>Perth - North West</t>
  </si>
  <si>
    <t>Perth - South East</t>
  </si>
  <si>
    <t>Perth - South West</t>
  </si>
  <si>
    <t>Western Australia - Wheat Belt</t>
  </si>
  <si>
    <t>Western Australia - Outback (North)</t>
  </si>
  <si>
    <t>Western Australia - Outback (South)</t>
  </si>
  <si>
    <t>Global warming potential for greenhouse gases</t>
  </si>
  <si>
    <t>XXXXXXX</t>
  </si>
  <si>
    <t>CF4</t>
  </si>
  <si>
    <t>C2F6</t>
  </si>
  <si>
    <t>SF6</t>
  </si>
  <si>
    <t>NF3</t>
  </si>
  <si>
    <t>Factor to convert elemental mass of gas to molecular mass</t>
  </si>
  <si>
    <t>44/12</t>
  </si>
  <si>
    <t>Nox</t>
  </si>
  <si>
    <t>CO2 Lime</t>
  </si>
  <si>
    <t>VEERG Australian wet and dry zones</t>
  </si>
  <si>
    <t>VEERG 2026: Table 1.2: Translating climate zones to wet and dry zones</t>
  </si>
  <si>
    <t>Tropical montane</t>
  </si>
  <si>
    <t>Tropical wet</t>
  </si>
  <si>
    <t>Tropical moist</t>
  </si>
  <si>
    <t>Tropical dry</t>
  </si>
  <si>
    <t>Warm temperate moist</t>
  </si>
  <si>
    <t>Warm temperate dry</t>
  </si>
  <si>
    <t>Cool temperate moist</t>
  </si>
  <si>
    <t>Cool temperate dry</t>
  </si>
  <si>
    <t>Warm temperate moist - low frost</t>
  </si>
  <si>
    <t>Warm temperate dry - low frost</t>
  </si>
  <si>
    <t>Warm temperate moist - high temp</t>
  </si>
  <si>
    <t>Warm temperate dry - high temp</t>
  </si>
  <si>
    <t>Cool temperate moist - low frost</t>
  </si>
  <si>
    <t>Cool temperate dry - low frost</t>
  </si>
  <si>
    <t>VEERG Australian climate zones</t>
  </si>
  <si>
    <t>VEERG 2026: Table 1.3: Climate and Rainfall zone classifications and definitions</t>
  </si>
  <si>
    <t>&gt; 18 C</t>
  </si>
  <si>
    <t>Any</t>
  </si>
  <si>
    <t>≤ 7</t>
  </si>
  <si>
    <t>&gt; 1000 m</t>
  </si>
  <si>
    <t>&gt; 2000 mm</t>
  </si>
  <si>
    <t>≤ 1000 m</t>
  </si>
  <si>
    <t>&gt; 1000 mm - ≤ 2000 mm</t>
  </si>
  <si>
    <t>≤ 1000 mm</t>
  </si>
  <si>
    <t>&gt; 10 C</t>
  </si>
  <si>
    <t>&gt; 1</t>
  </si>
  <si>
    <t>≤ 1</t>
  </si>
  <si>
    <t>&gt; 0 C - ≤ 10 C</t>
  </si>
  <si>
    <t>Note:</t>
  </si>
  <si>
    <t>MAT = mean annual temperature</t>
  </si>
  <si>
    <t>MAP = mean annual precipitation</t>
  </si>
  <si>
    <t>PET = potential evapotranspiration</t>
  </si>
  <si>
    <t>VEERG Australian temperature zones</t>
  </si>
  <si>
    <t>Warm</t>
  </si>
  <si>
    <t>≥ 26 C</t>
  </si>
  <si>
    <t>Temperate</t>
  </si>
  <si>
    <t>15 - 25 C</t>
  </si>
  <si>
    <t>Cool</t>
  </si>
  <si>
    <t>≤ 14 C</t>
  </si>
  <si>
    <t>VEERG Australian rainfall zones</t>
  </si>
  <si>
    <t>High rainfall</t>
  </si>
  <si>
    <t>Annual rainfall &gt; 600mm</t>
  </si>
  <si>
    <t>Low rainfall</t>
  </si>
  <si>
    <t>Annual rainfall ≤ 600mm</t>
  </si>
  <si>
    <t>VEERG Australian leaching zones</t>
  </si>
  <si>
    <t>Leaching occurs</t>
  </si>
  <si>
    <t>Σ(𝑟𝑎𝑖𝑛)&gt;Σ(𝐸𝑇0)+𝑠𝑜𝑖𝑙 𝑤𝑎𝑡𝑒𝑟 ℎ𝑜𝑙𝑑𝑖𝑛𝑔 𝑐𝑎𝑝𝑎𝑐𝑖𝑡𝑦</t>
  </si>
  <si>
    <t>Leaching does not occur</t>
  </si>
  <si>
    <t>Σ(𝑟𝑎𝑖𝑛)≤Σ(𝐸𝑇0)+𝑠𝑜𝑖𝑙 𝑤𝑎𝑡𝑒𝑟 ℎ𝑜𝑙𝑑𝑖𝑛𝑔 𝑐𝑎𝑝𝑎𝑐𝑖𝑡𝑦</t>
  </si>
  <si>
    <t>Fraction of N that is available for leaching and runoff</t>
  </si>
  <si>
    <t>VEERG 2026:5.5.2.3 Constant Parameters</t>
  </si>
  <si>
    <t>Yes - in leaching zone</t>
  </si>
  <si>
    <t>No - not in leaching zone</t>
  </si>
  <si>
    <t>FracWET for irrigation types</t>
  </si>
  <si>
    <t>VEERG 2026: Chapter 1, section 1.8.2 Leaching, climate and rainfall zones</t>
  </si>
  <si>
    <t>VARIATION FROM SOURCE DATA: Table created based on VEERG text 'Areas are subject to leaching (i.e., in the leaching zone) when... the land is irrigated (except drip irrigation).'</t>
  </si>
  <si>
    <t>Australian data scores for scope 3</t>
  </si>
  <si>
    <t>VEERG 2026: XXXXXXXX</t>
  </si>
  <si>
    <t>International scope 3 database</t>
  </si>
  <si>
    <t>Australian scope 3 database</t>
  </si>
  <si>
    <t>State or regional scope 3 database</t>
  </si>
  <si>
    <t>Emissions intensity calculated from approved method</t>
  </si>
  <si>
    <t>National Inventory Report Volume 1: Leaching and runoff (3.D.b.2)</t>
  </si>
  <si>
    <t>National Inventory Report Volume 1: Equation 3.D.B_10</t>
  </si>
  <si>
    <t>EFleach</t>
  </si>
  <si>
    <t>p = density of methane</t>
  </si>
  <si>
    <t>National Inventory Report 2023 Volume 1: Equations 3.B.1a_2, 3.B.1c_2, 3.B.3_1, 3.B.4g_2</t>
  </si>
  <si>
    <t>Nitrous oxide emission factors for inorganic fertiliser application</t>
  </si>
  <si>
    <t>VEERG 2026: Table A.2.2.1</t>
  </si>
  <si>
    <t>(kg N2O-N / kg N</t>
  </si>
  <si>
    <t>VARIATION OF SOURCE DATA:</t>
  </si>
  <si>
    <t>Removed duplicate 'Aquaculture' row.</t>
  </si>
  <si>
    <t>Removed asterisks to aid lookup.</t>
  </si>
  <si>
    <t>Added 'production system only', 'rainfall zone' and 'irrigation method' columns to aid lookup.</t>
  </si>
  <si>
    <t>Duplicated 'non-irrigated pasture' row with same EF for low and high rainfall zones to aid lookup.</t>
  </si>
  <si>
    <t>Irrigated pasture</t>
  </si>
  <si>
    <t>Irrigated crop</t>
  </si>
  <si>
    <t>Non-irrigated pasture</t>
  </si>
  <si>
    <t>Non-irrigated crop (low rainfall)</t>
  </si>
  <si>
    <t>Non-irrigated crop (high rainfall)</t>
  </si>
  <si>
    <t>Sugar</t>
  </si>
  <si>
    <t>Horticultural crops</t>
  </si>
  <si>
    <t>Rice (continuous flooding)</t>
  </si>
  <si>
    <t>Continuous flooding</t>
  </si>
  <si>
    <t>Rice (single and multiple drainage, or alternate wetting and drying)</t>
  </si>
  <si>
    <t>Single and multiple drainage, or alternate wetting and drying</t>
  </si>
  <si>
    <t>Aquaculture</t>
  </si>
  <si>
    <t>Forestry</t>
  </si>
  <si>
    <t>Emission factor for urine and dung deposited on pasture, range or paddock</t>
  </si>
  <si>
    <t>VEERG 2026: Table A.2.2.2</t>
  </si>
  <si>
    <t>VARIATION FROM SOURCE DATA: Changed 'Dry climate zones' to singular 'Dry climate zone' to aid lookup.</t>
  </si>
  <si>
    <t>kg N2O - N / kg N</t>
  </si>
  <si>
    <t>Months to Seasons Mapping</t>
  </si>
  <si>
    <t>January</t>
  </si>
  <si>
    <t>February</t>
  </si>
  <si>
    <t>March</t>
  </si>
  <si>
    <t>April</t>
  </si>
  <si>
    <t>May</t>
  </si>
  <si>
    <t>June</t>
  </si>
  <si>
    <t>July</t>
  </si>
  <si>
    <t>August</t>
  </si>
  <si>
    <t>September</t>
  </si>
  <si>
    <t>October</t>
  </si>
  <si>
    <t>November</t>
  </si>
  <si>
    <t>December</t>
  </si>
  <si>
    <t>Manure Management – Methane conversion factor per temperature zone (fraction) (MCFim)</t>
  </si>
  <si>
    <t>VEERG 2026: Table A.1.8.1</t>
  </si>
  <si>
    <t>VARIATION FROM SOURCE: Added row of NIR MMA definitions to aid lookup. Duplicated 'Poultry with and without litter' column with separate NIR definitions to aid lookup. Added 'MAT raw' column to allow lookup of numbers.</t>
  </si>
  <si>
    <t>≤10</t>
  </si>
  <si>
    <t>≥28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</si>
</sst>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2">
    <numFmt numFmtId="43" formatCode="_-* #,##0.00_-;\-* #,##0.00_-;_-* &quot;-&quot;??_-;_-@_-"/>
    <numFmt numFmtId="164" formatCode="0.000"/>
    <numFmt numFmtId="165" formatCode="#,##0.000"/>
    <numFmt numFmtId="166" formatCode="d/mm/yyyy;@"/>
    <numFmt numFmtId="167" formatCode="[$-C09]dd\-mmmm\-yyyy;@"/>
    <numFmt numFmtId="168" formatCode="#,##0.000000"/>
    <numFmt numFmtId="169" formatCode="_-* #,##0_-;\-* #,##0_-;_-* &quot;-&quot;??_-;_-@_-"/>
    <numFmt numFmtId="170" formatCode="[$-F800]dddd\,\ mmmm\ dd\,\ yyyy"/>
    <numFmt numFmtId="171" formatCode="0.000%"/>
    <numFmt numFmtId="172" formatCode="0.000000E+00"/>
    <numFmt numFmtId="173" formatCode="[$-C09]d\ mmmm\ yyyy;@"/>
    <numFmt numFmtId="174" formatCode="0.00000"/>
  </numFmts>
  <fonts count="87" x14ac:knownFonts="1">
    <font>
      <sz val="10"/>
      <color theme="1"/>
      <name val="Arial"/>
      <family val="2"/>
    </font>
    <font>
      <sz val="10"/>
      <color theme="1"/>
      <name val="Arial"/>
      <family val="2"/>
    </font>
    <font>
      <i/>
      <sz val="10"/>
      <color theme="1" tint="0.499984740745262"/>
      <name val="Arial"/>
      <family val="1"/>
    </font>
    <font>
      <sz val="10"/>
      <color theme="1" tint="0.14999847407452621"/>
      <name val="Arial"/>
      <family val="1"/>
    </font>
    <font>
      <b/>
      <sz val="10"/>
      <color theme="1" tint="0.14999847407452621"/>
      <name val="Arial"/>
      <family val="1"/>
    </font>
    <font>
      <b/>
      <sz val="18"/>
      <color rgb="FF183C1B"/>
      <name val="Arial"/>
      <family val="1"/>
    </font>
    <font>
      <b/>
      <sz val="10"/>
      <color rgb="FF183C1B"/>
      <name val="Arial"/>
      <family val="1"/>
    </font>
    <font>
      <i/>
      <sz val="10"/>
      <color theme="1" tint="0.34998626667073579"/>
      <name val="Arial"/>
      <family val="1"/>
    </font>
    <font>
      <sz val="10"/>
      <color theme="1" tint="0.34998626667073579"/>
      <name val="Arial"/>
      <family val="1"/>
    </font>
    <font>
      <sz val="10"/>
      <color theme="1" tint="0.14996795556505021"/>
      <name val="Arial"/>
      <family val="1"/>
    </font>
    <font>
      <sz val="10"/>
      <color theme="1"/>
      <name val="Arial"/>
      <family val="2"/>
    </font>
    <font>
      <b/>
      <sz val="18"/>
      <color rgb="FFCC6600"/>
      <name val="Arial"/>
      <family val="1"/>
    </font>
    <font>
      <i/>
      <sz val="10"/>
      <color rgb="FFCC6600"/>
      <name val="Arial"/>
      <family val="1"/>
    </font>
    <font>
      <b/>
      <sz val="10"/>
      <color rgb="FF533001"/>
      <name val="Arial"/>
      <family val="1"/>
    </font>
    <font>
      <i/>
      <strike/>
      <sz val="10"/>
      <color theme="1" tint="0.499984740745262"/>
      <name val="Arial"/>
      <family val="1"/>
    </font>
    <font>
      <b/>
      <i/>
      <strike/>
      <sz val="10"/>
      <color theme="1" tint="0.499984740745262"/>
      <name val="Arial"/>
      <family val="1"/>
    </font>
    <font>
      <sz val="9"/>
      <color theme="1" tint="0.499984740745262"/>
      <name val="Courier New"/>
      <family val="3"/>
    </font>
    <font>
      <b/>
      <sz val="14"/>
      <color theme="0"/>
      <name val="Arial"/>
      <family val="1"/>
    </font>
    <font>
      <sz val="9"/>
      <color theme="1" tint="0.249977111117893"/>
      <name val="Arial"/>
      <family val="1"/>
    </font>
    <font>
      <sz val="9"/>
      <color rgb="FF008000"/>
      <name val="Arial"/>
      <family val="1"/>
    </font>
    <font>
      <sz val="9"/>
      <color rgb="FFCC6600"/>
      <name val="Arial"/>
      <family val="1"/>
    </font>
    <font>
      <sz val="10"/>
      <color theme="0"/>
      <name val="Arial"/>
      <family val="1"/>
    </font>
    <font>
      <sz val="10"/>
      <color theme="1" tint="0.499984740745262"/>
      <name val="Arial"/>
      <family val="1"/>
    </font>
    <font>
      <sz val="10"/>
      <color theme="0" tint="-4.9989318521683403E-2"/>
      <name val="Arial"/>
      <family val="1"/>
    </font>
    <font>
      <sz val="9"/>
      <color theme="1" tint="0.34998626667073579"/>
      <name val="Arial"/>
      <family val="1"/>
    </font>
    <font>
      <sz val="9"/>
      <name val="Arial"/>
      <family val="2"/>
    </font>
    <font>
      <sz val="16"/>
      <color theme="1" tint="0.14996795556505021"/>
      <name val="Arial"/>
      <family val="1"/>
    </font>
    <font>
      <sz val="9"/>
      <color theme="1" tint="0.34998626667073579"/>
      <name val="Arial"/>
      <family val="2"/>
    </font>
    <font>
      <sz val="10"/>
      <color theme="1" tint="0.24994659260841701"/>
      <name val="Arial"/>
      <family val="1"/>
    </font>
    <font>
      <sz val="10"/>
      <color rgb="FFC44340"/>
      <name val="Arial"/>
      <family val="1"/>
    </font>
    <font>
      <sz val="10"/>
      <color rgb="FF008000"/>
      <name val="Arial"/>
      <family val="1"/>
    </font>
    <font>
      <sz val="10"/>
      <color rgb="FF0070C0"/>
      <name val="Arial"/>
      <family val="1"/>
    </font>
    <font>
      <b/>
      <sz val="10"/>
      <color theme="0"/>
      <name val="Arial"/>
      <family val="1"/>
    </font>
    <font>
      <b/>
      <sz val="10"/>
      <color theme="0" tint="-0.499984740745262"/>
      <name val="Arial"/>
      <family val="1"/>
    </font>
    <font>
      <sz val="9"/>
      <color theme="0" tint="-0.499984740745262"/>
      <name val="Arial"/>
      <family val="1"/>
    </font>
    <font>
      <sz val="12"/>
      <color theme="1" tint="0.34998626667073579"/>
      <name val="Arial"/>
      <family val="1"/>
    </font>
    <font>
      <b/>
      <sz val="10"/>
      <color rgb="FFCC6600"/>
      <name val="Arial"/>
      <family val="1"/>
    </font>
    <font>
      <u/>
      <sz val="9"/>
      <color theme="1" tint="0.34998626667073579"/>
      <name val="Arial"/>
      <family val="1"/>
    </font>
    <font>
      <i/>
      <sz val="9"/>
      <color theme="6" tint="-0.499984740745262"/>
      <name val="Arial"/>
      <family val="1"/>
    </font>
    <font>
      <i/>
      <sz val="9"/>
      <color theme="5" tint="-0.499984740745262"/>
      <name val="Arial"/>
      <family val="1"/>
    </font>
    <font>
      <u/>
      <sz val="10"/>
      <color theme="10"/>
      <name val="Arial"/>
      <family val="2"/>
    </font>
    <font>
      <b/>
      <sz val="10"/>
      <color theme="1" tint="0.24994659260841701"/>
      <name val="Arial"/>
      <family val="1"/>
    </font>
    <font>
      <i/>
      <sz val="9"/>
      <color theme="1" tint="0.34998626667073579"/>
      <name val="Arial"/>
      <family val="1"/>
    </font>
    <font>
      <b/>
      <sz val="10"/>
      <color rgb="FF0070C0"/>
      <name val="Arial"/>
      <family val="1"/>
    </font>
    <font>
      <sz val="10"/>
      <color theme="1"/>
      <name val="Arial"/>
      <family val="1"/>
    </font>
    <font>
      <sz val="10"/>
      <color theme="1"/>
      <name val="Arial"/>
      <family val="1"/>
    </font>
    <font>
      <b/>
      <sz val="10"/>
      <color theme="1"/>
      <name val="Arial"/>
      <family val="1"/>
    </font>
    <font>
      <b/>
      <sz val="10"/>
      <color theme="1" tint="0.249977111117893"/>
      <name val="Arial"/>
      <family val="1"/>
    </font>
    <font>
      <sz val="10"/>
      <color theme="1" tint="0.249977111117893"/>
      <name val="Arial"/>
      <family val="1"/>
    </font>
    <font>
      <b/>
      <sz val="10"/>
      <color theme="1" tint="0.249977111117893"/>
      <name val="Arial"/>
      <family val="1"/>
    </font>
    <font>
      <sz val="10"/>
      <color rgb="FF242424"/>
      <name val="Consolas"/>
      <family val="3"/>
    </font>
    <font>
      <sz val="9"/>
      <color rgb="FF404040"/>
      <name val="Arial"/>
      <family val="1"/>
    </font>
    <font>
      <b/>
      <sz val="14"/>
      <color theme="1" tint="0.24994659260841701"/>
      <name val="Arial"/>
      <family val="1"/>
    </font>
    <font>
      <sz val="14"/>
      <color theme="1" tint="0.24994659260841701"/>
      <name val="Arial"/>
      <family val="1"/>
    </font>
    <font>
      <b/>
      <sz val="18"/>
      <color rgb="FF0C769E"/>
      <name val="Arial"/>
      <family val="1"/>
    </font>
    <font>
      <i/>
      <sz val="14"/>
      <color theme="1" tint="0.34998626667073579"/>
      <name val="Arial"/>
      <family val="1"/>
    </font>
    <font>
      <b/>
      <sz val="10"/>
      <color theme="1"/>
      <name val="Arial"/>
      <family val="2"/>
    </font>
    <font>
      <sz val="10"/>
      <color theme="1"/>
      <name val="Arial"/>
      <family val="2"/>
    </font>
    <font>
      <b/>
      <sz val="12"/>
      <color theme="1" tint="0.24994659260841701"/>
      <name val="Arial"/>
      <family val="1"/>
    </font>
    <font>
      <b/>
      <vertAlign val="subscript"/>
      <sz val="12"/>
      <color theme="1" tint="0.24994659260841701"/>
      <name val="Arial"/>
      <family val="1"/>
    </font>
    <font>
      <b/>
      <vertAlign val="subscript"/>
      <sz val="10"/>
      <color rgb="FF183C1B"/>
      <name val="Arial"/>
      <family val="1"/>
    </font>
    <font>
      <b/>
      <vertAlign val="subscript"/>
      <sz val="14"/>
      <color theme="1" tint="0.24994659260841701"/>
      <name val="Arial"/>
      <family val="1"/>
    </font>
    <font>
      <vertAlign val="subscript"/>
      <sz val="10"/>
      <color theme="1" tint="0.24994659260841701"/>
      <name val="Arial"/>
      <family val="1"/>
    </font>
    <font>
      <b/>
      <vertAlign val="subscript"/>
      <sz val="10"/>
      <color theme="1" tint="0.24994659260841701"/>
      <name val="Arial"/>
      <family val="1"/>
    </font>
    <font>
      <b/>
      <sz val="10"/>
      <color theme="1"/>
      <name val="Arial"/>
      <family val="2"/>
    </font>
    <font>
      <sz val="10"/>
      <name val="Arial"/>
      <family val="1"/>
    </font>
    <font>
      <sz val="10"/>
      <name val="Arial"/>
      <family val="1"/>
    </font>
    <font>
      <b/>
      <sz val="9"/>
      <color theme="1" tint="0.14999847407452621"/>
      <name val="Arial"/>
      <family val="1"/>
    </font>
    <font>
      <b/>
      <vertAlign val="subscript"/>
      <sz val="10"/>
      <color rgb="FF533001"/>
      <name val="Arial"/>
      <family val="1"/>
    </font>
    <font>
      <b/>
      <i/>
      <sz val="10"/>
      <color rgb="FFCC6600"/>
      <name val="Arial"/>
      <family val="1"/>
    </font>
    <font>
      <sz val="9"/>
      <name val="Arial"/>
      <family val="1"/>
    </font>
    <font>
      <sz val="9"/>
      <color theme="1"/>
      <name val="Arial"/>
      <family val="2"/>
    </font>
    <font>
      <b/>
      <sz val="9"/>
      <color theme="1" tint="0.34998626667073579"/>
      <name val="Arial"/>
      <family val="1"/>
    </font>
    <font>
      <sz val="14"/>
      <name val="Arial"/>
      <family val="1"/>
    </font>
    <font>
      <sz val="9"/>
      <color theme="1"/>
      <name val="Arial"/>
      <family val="2"/>
    </font>
    <font>
      <b/>
      <sz val="9"/>
      <name val="Arial"/>
      <family val="1"/>
    </font>
    <font>
      <b/>
      <sz val="10"/>
      <color theme="1"/>
      <name val="Arial"/>
      <family val="2"/>
    </font>
    <font>
      <b/>
      <sz val="10"/>
      <color theme="1"/>
      <name val="Arial"/>
      <family val="1"/>
    </font>
    <font>
      <b/>
      <sz val="14"/>
      <color theme="1"/>
      <name val="Arial"/>
      <family val="1"/>
    </font>
    <font>
      <b/>
      <vertAlign val="subscript"/>
      <sz val="14"/>
      <color theme="1"/>
      <name val="Arial"/>
      <family val="1"/>
    </font>
    <font>
      <sz val="14"/>
      <color theme="1"/>
      <name val="Arial"/>
      <family val="1"/>
    </font>
    <font>
      <sz val="12"/>
      <color theme="5"/>
      <name val="Arial"/>
      <family val="1"/>
    </font>
    <font>
      <b/>
      <vertAlign val="subscript"/>
      <sz val="10"/>
      <color theme="1"/>
      <name val="Arial"/>
      <family val="1"/>
    </font>
    <font>
      <vertAlign val="subscript"/>
      <sz val="9"/>
      <color theme="1" tint="0.34998626667073579"/>
      <name val="Arial"/>
      <family val="1"/>
    </font>
    <font>
      <b/>
      <sz val="10"/>
      <color rgb="FFC44340"/>
      <name val="Arial"/>
      <family val="1"/>
    </font>
    <font>
      <i/>
      <sz val="10"/>
      <color rgb="FFC44340"/>
      <name val="Arial"/>
      <family val="1"/>
    </font>
    <font>
      <b/>
      <vertAlign val="superscript"/>
      <sz val="10"/>
      <color rgb="FF183C1B"/>
      <name val="Arial"/>
      <family val="1"/>
    </font>
  </fonts>
  <fills count="18">
    <fill>
      <patternFill patternType="none"/>
    </fill>
    <fill>
      <patternFill patternType="gray125"/>
    </fill>
    <fill>
      <patternFill patternType="solid">
        <fgColor rgb="FFB2D498"/>
        <bgColor indexed="64"/>
      </patternFill>
    </fill>
    <fill>
      <patternFill patternType="solid">
        <fgColor rgb="FF183C1B"/>
        <bgColor indexed="64"/>
      </patternFill>
    </fill>
    <fill>
      <patternFill patternType="solid">
        <fgColor theme="0" tint="-4.9989318521683403E-2"/>
        <bgColor indexed="64"/>
      </patternFill>
    </fill>
    <fill>
      <patternFill patternType="solid">
        <fgColor rgb="FFCC6600"/>
        <bgColor indexed="64"/>
      </patternFill>
    </fill>
    <fill>
      <patternFill patternType="solid">
        <fgColor rgb="FFFFCC66"/>
        <bgColor indexed="64"/>
      </patternFill>
    </fill>
    <fill>
      <patternFill patternType="solid">
        <fgColor rgb="FF533001"/>
        <bgColor indexed="64"/>
      </patternFill>
    </fill>
    <fill>
      <patternFill patternType="solid">
        <fgColor rgb="FF008000"/>
        <bgColor indexed="64"/>
      </patternFill>
    </fill>
    <fill>
      <patternFill patternType="solid">
        <fgColor theme="0"/>
        <bgColor indexed="64"/>
      </patternFill>
    </fill>
    <fill>
      <patternFill patternType="solid">
        <fgColor theme="1" tint="0.499984740745262"/>
        <bgColor indexed="64"/>
      </patternFill>
    </fill>
    <fill>
      <patternFill patternType="solid">
        <fgColor theme="4" tint="-0.249977111117893"/>
        <bgColor indexed="64"/>
      </patternFill>
    </fill>
    <fill>
      <gradientFill degree="90">
        <stop position="0">
          <color theme="0"/>
        </stop>
        <stop position="1">
          <color theme="0" tint="-5.0965910824915313E-2"/>
        </stop>
      </gradientFill>
    </fill>
    <fill>
      <patternFill patternType="solid">
        <fgColor theme="3" tint="0.89996032593768116"/>
        <bgColor indexed="64"/>
      </patternFill>
    </fill>
    <fill>
      <patternFill patternType="solid">
        <fgColor rgb="FFDCECD0"/>
        <bgColor indexed="64"/>
      </patternFill>
    </fill>
    <fill>
      <patternFill patternType="solid">
        <fgColor theme="9" tint="0.59999389629810485"/>
        <bgColor indexed="64"/>
      </patternFill>
    </fill>
    <fill>
      <patternFill patternType="solid">
        <fgColor rgb="FFFFFF00"/>
        <bgColor indexed="64"/>
      </patternFill>
    </fill>
    <fill>
      <patternFill patternType="solid">
        <fgColor rgb="FFFFEBC1"/>
        <bgColor indexed="64"/>
      </patternFill>
    </fill>
  </fills>
  <borders count="30">
    <border>
      <left/>
      <right/>
      <top/>
      <bottom/>
      <diagonal/>
    </border>
    <border>
      <left/>
      <right/>
      <top style="thin">
        <color indexed="64"/>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right/>
      <top style="thin">
        <color theme="1" tint="0.499984740745262"/>
      </top>
      <bottom/>
      <diagonal/>
    </border>
    <border>
      <left/>
      <right/>
      <top/>
      <bottom style="thin">
        <color theme="0" tint="-0.34998626667073579"/>
      </bottom>
      <diagonal/>
    </border>
    <border>
      <left style="thin">
        <color theme="3" tint="0.749961851863155"/>
      </left>
      <right style="thin">
        <color theme="3" tint="0.749961851863155"/>
      </right>
      <top style="thin">
        <color theme="3" tint="0.749961851863155"/>
      </top>
      <bottom style="thin">
        <color theme="3" tint="0.749961851863155"/>
      </bottom>
      <diagonal/>
    </border>
    <border>
      <left/>
      <right/>
      <top style="thin">
        <color theme="1" tint="0.249977111117893"/>
      </top>
      <bottom/>
      <diagonal/>
    </border>
    <border>
      <left style="thin">
        <color theme="3" tint="0.749961851863155"/>
      </left>
      <right/>
      <top style="thin">
        <color theme="3" tint="0.749961851863155"/>
      </top>
      <bottom style="thin">
        <color theme="3" tint="0.749961851863155"/>
      </bottom>
      <diagonal/>
    </border>
    <border>
      <left/>
      <right/>
      <top style="thin">
        <color theme="3" tint="0.749961851863155"/>
      </top>
      <bottom style="thin">
        <color theme="0" tint="-0.34998626667073579"/>
      </bottom>
      <diagonal/>
    </border>
    <border>
      <left/>
      <right/>
      <top style="thin">
        <color theme="3" tint="0.749961851863155"/>
      </top>
      <bottom style="thin">
        <color theme="3" tint="0.749961851863155"/>
      </bottom>
      <diagonal/>
    </border>
    <border>
      <left/>
      <right style="thin">
        <color theme="3" tint="0.749961851863155"/>
      </right>
      <top style="thin">
        <color theme="3" tint="0.749961851863155"/>
      </top>
      <bottom style="thin">
        <color theme="3" tint="0.749961851863155"/>
      </bottom>
      <diagonal/>
    </border>
    <border>
      <left style="thin">
        <color theme="3" tint="0.749961851863155"/>
      </left>
      <right/>
      <top style="thin">
        <color theme="3" tint="0.749961851863155"/>
      </top>
      <bottom/>
      <diagonal/>
    </border>
    <border>
      <left/>
      <right/>
      <top style="thin">
        <color theme="3" tint="0.749961851863155"/>
      </top>
      <bottom/>
      <diagonal/>
    </border>
    <border>
      <left/>
      <right style="thin">
        <color theme="3" tint="0.749961851863155"/>
      </right>
      <top style="thin">
        <color theme="3" tint="0.749961851863155"/>
      </top>
      <bottom/>
      <diagonal/>
    </border>
    <border>
      <left style="thin">
        <color theme="3" tint="0.749961851863155"/>
      </left>
      <right/>
      <top/>
      <bottom style="thin">
        <color theme="3" tint="0.749961851863155"/>
      </bottom>
      <diagonal/>
    </border>
    <border>
      <left/>
      <right/>
      <top/>
      <bottom style="thin">
        <color theme="3" tint="0.749961851863155"/>
      </bottom>
      <diagonal/>
    </border>
    <border>
      <left/>
      <right style="thin">
        <color theme="3" tint="0.749961851863155"/>
      </right>
      <top/>
      <bottom style="thin">
        <color theme="3" tint="0.749961851863155"/>
      </bottom>
      <diagonal/>
    </border>
    <border>
      <left style="thin">
        <color theme="0" tint="-0.34998626667073579"/>
      </left>
      <right style="thin">
        <color theme="0" tint="-0.34998626667073579"/>
      </right>
      <top style="thin">
        <color theme="0" tint="-0.34998626667073579"/>
      </top>
      <bottom/>
      <diagonal/>
    </border>
    <border>
      <left style="thin">
        <color theme="0" tint="-0.34998626667073579"/>
      </left>
      <right/>
      <top style="thin">
        <color theme="0" tint="-0.34998626667073579"/>
      </top>
      <bottom style="thin">
        <color theme="0" tint="-0.34998626667073579"/>
      </bottom>
      <diagonal/>
    </border>
    <border>
      <left/>
      <right/>
      <top style="thin">
        <color theme="0" tint="-0.34998626667073579"/>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0" tint="-0.34998626667073579"/>
      </left>
      <right style="thin">
        <color theme="0" tint="-0.34998626667073579"/>
      </right>
      <top/>
      <bottom/>
      <diagonal/>
    </border>
    <border>
      <left style="thin">
        <color theme="3" tint="0.749961851863155"/>
      </left>
      <right/>
      <top/>
      <bottom/>
      <diagonal/>
    </border>
    <border>
      <left/>
      <right style="thin">
        <color theme="3" tint="0.749961851863155"/>
      </right>
      <top/>
      <bottom/>
      <diagonal/>
    </border>
    <border>
      <left/>
      <right/>
      <top style="thin">
        <color theme="0" tint="-0.499984740745262"/>
      </top>
      <bottom/>
      <diagonal/>
    </border>
    <border>
      <left/>
      <right/>
      <top/>
      <bottom style="thin">
        <color indexed="64"/>
      </bottom>
      <diagonal/>
    </border>
    <border>
      <left style="thin">
        <color theme="0" tint="-0.34998626667073579"/>
      </left>
      <right style="thin">
        <color theme="0" tint="-0.34998626667073579"/>
      </right>
      <top style="thin">
        <color indexed="64"/>
      </top>
      <bottom/>
      <diagonal/>
    </border>
    <border>
      <left style="thin">
        <color theme="0" tint="-0.34998626667073579"/>
      </left>
      <right style="thin">
        <color theme="0" tint="-0.34998626667073579"/>
      </right>
      <top style="thin">
        <color indexed="64"/>
      </top>
      <bottom style="thin">
        <color indexed="64"/>
      </bottom>
      <diagonal/>
    </border>
    <border>
      <left style="thin">
        <color theme="0" tint="-0.34998626667073579"/>
      </left>
      <right style="thin">
        <color theme="0" tint="-0.34998626667073579"/>
      </right>
      <top style="thin">
        <color indexed="64"/>
      </top>
      <bottom style="thin">
        <color theme="0" tint="-0.34998626667073579"/>
      </bottom>
      <diagonal/>
    </border>
    <border>
      <left style="thin">
        <color theme="3" tint="0.749961851863155"/>
      </left>
      <right style="thin">
        <color theme="3" tint="0.749961851863155"/>
      </right>
      <top style="thin">
        <color theme="3" tint="0.749961851863155"/>
      </top>
      <bottom/>
      <diagonal/>
    </border>
  </borders>
  <cellStyleXfs count="72">
    <xf numFmtId="0" fontId="0" fillId="0" borderId="0"/>
    <xf numFmtId="0" fontId="6" fillId="2" borderId="0">
      <alignment horizontal="left" vertical="center" indent="1"/>
      <protection locked="0"/>
    </xf>
    <xf numFmtId="0" fontId="5" fillId="0" borderId="0"/>
    <xf numFmtId="0" fontId="2" fillId="0" borderId="0">
      <alignment vertical="center"/>
    </xf>
    <xf numFmtId="0" fontId="17" fillId="3" borderId="0">
      <alignment vertical="center"/>
    </xf>
    <xf numFmtId="0" fontId="26" fillId="4" borderId="0">
      <alignment horizontal="left" vertical="center"/>
    </xf>
    <xf numFmtId="0" fontId="30" fillId="4" borderId="0">
      <alignment vertical="center"/>
    </xf>
    <xf numFmtId="0" fontId="4" fillId="4" borderId="0">
      <alignment horizontal="left" vertical="center"/>
    </xf>
    <xf numFmtId="0" fontId="28" fillId="4" borderId="0">
      <alignment horizontal="left" vertical="center"/>
    </xf>
    <xf numFmtId="0" fontId="6" fillId="2" borderId="0">
      <alignment horizontal="center" vertical="center"/>
    </xf>
    <xf numFmtId="164" fontId="9" fillId="4" borderId="0">
      <alignment horizontal="center" vertical="center"/>
    </xf>
    <xf numFmtId="9" fontId="9" fillId="4" borderId="0">
      <alignment horizontal="center" vertical="center"/>
    </xf>
    <xf numFmtId="0" fontId="7" fillId="4" borderId="0">
      <alignment horizontal="left" vertical="center" indent="1"/>
    </xf>
    <xf numFmtId="0" fontId="8" fillId="4" borderId="0">
      <alignment horizontal="right" vertical="center"/>
    </xf>
    <xf numFmtId="0" fontId="3" fillId="0" borderId="2">
      <alignment horizontal="center" vertical="center"/>
    </xf>
    <xf numFmtId="0" fontId="4" fillId="12" borderId="2">
      <alignment horizontal="center" vertical="center"/>
    </xf>
    <xf numFmtId="9" fontId="3" fillId="0" borderId="2">
      <alignment horizontal="center" vertical="center"/>
    </xf>
    <xf numFmtId="4" fontId="3" fillId="0" borderId="2">
      <alignment horizontal="center" vertical="center"/>
    </xf>
    <xf numFmtId="3" fontId="3" fillId="0" borderId="2">
      <alignment horizontal="center" vertical="center"/>
    </xf>
    <xf numFmtId="0" fontId="14" fillId="0" borderId="2">
      <alignment horizontal="center" vertical="center"/>
    </xf>
    <xf numFmtId="0" fontId="15" fillId="0" borderId="2">
      <alignment horizontal="center" vertical="center"/>
    </xf>
    <xf numFmtId="9" fontId="14" fillId="0" borderId="2">
      <alignment horizontal="center" vertical="center"/>
    </xf>
    <xf numFmtId="165" fontId="14" fillId="0" borderId="2">
      <alignment horizontal="center" vertical="center"/>
    </xf>
    <xf numFmtId="3" fontId="14" fillId="0" borderId="2">
      <alignment horizontal="center" vertical="center"/>
    </xf>
    <xf numFmtId="0" fontId="16" fillId="4" borderId="0">
      <alignment horizontal="left" vertical="center"/>
    </xf>
    <xf numFmtId="0" fontId="7" fillId="4" borderId="3">
      <alignment horizontal="left" vertical="center" indent="1"/>
    </xf>
    <xf numFmtId="164" fontId="9" fillId="4" borderId="3">
      <alignment horizontal="center" vertical="center"/>
    </xf>
    <xf numFmtId="0" fontId="4" fillId="4" borderId="3">
      <alignment horizontal="left" vertical="center"/>
    </xf>
    <xf numFmtId="0" fontId="13" fillId="6" borderId="0">
      <alignment horizontal="left" vertical="center" indent="1"/>
    </xf>
    <xf numFmtId="0" fontId="13" fillId="6" borderId="0">
      <alignment horizontal="center" vertical="center"/>
      <protection locked="0"/>
    </xf>
    <xf numFmtId="0" fontId="12" fillId="4" borderId="0">
      <alignment vertical="center"/>
    </xf>
    <xf numFmtId="0" fontId="17" fillId="7" borderId="0">
      <alignment vertical="center"/>
    </xf>
    <xf numFmtId="0" fontId="11" fillId="0" borderId="0"/>
    <xf numFmtId="0" fontId="3" fillId="0" borderId="0">
      <alignment horizontal="left" vertical="center" indent="1"/>
    </xf>
    <xf numFmtId="0" fontId="18" fillId="9" borderId="4">
      <alignment horizontal="left" vertical="center" indent="1"/>
    </xf>
    <xf numFmtId="0" fontId="21" fillId="10" borderId="0">
      <alignment horizontal="left" vertical="center" indent="1"/>
    </xf>
    <xf numFmtId="0" fontId="21" fillId="5" borderId="0">
      <alignment horizontal="left" vertical="center" indent="1"/>
    </xf>
    <xf numFmtId="0" fontId="21" fillId="8" borderId="0">
      <alignment horizontal="left" vertical="center" indent="1"/>
    </xf>
    <xf numFmtId="0" fontId="22" fillId="0" borderId="0">
      <alignment horizontal="left" vertical="center" indent="2"/>
    </xf>
    <xf numFmtId="0" fontId="31" fillId="13" borderId="5">
      <alignment horizontal="left" vertical="center"/>
    </xf>
    <xf numFmtId="3" fontId="24" fillId="4" borderId="2">
      <alignment horizontal="center" vertical="center"/>
    </xf>
    <xf numFmtId="167" fontId="3" fillId="0" borderId="2">
      <alignment horizontal="center" vertical="center"/>
    </xf>
    <xf numFmtId="0" fontId="25" fillId="0" borderId="0"/>
    <xf numFmtId="0" fontId="10" fillId="0" borderId="0"/>
    <xf numFmtId="0" fontId="25" fillId="0" borderId="0"/>
    <xf numFmtId="166" fontId="24" fillId="4" borderId="2">
      <alignment horizontal="center" vertical="center"/>
    </xf>
    <xf numFmtId="4" fontId="24" fillId="4" borderId="2">
      <alignment horizontal="center" vertical="center"/>
    </xf>
    <xf numFmtId="0" fontId="35" fillId="4" borderId="0">
      <alignment horizontal="left" vertical="center"/>
    </xf>
    <xf numFmtId="0" fontId="27" fillId="4" borderId="0" applyNumberFormat="0">
      <alignment horizontal="center" vertical="center"/>
    </xf>
    <xf numFmtId="165" fontId="24" fillId="4" borderId="2">
      <alignment horizontal="center" vertical="center"/>
    </xf>
    <xf numFmtId="0" fontId="23" fillId="4" borderId="0">
      <alignment horizontal="left" vertical="center"/>
    </xf>
    <xf numFmtId="168" fontId="24" fillId="4" borderId="2">
      <alignment horizontal="center" vertical="center"/>
    </xf>
    <xf numFmtId="0" fontId="24" fillId="4" borderId="2">
      <alignment horizontal="center" vertical="center"/>
    </xf>
    <xf numFmtId="0" fontId="7" fillId="4" borderId="0">
      <alignment horizontal="left" vertical="center"/>
    </xf>
    <xf numFmtId="0" fontId="29" fillId="4" borderId="0">
      <alignment horizontal="left" vertical="center"/>
    </xf>
    <xf numFmtId="0" fontId="10" fillId="0" borderId="0"/>
    <xf numFmtId="0" fontId="3" fillId="0" borderId="2">
      <alignment horizontal="center" vertical="center"/>
    </xf>
    <xf numFmtId="0" fontId="33" fillId="4" borderId="0">
      <alignment horizontal="left" vertical="center"/>
    </xf>
    <xf numFmtId="0" fontId="34" fillId="4" borderId="0">
      <alignment horizontal="left" vertical="center"/>
    </xf>
    <xf numFmtId="0" fontId="36" fillId="4" borderId="0">
      <alignment horizontal="left" vertical="center"/>
    </xf>
    <xf numFmtId="0" fontId="32" fillId="11" borderId="0">
      <alignment horizontal="center" vertical="center"/>
    </xf>
    <xf numFmtId="0" fontId="21" fillId="11" borderId="0">
      <alignment horizontal="left" vertical="center" indent="1"/>
    </xf>
    <xf numFmtId="0" fontId="37" fillId="4" borderId="2">
      <alignment horizontal="left" vertical="center"/>
    </xf>
    <xf numFmtId="0" fontId="24" fillId="4" borderId="2">
      <alignment horizontal="left" vertical="center"/>
    </xf>
    <xf numFmtId="0" fontId="38" fillId="14" borderId="2">
      <alignment horizontal="center" vertical="center"/>
    </xf>
    <xf numFmtId="0" fontId="39" fillId="15" borderId="2">
      <alignment horizontal="center" vertical="center"/>
    </xf>
    <xf numFmtId="0" fontId="40" fillId="0" borderId="0" applyNumberFormat="0" applyFill="0" applyBorder="0" applyAlignment="0" applyProtection="0"/>
    <xf numFmtId="43" fontId="10" fillId="0" borderId="0" applyFont="0" applyFill="0" applyBorder="0" applyAlignment="0" applyProtection="0"/>
    <xf numFmtId="9" fontId="10" fillId="0" borderId="0" applyFont="0" applyFill="0" applyBorder="0" applyAlignment="0" applyProtection="0"/>
    <xf numFmtId="0" fontId="1" fillId="0" borderId="0"/>
    <xf numFmtId="0" fontId="81" fillId="4" borderId="0">
      <alignment horizontal="left" vertical="center"/>
    </xf>
    <xf numFmtId="0" fontId="39" fillId="17" borderId="2">
      <alignment horizontal="center" vertical="center"/>
    </xf>
  </cellStyleXfs>
  <cellXfs count="264">
    <xf numFmtId="0" fontId="0" fillId="0" borderId="0" xfId="0"/>
    <xf numFmtId="0" fontId="28" fillId="4" borderId="0" xfId="8">
      <alignment horizontal="left" vertical="center"/>
    </xf>
    <xf numFmtId="0" fontId="26" fillId="4" borderId="0" xfId="5">
      <alignment horizontal="left" vertical="center"/>
    </xf>
    <xf numFmtId="0" fontId="2" fillId="0" borderId="0" xfId="3">
      <alignment vertical="center"/>
    </xf>
    <xf numFmtId="0" fontId="3" fillId="9" borderId="0" xfId="7" applyFont="1" applyFill="1" applyAlignment="1">
      <alignment horizontal="left" vertical="center" indent="1"/>
    </xf>
    <xf numFmtId="0" fontId="3" fillId="0" borderId="0" xfId="33">
      <alignment horizontal="left" vertical="center" indent="1"/>
    </xf>
    <xf numFmtId="0" fontId="19" fillId="9" borderId="4" xfId="34" applyFont="1">
      <alignment horizontal="left" vertical="center" indent="1"/>
    </xf>
    <xf numFmtId="0" fontId="20" fillId="9" borderId="4" xfId="34" applyFont="1">
      <alignment horizontal="left" vertical="center" indent="1"/>
    </xf>
    <xf numFmtId="0" fontId="0" fillId="4" borderId="0" xfId="0" applyFill="1"/>
    <xf numFmtId="0" fontId="7" fillId="4" borderId="0" xfId="53">
      <alignment horizontal="left" vertical="center"/>
    </xf>
    <xf numFmtId="0" fontId="11" fillId="0" borderId="0" xfId="32"/>
    <xf numFmtId="0" fontId="32" fillId="11" borderId="0" xfId="60">
      <alignment horizontal="center" vertical="center"/>
    </xf>
    <xf numFmtId="0" fontId="3" fillId="4" borderId="0" xfId="7" applyFont="1">
      <alignment horizontal="left" vertical="center"/>
    </xf>
    <xf numFmtId="0" fontId="4" fillId="12" borderId="2" xfId="15">
      <alignment horizontal="center" vertical="center"/>
    </xf>
    <xf numFmtId="167" fontId="3" fillId="0" borderId="2" xfId="41">
      <alignment horizontal="center" vertical="center"/>
    </xf>
    <xf numFmtId="0" fontId="24" fillId="4" borderId="2" xfId="52">
      <alignment horizontal="center" vertical="center"/>
    </xf>
    <xf numFmtId="0" fontId="7" fillId="4" borderId="0" xfId="12">
      <alignment horizontal="left" vertical="center" indent="1"/>
    </xf>
    <xf numFmtId="0" fontId="30" fillId="4" borderId="0" xfId="6">
      <alignment vertical="center"/>
    </xf>
    <xf numFmtId="9" fontId="3" fillId="0" borderId="2" xfId="16">
      <alignment horizontal="center" vertical="center"/>
    </xf>
    <xf numFmtId="9" fontId="24" fillId="4" borderId="2" xfId="68" applyFont="1" applyFill="1" applyBorder="1" applyAlignment="1">
      <alignment horizontal="center" vertical="center"/>
    </xf>
    <xf numFmtId="0" fontId="0" fillId="0" borderId="0" xfId="8" applyFont="1" applyFill="1">
      <alignment horizontal="left" vertical="center"/>
    </xf>
    <xf numFmtId="0" fontId="5" fillId="0" borderId="0" xfId="2"/>
    <xf numFmtId="0" fontId="4" fillId="0" borderId="0" xfId="7" applyFill="1">
      <alignment horizontal="left" vertical="center"/>
    </xf>
    <xf numFmtId="0" fontId="17" fillId="3" borderId="0" xfId="4">
      <alignment vertical="center"/>
    </xf>
    <xf numFmtId="0" fontId="17" fillId="0" borderId="0" xfId="4" applyFill="1">
      <alignment vertical="center"/>
    </xf>
    <xf numFmtId="0" fontId="4" fillId="4" borderId="0" xfId="7">
      <alignment horizontal="left" vertical="center"/>
    </xf>
    <xf numFmtId="0" fontId="29" fillId="4" borderId="0" xfId="54">
      <alignment horizontal="left" vertical="center"/>
    </xf>
    <xf numFmtId="0" fontId="0" fillId="0" borderId="0" xfId="7" applyFont="1" applyFill="1">
      <alignment horizontal="left" vertical="center"/>
    </xf>
    <xf numFmtId="0" fontId="11" fillId="0" borderId="0" xfId="2" applyFont="1"/>
    <xf numFmtId="0" fontId="17" fillId="7" borderId="0" xfId="31">
      <alignment vertical="center"/>
    </xf>
    <xf numFmtId="0" fontId="4" fillId="4" borderId="6" xfId="7" applyBorder="1">
      <alignment horizontal="left" vertical="center"/>
    </xf>
    <xf numFmtId="0" fontId="26" fillId="0" borderId="0" xfId="5" applyFill="1">
      <alignment horizontal="left" vertical="center"/>
    </xf>
    <xf numFmtId="0" fontId="12" fillId="4" borderId="0" xfId="30">
      <alignment vertical="center"/>
    </xf>
    <xf numFmtId="0" fontId="30" fillId="0" borderId="0" xfId="6" applyFill="1">
      <alignment vertical="center"/>
    </xf>
    <xf numFmtId="0" fontId="3" fillId="0" borderId="2" xfId="14">
      <alignment horizontal="center" vertical="center"/>
    </xf>
    <xf numFmtId="0" fontId="28" fillId="0" borderId="0" xfId="8" applyFill="1">
      <alignment horizontal="left" vertical="center"/>
    </xf>
    <xf numFmtId="0" fontId="31" fillId="13" borderId="7" xfId="39" applyBorder="1">
      <alignment horizontal="left" vertical="center"/>
    </xf>
    <xf numFmtId="0" fontId="31" fillId="13" borderId="8" xfId="39" applyBorder="1">
      <alignment horizontal="left" vertical="center"/>
    </xf>
    <xf numFmtId="0" fontId="31" fillId="13" borderId="9" xfId="39" applyBorder="1">
      <alignment horizontal="left" vertical="center"/>
    </xf>
    <xf numFmtId="0" fontId="31" fillId="13" borderId="10" xfId="39" applyBorder="1">
      <alignment horizontal="left" vertical="center"/>
    </xf>
    <xf numFmtId="0" fontId="42" fillId="0" borderId="0" xfId="12" applyFont="1" applyFill="1" applyAlignment="1">
      <alignment horizontal="left" vertical="center"/>
    </xf>
    <xf numFmtId="166" fontId="24" fillId="4" borderId="2" xfId="40" applyNumberFormat="1">
      <alignment horizontal="center" vertical="center"/>
    </xf>
    <xf numFmtId="0" fontId="3" fillId="0" borderId="0" xfId="7" applyFont="1" applyFill="1">
      <alignment horizontal="left" vertical="center"/>
    </xf>
    <xf numFmtId="0" fontId="43" fillId="13" borderId="11" xfId="39" applyFont="1" applyBorder="1">
      <alignment horizontal="left" vertical="center"/>
    </xf>
    <xf numFmtId="0" fontId="31" fillId="13" borderId="12" xfId="39" applyBorder="1">
      <alignment horizontal="left" vertical="center"/>
    </xf>
    <xf numFmtId="0" fontId="31" fillId="13" borderId="13" xfId="39" applyBorder="1">
      <alignment horizontal="left" vertical="center"/>
    </xf>
    <xf numFmtId="0" fontId="31" fillId="13" borderId="14" xfId="39" applyBorder="1">
      <alignment horizontal="left" vertical="center"/>
    </xf>
    <xf numFmtId="0" fontId="31" fillId="13" borderId="15" xfId="39" applyBorder="1">
      <alignment horizontal="left" vertical="center"/>
    </xf>
    <xf numFmtId="0" fontId="31" fillId="13" borderId="16" xfId="39" applyBorder="1">
      <alignment horizontal="left" vertical="center"/>
    </xf>
    <xf numFmtId="4" fontId="3" fillId="4" borderId="0" xfId="17" applyFill="1" applyBorder="1">
      <alignment horizontal="center" vertical="center"/>
    </xf>
    <xf numFmtId="0" fontId="13" fillId="4" borderId="0" xfId="29" applyFill="1">
      <alignment horizontal="center" vertical="center"/>
      <protection locked="0"/>
    </xf>
    <xf numFmtId="0" fontId="44" fillId="0" borderId="0" xfId="0" applyFont="1" applyAlignment="1" applyProtection="1">
      <alignment horizontal="center" vertical="center"/>
      <protection locked="0"/>
    </xf>
    <xf numFmtId="4" fontId="45" fillId="0" borderId="0" xfId="17" applyFont="1" applyBorder="1">
      <alignment horizontal="center" vertical="center"/>
    </xf>
    <xf numFmtId="164" fontId="9" fillId="4" borderId="0" xfId="26" applyBorder="1">
      <alignment horizontal="center" vertical="center"/>
    </xf>
    <xf numFmtId="4" fontId="45" fillId="4" borderId="0" xfId="17" applyFont="1" applyFill="1" applyBorder="1">
      <alignment horizontal="center" vertical="center"/>
    </xf>
    <xf numFmtId="0" fontId="45" fillId="4" borderId="0" xfId="12" applyFont="1" applyAlignment="1">
      <alignment horizontal="center" vertical="center"/>
    </xf>
    <xf numFmtId="0" fontId="45" fillId="4" borderId="0" xfId="8" applyFont="1" applyAlignment="1">
      <alignment horizontal="center" vertical="center"/>
    </xf>
    <xf numFmtId="166" fontId="45" fillId="4" borderId="0" xfId="8" applyNumberFormat="1" applyFont="1" applyAlignment="1">
      <alignment horizontal="center" vertical="center"/>
    </xf>
    <xf numFmtId="9" fontId="45" fillId="4" borderId="0" xfId="68" applyFont="1" applyFill="1" applyBorder="1" applyAlignment="1">
      <alignment horizontal="center" vertical="center"/>
    </xf>
    <xf numFmtId="0" fontId="46" fillId="4" borderId="0" xfId="0" applyFont="1" applyFill="1" applyAlignment="1">
      <alignment horizontal="center" vertical="center"/>
    </xf>
    <xf numFmtId="0" fontId="46" fillId="4" borderId="0" xfId="0" applyFont="1" applyFill="1"/>
    <xf numFmtId="0" fontId="45" fillId="4" borderId="0" xfId="0" applyFont="1" applyFill="1"/>
    <xf numFmtId="0" fontId="45" fillId="0" borderId="0" xfId="0" applyFont="1"/>
    <xf numFmtId="0" fontId="47" fillId="4" borderId="0" xfId="7" applyFont="1" applyAlignment="1">
      <alignment horizontal="center" vertical="center"/>
    </xf>
    <xf numFmtId="0" fontId="48" fillId="4" borderId="0" xfId="7" applyFont="1" applyAlignment="1">
      <alignment horizontal="center" vertical="center"/>
    </xf>
    <xf numFmtId="166" fontId="48" fillId="4" borderId="0" xfId="7" applyNumberFormat="1" applyFont="1" applyAlignment="1">
      <alignment horizontal="center" vertical="center"/>
    </xf>
    <xf numFmtId="0" fontId="48" fillId="4" borderId="0" xfId="0" applyFont="1" applyFill="1" applyAlignment="1">
      <alignment horizontal="center" vertical="center"/>
    </xf>
    <xf numFmtId="0" fontId="49" fillId="4" borderId="0" xfId="0" applyFont="1" applyFill="1" applyAlignment="1">
      <alignment horizontal="center" vertical="center"/>
    </xf>
    <xf numFmtId="0" fontId="49" fillId="4" borderId="0" xfId="0" applyFont="1" applyFill="1" applyAlignment="1">
      <alignment horizontal="left" vertical="center"/>
    </xf>
    <xf numFmtId="14" fontId="4" fillId="4" borderId="0" xfId="7" applyNumberFormat="1">
      <alignment horizontal="left" vertical="center"/>
    </xf>
    <xf numFmtId="0" fontId="31" fillId="13" borderId="5" xfId="39">
      <alignment horizontal="left" vertical="center"/>
    </xf>
    <xf numFmtId="0" fontId="40" fillId="4" borderId="0" xfId="66" applyFill="1" applyBorder="1"/>
    <xf numFmtId="166" fontId="3" fillId="4" borderId="0" xfId="18" applyNumberFormat="1" applyFill="1" applyBorder="1">
      <alignment horizontal="center" vertical="center"/>
    </xf>
    <xf numFmtId="169" fontId="4" fillId="4" borderId="0" xfId="67" applyNumberFormat="1" applyFont="1" applyFill="1" applyBorder="1" applyAlignment="1">
      <alignment horizontal="center" vertical="center"/>
    </xf>
    <xf numFmtId="0" fontId="0" fillId="4" borderId="0" xfId="7" applyFont="1">
      <alignment horizontal="left" vertical="center"/>
    </xf>
    <xf numFmtId="0" fontId="50" fillId="4" borderId="0" xfId="0" applyFont="1" applyFill="1"/>
    <xf numFmtId="0" fontId="3" fillId="0" borderId="2" xfId="56">
      <alignment horizontal="center" vertical="center"/>
    </xf>
    <xf numFmtId="0" fontId="41" fillId="4" borderId="0" xfId="8" applyFont="1">
      <alignment horizontal="left" vertical="center"/>
    </xf>
    <xf numFmtId="0" fontId="24" fillId="4" borderId="2" xfId="52" quotePrefix="1">
      <alignment horizontal="center" vertical="center"/>
    </xf>
    <xf numFmtId="0" fontId="35" fillId="4" borderId="0" xfId="47">
      <alignment horizontal="left" vertical="center"/>
    </xf>
    <xf numFmtId="0" fontId="36" fillId="4" borderId="0" xfId="59">
      <alignment horizontal="left" vertical="center"/>
    </xf>
    <xf numFmtId="170" fontId="0" fillId="0" borderId="0" xfId="8" applyNumberFormat="1" applyFont="1" applyFill="1">
      <alignment horizontal="left" vertical="center"/>
    </xf>
    <xf numFmtId="0" fontId="13" fillId="6" borderId="0" xfId="29">
      <alignment horizontal="center" vertical="center"/>
      <protection locked="0"/>
    </xf>
    <xf numFmtId="49" fontId="0" fillId="0" borderId="0" xfId="14" applyNumberFormat="1" applyFont="1" applyBorder="1">
      <alignment horizontal="center" vertical="center"/>
    </xf>
    <xf numFmtId="0" fontId="4" fillId="12" borderId="17" xfId="15" applyBorder="1">
      <alignment horizontal="center" vertical="center"/>
    </xf>
    <xf numFmtId="0" fontId="51" fillId="9" borderId="4" xfId="34" applyFont="1">
      <alignment horizontal="left" vertical="center" indent="1"/>
    </xf>
    <xf numFmtId="0" fontId="21" fillId="10" borderId="0" xfId="35">
      <alignment horizontal="left" vertical="center" indent="1"/>
    </xf>
    <xf numFmtId="0" fontId="28" fillId="4" borderId="1" xfId="8" applyBorder="1">
      <alignment horizontal="left" vertical="center"/>
    </xf>
    <xf numFmtId="0" fontId="52" fillId="4" borderId="0" xfId="8" applyFont="1">
      <alignment horizontal="left" vertical="center"/>
    </xf>
    <xf numFmtId="0" fontId="53" fillId="4" borderId="0" xfId="8" applyFont="1">
      <alignment horizontal="left" vertical="center"/>
    </xf>
    <xf numFmtId="0" fontId="52" fillId="4" borderId="1" xfId="8" applyFont="1" applyBorder="1">
      <alignment horizontal="left" vertical="center"/>
    </xf>
    <xf numFmtId="0" fontId="53" fillId="4" borderId="1" xfId="8" applyFont="1" applyBorder="1">
      <alignment horizontal="left" vertical="center"/>
    </xf>
    <xf numFmtId="0" fontId="54" fillId="0" borderId="0" xfId="32" applyFont="1"/>
    <xf numFmtId="0" fontId="41" fillId="4" borderId="1" xfId="8" applyFont="1" applyBorder="1">
      <alignment horizontal="left" vertical="center"/>
    </xf>
    <xf numFmtId="0" fontId="7" fillId="4" borderId="1" xfId="53" applyBorder="1">
      <alignment horizontal="left" vertical="center"/>
    </xf>
    <xf numFmtId="0" fontId="55" fillId="4" borderId="1" xfId="53" applyFont="1" applyBorder="1">
      <alignment horizontal="left" vertical="center"/>
    </xf>
    <xf numFmtId="0" fontId="55" fillId="4" borderId="0" xfId="53" applyFont="1">
      <alignment horizontal="left" vertical="center"/>
    </xf>
    <xf numFmtId="0" fontId="28" fillId="11" borderId="0" xfId="8" applyFill="1">
      <alignment horizontal="left" vertical="center"/>
    </xf>
    <xf numFmtId="0" fontId="10" fillId="0" borderId="0" xfId="55"/>
    <xf numFmtId="0" fontId="21" fillId="5" borderId="0" xfId="36">
      <alignment horizontal="left" vertical="center" indent="1"/>
    </xf>
    <xf numFmtId="0" fontId="13" fillId="6" borderId="0" xfId="28">
      <alignment horizontal="left" vertical="center" indent="1"/>
    </xf>
    <xf numFmtId="171" fontId="24" fillId="4" borderId="2" xfId="68" applyNumberFormat="1" applyFont="1" applyFill="1" applyBorder="1" applyAlignment="1">
      <alignment horizontal="center" vertical="center"/>
    </xf>
    <xf numFmtId="0" fontId="58" fillId="4" borderId="0" xfId="8" applyFont="1">
      <alignment horizontal="left" vertical="center"/>
    </xf>
    <xf numFmtId="0" fontId="16" fillId="4" borderId="0" xfId="24">
      <alignment horizontal="left" vertical="center"/>
    </xf>
    <xf numFmtId="0" fontId="21" fillId="8" borderId="0" xfId="37">
      <alignment horizontal="left" vertical="center" indent="1"/>
    </xf>
    <xf numFmtId="0" fontId="24" fillId="4" borderId="2" xfId="63">
      <alignment horizontal="left" vertical="center"/>
    </xf>
    <xf numFmtId="0" fontId="24" fillId="4" borderId="18" xfId="63" applyBorder="1">
      <alignment horizontal="left" vertical="center"/>
    </xf>
    <xf numFmtId="0" fontId="24" fillId="4" borderId="19" xfId="63" applyBorder="1">
      <alignment horizontal="left" vertical="center"/>
    </xf>
    <xf numFmtId="0" fontId="24" fillId="4" borderId="20" xfId="63" applyBorder="1">
      <alignment horizontal="left" vertical="center"/>
    </xf>
    <xf numFmtId="0" fontId="39" fillId="15" borderId="2" xfId="65">
      <alignment horizontal="center" vertical="center"/>
    </xf>
    <xf numFmtId="0" fontId="38" fillId="14" borderId="2" xfId="64">
      <alignment horizontal="center" vertical="center"/>
    </xf>
    <xf numFmtId="0" fontId="37" fillId="4" borderId="2" xfId="62">
      <alignment horizontal="left" vertical="center"/>
    </xf>
    <xf numFmtId="0" fontId="33" fillId="4" borderId="0" xfId="57">
      <alignment horizontal="left" vertical="center"/>
    </xf>
    <xf numFmtId="0" fontId="34" fillId="4" borderId="0" xfId="58">
      <alignment horizontal="left" vertical="center"/>
    </xf>
    <xf numFmtId="0" fontId="6" fillId="2" borderId="0" xfId="9">
      <alignment horizontal="center" vertical="center"/>
    </xf>
    <xf numFmtId="0" fontId="24" fillId="16" borderId="2" xfId="52" applyFill="1">
      <alignment horizontal="center" vertical="center"/>
    </xf>
    <xf numFmtId="0" fontId="24" fillId="4" borderId="2" xfId="52" applyAlignment="1">
      <alignment horizontal="left" vertical="center"/>
    </xf>
    <xf numFmtId="0" fontId="24" fillId="4" borderId="18" xfId="52" applyBorder="1" applyAlignment="1">
      <alignment horizontal="left" vertical="center"/>
    </xf>
    <xf numFmtId="0" fontId="24" fillId="4" borderId="19" xfId="52" applyBorder="1">
      <alignment horizontal="center" vertical="center"/>
    </xf>
    <xf numFmtId="0" fontId="24" fillId="4" borderId="2" xfId="52" applyAlignment="1">
      <alignment vertical="center"/>
    </xf>
    <xf numFmtId="0" fontId="24" fillId="4" borderId="18" xfId="52" applyBorder="1" applyAlignment="1">
      <alignment vertical="center"/>
    </xf>
    <xf numFmtId="0" fontId="24" fillId="4" borderId="19" xfId="52" applyBorder="1" applyAlignment="1">
      <alignment vertical="center"/>
    </xf>
    <xf numFmtId="0" fontId="24" fillId="4" borderId="20" xfId="52" applyBorder="1" applyAlignment="1">
      <alignment vertical="center"/>
    </xf>
    <xf numFmtId="0" fontId="0" fillId="0" borderId="0" xfId="28" applyFont="1" applyFill="1">
      <alignment horizontal="left" vertical="center" indent="1"/>
    </xf>
    <xf numFmtId="0" fontId="28" fillId="16" borderId="0" xfId="8" applyFill="1">
      <alignment horizontal="left" vertical="center"/>
    </xf>
    <xf numFmtId="9" fontId="24" fillId="4" borderId="2" xfId="52" applyNumberFormat="1">
      <alignment horizontal="center" vertical="center"/>
    </xf>
    <xf numFmtId="0" fontId="31" fillId="13" borderId="11" xfId="39" applyBorder="1">
      <alignment horizontal="left" vertical="center"/>
    </xf>
    <xf numFmtId="0" fontId="65" fillId="4" borderId="0" xfId="0" applyFont="1" applyFill="1" applyAlignment="1">
      <alignment horizontal="center" vertical="center"/>
    </xf>
    <xf numFmtId="0" fontId="65" fillId="4" borderId="0" xfId="0" applyFont="1" applyFill="1"/>
    <xf numFmtId="0" fontId="66" fillId="4" borderId="0" xfId="0" applyFont="1" applyFill="1"/>
    <xf numFmtId="0" fontId="0" fillId="0" borderId="0" xfId="0" applyAlignment="1" applyProtection="1">
      <alignment horizontal="center" vertical="center" wrapText="1"/>
      <protection locked="0"/>
    </xf>
    <xf numFmtId="0" fontId="0" fillId="0" borderId="0" xfId="0" applyAlignment="1">
      <alignment horizontal="center" vertical="center" wrapText="1"/>
    </xf>
    <xf numFmtId="0" fontId="10" fillId="0" borderId="0" xfId="55" applyAlignment="1">
      <alignment horizontal="center" vertical="center" wrapText="1"/>
    </xf>
    <xf numFmtId="0" fontId="4" fillId="12" borderId="2" xfId="15" applyAlignment="1">
      <alignment horizontal="center" vertical="center" wrapText="1"/>
    </xf>
    <xf numFmtId="4" fontId="0" fillId="0" borderId="0" xfId="17" applyFont="1" applyBorder="1" applyAlignment="1">
      <alignment horizontal="center" vertical="center" wrapText="1"/>
    </xf>
    <xf numFmtId="0" fontId="0" fillId="4" borderId="2" xfId="52" applyFont="1" applyAlignment="1">
      <alignment horizontal="center" vertical="center" wrapText="1"/>
    </xf>
    <xf numFmtId="0" fontId="24" fillId="4" borderId="2" xfId="52" applyAlignment="1">
      <alignment horizontal="center" vertical="center" wrapText="1"/>
    </xf>
    <xf numFmtId="0" fontId="28" fillId="4" borderId="0" xfId="8" applyAlignment="1">
      <alignment horizontal="center" vertical="center" wrapText="1"/>
    </xf>
    <xf numFmtId="0" fontId="44" fillId="4" borderId="0" xfId="43" applyFont="1" applyFill="1" applyAlignment="1">
      <alignment horizontal="left" vertical="center" wrapText="1"/>
    </xf>
    <xf numFmtId="2" fontId="65" fillId="4" borderId="0" xfId="67" applyNumberFormat="1" applyFont="1" applyFill="1" applyBorder="1" applyAlignment="1" applyProtection="1">
      <alignment horizontal="center" wrapText="1"/>
      <protection locked="0"/>
    </xf>
    <xf numFmtId="1" fontId="65" fillId="4" borderId="0" xfId="67" applyNumberFormat="1" applyFont="1" applyFill="1" applyBorder="1" applyAlignment="1" applyProtection="1">
      <alignment horizontal="center" wrapText="1"/>
      <protection locked="0"/>
    </xf>
    <xf numFmtId="0" fontId="65" fillId="4" borderId="0" xfId="0" applyFont="1" applyFill="1" applyAlignment="1">
      <alignment horizontal="left" wrapText="1"/>
    </xf>
    <xf numFmtId="0" fontId="66" fillId="4" borderId="0" xfId="0" applyFont="1" applyFill="1" applyAlignment="1">
      <alignment wrapText="1"/>
    </xf>
    <xf numFmtId="0" fontId="28" fillId="4" borderId="0" xfId="8" applyAlignment="1">
      <alignment horizontal="left" vertical="center" wrapText="1"/>
    </xf>
    <xf numFmtId="0" fontId="35" fillId="4" borderId="0" xfId="47" applyAlignment="1">
      <alignment horizontal="left" vertical="center" wrapText="1"/>
    </xf>
    <xf numFmtId="0" fontId="0" fillId="4" borderId="0" xfId="0" applyFill="1" applyAlignment="1">
      <alignment wrapText="1"/>
    </xf>
    <xf numFmtId="0" fontId="10" fillId="0" borderId="0" xfId="55" applyAlignment="1" applyProtection="1">
      <alignment horizontal="center" vertical="center" wrapText="1"/>
      <protection locked="0"/>
    </xf>
    <xf numFmtId="0" fontId="67" fillId="12" borderId="2" xfId="15" applyFont="1" applyAlignment="1">
      <alignment horizontal="center" vertical="center" wrapText="1"/>
    </xf>
    <xf numFmtId="9" fontId="0" fillId="0" borderId="0" xfId="68" applyFont="1" applyFill="1" applyBorder="1" applyAlignment="1">
      <alignment horizontal="center" vertical="center" wrapText="1"/>
    </xf>
    <xf numFmtId="0" fontId="67" fillId="12" borderId="2" xfId="15" applyFont="1">
      <alignment horizontal="center" vertical="center"/>
    </xf>
    <xf numFmtId="9" fontId="0" fillId="0" borderId="21" xfId="68" applyFont="1" applyFill="1" applyBorder="1" applyAlignment="1">
      <alignment horizontal="center" vertical="center" wrapText="1"/>
    </xf>
    <xf numFmtId="4" fontId="57" fillId="0" borderId="2" xfId="17" applyFont="1" applyAlignment="1">
      <alignment horizontal="center" vertical="center" wrapText="1"/>
    </xf>
    <xf numFmtId="0" fontId="31" fillId="13" borderId="22" xfId="39" applyBorder="1">
      <alignment horizontal="left" vertical="center"/>
    </xf>
    <xf numFmtId="0" fontId="31" fillId="13" borderId="0" xfId="39" applyBorder="1">
      <alignment horizontal="left" vertical="center"/>
    </xf>
    <xf numFmtId="0" fontId="31" fillId="13" borderId="23" xfId="39" applyBorder="1">
      <alignment horizontal="left" vertical="center"/>
    </xf>
    <xf numFmtId="0" fontId="0" fillId="0" borderId="0" xfId="0" applyAlignment="1">
      <alignment wrapText="1"/>
    </xf>
    <xf numFmtId="0" fontId="13" fillId="6" borderId="0" xfId="29" applyAlignment="1">
      <alignment horizontal="center" vertical="center" wrapText="1"/>
      <protection locked="0"/>
    </xf>
    <xf numFmtId="0" fontId="0" fillId="0" borderId="0" xfId="14" applyFont="1" applyBorder="1" applyAlignment="1">
      <alignment horizontal="center" vertical="center" wrapText="1"/>
    </xf>
    <xf numFmtId="9" fontId="0" fillId="0" borderId="0" xfId="16" applyFont="1" applyBorder="1" applyAlignment="1">
      <alignment horizontal="center" vertical="center" wrapText="1"/>
    </xf>
    <xf numFmtId="9" fontId="4" fillId="4" borderId="0" xfId="68" applyFont="1" applyFill="1" applyAlignment="1">
      <alignment horizontal="center" vertical="center" wrapText="1"/>
    </xf>
    <xf numFmtId="9" fontId="0" fillId="4" borderId="0" xfId="0" applyNumberFormat="1" applyFill="1"/>
    <xf numFmtId="0" fontId="7" fillId="4" borderId="0" xfId="12" applyAlignment="1">
      <alignment horizontal="center" vertical="center"/>
    </xf>
    <xf numFmtId="0" fontId="24" fillId="4" borderId="20" xfId="52" applyBorder="1" applyAlignment="1">
      <alignment horizontal="left" vertical="center"/>
    </xf>
    <xf numFmtId="0" fontId="24" fillId="4" borderId="19" xfId="52" applyBorder="1" applyAlignment="1">
      <alignment horizontal="left" vertical="center"/>
    </xf>
    <xf numFmtId="0" fontId="24" fillId="4" borderId="20" xfId="52" applyBorder="1">
      <alignment horizontal="center" vertical="center"/>
    </xf>
    <xf numFmtId="172" fontId="24" fillId="4" borderId="2" xfId="52" applyNumberFormat="1">
      <alignment horizontal="center" vertical="center"/>
    </xf>
    <xf numFmtId="0" fontId="6" fillId="2" borderId="0" xfId="1">
      <alignment horizontal="left" vertical="center" indent="1"/>
      <protection locked="0"/>
    </xf>
    <xf numFmtId="4" fontId="24" fillId="4" borderId="2" xfId="52" applyNumberFormat="1">
      <alignment horizontal="center" vertical="center"/>
    </xf>
    <xf numFmtId="0" fontId="70" fillId="4" borderId="0" xfId="0" applyFont="1" applyFill="1"/>
    <xf numFmtId="0" fontId="7" fillId="4" borderId="1" xfId="12" applyBorder="1">
      <alignment horizontal="left" vertical="center" indent="1"/>
    </xf>
    <xf numFmtId="0" fontId="28" fillId="4" borderId="24" xfId="8" applyBorder="1">
      <alignment horizontal="left" vertical="center"/>
    </xf>
    <xf numFmtId="3" fontId="24" fillId="4" borderId="2" xfId="52" applyNumberFormat="1">
      <alignment horizontal="center" vertical="center"/>
    </xf>
    <xf numFmtId="4" fontId="24" fillId="4" borderId="2" xfId="46">
      <alignment horizontal="center" vertical="center"/>
    </xf>
    <xf numFmtId="0" fontId="55" fillId="4" borderId="1" xfId="12" applyFont="1" applyBorder="1">
      <alignment horizontal="left" vertical="center" indent="1"/>
    </xf>
    <xf numFmtId="0" fontId="6" fillId="2" borderId="0" xfId="9" applyAlignment="1">
      <alignment horizontal="center" vertical="center" wrapText="1"/>
    </xf>
    <xf numFmtId="0" fontId="28" fillId="4" borderId="25" xfId="8" applyBorder="1">
      <alignment horizontal="left" vertical="center"/>
    </xf>
    <xf numFmtId="0" fontId="6" fillId="2" borderId="0" xfId="1" applyAlignment="1">
      <alignment horizontal="center" vertical="center"/>
      <protection locked="0"/>
    </xf>
    <xf numFmtId="0" fontId="0" fillId="0" borderId="0" xfId="0" applyAlignment="1">
      <alignment vertical="center"/>
    </xf>
    <xf numFmtId="0" fontId="0" fillId="0" borderId="0" xfId="0" applyAlignment="1">
      <alignment vertical="center" wrapText="1"/>
    </xf>
    <xf numFmtId="4" fontId="3" fillId="0" borderId="2" xfId="17">
      <alignment horizontal="center" vertical="center"/>
    </xf>
    <xf numFmtId="166" fontId="24" fillId="4" borderId="2" xfId="45">
      <alignment horizontal="center" vertical="center"/>
    </xf>
    <xf numFmtId="173" fontId="0" fillId="0" borderId="0" xfId="8" applyNumberFormat="1" applyFont="1" applyFill="1">
      <alignment horizontal="left" vertical="center"/>
    </xf>
    <xf numFmtId="0" fontId="27" fillId="4" borderId="0" xfId="48">
      <alignment horizontal="center" vertical="center"/>
    </xf>
    <xf numFmtId="17" fontId="0" fillId="0" borderId="0" xfId="8" applyNumberFormat="1" applyFont="1" applyFill="1">
      <alignment horizontal="left" vertical="center"/>
    </xf>
    <xf numFmtId="43" fontId="28" fillId="4" borderId="0" xfId="8" applyNumberFormat="1">
      <alignment horizontal="left" vertical="center"/>
    </xf>
    <xf numFmtId="9" fontId="24" fillId="4" borderId="2" xfId="63" applyNumberFormat="1">
      <alignment horizontal="left" vertical="center"/>
    </xf>
    <xf numFmtId="0" fontId="71" fillId="0" borderId="0" xfId="0" applyFont="1" applyAlignment="1">
      <alignment vertical="center"/>
    </xf>
    <xf numFmtId="0" fontId="0" fillId="0" borderId="0" xfId="7" applyFont="1" applyFill="1" applyAlignment="1">
      <alignment horizontal="center" vertical="center"/>
    </xf>
    <xf numFmtId="9" fontId="0" fillId="0" borderId="0" xfId="16" applyFont="1" applyBorder="1">
      <alignment horizontal="center" vertical="center"/>
    </xf>
    <xf numFmtId="9" fontId="0" fillId="0" borderId="2" xfId="16" applyFont="1">
      <alignment horizontal="center" vertical="center"/>
    </xf>
    <xf numFmtId="0" fontId="24" fillId="4" borderId="17" xfId="52" applyBorder="1">
      <alignment horizontal="center" vertical="center"/>
    </xf>
    <xf numFmtId="9" fontId="0" fillId="0" borderId="17" xfId="16" applyFont="1" applyBorder="1">
      <alignment horizontal="center" vertical="center"/>
    </xf>
    <xf numFmtId="0" fontId="27" fillId="4" borderId="0" xfId="48" applyAlignment="1">
      <alignment horizontal="left" vertical="center"/>
    </xf>
    <xf numFmtId="174" fontId="72" fillId="4" borderId="2" xfId="52" applyNumberFormat="1" applyFont="1">
      <alignment horizontal="center" vertical="center"/>
    </xf>
    <xf numFmtId="0" fontId="23" fillId="4" borderId="0" xfId="50">
      <alignment horizontal="left" vertical="center"/>
    </xf>
    <xf numFmtId="4" fontId="24" fillId="4" borderId="17" xfId="46" applyBorder="1">
      <alignment horizontal="center" vertical="center"/>
    </xf>
    <xf numFmtId="174" fontId="72" fillId="4" borderId="17" xfId="52" applyNumberFormat="1" applyFont="1" applyBorder="1">
      <alignment horizontal="center" vertical="center"/>
    </xf>
    <xf numFmtId="0" fontId="4" fillId="4" borderId="1" xfId="7" applyBorder="1">
      <alignment horizontal="left" vertical="center"/>
    </xf>
    <xf numFmtId="0" fontId="27" fillId="4" borderId="1" xfId="48" applyBorder="1" applyAlignment="1">
      <alignment horizontal="left" vertical="center"/>
    </xf>
    <xf numFmtId="0" fontId="24" fillId="4" borderId="26" xfId="52" applyBorder="1">
      <alignment horizontal="center" vertical="center"/>
    </xf>
    <xf numFmtId="0" fontId="24" fillId="4" borderId="27" xfId="52" applyBorder="1">
      <alignment horizontal="center" vertical="center"/>
    </xf>
    <xf numFmtId="4" fontId="24" fillId="4" borderId="26" xfId="46" applyBorder="1">
      <alignment horizontal="center" vertical="center"/>
    </xf>
    <xf numFmtId="4" fontId="24" fillId="4" borderId="28" xfId="46" applyBorder="1">
      <alignment horizontal="center" vertical="center"/>
    </xf>
    <xf numFmtId="174" fontId="72" fillId="4" borderId="28" xfId="52" applyNumberFormat="1" applyFont="1" applyBorder="1">
      <alignment horizontal="center" vertical="center"/>
    </xf>
    <xf numFmtId="174" fontId="72" fillId="4" borderId="26" xfId="52" applyNumberFormat="1" applyFont="1" applyBorder="1">
      <alignment horizontal="center" vertical="center"/>
    </xf>
    <xf numFmtId="0" fontId="24" fillId="4" borderId="28" xfId="52" applyBorder="1">
      <alignment horizontal="center" vertical="center"/>
    </xf>
    <xf numFmtId="0" fontId="72" fillId="4" borderId="28" xfId="52" applyFont="1" applyBorder="1">
      <alignment horizontal="center" vertical="center"/>
    </xf>
    <xf numFmtId="0" fontId="4" fillId="4" borderId="25" xfId="7" applyBorder="1">
      <alignment horizontal="left" vertical="center"/>
    </xf>
    <xf numFmtId="165" fontId="70" fillId="4" borderId="25" xfId="0" applyNumberFormat="1" applyFont="1" applyFill="1" applyBorder="1"/>
    <xf numFmtId="0" fontId="7" fillId="4" borderId="25" xfId="12" applyBorder="1">
      <alignment horizontal="left" vertical="center" indent="1"/>
    </xf>
    <xf numFmtId="168" fontId="70" fillId="4" borderId="0" xfId="0" applyNumberFormat="1" applyFont="1" applyFill="1" applyAlignment="1">
      <alignment vertical="center"/>
    </xf>
    <xf numFmtId="165" fontId="70" fillId="4" borderId="25" xfId="0" applyNumberFormat="1" applyFont="1" applyFill="1" applyBorder="1" applyAlignment="1">
      <alignment vertical="center"/>
    </xf>
    <xf numFmtId="0" fontId="70" fillId="4" borderId="0" xfId="0" applyFont="1" applyFill="1" applyAlignment="1">
      <alignment vertical="center"/>
    </xf>
    <xf numFmtId="165" fontId="73" fillId="4" borderId="25" xfId="0" applyNumberFormat="1" applyFont="1" applyFill="1" applyBorder="1" applyAlignment="1">
      <alignment vertical="center"/>
    </xf>
    <xf numFmtId="168" fontId="72" fillId="4" borderId="2" xfId="46" applyNumberFormat="1" applyFont="1">
      <alignment horizontal="center" vertical="center"/>
    </xf>
    <xf numFmtId="168" fontId="72" fillId="4" borderId="17" xfId="46" applyNumberFormat="1" applyFont="1" applyBorder="1">
      <alignment horizontal="center" vertical="center"/>
    </xf>
    <xf numFmtId="168" fontId="72" fillId="4" borderId="28" xfId="46" applyNumberFormat="1" applyFont="1" applyBorder="1">
      <alignment horizontal="center" vertical="center"/>
    </xf>
    <xf numFmtId="0" fontId="71" fillId="0" borderId="0" xfId="0" applyFont="1" applyAlignment="1">
      <alignment vertical="center" wrapText="1"/>
    </xf>
    <xf numFmtId="0" fontId="74" fillId="0" borderId="0" xfId="0" applyFont="1" applyAlignment="1">
      <alignment horizontal="left" vertical="center"/>
    </xf>
    <xf numFmtId="0" fontId="74" fillId="0" borderId="0" xfId="8" applyFont="1" applyFill="1">
      <alignment horizontal="left" vertical="center"/>
    </xf>
    <xf numFmtId="0" fontId="71" fillId="0" borderId="0" xfId="0" applyFont="1" applyAlignment="1">
      <alignment horizontal="left" vertical="center"/>
    </xf>
    <xf numFmtId="0" fontId="0" fillId="0" borderId="0" xfId="0" applyAlignment="1">
      <alignment horizontal="left" vertical="center"/>
    </xf>
    <xf numFmtId="0" fontId="28" fillId="4" borderId="0" xfId="8" applyAlignment="1">
      <alignment horizontal="right" vertical="center"/>
    </xf>
    <xf numFmtId="0" fontId="71" fillId="4" borderId="0" xfId="0" applyFont="1" applyFill="1" applyAlignment="1">
      <alignment horizontal="left" vertical="center"/>
    </xf>
    <xf numFmtId="0" fontId="41" fillId="4" borderId="0" xfId="8" applyFont="1" applyAlignment="1">
      <alignment horizontal="right" vertical="center"/>
    </xf>
    <xf numFmtId="0" fontId="75" fillId="4" borderId="0" xfId="0" applyFont="1" applyFill="1"/>
    <xf numFmtId="0" fontId="71" fillId="0" borderId="0" xfId="0" applyFont="1"/>
    <xf numFmtId="0" fontId="71" fillId="0" borderId="0" xfId="7" applyFont="1" applyFill="1">
      <alignment horizontal="left" vertical="center"/>
    </xf>
    <xf numFmtId="0" fontId="71" fillId="4" borderId="0" xfId="0" applyFont="1" applyFill="1"/>
    <xf numFmtId="0" fontId="71" fillId="4" borderId="0" xfId="7" applyFont="1">
      <alignment horizontal="left" vertical="center"/>
    </xf>
    <xf numFmtId="0" fontId="64" fillId="2" borderId="0" xfId="8" applyFont="1" applyFill="1">
      <alignment horizontal="left" vertical="center"/>
    </xf>
    <xf numFmtId="0" fontId="76" fillId="0" borderId="0" xfId="8" applyFont="1" applyFill="1">
      <alignment horizontal="left" vertical="center"/>
    </xf>
    <xf numFmtId="0" fontId="31" fillId="13" borderId="11" xfId="39" quotePrefix="1" applyBorder="1">
      <alignment horizontal="left" vertical="center"/>
    </xf>
    <xf numFmtId="0" fontId="77" fillId="4" borderId="0" xfId="0" applyFont="1" applyFill="1"/>
    <xf numFmtId="0" fontId="0" fillId="4" borderId="1" xfId="0" applyFill="1" applyBorder="1"/>
    <xf numFmtId="0" fontId="0" fillId="4" borderId="0" xfId="0" quotePrefix="1" applyFill="1"/>
    <xf numFmtId="0" fontId="78" fillId="4" borderId="1" xfId="0" applyFont="1" applyFill="1" applyBorder="1"/>
    <xf numFmtId="0" fontId="80" fillId="4" borderId="1" xfId="0" applyFont="1" applyFill="1" applyBorder="1"/>
    <xf numFmtId="0" fontId="77" fillId="0" borderId="0" xfId="0" applyFont="1"/>
    <xf numFmtId="0" fontId="1" fillId="0" borderId="0" xfId="69"/>
    <xf numFmtId="0" fontId="10" fillId="4" borderId="0" xfId="55" applyFill="1"/>
    <xf numFmtId="0" fontId="0" fillId="0" borderId="0" xfId="8" applyFont="1" applyFill="1" applyAlignment="1">
      <alignment horizontal="left" vertical="center" wrapText="1"/>
    </xf>
    <xf numFmtId="15" fontId="3" fillId="0" borderId="2" xfId="14" applyNumberFormat="1">
      <alignment horizontal="center" vertical="center"/>
    </xf>
    <xf numFmtId="0" fontId="81" fillId="4" borderId="0" xfId="70">
      <alignment horizontal="left" vertical="center"/>
    </xf>
    <xf numFmtId="0" fontId="3" fillId="0" borderId="17" xfId="56" applyBorder="1">
      <alignment horizontal="center" vertical="center"/>
    </xf>
    <xf numFmtId="0" fontId="0" fillId="0" borderId="0" xfId="29" applyFont="1" applyFill="1" applyProtection="1">
      <alignment horizontal="center" vertical="center"/>
    </xf>
    <xf numFmtId="0" fontId="1" fillId="4" borderId="0" xfId="69" applyFill="1"/>
    <xf numFmtId="0" fontId="31" fillId="13" borderId="29" xfId="39" applyBorder="1">
      <alignment horizontal="left" vertical="center"/>
    </xf>
    <xf numFmtId="0" fontId="1" fillId="0" borderId="0" xfId="69" applyAlignment="1">
      <alignment horizontal="center" vertical="center" wrapText="1"/>
    </xf>
    <xf numFmtId="0" fontId="0" fillId="0" borderId="0" xfId="14" applyFont="1" applyBorder="1">
      <alignment horizontal="center" vertical="center"/>
    </xf>
    <xf numFmtId="4" fontId="0" fillId="0" borderId="0" xfId="17" applyFont="1" applyBorder="1">
      <alignment horizontal="center" vertical="center"/>
    </xf>
    <xf numFmtId="0" fontId="65" fillId="4" borderId="0" xfId="55" applyFont="1" applyFill="1" applyAlignment="1" applyProtection="1">
      <alignment horizontal="center"/>
      <protection locked="0"/>
    </xf>
    <xf numFmtId="0" fontId="65" fillId="4" borderId="0" xfId="55" applyFont="1" applyFill="1" applyAlignment="1">
      <alignment horizontal="center" vertical="center"/>
    </xf>
    <xf numFmtId="0" fontId="0" fillId="0" borderId="0" xfId="17" applyNumberFormat="1" applyFont="1" applyBorder="1">
      <alignment horizontal="center" vertical="center"/>
    </xf>
    <xf numFmtId="0" fontId="4" fillId="12" borderId="17" xfId="15" applyBorder="1" applyAlignment="1">
      <alignment horizontal="center" vertical="center" wrapText="1"/>
    </xf>
    <xf numFmtId="0" fontId="39" fillId="17" borderId="2" xfId="71">
      <alignment horizontal="center" vertical="center"/>
    </xf>
    <xf numFmtId="0" fontId="56" fillId="6" borderId="0" xfId="8" applyFont="1" applyFill="1">
      <alignment horizontal="left" vertical="center"/>
    </xf>
    <xf numFmtId="0" fontId="72" fillId="4" borderId="2" xfId="52" applyFont="1">
      <alignment horizontal="center" vertical="center"/>
    </xf>
    <xf numFmtId="49" fontId="24" fillId="4" borderId="2" xfId="52" applyNumberFormat="1">
      <alignment horizontal="center" vertical="center"/>
    </xf>
    <xf numFmtId="0" fontId="58" fillId="4" borderId="1" xfId="8" applyFont="1" applyBorder="1">
      <alignment horizontal="left" vertical="center"/>
    </xf>
    <xf numFmtId="4" fontId="24" fillId="4" borderId="2" xfId="63" applyNumberFormat="1">
      <alignment horizontal="left" vertical="center"/>
    </xf>
    <xf numFmtId="0" fontId="56" fillId="2" borderId="0" xfId="8" applyFont="1" applyFill="1">
      <alignment horizontal="left" vertical="center"/>
    </xf>
    <xf numFmtId="0" fontId="21" fillId="11" borderId="0" xfId="61">
      <alignment horizontal="left" vertical="center" indent="1"/>
    </xf>
    <xf numFmtId="11" fontId="0" fillId="0" borderId="0" xfId="0" applyNumberFormat="1" applyAlignment="1">
      <alignment vertical="center"/>
    </xf>
  </cellXfs>
  <cellStyles count="72">
    <cellStyle name="Alert" xfId="59" xr:uid="{34EFE908-8095-4010-8F93-8CFE88055637}"/>
    <cellStyle name="Arguments" xfId="63" xr:uid="{D74147AB-B374-43DE-928A-C20FDAA7023A}"/>
    <cellStyle name="Arguments hyperlink" xfId="62" xr:uid="{E9A63CA8-EB4E-4FD6-930A-AD1711340AFB}"/>
    <cellStyle name="Block heading" xfId="5" xr:uid="{74527274-3B4A-494A-B37C-EA50686E114C}"/>
    <cellStyle name="Block subheading" xfId="47" xr:uid="{34E62905-A3E0-4883-B81A-BDB58FC88DA7}"/>
    <cellStyle name="Block subheading 2" xfId="70" xr:uid="{8B8F8827-E851-4376-B233-BEAB5A39338D}"/>
    <cellStyle name="Code" xfId="24" xr:uid="{99B3520F-01DD-4F8E-A8D0-24EAA04E90EB}"/>
    <cellStyle name="Comma" xfId="67" builtinId="3"/>
    <cellStyle name="Content bold" xfId="7" xr:uid="{468A1381-682E-4BF1-945B-DF2E2BCA4419}"/>
    <cellStyle name="Content bold total" xfId="27" xr:uid="{17159E75-EF9F-42B8-8195-E83583796F67}"/>
    <cellStyle name="Content hidden" xfId="50" xr:uid="{8E56D08F-467A-4F3D-ADA8-ECA27B2FFCD3}"/>
    <cellStyle name="Content normal" xfId="8" xr:uid="{55F96DE2-2B61-4529-A3B8-2B8B8AA0D350}"/>
    <cellStyle name="Equation column header" xfId="9" xr:uid="{B705D3A4-E195-47DF-A4D1-BA1FDC70C701}"/>
    <cellStyle name="Equation source" xfId="6" xr:uid="{348FC12D-3392-478F-B0B3-D4FA4BBA59E4}"/>
    <cellStyle name="Equation table header" xfId="1" xr:uid="{11780056-D3CA-48D4-90AF-8DF1A50E1B13}"/>
    <cellStyle name="Euqation table row 2" xfId="13" xr:uid="{2CAEAB93-BC87-4606-B5A1-3C2F7B5C52A1}"/>
    <cellStyle name="Hyperlink" xfId="66" builtinId="8"/>
    <cellStyle name="Information tip" xfId="39" xr:uid="{7D200D09-32E3-4546-9822-1B93AD118A74}"/>
    <cellStyle name="Information variation" xfId="54" xr:uid="{205494A3-14DD-4E6A-BDD3-5C5A864D6FA7}"/>
    <cellStyle name="Input block subheading" xfId="30" xr:uid="{A9FEBDB0-0992-4E30-96E5-9F9CAE92E3FB}"/>
    <cellStyle name="Input date" xfId="41" xr:uid="{A1D72D5E-DCF3-445F-8FC0-A147E105D774}"/>
    <cellStyle name="Input date calculated" xfId="45" xr:uid="{5A42AD0E-F665-46A9-9757-6B6A4BE7013E}"/>
    <cellStyle name="Input number 2 decimal places" xfId="17" xr:uid="{F9671E40-5700-4055-A6D2-272CF9DB620E}"/>
    <cellStyle name="Input number 2 decimal places calculated" xfId="46" xr:uid="{C04BA53C-14E1-48A5-99A3-C9FD44741A2A}"/>
    <cellStyle name="Input number 3 decimal places calculated" xfId="49" xr:uid="{637E6039-0A01-48EF-8C15-C29A497EF449}"/>
    <cellStyle name="Input number 3 decimal places disabled" xfId="22" xr:uid="{6B1B6177-B1C0-4190-858F-6E4C823402C3}"/>
    <cellStyle name="Input number 6 decimal places calculated" xfId="51" xr:uid="{CE70A7A2-3CEE-4689-8FF6-8EB6FCE0A94C}"/>
    <cellStyle name="Input number general" xfId="56" xr:uid="{D8583F7D-F13A-4EA8-BAA6-B42739FDBDDB}"/>
    <cellStyle name="Input number general calculated" xfId="52" xr:uid="{34755FEB-6E4E-4BD7-A478-DF7299A7A914}"/>
    <cellStyle name="Input number no decimals" xfId="18" xr:uid="{B33B4FB5-F3F4-4036-B2DD-663B694E2A90}"/>
    <cellStyle name="Input number no decimals calculated" xfId="40" xr:uid="{5A48F48F-03B2-410E-887B-2A9297006BAF}"/>
    <cellStyle name="Input number no decimals disabled" xfId="23" xr:uid="{7ABDCB2D-7703-4392-9553-5620789B1E19}"/>
    <cellStyle name="Input number percent disabled" xfId="21" xr:uid="{D0E8B42E-13A8-477C-99CB-5FF73C5BBAA4}"/>
    <cellStyle name="Input page heading" xfId="32" xr:uid="{74FB9B3B-4B5B-4B7F-A54C-22E0724783C8}"/>
    <cellStyle name="Input page section heading" xfId="31" xr:uid="{1A05B367-BE5D-4E2B-9831-A28D5CFAC8EC}"/>
    <cellStyle name="Input percent" xfId="16" xr:uid="{923E56A7-7902-46CD-9AA8-0D69F2E1ECA1}"/>
    <cellStyle name="Input select" xfId="15" xr:uid="{3CF2E653-7F22-4996-ABB9-95CA16698B1F}"/>
    <cellStyle name="Input select disabled" xfId="20" xr:uid="{5CE680CC-504C-444D-8337-CF97D9BB5A78}"/>
    <cellStyle name="Input table column header" xfId="29" xr:uid="{EF98B018-1246-451D-91C2-97FCD443EDC9}"/>
    <cellStyle name="Input table header" xfId="28" xr:uid="{04872377-9FDD-4D5A-91FC-B9D8DA1E8E91}"/>
    <cellStyle name="Input text" xfId="14" xr:uid="{4C71A4C5-ADD8-4A09-A7FE-940DA96821F6}"/>
    <cellStyle name="Input text calculated" xfId="48" xr:uid="{43DCF082-1F0D-4E07-9785-CAF41B37CFCC}"/>
    <cellStyle name="Input text disabled" xfId="19" xr:uid="{79E76B35-E5FF-43A1-B0D0-016F346F8B97}"/>
    <cellStyle name="Menu link child" xfId="38" xr:uid="{609090D3-DE1E-48FE-A8AA-233CE9B146E0}"/>
    <cellStyle name="Menu link default" xfId="33" xr:uid="{11B84453-1DD4-492A-B241-FE6AD4CB25FA}"/>
    <cellStyle name="Menu link selected" xfId="35" xr:uid="{B16EBA6F-62C4-483F-8E15-B20D06ABF61F}"/>
    <cellStyle name="Menu link selected equations" xfId="37" xr:uid="{7AFCC545-C221-4BAC-933E-19109D0FB654}"/>
    <cellStyle name="Menu link selected input" xfId="36" xr:uid="{17D327F4-9149-4DAC-85BB-811698090830}"/>
    <cellStyle name="Menu link selected results" xfId="61" xr:uid="{0DC56464-F1A3-42A3-BF89-514E2163E7F0}"/>
    <cellStyle name="Menu section title" xfId="34" xr:uid="{E2117B15-AE58-4F76-B13B-671D455A4107}"/>
    <cellStyle name="Normal" xfId="0" builtinId="0"/>
    <cellStyle name="Normal 2" xfId="55" xr:uid="{FE64FEFB-54C6-42B4-AA7F-D49670F5ED19}"/>
    <cellStyle name="Normal 2 2" xfId="44" xr:uid="{B8803ACE-513D-4EEF-BBE0-0BB76AE7D7F4}"/>
    <cellStyle name="Normal 3" xfId="69" xr:uid="{83813FF2-B8A3-4193-99A2-6C76D64E9405}"/>
    <cellStyle name="Normal 4" xfId="42" xr:uid="{99CD1B63-5040-4067-BBD7-470030C57E5D}"/>
    <cellStyle name="Normal 5" xfId="43" xr:uid="{C95BEC9B-545D-4D75-A129-77179ED2BD99}"/>
    <cellStyle name="Number diplsay percent" xfId="11" xr:uid="{2A2547EE-93B6-4F82-A56A-1A45D8712142}"/>
    <cellStyle name="Number display decimal" xfId="10" xr:uid="{D6C655C7-D21F-4B70-8143-4C163C43FE08}"/>
    <cellStyle name="Number display decimal total" xfId="26" xr:uid="{A9378C0C-CCAE-43D1-BC2C-BD4A9766DA0D}"/>
    <cellStyle name="Page heading" xfId="2" xr:uid="{255E304E-A5AB-40F0-8E3A-91C132147F10}"/>
    <cellStyle name="Page section heading" xfId="4" xr:uid="{B654AFF3-28A2-43B8-AE91-E7D2C159A294}"/>
    <cellStyle name="Page source" xfId="3" xr:uid="{35DF92BD-4909-4EA7-B1E6-C0EDAAEB1713}"/>
    <cellStyle name="Percent" xfId="68" builtinId="5"/>
    <cellStyle name="Results table column header" xfId="60" xr:uid="{A846043F-10AE-4BED-BAA6-90407C977915}"/>
    <cellStyle name="Table description" xfId="58" xr:uid="{8BD2F353-2E3C-42FF-89E9-616E85DC18C5}"/>
    <cellStyle name="Table name" xfId="57" xr:uid="{D56F17A4-9740-44B6-BDDB-150E2C950B8B}"/>
    <cellStyle name="Unit" xfId="12" xr:uid="{90B9E191-F5E0-43AB-A245-D6CA23D4ADFC}"/>
    <cellStyle name="Unit no indent" xfId="53" xr:uid="{2829D020-DAD8-4B7D-9262-450720E27D2B}"/>
    <cellStyle name="Unit total" xfId="25" xr:uid="{65428923-3DAD-47B6-8DDF-0EBD05E7C55B}"/>
    <cellStyle name="Variable type input" xfId="65" xr:uid="{69904D21-1566-4CAB-9A42-C86AC6535120}"/>
    <cellStyle name="Variable type input 2" xfId="71" xr:uid="{64A4CAC6-D1D0-421D-A5AD-1736B654311A}"/>
    <cellStyle name="Variable type other" xfId="64" xr:uid="{105BD9DE-B567-4DA0-87E6-C60A0ECC1C65}"/>
  </cellStyles>
  <dxfs count="542">
    <dxf>
      <alignment horizontal="right" vertical="center" textRotation="0" wrapText="0" indent="0" justifyLastLine="0" shrinkToFit="0" readingOrder="0"/>
    </dxf>
    <dxf>
      <fill>
        <patternFill>
          <fgColor indexed="64"/>
          <bgColor theme="0" tint="-4.9989318521683403E-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tint="0.24994659260841701"/>
        <name val="Arial"/>
        <family val="1"/>
      </font>
      <numFmt numFmtId="0" formatCode="General"/>
      <fill>
        <patternFill patternType="solid">
          <fgColor indexed="64"/>
          <bgColor theme="0" tint="-4.9989318521683403E-2"/>
        </patternFill>
      </fill>
      <alignment horizontal="left" vertical="center" textRotation="0" wrapText="0" indent="0" justifyLastLine="0" shrinkToFit="0" readingOrder="0"/>
      <border diagonalUp="0" diagonalDown="0" outline="0">
        <left/>
        <right/>
        <top/>
        <bottom/>
      </border>
      <protection locked="1" hidden="0"/>
    </dxf>
    <dxf>
      <font>
        <b/>
        <i val="0"/>
        <strike val="0"/>
        <condense val="0"/>
        <extend val="0"/>
        <outline val="0"/>
        <shadow val="0"/>
        <u val="none"/>
        <vertAlign val="baseline"/>
        <sz val="10"/>
        <color theme="1"/>
        <name val="Arial"/>
        <family val="2"/>
      </font>
      <numFmt numFmtId="0" formatCode="General"/>
      <fill>
        <patternFill patternType="solid">
          <fgColor indexed="64"/>
          <bgColor rgb="FFB2D498"/>
        </patternFill>
      </fill>
      <alignment horizontal="left" vertical="center" textRotation="0" wrapText="0" indent="0" justifyLastLine="0" shrinkToFit="0" readingOrder="0"/>
    </dxf>
    <dxf>
      <font>
        <b val="0"/>
        <i val="0"/>
        <strike val="0"/>
        <condense val="0"/>
        <extend val="0"/>
        <outline val="0"/>
        <shadow val="0"/>
        <u val="none"/>
        <vertAlign val="baseline"/>
        <sz val="10"/>
        <color theme="1" tint="0.24994659260841701"/>
        <name val="Arial"/>
        <family val="1"/>
      </font>
      <numFmt numFmtId="0" formatCode="General"/>
      <fill>
        <patternFill patternType="solid">
          <fgColor indexed="64"/>
          <bgColor theme="0" tint="-4.9989318521683403E-2"/>
        </patternFill>
      </fill>
      <alignment horizontal="left" vertical="center" textRotation="0" wrapText="0" indent="0" justifyLastLine="0" shrinkToFit="0" readingOrder="0"/>
      <border diagonalUp="0" diagonalDown="0" outline="0">
        <left/>
        <right/>
        <top/>
        <bottom/>
      </border>
      <protection locked="1" hidden="0"/>
    </dxf>
    <dxf>
      <font>
        <b/>
        <i val="0"/>
        <strike val="0"/>
        <condense val="0"/>
        <extend val="0"/>
        <outline val="0"/>
        <shadow val="0"/>
        <u val="none"/>
        <vertAlign val="baseline"/>
        <sz val="10"/>
        <color theme="1"/>
        <name val="Arial"/>
        <family val="2"/>
      </font>
      <numFmt numFmtId="0" formatCode="General"/>
      <fill>
        <patternFill patternType="solid">
          <fgColor indexed="64"/>
          <bgColor rgb="FFB2D498"/>
        </patternFill>
      </fill>
      <alignment horizontal="left" vertical="center" textRotation="0" wrapText="0" indent="0" justifyLastLine="0" shrinkToFit="0" readingOrder="0"/>
    </dxf>
    <dxf>
      <font>
        <b/>
        <i val="0"/>
        <strike val="0"/>
        <condense val="0"/>
        <extend val="0"/>
        <outline val="0"/>
        <shadow val="0"/>
        <u val="none"/>
        <vertAlign val="baseline"/>
        <sz val="10"/>
        <color theme="1"/>
        <name val="Arial"/>
        <family val="2"/>
      </font>
      <numFmt numFmtId="0" formatCode="General"/>
      <fill>
        <patternFill patternType="solid">
          <fgColor indexed="64"/>
          <bgColor rgb="FFB2D498"/>
        </patternFill>
      </fill>
      <alignment horizontal="left" vertical="center" textRotation="0" wrapText="0" indent="0" justifyLastLine="0" shrinkToFit="0" readingOrder="0"/>
    </dxf>
    <dxf>
      <font>
        <b val="0"/>
        <i val="0"/>
        <strike val="0"/>
        <condense val="0"/>
        <extend val="0"/>
        <outline val="0"/>
        <shadow val="0"/>
        <u val="none"/>
        <vertAlign val="baseline"/>
        <sz val="10"/>
        <color theme="1"/>
        <name val="Arial"/>
        <family val="2"/>
      </font>
      <fill>
        <patternFill patternType="none">
          <fgColor indexed="64"/>
          <bgColor indexed="65"/>
        </patternFill>
      </fill>
    </dxf>
    <dxf>
      <font>
        <b/>
        <sz val="10"/>
        <color theme="1"/>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i val="0"/>
        <strike val="0"/>
        <condense val="0"/>
        <extend val="0"/>
        <outline val="0"/>
        <shadow val="0"/>
        <u val="none"/>
        <vertAlign val="baseline"/>
        <sz val="10"/>
        <color theme="1"/>
        <name val="Arial"/>
        <family val="2"/>
      </font>
      <numFmt numFmtId="0" formatCode="General"/>
      <fill>
        <patternFill patternType="solid">
          <fgColor indexed="64"/>
          <bgColor rgb="FFB2D498"/>
        </patternFill>
      </fill>
      <alignment horizontal="left" vertical="center" textRotation="0" wrapText="0" indent="0" justifyLastLine="0" shrinkToFit="0" readingOrder="0"/>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numFmt numFmtId="0" formatCode="General"/>
      <fill>
        <patternFill patternType="none">
          <fgColor indexed="64"/>
          <bgColor indexed="65"/>
        </patternFill>
      </fill>
      <alignment horizontal="left" vertical="center" textRotation="0" wrapText="0" indent="0" justifyLastLine="0" shrinkToFit="0" readingOrder="0"/>
      <border diagonalUp="0" diagonalDown="0" outline="0">
        <left/>
        <right/>
        <top/>
        <bottom/>
      </border>
      <protection locked="1" hidden="0"/>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numFmt numFmtId="0" formatCode="General"/>
      <fill>
        <patternFill patternType="none">
          <fgColor indexed="64"/>
          <bgColor indexed="65"/>
        </patternFill>
      </fill>
      <alignment horizontal="left" vertical="center" textRotation="0" wrapText="0" indent="0" justifyLastLine="0" shrinkToFit="0" readingOrder="0"/>
      <border diagonalUp="0" diagonalDown="0" outline="0">
        <left/>
        <right/>
        <top/>
        <bottom/>
      </border>
      <protection locked="1" hidden="0"/>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numFmt numFmtId="0" formatCode="General"/>
      <fill>
        <patternFill patternType="none">
          <fgColor indexed="64"/>
          <bgColor indexed="65"/>
        </patternFill>
      </fill>
      <alignment horizontal="left" vertical="center" textRotation="0" wrapText="0" indent="0" justifyLastLine="0" shrinkToFit="0" readingOrder="0"/>
      <border diagonalUp="0" diagonalDown="0" outline="0">
        <left/>
        <right/>
        <top/>
        <bottom/>
      </border>
      <protection locked="1" hidden="0"/>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numFmt numFmtId="0" formatCode="General"/>
      <fill>
        <patternFill patternType="none">
          <fgColor indexed="64"/>
          <bgColor indexed="65"/>
        </patternFill>
      </fill>
      <alignment horizontal="left" vertical="center" textRotation="0" wrapText="0" indent="0" justifyLastLine="0" shrinkToFit="0" readingOrder="0"/>
      <border diagonalUp="0" diagonalDown="0" outline="0">
        <left/>
        <right/>
        <top/>
        <bottom/>
      </border>
      <protection locked="1" hidden="0"/>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numFmt numFmtId="0" formatCode="General"/>
      <fill>
        <patternFill patternType="none">
          <fgColor indexed="64"/>
          <bgColor indexed="65"/>
        </patternFill>
      </fill>
      <alignment horizontal="left" vertical="center" textRotation="0" wrapText="0" indent="0" justifyLastLine="0" shrinkToFit="0" readingOrder="0"/>
      <border diagonalUp="0" diagonalDown="0" outline="0">
        <left/>
        <right/>
        <top/>
        <bottom/>
      </border>
      <protection locked="1" hidden="0"/>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numFmt numFmtId="0" formatCode="General"/>
      <fill>
        <patternFill patternType="none">
          <fgColor indexed="64"/>
          <bgColor indexed="65"/>
        </patternFill>
      </fill>
      <alignment horizontal="left" vertical="center" textRotation="0" wrapText="0" indent="0" justifyLastLine="0" shrinkToFit="0" readingOrder="0"/>
      <border diagonalUp="0" diagonalDown="0" outline="0">
        <left/>
        <right/>
        <top/>
        <bottom/>
      </border>
      <protection locked="1" hidden="0"/>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numFmt numFmtId="0" formatCode="General"/>
      <fill>
        <patternFill patternType="none">
          <fgColor indexed="64"/>
          <bgColor indexed="65"/>
        </patternFill>
      </fill>
      <alignment horizontal="left" vertical="center" textRotation="0" wrapText="0" indent="0" justifyLastLine="0" shrinkToFit="0" readingOrder="0"/>
      <border diagonalUp="0" diagonalDown="0" outline="0">
        <left/>
        <right/>
        <top/>
        <bottom/>
      </border>
      <protection locked="1" hidden="0"/>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ill>
        <patternFill patternType="solid">
          <fgColor indexed="64"/>
          <bgColor theme="0" tint="-4.9989318521683403E-2"/>
        </patternFill>
      </fill>
    </dxf>
    <dxf>
      <font>
        <b val="0"/>
        <i val="0"/>
        <strike val="0"/>
        <condense val="0"/>
        <extend val="0"/>
        <outline val="0"/>
        <shadow val="0"/>
        <u val="none"/>
        <vertAlign val="baseline"/>
        <sz val="9"/>
        <color theme="1"/>
        <name val="Arial"/>
        <family val="2"/>
      </font>
      <fill>
        <patternFill patternType="none">
          <fgColor indexed="64"/>
          <bgColor indexed="65"/>
        </patternFill>
      </fill>
      <alignment horizontal="left"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9"/>
        <color theme="1"/>
        <name val="Arial"/>
        <family val="2"/>
      </font>
      <fill>
        <patternFill patternType="none">
          <fgColor indexed="64"/>
          <bgColor indexed="65"/>
        </patternFill>
      </fill>
      <alignment horizontal="left"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9"/>
        <color auto="1"/>
        <name val="Arial"/>
        <family val="1"/>
      </font>
    </dxf>
    <dxf>
      <fill>
        <patternFill>
          <fgColor indexed="64"/>
          <bgColor theme="0" tint="-4.9989318521683403E-2"/>
        </patternFill>
      </fill>
    </dxf>
    <dxf>
      <font>
        <strike val="0"/>
        <outline val="0"/>
        <shadow val="0"/>
        <u val="none"/>
        <vertAlign val="baseline"/>
        <sz val="9"/>
        <color theme="1"/>
        <name val="Arial"/>
        <family val="2"/>
      </font>
    </dxf>
    <dxf>
      <font>
        <strike val="0"/>
        <outline val="0"/>
        <shadow val="0"/>
        <u val="none"/>
        <vertAlign val="baseline"/>
        <sz val="9"/>
        <color theme="1"/>
        <name val="Arial"/>
        <family val="2"/>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rial"/>
        <family val="2"/>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rial"/>
        <family val="2"/>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rial"/>
        <family val="2"/>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rial"/>
        <family val="2"/>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rial"/>
        <family val="2"/>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rial"/>
        <family val="2"/>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rial"/>
        <family val="2"/>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rial"/>
        <family val="2"/>
      </font>
    </dxf>
    <dxf>
      <font>
        <b val="0"/>
        <i val="0"/>
        <strike val="0"/>
        <condense val="0"/>
        <extend val="0"/>
        <outline val="0"/>
        <shadow val="0"/>
        <u val="none"/>
        <vertAlign val="baseline"/>
        <sz val="9"/>
        <color theme="1"/>
        <name val="Arial"/>
        <family val="2"/>
      </font>
      <fill>
        <patternFill patternType="none">
          <fgColor indexed="64"/>
          <bgColor indexed="65"/>
        </patternFill>
      </fill>
    </dxf>
    <dxf>
      <font>
        <b val="0"/>
        <i val="0"/>
        <strike val="0"/>
        <condense val="0"/>
        <extend val="0"/>
        <outline val="0"/>
        <shadow val="0"/>
        <u val="none"/>
        <vertAlign val="baseline"/>
        <sz val="9"/>
        <color theme="1"/>
        <name val="Arial"/>
        <family val="2"/>
      </font>
      <fill>
        <patternFill patternType="none">
          <fgColor indexed="64"/>
          <bgColor indexed="65"/>
        </patternFill>
      </fill>
    </dxf>
    <dxf>
      <font>
        <strike val="0"/>
        <outline val="0"/>
        <shadow val="0"/>
        <u val="none"/>
        <vertAlign val="baseline"/>
        <sz val="9"/>
        <color theme="1"/>
        <name val="Arial"/>
        <family val="2"/>
      </font>
    </dxf>
    <dxf>
      <font>
        <strike val="0"/>
        <outline val="0"/>
        <shadow val="0"/>
        <u val="none"/>
        <vertAlign val="baseline"/>
        <sz val="9"/>
        <color theme="1"/>
        <name val="Arial"/>
        <family val="2"/>
      </font>
    </dxf>
    <dxf>
      <font>
        <strike val="0"/>
        <outline val="0"/>
        <shadow val="0"/>
        <u val="none"/>
        <vertAlign val="baseline"/>
        <sz val="9"/>
        <color theme="1"/>
        <name val="Arial"/>
        <family val="2"/>
      </font>
    </dxf>
    <dxf>
      <font>
        <strike val="0"/>
        <outline val="0"/>
        <shadow val="0"/>
        <u val="none"/>
        <vertAlign val="baseline"/>
        <sz val="9"/>
        <color theme="1"/>
        <name val="Arial"/>
        <family val="2"/>
      </font>
    </dxf>
    <dxf>
      <font>
        <strike val="0"/>
        <outline val="0"/>
        <shadow val="0"/>
        <u val="none"/>
        <vertAlign val="baseline"/>
        <sz val="9"/>
        <color theme="1"/>
        <name val="Arial"/>
        <family val="2"/>
      </font>
    </dxf>
    <dxf>
      <font>
        <strike val="0"/>
        <outline val="0"/>
        <shadow val="0"/>
        <u val="none"/>
        <vertAlign val="baseline"/>
        <sz val="9"/>
        <color theme="1"/>
        <name val="Arial"/>
        <family val="2"/>
      </font>
    </dxf>
    <dxf>
      <font>
        <strike val="0"/>
        <outline val="0"/>
        <shadow val="0"/>
        <u val="none"/>
        <vertAlign val="baseline"/>
        <sz val="9"/>
        <color theme="1"/>
        <name val="Arial"/>
        <family val="2"/>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rial"/>
        <family val="2"/>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rial"/>
        <family val="2"/>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rial"/>
        <family val="2"/>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rial"/>
        <family val="2"/>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rial"/>
        <family val="2"/>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rial"/>
        <family val="2"/>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rial"/>
        <family val="2"/>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rial"/>
        <family val="2"/>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rial"/>
        <family val="2"/>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rial"/>
        <family val="2"/>
      </font>
    </dxf>
    <dxf>
      <font>
        <strike val="0"/>
        <outline val="0"/>
        <shadow val="0"/>
        <u val="none"/>
        <vertAlign val="baseline"/>
        <sz val="9"/>
        <color theme="1"/>
        <name val="Arial"/>
        <family val="2"/>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rial"/>
        <family val="2"/>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rial"/>
        <family val="2"/>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rial"/>
        <family val="2"/>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rial"/>
        <family val="2"/>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rial"/>
        <family val="2"/>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rial"/>
        <family val="2"/>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rial"/>
        <family val="2"/>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rial"/>
        <family val="2"/>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rial"/>
        <family val="2"/>
      </font>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alignment horizontal="general" vertical="center" textRotation="0" wrapText="0" indent="0" justifyLastLine="0" shrinkToFit="0" readingOrder="0"/>
      <border diagonalUp="0" diagonalDown="0" outline="0">
        <left/>
        <right/>
        <top/>
        <bottom/>
      </border>
    </dxf>
    <dxf>
      <font>
        <strike val="0"/>
        <outline val="0"/>
        <shadow val="0"/>
        <u val="none"/>
        <vertAlign val="baseline"/>
        <sz val="9"/>
        <color theme="1"/>
        <name val="Arial"/>
        <family val="2"/>
      </font>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i val="0"/>
        <strike val="0"/>
        <condense val="0"/>
        <extend val="0"/>
        <outline val="0"/>
        <shadow val="0"/>
        <u val="none"/>
        <vertAlign val="baseline"/>
        <sz val="10"/>
        <color theme="1"/>
        <name val="Arial"/>
        <family val="1"/>
      </font>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border outline="0">
        <left style="thin">
          <color theme="0" tint="-0.34998626667073579"/>
        </left>
      </border>
    </dxf>
    <dxf>
      <alignment horizontal="center" vertical="center" textRotation="0" wrapText="1" indent="0" justifyLastLine="0" shrinkToFit="0" readingOrder="0"/>
    </dxf>
    <dxf>
      <alignment vertical="center" textRotation="0" wrapText="1" indent="0" justifyLastLine="0" shrinkToFit="0" readingOrder="0"/>
    </dxf>
    <dxf>
      <numFmt numFmtId="173" formatCode="[$-C09]d\ mmmm\ yyyy;@"/>
    </dxf>
    <dxf>
      <numFmt numFmtId="173" formatCode="[$-C09]d\ mmmm\ yyyy;@"/>
    </dxf>
    <dxf>
      <fill>
        <patternFill>
          <bgColor theme="0" tint="-4.9989318521683403E-2"/>
        </patternFill>
      </fill>
    </dxf>
    <dxf>
      <border diagonalUp="0" diagonalDown="0" outline="0">
        <left style="thin">
          <color theme="0" tint="-0.34998626667073579"/>
        </left>
        <right style="thin">
          <color theme="0" tint="-0.34998626667073579"/>
        </right>
        <top style="thin">
          <color theme="0" tint="-0.34998626667073579"/>
        </top>
        <bottom/>
      </border>
    </dxf>
    <dxf>
      <fill>
        <patternFill patternType="none">
          <fgColor indexed="64"/>
          <bgColor indexed="65"/>
        </patternFill>
      </fill>
      <border diagonalUp="0" diagonalDown="0" outline="0">
        <left style="thin">
          <color theme="0" tint="-0.34998626667073579"/>
        </left>
        <right style="thin">
          <color theme="0" tint="-0.34998626667073579"/>
        </right>
        <top style="thin">
          <color theme="0" tint="-0.34998626667073579"/>
        </top>
        <bottom/>
      </border>
    </dxf>
    <dxf>
      <border diagonalUp="0" diagonalDown="0" outline="0">
        <left/>
        <right/>
        <top/>
        <bottom/>
      </border>
    </dxf>
    <dxf>
      <font>
        <b val="0"/>
        <i val="0"/>
        <strike val="0"/>
        <condense val="0"/>
        <extend val="0"/>
        <outline val="0"/>
        <shadow val="0"/>
        <u val="none"/>
        <vertAlign val="baseline"/>
        <sz val="10"/>
        <color theme="1" tint="0.249977111117893"/>
        <name val="Arial"/>
        <family val="1"/>
      </font>
      <fill>
        <patternFill patternType="none">
          <fgColor indexed="64"/>
          <bgColor indexed="65"/>
        </patternFill>
      </fill>
      <alignment horizontal="center" vertical="center" textRotation="0" wrapText="0" indent="0" justifyLastLine="0" shrinkToFit="0" readingOrder="0"/>
      <border diagonalUp="0" diagonalDown="0" outline="0">
        <left/>
        <right/>
        <top/>
        <bottom/>
      </border>
    </dxf>
    <dxf>
      <border diagonalUp="0" diagonalDown="0" outline="0">
        <left style="thin">
          <color theme="0" tint="-0.34998626667073579"/>
        </left>
        <right style="thin">
          <color theme="0" tint="-0.34998626667073579"/>
        </right>
        <top style="thin">
          <color theme="0" tint="-0.34998626667073579"/>
        </top>
        <bottom/>
      </border>
    </dxf>
    <dxf>
      <font>
        <b/>
        <i val="0"/>
        <strike val="0"/>
        <condense val="0"/>
        <extend val="0"/>
        <outline val="0"/>
        <shadow val="0"/>
        <u val="none"/>
        <vertAlign val="baseline"/>
        <sz val="10"/>
        <color theme="1" tint="0.14999847407452621"/>
        <name val="Arial"/>
        <family val="1"/>
      </font>
      <numFmt numFmtId="0" formatCode="General"/>
      <fill>
        <gradientFill degree="90">
          <stop position="0">
            <color theme="0"/>
          </stop>
          <stop position="1">
            <color theme="0" tint="-5.0965910824915313E-2"/>
          </stop>
        </gradientFill>
      </fill>
      <alignment horizontal="center" vertical="center" textRotation="0" wrapText="0" indent="0" justifyLastLine="0" shrinkToFit="0" readingOrder="0"/>
      <border diagonalUp="0" diagonalDown="0" outline="0">
        <left style="thin">
          <color theme="0" tint="-0.34998626667073579"/>
        </left>
        <right style="thin">
          <color theme="0" tint="-0.34998626667073579"/>
        </right>
        <top style="thin">
          <color theme="0" tint="-0.34998626667073579"/>
        </top>
        <bottom/>
      </border>
      <protection locked="1" hidden="0"/>
    </dxf>
    <dxf>
      <fill>
        <patternFill>
          <bgColor theme="0" tint="-4.9989318521683403E-2"/>
        </patternFill>
      </fill>
    </dxf>
    <dxf>
      <alignment textRotation="0" wrapText="1" indent="0" justifyLastLine="0" shrinkToFit="0" readingOrder="0"/>
    </dxf>
    <dxf>
      <alignment textRotation="0" wrapText="1" indent="0" justifyLastLine="0" shrinkToFit="0" readingOrder="0"/>
    </dxf>
    <dxf>
      <font>
        <sz val="10"/>
        <color theme="1"/>
        <family val="2"/>
      </font>
      <alignment horizontal="center" vertical="center"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font>
        <sz val="10"/>
        <color theme="1"/>
        <family val="2"/>
      </font>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textRotation="0" wrapText="1" indent="0" justifyLastLine="0" shrinkToFit="0" readingOrder="0"/>
    </dxf>
    <dxf>
      <font>
        <strike val="0"/>
        <outline val="0"/>
        <shadow val="0"/>
        <u val="none"/>
        <vertAlign val="baseline"/>
        <sz val="9"/>
        <color theme="1" tint="0.14999847407452621"/>
        <name val="Arial"/>
        <family val="1"/>
      </font>
    </dxf>
    <dxf>
      <alignment horizontal="center" vertical="center" textRotation="0" wrapText="1" indent="0" justifyLastLine="0" shrinkToFit="0" readingOrder="0"/>
      <border outline="0">
        <left style="thin">
          <color theme="0" tint="-0.34998626667073579"/>
        </left>
        <right style="thin">
          <color theme="0" tint="-0.34998626667073579"/>
        </right>
      </border>
    </dxf>
    <dxf>
      <font>
        <strike val="0"/>
        <outline val="0"/>
        <shadow val="0"/>
        <u val="none"/>
        <vertAlign val="baseline"/>
        <sz val="9"/>
        <color theme="1" tint="0.14999847407452621"/>
        <name val="Arial"/>
        <family val="1"/>
      </font>
      <alignment textRotation="0" wrapText="1" indent="0" justifyLastLine="0" shrinkToFit="0" readingOrder="0"/>
    </dxf>
    <dxf>
      <alignment horizontal="center" vertical="center" textRotation="0" wrapText="1" indent="0" justifyLastLine="0" shrinkToFit="0" readingOrder="0"/>
      <border outline="0">
        <left style="thin">
          <color theme="0" tint="-0.34998626667073579"/>
        </left>
        <right style="thin">
          <color theme="0" tint="-0.34998626667073579"/>
        </right>
      </border>
    </dxf>
    <dxf>
      <font>
        <strike val="0"/>
        <outline val="0"/>
        <shadow val="0"/>
        <u val="none"/>
        <vertAlign val="baseline"/>
        <sz val="9"/>
        <color theme="1" tint="0.14999847407452621"/>
        <name val="Arial"/>
        <family val="1"/>
      </font>
      <alignment horizontal="center" vertical="center" textRotation="0" wrapText="1" indent="0" justifyLastLine="0" shrinkToFit="0" readingOrder="0"/>
    </dxf>
    <dxf>
      <alignment horizontal="center" vertical="center" textRotation="0" wrapText="1" indent="0" justifyLastLine="0" shrinkToFit="0" readingOrder="0"/>
      <border outline="0">
        <left style="thin">
          <color theme="0" tint="-0.34998626667073579"/>
        </left>
        <right style="thin">
          <color theme="0" tint="-0.34998626667073579"/>
        </right>
      </border>
    </dxf>
    <dxf>
      <font>
        <strike val="0"/>
        <outline val="0"/>
        <shadow val="0"/>
        <u val="none"/>
        <vertAlign val="baseline"/>
        <sz val="9"/>
        <color theme="1" tint="0.14999847407452621"/>
        <name val="Arial"/>
        <family val="1"/>
      </font>
      <alignment textRotation="0" wrapText="1" indent="0" justifyLastLine="0" shrinkToFit="0" readingOrder="0"/>
    </dxf>
    <dxf>
      <alignment textRotation="0" wrapText="1" indent="0" justifyLastLine="0" shrinkToFit="0" readingOrder="0"/>
      <border outline="0">
        <right style="thin">
          <color theme="0" tint="-0.34998626667073579"/>
        </right>
      </border>
    </dxf>
    <dxf>
      <font>
        <sz val="10"/>
        <color theme="1"/>
        <family val="2"/>
      </font>
      <alignment horizontal="center" vertical="center" textRotation="0" wrapText="1" indent="0" justifyLastLine="0" shrinkToFit="0" readingOrder="0"/>
    </dxf>
    <dxf>
      <alignment horizontal="center" vertical="center" textRotation="0" wrapText="1" indent="0" justifyLastLine="0" shrinkToFit="0" readingOrder="0"/>
    </dxf>
    <dxf>
      <alignment textRotation="0" wrapText="1" indent="0" justifyLastLine="0" shrinkToFit="0" readingOrder="0"/>
    </dxf>
    <dxf>
      <alignment textRotation="0" wrapText="1" indent="0" justifyLastLine="0" shrinkToFit="0" readingOrder="0"/>
    </dxf>
    <dxf>
      <fill>
        <patternFill>
          <bgColor theme="0" tint="-4.9989318521683403E-2"/>
        </patternFill>
      </fill>
      <alignment textRotation="0" wrapText="1" indent="0" justifyLastLine="0" shrinkToFit="0" readingOrder="0"/>
    </dxf>
    <dxf>
      <alignment horizontal="center" vertical="center" textRotation="0" wrapText="1" indent="0" justifyLastLine="0" shrinkToFit="0" readingOrder="0"/>
    </dxf>
    <dxf>
      <fill>
        <patternFill>
          <bgColor theme="0" tint="-4.9989318521683403E-2"/>
        </patternFill>
      </fill>
      <alignment textRotation="0" wrapText="1" indent="0" justifyLastLine="0" shrinkToFit="0" readingOrder="0"/>
    </dxf>
    <dxf>
      <alignment horizontal="center" vertical="center" textRotation="0" wrapText="1" indent="0" justifyLastLine="0" shrinkToFit="0" readingOrder="0"/>
    </dxf>
    <dxf>
      <fill>
        <patternFill>
          <bgColor theme="0" tint="-4.9989318521683403E-2"/>
        </patternFill>
      </fill>
    </dxf>
    <dxf>
      <alignment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font>
        <b val="0"/>
        <i val="0"/>
        <strike val="0"/>
        <condense val="0"/>
        <extend val="0"/>
        <outline val="0"/>
        <shadow val="0"/>
        <u val="none"/>
        <vertAlign val="baseline"/>
        <sz val="10"/>
        <color theme="1"/>
        <name val="Arial"/>
        <family val="1"/>
      </font>
      <fill>
        <patternFill patternType="solid">
          <fgColor indexed="64"/>
          <bgColor theme="0" tint="-0.14999847407452621"/>
        </patternFill>
      </fill>
      <border diagonalUp="0" diagonalDown="0" outline="0">
        <left/>
        <right/>
        <top/>
        <bottom/>
      </border>
    </dxf>
    <dxf>
      <alignment horizontal="center" vertical="center" textRotation="0" wrapText="1" indent="0" justifyLastLine="0" shrinkToFit="0" readingOrder="0"/>
    </dxf>
    <dxf>
      <font>
        <b val="0"/>
        <i val="0"/>
        <strike val="0"/>
        <condense val="0"/>
        <extend val="0"/>
        <outline val="0"/>
        <shadow val="0"/>
        <u val="none"/>
        <vertAlign val="baseline"/>
        <sz val="10"/>
        <color theme="1"/>
        <name val="Arial"/>
        <family val="1"/>
      </font>
      <fill>
        <patternFill patternType="solid">
          <fgColor indexed="64"/>
          <bgColor theme="0" tint="-0.14999847407452621"/>
        </patternFill>
      </fill>
      <border diagonalUp="0" diagonalDown="0" outline="0">
        <left/>
        <right/>
        <top/>
        <bottom/>
      </border>
    </dxf>
    <dxf>
      <alignment horizontal="center" vertical="center" textRotation="0" wrapText="1" indent="0" justifyLastLine="0" shrinkToFit="0" readingOrder="0"/>
    </dxf>
    <dxf>
      <font>
        <b val="0"/>
        <i val="0"/>
        <strike val="0"/>
        <condense val="0"/>
        <extend val="0"/>
        <outline val="0"/>
        <shadow val="0"/>
        <u val="none"/>
        <vertAlign val="baseline"/>
        <sz val="10"/>
        <color theme="1"/>
        <name val="Arial"/>
        <family val="1"/>
      </font>
      <fill>
        <patternFill patternType="solid">
          <fgColor indexed="64"/>
          <bgColor theme="0" tint="-0.14999847407452621"/>
        </patternFill>
      </fill>
      <border diagonalUp="0" diagonalDown="0" outline="0">
        <left/>
        <right/>
        <top/>
        <bottom/>
      </border>
    </dxf>
    <dxf>
      <alignment horizontal="center" vertical="center" textRotation="0" wrapText="1" indent="0" justifyLastLine="0" shrinkToFit="0" readingOrder="0"/>
    </dxf>
    <dxf>
      <font>
        <b val="0"/>
        <i val="0"/>
        <strike val="0"/>
        <condense val="0"/>
        <extend val="0"/>
        <outline val="0"/>
        <shadow val="0"/>
        <u val="none"/>
        <vertAlign val="baseline"/>
        <sz val="10"/>
        <color theme="1"/>
        <name val="Arial"/>
        <family val="1"/>
      </font>
      <border diagonalUp="0" diagonalDown="0" outline="0">
        <left/>
        <right/>
        <top/>
        <bottom/>
      </border>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font>
        <b val="0"/>
        <i val="0"/>
        <strike val="0"/>
        <condense val="0"/>
        <extend val="0"/>
        <outline val="0"/>
        <shadow val="0"/>
        <u val="none"/>
        <vertAlign val="baseline"/>
        <sz val="10"/>
        <color theme="1"/>
        <name val="Arial"/>
        <family val="1"/>
      </font>
      <border diagonalUp="0" diagonalDown="0" outline="0">
        <left/>
        <right/>
        <top/>
        <bottom/>
      </border>
    </dxf>
    <dxf>
      <alignment horizontal="center" vertical="center" textRotation="0" wrapText="1" indent="0" justifyLastLine="0" shrinkToFit="0" readingOrder="0"/>
    </dxf>
    <dxf>
      <font>
        <b/>
        <i val="0"/>
        <strike val="0"/>
        <condense val="0"/>
        <extend val="0"/>
        <outline val="0"/>
        <shadow val="0"/>
        <u val="none"/>
        <vertAlign val="baseline"/>
        <sz val="10"/>
        <color theme="1"/>
        <name val="Arial"/>
        <family val="1"/>
      </font>
      <alignment horizontal="center" vertical="center" textRotation="0" wrapText="0" indent="0" justifyLastLine="0" shrinkToFit="0" readingOrder="0"/>
      <border diagonalUp="0" diagonalDown="0" outline="0">
        <left/>
        <right/>
        <top/>
        <bottom/>
      </border>
    </dxf>
    <dxf>
      <alignment textRotation="0" wrapText="1" indent="0" justifyLastLine="0" shrinkToFit="0" readingOrder="0"/>
    </dxf>
    <dxf>
      <font>
        <b/>
        <i val="0"/>
        <strike val="0"/>
        <condense val="0"/>
        <extend val="0"/>
        <outline val="0"/>
        <shadow val="0"/>
        <u val="none"/>
        <vertAlign val="baseline"/>
        <sz val="10"/>
        <color theme="1"/>
        <name val="Arial"/>
        <family val="1"/>
      </font>
      <alignment horizontal="center"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theme="1"/>
        <name val="Arial"/>
        <family val="2"/>
      </font>
      <alignment horizontal="center" vertical="center" textRotation="0" wrapText="1" indent="0" justifyLastLine="0" shrinkToFit="0" readingOrder="0"/>
    </dxf>
    <dxf>
      <font>
        <b/>
        <i val="0"/>
        <strike val="0"/>
        <condense val="0"/>
        <extend val="0"/>
        <outline val="0"/>
        <shadow val="0"/>
        <u val="none"/>
        <vertAlign val="baseline"/>
        <sz val="10"/>
        <color theme="1"/>
        <name val="Arial"/>
        <family val="1"/>
      </font>
      <alignment horizontal="center" vertical="center" textRotation="0" wrapText="0" indent="0" justifyLastLine="0" shrinkToFit="0" readingOrder="0"/>
      <border diagonalUp="0" diagonalDown="0" outline="0">
        <left/>
        <right/>
        <top/>
        <bottom/>
      </border>
    </dxf>
    <dxf>
      <alignment textRotation="0" wrapText="1" indent="0" justifyLastLine="0" shrinkToFit="0" readingOrder="0"/>
    </dxf>
    <dxf>
      <font>
        <b/>
        <i val="0"/>
        <strike val="0"/>
        <condense val="0"/>
        <extend val="0"/>
        <outline val="0"/>
        <shadow val="0"/>
        <u val="none"/>
        <vertAlign val="baseline"/>
        <sz val="10"/>
        <color theme="1"/>
        <name val="Arial"/>
        <family val="1"/>
      </font>
      <alignment horizontal="center"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theme="1"/>
        <name val="Arial"/>
        <family val="2"/>
      </font>
      <alignment horizontal="center" vertical="center" textRotation="0" wrapText="1" indent="0" justifyLastLine="0" shrinkToFit="0" readingOrder="0"/>
    </dxf>
    <dxf>
      <font>
        <b/>
        <i val="0"/>
        <strike val="0"/>
        <condense val="0"/>
        <extend val="0"/>
        <outline val="0"/>
        <shadow val="0"/>
        <u val="none"/>
        <vertAlign val="baseline"/>
        <sz val="10"/>
        <color theme="1"/>
        <name val="Arial"/>
        <family val="1"/>
      </font>
      <alignment horizontal="center" vertical="center" textRotation="0" wrapText="0" indent="0" justifyLastLine="0" shrinkToFit="0" readingOrder="0"/>
      <border diagonalUp="0" diagonalDown="0" outline="0">
        <left/>
        <right/>
        <top/>
        <bottom/>
      </border>
    </dxf>
    <dxf>
      <alignment textRotation="0" wrapText="1" indent="0" justifyLastLine="0" shrinkToFit="0" readingOrder="0"/>
    </dxf>
    <dxf>
      <font>
        <b/>
        <i val="0"/>
        <strike val="0"/>
        <condense val="0"/>
        <extend val="0"/>
        <outline val="0"/>
        <shadow val="0"/>
        <u val="none"/>
        <vertAlign val="baseline"/>
        <sz val="10"/>
        <color theme="1"/>
        <name val="Arial"/>
        <family val="1"/>
      </font>
      <border diagonalUp="0" diagonalDown="0" outline="0">
        <left/>
        <right/>
        <top/>
        <bottom/>
      </border>
    </dxf>
    <dxf>
      <alignment textRotation="0" wrapText="1" indent="0" justifyLastLine="0" shrinkToFit="0" readingOrder="0"/>
    </dxf>
    <dxf>
      <fill>
        <patternFill>
          <bgColor theme="0" tint="-4.9989318521683403E-2"/>
        </patternFill>
      </fill>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border outline="0">
        <left style="thin">
          <color theme="0" tint="-0.34998626667073579"/>
        </left>
      </border>
    </dxf>
    <dxf>
      <alignment horizontal="center" vertical="center" textRotation="0" wrapText="1" indent="0" justifyLastLine="0" shrinkToFit="0" readingOrder="0"/>
    </dxf>
    <dxf>
      <border diagonalUp="0" diagonalDown="0" outline="0">
        <left style="thin">
          <color theme="0" tint="-0.34998626667073579"/>
        </left>
        <right style="thin">
          <color theme="0" tint="-0.34998626667073579"/>
        </right>
        <top style="thin">
          <color theme="0" tint="-0.34998626667073579"/>
        </top>
        <bottom/>
      </border>
    </dxf>
    <dxf>
      <numFmt numFmtId="170" formatCode="[$-F800]dddd\,\ mmmm\ dd\,\ yyyy"/>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font>
        <color theme="1" tint="0.24994659260841701"/>
      </font>
      <fill>
        <patternFill patternType="solid">
          <fgColor indexed="64"/>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fill>
        <patternFill>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183C1B"/>
      </font>
      <fill>
        <patternFill patternType="solid">
          <fgColor indexed="64"/>
          <bgColor rgb="FFB2D498"/>
        </patternFill>
      </fill>
    </dxf>
    <dxf>
      <font>
        <color theme="1" tint="0.24994659260841701"/>
      </font>
      <border>
        <left/>
        <right/>
        <top/>
        <bottom/>
        <vertical/>
        <horizontal/>
      </border>
    </dxf>
    <dxf>
      <font>
        <color theme="1" tint="0.24994659260841701"/>
      </font>
      <fill>
        <patternFill patternType="none">
          <fgColor indexed="64"/>
          <bgColor auto="1"/>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533001"/>
      </font>
      <fill>
        <patternFill patternType="solid">
          <fgColor indexed="64"/>
          <bgColor rgb="FFFFCC66"/>
        </patternFill>
      </fill>
    </dxf>
    <dxf>
      <font>
        <color theme="1" tint="0.24994659260841701"/>
      </font>
      <border>
        <left/>
        <right/>
        <top/>
        <bottom/>
        <vertical/>
        <horizontal/>
      </border>
    </dxf>
  </dxfs>
  <tableStyles count="3" defaultTableStyle="Equation table" defaultPivotStyle="PivotStyleLight16">
    <tableStyle name="Editable table" pivot="0" count="6" xr9:uid="{8C498A1C-5864-4BF8-8739-A3055FE117E0}">
      <tableStyleElement type="wholeTable" dxfId="541"/>
      <tableStyleElement type="headerRow" dxfId="540"/>
      <tableStyleElement type="totalRow" dxfId="539"/>
      <tableStyleElement type="firstColumn" dxfId="538"/>
      <tableStyleElement type="firstRowStripe" dxfId="537"/>
      <tableStyleElement type="secondRowStripe" dxfId="536"/>
    </tableStyle>
    <tableStyle name="Equation table" pivot="0" count="6" xr9:uid="{B247698E-E41D-4CCD-AA0A-C14817E9DE65}">
      <tableStyleElement type="wholeTable" dxfId="535"/>
      <tableStyleElement type="headerRow" dxfId="534"/>
      <tableStyleElement type="totalRow" dxfId="533"/>
      <tableStyleElement type="firstColumn" dxfId="532"/>
      <tableStyleElement type="firstRowStripe" dxfId="531"/>
      <tableStyleElement type="secondRowStripe" dxfId="530"/>
    </tableStyle>
    <tableStyle name="Table Style 1" pivot="0" count="0" xr9:uid="{97B370DB-5463-4A31-9160-5A96BD6A559D}"/>
  </tableStyles>
  <colors>
    <mruColors>
      <color rgb="FF0C769E"/>
      <color rgb="FFCC6600"/>
      <color rgb="FFC44340"/>
      <color rgb="FF008000"/>
      <color rgb="FFFFCCCC"/>
      <color rgb="FFC4433F"/>
      <color rgb="FFE9F2FB"/>
      <color rgb="FF183C1B"/>
      <color rgb="FFB2D498"/>
      <color rgb="FF4F478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theme" Target="theme/theme1.xml"/><Relationship Id="rId55" Type="http://schemas.microsoft.com/office/2017/06/relationships/rdRichValue" Target="richData/rdrichvalue.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sheetMetadata" Target="metadata.xml"/><Relationship Id="rId58" Type="http://schemas.openxmlformats.org/officeDocument/2006/relationships/calcChain" Target="calcChain.xml"/><Relationship Id="rId5" Type="http://schemas.openxmlformats.org/officeDocument/2006/relationships/worksheet" Target="worksheets/sheet5.xml"/><Relationship Id="rId61" Type="http://schemas.openxmlformats.org/officeDocument/2006/relationships/customXml" Target="../customXml/item3.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microsoft.com/office/2017/06/relationships/rdRichValueStructure" Target="richData/rdrichvaluestructure.xml"/><Relationship Id="rId8" Type="http://schemas.openxmlformats.org/officeDocument/2006/relationships/worksheet" Target="worksheets/sheet8.xml"/><Relationship Id="rId51" Type="http://schemas.openxmlformats.org/officeDocument/2006/relationships/styles" Target="styles.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customXml" Target="../customXml/item1.xml"/><Relationship Id="rId20" Type="http://schemas.openxmlformats.org/officeDocument/2006/relationships/worksheet" Target="worksheets/sheet20.xml"/><Relationship Id="rId41" Type="http://schemas.openxmlformats.org/officeDocument/2006/relationships/worksheet" Target="worksheets/sheet41.xml"/><Relationship Id="rId54" Type="http://schemas.microsoft.com/office/2022/10/relationships/richValueRel" Target="richData/richValueRel.xml"/><Relationship Id="rId62" Type="http://schemas.openxmlformats.org/officeDocument/2006/relationships/customXml" Target="../customXml/item4.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microsoft.com/office/2017/06/relationships/rdRichValueTypes" Target="richData/rdRichValueTypes.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sharedStrings" Target="sharedStrings.xml"/><Relationship Id="rId6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r>
              <a:rPr lang="en-AU"/>
              <a:t>Scope 1 sources CO2-e: Method 2</a:t>
            </a:r>
          </a:p>
        </c:rich>
      </c:tx>
      <c:overlay val="0"/>
      <c:spPr>
        <a:noFill/>
        <a:ln>
          <a:noFill/>
        </a:ln>
        <a:effectLst/>
      </c:spPr>
    </c:title>
    <c:autoTitleDeleted val="0"/>
    <c:plotArea>
      <c:layout/>
      <c:ofPieChart>
        <c:ofPieType val="bar"/>
        <c:varyColors val="1"/>
        <c:ser>
          <c:idx val="1"/>
          <c:order val="0"/>
          <c:dPt>
            <c:idx val="0"/>
            <c:bubble3D val="0"/>
            <c:extLst>
              <c:ext xmlns:c16="http://schemas.microsoft.com/office/drawing/2014/chart" uri="{C3380CC4-5D6E-409C-BE32-E72D297353CC}">
                <c16:uniqueId val="{00000073-1931-495F-914F-43EC2EA99D04}"/>
              </c:ext>
            </c:extLst>
          </c:dPt>
          <c:dPt>
            <c:idx val="1"/>
            <c:bubble3D val="0"/>
            <c:extLst>
              <c:ext xmlns:c16="http://schemas.microsoft.com/office/drawing/2014/chart" uri="{C3380CC4-5D6E-409C-BE32-E72D297353CC}">
                <c16:uniqueId val="{00000074-1931-495F-914F-43EC2EA99D04}"/>
              </c:ext>
            </c:extLst>
          </c:dPt>
          <c:dPt>
            <c:idx val="2"/>
            <c:bubble3D val="0"/>
            <c:extLst>
              <c:ext xmlns:c16="http://schemas.microsoft.com/office/drawing/2014/chart" uri="{C3380CC4-5D6E-409C-BE32-E72D297353CC}">
                <c16:uniqueId val="{00000075-1931-495F-914F-43EC2EA99D04}"/>
              </c:ext>
            </c:extLst>
          </c:dPt>
          <c:dPt>
            <c:idx val="3"/>
            <c:bubble3D val="0"/>
            <c:extLst>
              <c:ext xmlns:c16="http://schemas.microsoft.com/office/drawing/2014/chart" uri="{C3380CC4-5D6E-409C-BE32-E72D297353CC}">
                <c16:uniqueId val="{00000076-1931-495F-914F-43EC2EA99D04}"/>
              </c:ext>
            </c:extLst>
          </c:dPt>
          <c:dPt>
            <c:idx val="4"/>
            <c:bubble3D val="0"/>
            <c:extLst>
              <c:ext xmlns:c16="http://schemas.microsoft.com/office/drawing/2014/chart" uri="{C3380CC4-5D6E-409C-BE32-E72D297353CC}">
                <c16:uniqueId val="{00000077-1931-495F-914F-43EC2EA99D04}"/>
              </c:ext>
            </c:extLst>
          </c:dPt>
          <c:dPt>
            <c:idx val="5"/>
            <c:bubble3D val="0"/>
            <c:extLst>
              <c:ext xmlns:c16="http://schemas.microsoft.com/office/drawing/2014/chart" uri="{C3380CC4-5D6E-409C-BE32-E72D297353CC}">
                <c16:uniqueId val="{00000078-1931-495F-914F-43EC2EA99D04}"/>
              </c:ext>
            </c:extLst>
          </c:dPt>
          <c:dPt>
            <c:idx val="6"/>
            <c:bubble3D val="0"/>
            <c:extLst>
              <c:ext xmlns:c16="http://schemas.microsoft.com/office/drawing/2014/chart" uri="{C3380CC4-5D6E-409C-BE32-E72D297353CC}">
                <c16:uniqueId val="{00000079-1931-495F-914F-43EC2EA99D04}"/>
              </c:ext>
            </c:extLst>
          </c:dPt>
          <c:dPt>
            <c:idx val="7"/>
            <c:bubble3D val="0"/>
            <c:extLst>
              <c:ext xmlns:c16="http://schemas.microsoft.com/office/drawing/2014/chart" uri="{C3380CC4-5D6E-409C-BE32-E72D297353CC}">
                <c16:uniqueId val="{0000007A-1931-495F-914F-43EC2EA99D04}"/>
              </c:ext>
            </c:extLst>
          </c:dPt>
          <c:dPt>
            <c:idx val="8"/>
            <c:bubble3D val="0"/>
            <c:extLst>
              <c:ext xmlns:c16="http://schemas.microsoft.com/office/drawing/2014/chart" uri="{C3380CC4-5D6E-409C-BE32-E72D297353CC}">
                <c16:uniqueId val="{0000007B-1931-495F-914F-43EC2EA99D04}"/>
              </c:ext>
            </c:extLst>
          </c:dPt>
          <c:dPt>
            <c:idx val="9"/>
            <c:bubble3D val="0"/>
            <c:extLst>
              <c:ext xmlns:c16="http://schemas.microsoft.com/office/drawing/2014/chart" uri="{C3380CC4-5D6E-409C-BE32-E72D297353CC}">
                <c16:uniqueId val="{0000007C-1931-495F-914F-43EC2EA99D04}"/>
              </c:ext>
            </c:extLst>
          </c:dPt>
          <c:dPt>
            <c:idx val="10"/>
            <c:bubble3D val="0"/>
            <c:extLst>
              <c:ext xmlns:c16="http://schemas.microsoft.com/office/drawing/2014/chart" uri="{C3380CC4-5D6E-409C-BE32-E72D297353CC}">
                <c16:uniqueId val="{0000007D-1931-495F-914F-43EC2EA99D04}"/>
              </c:ext>
            </c:extLst>
          </c:dPt>
          <c:dPt>
            <c:idx val="11"/>
            <c:bubble3D val="0"/>
            <c:extLst>
              <c:ext xmlns:c16="http://schemas.microsoft.com/office/drawing/2014/chart" uri="{C3380CC4-5D6E-409C-BE32-E72D297353CC}">
                <c16:uniqueId val="{0000007E-1931-495F-914F-43EC2EA99D04}"/>
              </c:ext>
            </c:extLst>
          </c:dPt>
          <c:dPt>
            <c:idx val="12"/>
            <c:bubble3D val="0"/>
            <c:extLst>
              <c:ext xmlns:c16="http://schemas.microsoft.com/office/drawing/2014/chart" uri="{C3380CC4-5D6E-409C-BE32-E72D297353CC}">
                <c16:uniqueId val="{0000007F-1931-495F-914F-43EC2EA99D04}"/>
              </c:ext>
            </c:extLst>
          </c:dPt>
          <c:dPt>
            <c:idx val="13"/>
            <c:bubble3D val="0"/>
            <c:extLst>
              <c:ext xmlns:c16="http://schemas.microsoft.com/office/drawing/2014/chart" uri="{C3380CC4-5D6E-409C-BE32-E72D297353CC}">
                <c16:uniqueId val="{00000080-1931-495F-914F-43EC2EA99D04}"/>
              </c:ext>
            </c:extLst>
          </c:dPt>
          <c:dPt>
            <c:idx val="14"/>
            <c:bubble3D val="0"/>
            <c:extLst>
              <c:ext xmlns:c16="http://schemas.microsoft.com/office/drawing/2014/chart" uri="{C3380CC4-5D6E-409C-BE32-E72D297353CC}">
                <c16:uniqueId val="{00000081-1931-495F-914F-43EC2EA99D04}"/>
              </c:ext>
            </c:extLst>
          </c:dPt>
          <c:dPt>
            <c:idx val="15"/>
            <c:bubble3D val="0"/>
            <c:extLst>
              <c:ext xmlns:c16="http://schemas.microsoft.com/office/drawing/2014/chart" uri="{C3380CC4-5D6E-409C-BE32-E72D297353CC}">
                <c16:uniqueId val="{00000082-1931-495F-914F-43EC2EA99D04}"/>
              </c:ext>
            </c:extLst>
          </c:dPt>
          <c:dPt>
            <c:idx val="16"/>
            <c:bubble3D val="0"/>
            <c:extLst>
              <c:ext xmlns:c16="http://schemas.microsoft.com/office/drawing/2014/chart" uri="{C3380CC4-5D6E-409C-BE32-E72D297353CC}">
                <c16:uniqueId val="{00000083-1931-495F-914F-43EC2EA99D04}"/>
              </c:ext>
            </c:extLst>
          </c:dPt>
          <c:dPt>
            <c:idx val="17"/>
            <c:bubble3D val="0"/>
            <c:extLst>
              <c:ext xmlns:c16="http://schemas.microsoft.com/office/drawing/2014/chart" uri="{C3380CC4-5D6E-409C-BE32-E72D297353CC}">
                <c16:uniqueId val="{00000084-1931-495F-914F-43EC2EA99D04}"/>
              </c:ext>
            </c:extLst>
          </c:dPt>
          <c:dPt>
            <c:idx val="18"/>
            <c:bubble3D val="0"/>
            <c:extLst>
              <c:ext xmlns:c16="http://schemas.microsoft.com/office/drawing/2014/chart" uri="{C3380CC4-5D6E-409C-BE32-E72D297353CC}">
                <c16:uniqueId val="{00000085-1931-495F-914F-43EC2EA99D04}"/>
              </c:ext>
            </c:extLst>
          </c:dPt>
          <c:cat>
            <c:strRef>
              <c:f>'Results - Activity period'!$D$9:$D$27</c:f>
              <c:strCache>
                <c:ptCount val="19"/>
                <c:pt idx="0">
                  <c:v>3.2.1.1-2 Enteric methane</c:v>
                </c:pt>
                <c:pt idx="1">
                  <c:v>4.2.1.1-2 Manure methane</c:v>
                </c:pt>
                <c:pt idx="2">
                  <c:v>4.2.1.3-4 Soil direct N2O</c:v>
                </c:pt>
                <c:pt idx="3">
                  <c:v>4.2.1.5-6 Soil atmospheric deposition</c:v>
                </c:pt>
                <c:pt idx="4">
                  <c:v>4.2.1.7-8 Soil leaching and runoff</c:v>
                </c:pt>
                <c:pt idx="5">
                  <c:v>5.1.1.1-2 Inorganic fert N2O</c:v>
                </c:pt>
                <c:pt idx="6">
                  <c:v>5.1.1.3-4 Inorganic fert CO2</c:v>
                </c:pt>
                <c:pt idx="7">
                  <c:v>5.2.1.1-2 Organic fert N2O</c:v>
                </c:pt>
                <c:pt idx="8">
                  <c:v>5.3.1.1-2 Lime CO2</c:v>
                </c:pt>
                <c:pt idx="9">
                  <c:v>5.4.1.1-4 Atmos. deposition</c:v>
                </c:pt>
                <c:pt idx="10">
                  <c:v>5.5.1.1-2 Leaching &amp; runoff</c:v>
                </c:pt>
                <c:pt idx="11">
                  <c:v>6.2.1.1-2 Pasture residue N2O</c:v>
                </c:pt>
                <c:pt idx="12">
                  <c:v>6.3.1.1-2 Leach &amp; runoff (pasture)</c:v>
                </c:pt>
                <c:pt idx="13">
                  <c:v>8.1.1.1-2 Transport fuel CO2</c:v>
                </c:pt>
                <c:pt idx="14">
                  <c:v>8.1.1.1-2 Transport fuel CH4</c:v>
                </c:pt>
                <c:pt idx="15">
                  <c:v>8.1.1.1-2 Transport fuel N2O</c:v>
                </c:pt>
                <c:pt idx="16">
                  <c:v>8.2.1.1-2 Stationary fuel CO2</c:v>
                </c:pt>
                <c:pt idx="17">
                  <c:v>8.2.1.1-2 Stationary fuel CH4</c:v>
                </c:pt>
                <c:pt idx="18">
                  <c:v>8.2.1.1-2 Stationary fuel N2O</c:v>
                </c:pt>
              </c:strCache>
            </c:strRef>
          </c:cat>
          <c:val>
            <c:numRef>
              <c:f>'Results - Activity period'!$I$9:$I$27</c:f>
              <c:numCache>
                <c:formatCode>General</c:formatCode>
                <c:ptCount val="19"/>
                <c:pt idx="0">
                  <c:v>#N/A</c:v>
                </c:pt>
                <c:pt idx="1">
                  <c:v>#N/A</c:v>
                </c:pt>
                <c:pt idx="2">
                  <c:v>#N/A</c:v>
                </c:pt>
                <c:pt idx="3">
                  <c:v>#N/A</c:v>
                </c:pt>
                <c:pt idx="4">
                  <c:v>#N/A</c:v>
                </c:pt>
                <c:pt idx="5">
                  <c:v>#N/A</c:v>
                </c:pt>
                <c:pt idx="6">
                  <c:v>0</c:v>
                </c:pt>
                <c:pt idx="7">
                  <c:v>0</c:v>
                </c:pt>
                <c:pt idx="8">
                  <c:v>0</c:v>
                </c:pt>
                <c:pt idx="9">
                  <c:v>#N/A</c:v>
                </c:pt>
                <c:pt idx="10">
                  <c:v>0</c:v>
                </c:pt>
                <c:pt idx="11">
                  <c:v>#N/A</c:v>
                </c:pt>
                <c:pt idx="12">
                  <c:v>#N/A</c:v>
                </c:pt>
                <c:pt idx="13">
                  <c:v>0</c:v>
                </c:pt>
                <c:pt idx="14">
                  <c:v>0</c:v>
                </c:pt>
                <c:pt idx="15">
                  <c:v>0</c:v>
                </c:pt>
                <c:pt idx="16">
                  <c:v>0</c:v>
                </c:pt>
                <c:pt idx="17">
                  <c:v>0</c:v>
                </c:pt>
                <c:pt idx="18">
                  <c:v>0</c:v>
                </c:pt>
              </c:numCache>
            </c:numRef>
          </c:val>
          <c:extLst>
            <c:ext xmlns:c16="http://schemas.microsoft.com/office/drawing/2014/chart" uri="{C3380CC4-5D6E-409C-BE32-E72D297353CC}">
              <c16:uniqueId val="{00000072-1931-495F-914F-43EC2EA99D04}"/>
            </c:ext>
          </c:extLst>
        </c:ser>
        <c:ser>
          <c:idx val="0"/>
          <c:order val="1"/>
          <c:dPt>
            <c:idx val="0"/>
            <c:bubble3D val="0"/>
            <c:spPr>
              <a:solidFill>
                <a:schemeClr val="accent1"/>
              </a:solidFill>
              <a:ln w="19050">
                <a:solidFill>
                  <a:schemeClr val="lt1"/>
                </a:solidFill>
              </a:ln>
              <a:effectLst/>
            </c:spPr>
            <c:extLst>
              <c:ext xmlns:c16="http://schemas.microsoft.com/office/drawing/2014/chart" uri="{C3380CC4-5D6E-409C-BE32-E72D297353CC}">
                <c16:uniqueId val="{0000003A-1931-495F-914F-43EC2EA99D0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3C-1931-495F-914F-43EC2EA99D04}"/>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3E-1931-495F-914F-43EC2EA99D04}"/>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40-1931-495F-914F-43EC2EA99D04}"/>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42-1931-495F-914F-43EC2EA99D04}"/>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44-1931-495F-914F-43EC2EA99D04}"/>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46-1931-495F-914F-43EC2EA99D04}"/>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48-1931-495F-914F-43EC2EA99D04}"/>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4A-1931-495F-914F-43EC2EA99D04}"/>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4C-1931-495F-914F-43EC2EA99D04}"/>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4E-1931-495F-914F-43EC2EA99D04}"/>
              </c:ext>
            </c:extLst>
          </c:dPt>
          <c:dPt>
            <c:idx val="11"/>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50-1931-495F-914F-43EC2EA99D04}"/>
              </c:ext>
            </c:extLst>
          </c:dPt>
          <c:dPt>
            <c:idx val="12"/>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052-1931-495F-914F-43EC2EA99D04}"/>
              </c:ext>
            </c:extLst>
          </c:dPt>
          <c:dPt>
            <c:idx val="13"/>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054-1931-495F-914F-43EC2EA99D04}"/>
              </c:ext>
            </c:extLst>
          </c:dPt>
          <c:dPt>
            <c:idx val="14"/>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056-1931-495F-914F-43EC2EA99D04}"/>
              </c:ext>
            </c:extLst>
          </c:dPt>
          <c:dPt>
            <c:idx val="15"/>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058-1931-495F-914F-43EC2EA99D04}"/>
              </c:ext>
            </c:extLst>
          </c:dPt>
          <c:dPt>
            <c:idx val="16"/>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05A-1931-495F-914F-43EC2EA99D04}"/>
              </c:ext>
            </c:extLst>
          </c:dPt>
          <c:dPt>
            <c:idx val="17"/>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005C-1931-495F-914F-43EC2EA99D04}"/>
              </c:ext>
            </c:extLst>
          </c:dPt>
          <c:dPt>
            <c:idx val="18"/>
            <c:bubble3D val="0"/>
            <c:spPr>
              <a:solidFill>
                <a:schemeClr val="accent1">
                  <a:lumMod val="80000"/>
                </a:schemeClr>
              </a:solidFill>
              <a:ln w="19050">
                <a:solidFill>
                  <a:schemeClr val="lt1"/>
                </a:solidFill>
              </a:ln>
              <a:effectLst/>
            </c:spPr>
            <c:extLst>
              <c:ext xmlns:c16="http://schemas.microsoft.com/office/drawing/2014/chart" uri="{C3380CC4-5D6E-409C-BE32-E72D297353CC}">
                <c16:uniqueId val="{0000005E-1931-495F-914F-43EC2EA99D04}"/>
              </c:ext>
            </c:extLst>
          </c:dPt>
          <c:dPt>
            <c:idx val="19"/>
            <c:bubble3D val="0"/>
            <c:spPr>
              <a:solidFill>
                <a:schemeClr val="accent2">
                  <a:lumMod val="80000"/>
                </a:schemeClr>
              </a:solidFill>
              <a:ln w="19050">
                <a:solidFill>
                  <a:schemeClr val="lt1"/>
                </a:solidFill>
              </a:ln>
              <a:effectLst/>
            </c:spPr>
            <c:extLst>
              <c:ext xmlns:c16="http://schemas.microsoft.com/office/drawing/2014/chart" uri="{C3380CC4-5D6E-409C-BE32-E72D297353CC}">
                <c16:uniqueId val="{00000060-1931-495F-914F-43EC2EA99D04}"/>
              </c:ext>
            </c:extLst>
          </c:dPt>
          <c:dPt>
            <c:idx val="20"/>
            <c:bubble3D val="0"/>
            <c:spPr>
              <a:solidFill>
                <a:schemeClr val="accent3">
                  <a:lumMod val="80000"/>
                </a:schemeClr>
              </a:solidFill>
              <a:ln w="19050">
                <a:solidFill>
                  <a:schemeClr val="lt1"/>
                </a:solidFill>
              </a:ln>
              <a:effectLst/>
            </c:spPr>
            <c:extLst>
              <c:ext xmlns:c16="http://schemas.microsoft.com/office/drawing/2014/chart" uri="{C3380CC4-5D6E-409C-BE32-E72D297353CC}">
                <c16:uniqueId val="{00000062-1931-495F-914F-43EC2EA99D04}"/>
              </c:ext>
            </c:extLst>
          </c:dPt>
          <c:dPt>
            <c:idx val="21"/>
            <c:bubble3D val="0"/>
            <c:spPr>
              <a:solidFill>
                <a:schemeClr val="accent4">
                  <a:lumMod val="80000"/>
                </a:schemeClr>
              </a:solidFill>
              <a:ln w="19050">
                <a:solidFill>
                  <a:schemeClr val="lt1"/>
                </a:solidFill>
              </a:ln>
              <a:effectLst/>
            </c:spPr>
            <c:extLst>
              <c:ext xmlns:c16="http://schemas.microsoft.com/office/drawing/2014/chart" uri="{C3380CC4-5D6E-409C-BE32-E72D297353CC}">
                <c16:uniqueId val="{00000064-1931-495F-914F-43EC2EA99D04}"/>
              </c:ext>
            </c:extLst>
          </c:dPt>
          <c:dPt>
            <c:idx val="22"/>
            <c:bubble3D val="0"/>
            <c:spPr>
              <a:solidFill>
                <a:schemeClr val="accent5">
                  <a:lumMod val="80000"/>
                </a:schemeClr>
              </a:solidFill>
              <a:ln w="19050">
                <a:solidFill>
                  <a:schemeClr val="lt1"/>
                </a:solidFill>
              </a:ln>
              <a:effectLst/>
            </c:spPr>
            <c:extLst>
              <c:ext xmlns:c16="http://schemas.microsoft.com/office/drawing/2014/chart" uri="{C3380CC4-5D6E-409C-BE32-E72D297353CC}">
                <c16:uniqueId val="{00000066-1931-495F-914F-43EC2EA99D04}"/>
              </c:ext>
            </c:extLst>
          </c:dPt>
          <c:dPt>
            <c:idx val="23"/>
            <c:bubble3D val="0"/>
            <c:spPr>
              <a:solidFill>
                <a:schemeClr val="accent6">
                  <a:lumMod val="80000"/>
                </a:schemeClr>
              </a:solidFill>
              <a:ln w="19050">
                <a:solidFill>
                  <a:schemeClr val="lt1"/>
                </a:solidFill>
              </a:ln>
              <a:effectLst/>
            </c:spPr>
            <c:extLst>
              <c:ext xmlns:c16="http://schemas.microsoft.com/office/drawing/2014/chart" uri="{C3380CC4-5D6E-409C-BE32-E72D297353CC}">
                <c16:uniqueId val="{00000068-1931-495F-914F-43EC2EA99D04}"/>
              </c:ext>
            </c:extLst>
          </c:dPt>
          <c:dPt>
            <c:idx val="24"/>
            <c:bubble3D val="0"/>
            <c:spPr>
              <a:solidFill>
                <a:schemeClr val="accent1">
                  <a:lumMod val="60000"/>
                  <a:lumOff val="40000"/>
                </a:schemeClr>
              </a:solidFill>
              <a:ln w="19050">
                <a:solidFill>
                  <a:schemeClr val="lt1"/>
                </a:solidFill>
              </a:ln>
              <a:effectLst/>
            </c:spPr>
            <c:extLst>
              <c:ext xmlns:c16="http://schemas.microsoft.com/office/drawing/2014/chart" uri="{C3380CC4-5D6E-409C-BE32-E72D297353CC}">
                <c16:uniqueId val="{0000006A-1931-495F-914F-43EC2EA99D04}"/>
              </c:ext>
            </c:extLst>
          </c:dPt>
          <c:dPt>
            <c:idx val="25"/>
            <c:bubble3D val="0"/>
            <c:spPr>
              <a:solidFill>
                <a:schemeClr val="accent2">
                  <a:lumMod val="60000"/>
                  <a:lumOff val="40000"/>
                </a:schemeClr>
              </a:solidFill>
              <a:ln w="19050">
                <a:solidFill>
                  <a:schemeClr val="lt1"/>
                </a:solidFill>
              </a:ln>
              <a:effectLst/>
            </c:spPr>
            <c:extLst>
              <c:ext xmlns:c16="http://schemas.microsoft.com/office/drawing/2014/chart" uri="{C3380CC4-5D6E-409C-BE32-E72D297353CC}">
                <c16:uniqueId val="{0000006C-1931-495F-914F-43EC2EA99D04}"/>
              </c:ext>
            </c:extLst>
          </c:dPt>
          <c:dPt>
            <c:idx val="26"/>
            <c:bubble3D val="0"/>
            <c:spPr>
              <a:solidFill>
                <a:schemeClr val="accent3">
                  <a:lumMod val="60000"/>
                  <a:lumOff val="40000"/>
                </a:schemeClr>
              </a:solidFill>
              <a:ln w="19050">
                <a:solidFill>
                  <a:schemeClr val="lt1"/>
                </a:solidFill>
              </a:ln>
              <a:effectLst/>
            </c:spPr>
            <c:extLst>
              <c:ext xmlns:c16="http://schemas.microsoft.com/office/drawing/2014/chart" uri="{C3380CC4-5D6E-409C-BE32-E72D297353CC}">
                <c16:uniqueId val="{0000006E-1931-495F-914F-43EC2EA99D04}"/>
              </c:ext>
            </c:extLst>
          </c:dPt>
          <c:dPt>
            <c:idx val="27"/>
            <c:bubble3D val="0"/>
            <c:spPr>
              <a:solidFill>
                <a:schemeClr val="accent4">
                  <a:lumMod val="60000"/>
                  <a:lumOff val="40000"/>
                </a:schemeClr>
              </a:solidFill>
              <a:ln w="19050">
                <a:solidFill>
                  <a:schemeClr val="lt1"/>
                </a:solidFill>
              </a:ln>
              <a:effectLst/>
            </c:spPr>
            <c:extLst>
              <c:ext xmlns:c16="http://schemas.microsoft.com/office/drawing/2014/chart" uri="{C3380CC4-5D6E-409C-BE32-E72D297353CC}">
                <c16:uniqueId val="{00000070-1931-495F-914F-43EC2EA99D04}"/>
              </c:ext>
            </c:extLst>
          </c:dPt>
          <c:cat>
            <c:strRef>
              <c:f>'Results - Activity period'!$D$9:$D$27</c:f>
              <c:strCache>
                <c:ptCount val="19"/>
                <c:pt idx="0">
                  <c:v>3.2.1.1-2 Enteric methane</c:v>
                </c:pt>
                <c:pt idx="1">
                  <c:v>4.2.1.1-2 Manure methane</c:v>
                </c:pt>
                <c:pt idx="2">
                  <c:v>4.2.1.3-4 Soil direct N2O</c:v>
                </c:pt>
                <c:pt idx="3">
                  <c:v>4.2.1.5-6 Soil atmospheric deposition</c:v>
                </c:pt>
                <c:pt idx="4">
                  <c:v>4.2.1.7-8 Soil leaching and runoff</c:v>
                </c:pt>
                <c:pt idx="5">
                  <c:v>5.1.1.1-2 Inorganic fert N2O</c:v>
                </c:pt>
                <c:pt idx="6">
                  <c:v>5.1.1.3-4 Inorganic fert CO2</c:v>
                </c:pt>
                <c:pt idx="7">
                  <c:v>5.2.1.1-2 Organic fert N2O</c:v>
                </c:pt>
                <c:pt idx="8">
                  <c:v>5.3.1.1-2 Lime CO2</c:v>
                </c:pt>
                <c:pt idx="9">
                  <c:v>5.4.1.1-4 Atmos. deposition</c:v>
                </c:pt>
                <c:pt idx="10">
                  <c:v>5.5.1.1-2 Leaching &amp; runoff</c:v>
                </c:pt>
                <c:pt idx="11">
                  <c:v>6.2.1.1-2 Pasture residue N2O</c:v>
                </c:pt>
                <c:pt idx="12">
                  <c:v>6.3.1.1-2 Leach &amp; runoff (pasture)</c:v>
                </c:pt>
                <c:pt idx="13">
                  <c:v>8.1.1.1-2 Transport fuel CO2</c:v>
                </c:pt>
                <c:pt idx="14">
                  <c:v>8.1.1.1-2 Transport fuel CH4</c:v>
                </c:pt>
                <c:pt idx="15">
                  <c:v>8.1.1.1-2 Transport fuel N2O</c:v>
                </c:pt>
                <c:pt idx="16">
                  <c:v>8.2.1.1-2 Stationary fuel CO2</c:v>
                </c:pt>
                <c:pt idx="17">
                  <c:v>8.2.1.1-2 Stationary fuel CH4</c:v>
                </c:pt>
                <c:pt idx="18">
                  <c:v>8.2.1.1-2 Stationary fuel N2O</c:v>
                </c:pt>
              </c:strCache>
            </c:strRef>
          </c:cat>
          <c:val>
            <c:numRef>
              <c:f>'Results - Activity period'!$I$9:$I$27</c:f>
              <c:numCache>
                <c:formatCode>General</c:formatCode>
                <c:ptCount val="19"/>
                <c:pt idx="0">
                  <c:v>#N/A</c:v>
                </c:pt>
                <c:pt idx="1">
                  <c:v>#N/A</c:v>
                </c:pt>
                <c:pt idx="2">
                  <c:v>#N/A</c:v>
                </c:pt>
                <c:pt idx="3">
                  <c:v>#N/A</c:v>
                </c:pt>
                <c:pt idx="4">
                  <c:v>#N/A</c:v>
                </c:pt>
                <c:pt idx="5">
                  <c:v>#N/A</c:v>
                </c:pt>
                <c:pt idx="6">
                  <c:v>0</c:v>
                </c:pt>
                <c:pt idx="7">
                  <c:v>0</c:v>
                </c:pt>
                <c:pt idx="8">
                  <c:v>0</c:v>
                </c:pt>
                <c:pt idx="9">
                  <c:v>#N/A</c:v>
                </c:pt>
                <c:pt idx="10">
                  <c:v>0</c:v>
                </c:pt>
                <c:pt idx="11">
                  <c:v>#N/A</c:v>
                </c:pt>
                <c:pt idx="12">
                  <c:v>#N/A</c:v>
                </c:pt>
                <c:pt idx="13">
                  <c:v>0</c:v>
                </c:pt>
                <c:pt idx="14">
                  <c:v>0</c:v>
                </c:pt>
                <c:pt idx="15">
                  <c:v>0</c:v>
                </c:pt>
                <c:pt idx="16">
                  <c:v>0</c:v>
                </c:pt>
                <c:pt idx="17">
                  <c:v>0</c:v>
                </c:pt>
                <c:pt idx="18">
                  <c:v>0</c:v>
                </c:pt>
              </c:numCache>
            </c:numRef>
          </c:val>
          <c:extLst>
            <c:ext xmlns:c16="http://schemas.microsoft.com/office/drawing/2014/chart" uri="{C3380CC4-5D6E-409C-BE32-E72D297353CC}">
              <c16:uniqueId val="{00000071-1931-495F-914F-43EC2EA99D04}"/>
            </c:ext>
          </c:extLst>
        </c:ser>
        <c:dLbls>
          <c:showLegendKey val="0"/>
          <c:showVal val="0"/>
          <c:showCatName val="0"/>
          <c:showSerName val="0"/>
          <c:showPercent val="0"/>
          <c:showBubbleSize val="0"/>
          <c:showLeaderLines val="1"/>
        </c:dLbls>
        <c:gapWidth val="150"/>
        <c:secondPieSize val="75"/>
        <c:serLines>
          <c:spPr>
            <a:ln w="9525" cap="flat" cmpd="sng" algn="ctr">
              <a:solidFill>
                <a:schemeClr val="tx1">
                  <a:lumMod val="35000"/>
                  <a:lumOff val="65000"/>
                </a:schemeClr>
              </a:solidFill>
              <a:round/>
            </a:ln>
            <a:effectLst/>
          </c:spPr>
        </c:serLines>
      </c:ofPieChart>
    </c:plotArea>
    <c:legend>
      <c:legendPos val="r"/>
      <c:overlay val="0"/>
      <c:spPr>
        <a:noFill/>
        <a:ln>
          <a:noFill/>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r>
              <a:rPr lang="en-AU"/>
              <a:t>Scope 3 sources CO2-e: Method 2</a:t>
            </a:r>
          </a:p>
        </c:rich>
      </c:tx>
      <c:overlay val="0"/>
      <c:spPr>
        <a:noFill/>
        <a:ln>
          <a:noFill/>
        </a:ln>
        <a:effectLst/>
      </c:spPr>
    </c:title>
    <c:autoTitleDeleted val="0"/>
    <c:plotArea>
      <c:layout/>
      <c:ofPieChart>
        <c:ofPieType val="bar"/>
        <c:varyColors val="1"/>
        <c:ser>
          <c:idx val="1"/>
          <c:order val="0"/>
          <c:cat>
            <c:strRef>
              <c:f>'Results - Activity period'!$D$40:$D$55</c:f>
              <c:strCache>
                <c:ptCount val="16"/>
                <c:pt idx="0">
                  <c:v>15.1.1.1 Purchased livestock</c:v>
                </c:pt>
                <c:pt idx="1">
                  <c:v>15.2.1.1 Purchased feed</c:v>
                </c:pt>
                <c:pt idx="2">
                  <c:v>15.3.1.1 Mineral supplements</c:v>
                </c:pt>
                <c:pt idx="3">
                  <c:v>15.4.1.1 Fertiliser</c:v>
                </c:pt>
                <c:pt idx="4">
                  <c:v>15.5.1.1 Agrichemicals</c:v>
                </c:pt>
                <c:pt idx="5">
                  <c:v>15.6.1.1 Lime</c:v>
                </c:pt>
                <c:pt idx="6">
                  <c:v>15.7.1.1 Services and contractor operations</c:v>
                </c:pt>
                <c:pt idx="7">
                  <c:v>15.10.1.1 Other: Cleaning chemicals</c:v>
                </c:pt>
                <c:pt idx="8">
                  <c:v>15.10.1.1 Other: Pharmacy chemicals</c:v>
                </c:pt>
                <c:pt idx="9">
                  <c:v>15.10.1.1 Other: Miscellaneous</c:v>
                </c:pt>
                <c:pt idx="10">
                  <c:v>15.10.1.1 Other: Uncategorised</c:v>
                </c:pt>
                <c:pt idx="11">
                  <c:v>15.11.1.1 Fuel</c:v>
                </c:pt>
                <c:pt idx="12">
                  <c:v>15.12.1.1 Purchased electricity (Market-based)</c:v>
                </c:pt>
                <c:pt idx="13">
                  <c:v>15.14.1.1 Incoming freight</c:v>
                </c:pt>
                <c:pt idx="14">
                  <c:v>15.13.1.1 Waste sent to treatment facility</c:v>
                </c:pt>
                <c:pt idx="15">
                  <c:v>15.14.1.1 Outgoing freight</c:v>
                </c:pt>
              </c:strCache>
            </c:strRef>
          </c:cat>
          <c:val>
            <c:numRef>
              <c:f>'Results - Activity period'!$I$40:$I$55</c:f>
              <c:numCache>
                <c:formatCode>General</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c:ext xmlns:c16="http://schemas.microsoft.com/office/drawing/2014/chart" uri="{C3380CC4-5D6E-409C-BE32-E72D297353CC}">
              <c16:uniqueId val="{00000013-76F7-427B-BDC4-2570E48F9B6C}"/>
            </c:ext>
          </c:extLst>
        </c:ser>
        <c:dLbls>
          <c:showLegendKey val="0"/>
          <c:showVal val="0"/>
          <c:showCatName val="0"/>
          <c:showSerName val="0"/>
          <c:showPercent val="0"/>
          <c:showBubbleSize val="0"/>
          <c:showLeaderLines val="1"/>
        </c:dLbls>
        <c:gapWidth val="150"/>
        <c:secondPieSize val="75"/>
        <c:serLines>
          <c:spPr>
            <a:ln w="9525" cap="flat" cmpd="sng" algn="ctr">
              <a:solidFill>
                <a:schemeClr val="tx1">
                  <a:lumMod val="35000"/>
                  <a:lumOff val="65000"/>
                </a:schemeClr>
              </a:solidFill>
              <a:round/>
            </a:ln>
            <a:effectLst/>
          </c:spPr>
        </c:serLines>
      </c:ofPieChart>
    </c:plotArea>
    <c:legend>
      <c:legendPos val="r"/>
      <c:overlay val="0"/>
      <c:spPr>
        <a:noFill/>
        <a:ln>
          <a:noFill/>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txPr>
    <a:bodyPr/>
    <a:lstStyle/>
    <a:p>
      <a:pPr>
        <a:defRPr/>
      </a:pPr>
      <a:endParaRPr lang="en-US"/>
    </a:p>
  </c:tx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xdr:from>
      <xdr:col>11</xdr:col>
      <xdr:colOff>523875</xdr:colOff>
      <xdr:row>4</xdr:row>
      <xdr:rowOff>238125</xdr:rowOff>
    </xdr:from>
    <xdr:to>
      <xdr:col>15</xdr:col>
      <xdr:colOff>1552576</xdr:colOff>
      <xdr:row>26</xdr:row>
      <xdr:rowOff>228600</xdr:rowOff>
    </xdr:to>
    <xdr:graphicFrame macro="">
      <xdr:nvGraphicFramePr>
        <xdr:cNvPr id="2" name="Chart 1">
          <a:extLst>
            <a:ext uri="{FF2B5EF4-FFF2-40B4-BE49-F238E27FC236}">
              <a16:creationId xmlns:a16="http://schemas.microsoft.com/office/drawing/2014/main" id="{A7409717-2EFC-463A-A70D-B9AC90D8826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352425</xdr:colOff>
      <xdr:row>36</xdr:row>
      <xdr:rowOff>38100</xdr:rowOff>
    </xdr:from>
    <xdr:to>
      <xdr:col>15</xdr:col>
      <xdr:colOff>1381126</xdr:colOff>
      <xdr:row>58</xdr:row>
      <xdr:rowOff>28575</xdr:rowOff>
    </xdr:to>
    <xdr:graphicFrame macro="">
      <xdr:nvGraphicFramePr>
        <xdr:cNvPr id="3" name="Chart 2">
          <a:extLst>
            <a:ext uri="{FF2B5EF4-FFF2-40B4-BE49-F238E27FC236}">
              <a16:creationId xmlns:a16="http://schemas.microsoft.com/office/drawing/2014/main" id="{2CF9A32C-68FD-4795-A841-7E9D5A3620F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0</xdr:colOff>
      <xdr:row>14</xdr:row>
      <xdr:rowOff>143998</xdr:rowOff>
    </xdr:from>
    <xdr:to>
      <xdr:col>3</xdr:col>
      <xdr:colOff>1866340</xdr:colOff>
      <xdr:row>17</xdr:row>
      <xdr:rowOff>12328</xdr:rowOff>
    </xdr:to>
    <xdr:sp macro="" textlink="$J$44">
      <xdr:nvSpPr>
        <xdr:cNvPr id="78" name="TextBox 77">
          <a:extLst>
            <a:ext uri="{FF2B5EF4-FFF2-40B4-BE49-F238E27FC236}">
              <a16:creationId xmlns:a16="http://schemas.microsoft.com/office/drawing/2014/main" id="{6324C0BC-FC67-4402-A63D-0965B4F33211}"/>
            </a:ext>
          </a:extLst>
        </xdr:cNvPr>
        <xdr:cNvSpPr txBox="1"/>
      </xdr:nvSpPr>
      <xdr:spPr>
        <a:xfrm>
          <a:off x="2678206" y="3091145"/>
          <a:ext cx="1866340" cy="4734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fld id="{BE25C2B2-0BD3-425F-A499-8DEB98E49F87}" type="TxLink">
            <a:rPr lang="en-US" sz="2600" b="1" i="0" u="none" strike="noStrike">
              <a:solidFill>
                <a:srgbClr val="0C769E"/>
              </a:solidFill>
              <a:latin typeface="Arial"/>
              <a:cs typeface="Arial"/>
            </a:rPr>
            <a:pPr/>
            <a:t>#DIV/0!</a:t>
          </a:fld>
          <a:endParaRPr lang="en-AU" sz="2600" b="1">
            <a:solidFill>
              <a:srgbClr val="0C769E"/>
            </a:solidFill>
          </a:endParaRPr>
        </a:p>
      </xdr:txBody>
    </xdr:sp>
    <xdr:clientData/>
  </xdr:twoCellAnchor>
  <xdr:twoCellAnchor>
    <xdr:from>
      <xdr:col>4</xdr:col>
      <xdr:colOff>1666314</xdr:colOff>
      <xdr:row>14</xdr:row>
      <xdr:rowOff>115423</xdr:rowOff>
    </xdr:from>
    <xdr:to>
      <xdr:col>5</xdr:col>
      <xdr:colOff>1526240</xdr:colOff>
      <xdr:row>17</xdr:row>
      <xdr:rowOff>12328</xdr:rowOff>
    </xdr:to>
    <xdr:sp macro="" textlink="$K$44">
      <xdr:nvSpPr>
        <xdr:cNvPr id="79" name="TextBox 78">
          <a:extLst>
            <a:ext uri="{FF2B5EF4-FFF2-40B4-BE49-F238E27FC236}">
              <a16:creationId xmlns:a16="http://schemas.microsoft.com/office/drawing/2014/main" id="{0D26667F-1D20-477C-90C8-27211090339F}"/>
            </a:ext>
          </a:extLst>
        </xdr:cNvPr>
        <xdr:cNvSpPr txBox="1"/>
      </xdr:nvSpPr>
      <xdr:spPr>
        <a:xfrm>
          <a:off x="8345020" y="3062570"/>
          <a:ext cx="1910602" cy="50202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marL="0" indent="0"/>
          <a:fld id="{E1CF640B-5306-48D2-B952-88A44FBEE044}" type="TxLink">
            <a:rPr lang="en-US" sz="2600" b="1" i="0" u="none" strike="noStrike">
              <a:solidFill>
                <a:srgbClr val="0C769E"/>
              </a:solidFill>
              <a:latin typeface="Arial"/>
              <a:ea typeface="+mn-ea"/>
              <a:cs typeface="Arial"/>
            </a:rPr>
            <a:pPr marL="0" indent="0"/>
            <a:t>#DIV/0!</a:t>
          </a:fld>
          <a:endParaRPr lang="en-AU" sz="2600" b="1" i="0" u="none" strike="noStrike">
            <a:solidFill>
              <a:srgbClr val="0C769E"/>
            </a:solidFill>
            <a:latin typeface="Arial"/>
            <a:ea typeface="+mn-ea"/>
            <a:cs typeface="Arial"/>
          </a:endParaRPr>
        </a:p>
      </xdr:txBody>
    </xdr:sp>
    <xdr:clientData/>
  </xdr:twoCellAnchor>
  <xdr:twoCellAnchor>
    <xdr:from>
      <xdr:col>3</xdr:col>
      <xdr:colOff>0</xdr:colOff>
      <xdr:row>26</xdr:row>
      <xdr:rowOff>8407</xdr:rowOff>
    </xdr:from>
    <xdr:to>
      <xdr:col>3</xdr:col>
      <xdr:colOff>1952065</xdr:colOff>
      <xdr:row>28</xdr:row>
      <xdr:rowOff>158005</xdr:rowOff>
    </xdr:to>
    <xdr:sp macro="" textlink="$J$52">
      <xdr:nvSpPr>
        <xdr:cNvPr id="80" name="TextBox 79">
          <a:extLst>
            <a:ext uri="{FF2B5EF4-FFF2-40B4-BE49-F238E27FC236}">
              <a16:creationId xmlns:a16="http://schemas.microsoft.com/office/drawing/2014/main" id="{CB177A42-2220-44BE-81E6-CC98FE5B4538}"/>
            </a:ext>
          </a:extLst>
        </xdr:cNvPr>
        <xdr:cNvSpPr txBox="1"/>
      </xdr:nvSpPr>
      <xdr:spPr>
        <a:xfrm>
          <a:off x="2678206" y="5376025"/>
          <a:ext cx="1952065" cy="55300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marL="0" indent="0"/>
          <a:fld id="{A12C616B-A256-4412-8E07-9A9AFDDE19C8}" type="TxLink">
            <a:rPr lang="en-US" sz="2600" b="1" i="0" u="none" strike="noStrike">
              <a:solidFill>
                <a:srgbClr val="4F4789"/>
              </a:solidFill>
              <a:latin typeface="Arial"/>
              <a:ea typeface="+mn-ea"/>
              <a:cs typeface="Arial"/>
            </a:rPr>
            <a:pPr marL="0" indent="0"/>
            <a:t>#DIV/0!</a:t>
          </a:fld>
          <a:endParaRPr lang="en-AU" sz="2600" b="1" i="0" u="none" strike="noStrike">
            <a:solidFill>
              <a:srgbClr val="4F4789"/>
            </a:solidFill>
            <a:latin typeface="Arial"/>
            <a:ea typeface="+mn-ea"/>
            <a:cs typeface="Arial"/>
          </a:endParaRPr>
        </a:p>
      </xdr:txBody>
    </xdr:sp>
    <xdr:clientData/>
  </xdr:twoCellAnchor>
  <xdr:twoCellAnchor>
    <xdr:from>
      <xdr:col>4</xdr:col>
      <xdr:colOff>1666314</xdr:colOff>
      <xdr:row>26</xdr:row>
      <xdr:rowOff>36982</xdr:rowOff>
    </xdr:from>
    <xdr:to>
      <xdr:col>5</xdr:col>
      <xdr:colOff>1592915</xdr:colOff>
      <xdr:row>28</xdr:row>
      <xdr:rowOff>138955</xdr:rowOff>
    </xdr:to>
    <xdr:sp macro="" textlink="$K$52">
      <xdr:nvSpPr>
        <xdr:cNvPr id="81" name="TextBox 80">
          <a:extLst>
            <a:ext uri="{FF2B5EF4-FFF2-40B4-BE49-F238E27FC236}">
              <a16:creationId xmlns:a16="http://schemas.microsoft.com/office/drawing/2014/main" id="{DBAD4E3A-70B6-4842-B5A7-07CF5430DBDF}"/>
            </a:ext>
          </a:extLst>
        </xdr:cNvPr>
        <xdr:cNvSpPr txBox="1"/>
      </xdr:nvSpPr>
      <xdr:spPr>
        <a:xfrm>
          <a:off x="8345020" y="5404600"/>
          <a:ext cx="1977277" cy="5053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marL="0" indent="0"/>
          <a:fld id="{A85D4D86-42B2-4B88-81D8-F406E4392F0C}" type="TxLink">
            <a:rPr lang="en-US" sz="2600" b="1" i="0" u="none" strike="noStrike">
              <a:solidFill>
                <a:srgbClr val="4F4789"/>
              </a:solidFill>
              <a:latin typeface="Arial"/>
              <a:ea typeface="+mn-ea"/>
              <a:cs typeface="Arial"/>
            </a:rPr>
            <a:pPr marL="0" indent="0"/>
            <a:t>#DIV/0!</a:t>
          </a:fld>
          <a:endParaRPr lang="en-AU" sz="2600" b="1" i="0" u="none" strike="noStrike">
            <a:solidFill>
              <a:srgbClr val="4F4789"/>
            </a:solidFill>
            <a:latin typeface="Arial"/>
            <a:ea typeface="+mn-ea"/>
            <a:cs typeface="Arial"/>
          </a:endParaRPr>
        </a:p>
      </xdr:txBody>
    </xdr:sp>
    <xdr:clientData/>
  </xdr:twoCellAnchor>
  <xdr:twoCellAnchor>
    <xdr:from>
      <xdr:col>3</xdr:col>
      <xdr:colOff>2323540</xdr:colOff>
      <xdr:row>14</xdr:row>
      <xdr:rowOff>105898</xdr:rowOff>
    </xdr:from>
    <xdr:to>
      <xdr:col>4</xdr:col>
      <xdr:colOff>675715</xdr:colOff>
      <xdr:row>17</xdr:row>
      <xdr:rowOff>12328</xdr:rowOff>
    </xdr:to>
    <xdr:sp macro="" textlink="$J$45">
      <xdr:nvSpPr>
        <xdr:cNvPr id="82" name="TextBox 81">
          <a:extLst>
            <a:ext uri="{FF2B5EF4-FFF2-40B4-BE49-F238E27FC236}">
              <a16:creationId xmlns:a16="http://schemas.microsoft.com/office/drawing/2014/main" id="{4DFA1D84-8CB2-4FF6-B396-5EB6038F7F8C}"/>
            </a:ext>
          </a:extLst>
        </xdr:cNvPr>
        <xdr:cNvSpPr txBox="1"/>
      </xdr:nvSpPr>
      <xdr:spPr>
        <a:xfrm>
          <a:off x="5001746" y="3053045"/>
          <a:ext cx="2352675" cy="5115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marL="0" indent="0"/>
          <a:fld id="{12CB6A43-519A-4BE9-9BAA-F4B8A2722440}" type="TxLink">
            <a:rPr lang="en-US" sz="2600" b="1" i="0" u="none" strike="noStrike">
              <a:solidFill>
                <a:srgbClr val="0C769E"/>
              </a:solidFill>
              <a:latin typeface="Arial"/>
              <a:ea typeface="+mn-ea"/>
              <a:cs typeface="Arial"/>
            </a:rPr>
            <a:pPr marL="0" indent="0"/>
            <a:t>#DIV/0!</a:t>
          </a:fld>
          <a:endParaRPr lang="en-AU" sz="2600" b="1" i="0" u="none" strike="noStrike">
            <a:solidFill>
              <a:srgbClr val="0C769E"/>
            </a:solidFill>
            <a:latin typeface="Arial"/>
            <a:ea typeface="+mn-ea"/>
            <a:cs typeface="Arial"/>
          </a:endParaRPr>
        </a:p>
      </xdr:txBody>
    </xdr:sp>
    <xdr:clientData/>
  </xdr:twoCellAnchor>
  <xdr:twoCellAnchor>
    <xdr:from>
      <xdr:col>6</xdr:col>
      <xdr:colOff>49866</xdr:colOff>
      <xdr:row>14</xdr:row>
      <xdr:rowOff>134473</xdr:rowOff>
    </xdr:from>
    <xdr:to>
      <xdr:col>6</xdr:col>
      <xdr:colOff>1957668</xdr:colOff>
      <xdr:row>17</xdr:row>
      <xdr:rowOff>12328</xdr:rowOff>
    </xdr:to>
    <xdr:sp macro="" textlink="$K$45">
      <xdr:nvSpPr>
        <xdr:cNvPr id="83" name="TextBox 82">
          <a:extLst>
            <a:ext uri="{FF2B5EF4-FFF2-40B4-BE49-F238E27FC236}">
              <a16:creationId xmlns:a16="http://schemas.microsoft.com/office/drawing/2014/main" id="{10441D10-2492-43F9-94EF-AD0503103E39}"/>
            </a:ext>
          </a:extLst>
        </xdr:cNvPr>
        <xdr:cNvSpPr txBox="1"/>
      </xdr:nvSpPr>
      <xdr:spPr>
        <a:xfrm>
          <a:off x="10829925" y="3081620"/>
          <a:ext cx="1907802" cy="48297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marL="0" indent="0"/>
          <a:fld id="{BFB47873-57C9-4A6B-8346-5DDEF9E8D242}" type="TxLink">
            <a:rPr lang="en-US" sz="2600" b="1" i="0" u="none" strike="noStrike">
              <a:solidFill>
                <a:srgbClr val="0C769E"/>
              </a:solidFill>
              <a:latin typeface="Arial"/>
              <a:ea typeface="+mn-ea"/>
              <a:cs typeface="Arial"/>
            </a:rPr>
            <a:pPr marL="0" indent="0"/>
            <a:t>#DIV/0!</a:t>
          </a:fld>
          <a:endParaRPr lang="en-AU" sz="2600" b="1" i="0" u="none" strike="noStrike">
            <a:solidFill>
              <a:srgbClr val="0C769E"/>
            </a:solidFill>
            <a:latin typeface="Arial"/>
            <a:ea typeface="+mn-ea"/>
            <a:cs typeface="Arial"/>
          </a:endParaRPr>
        </a:p>
      </xdr:txBody>
    </xdr:sp>
    <xdr:clientData/>
  </xdr:twoCellAnchor>
  <xdr:twoCellAnchor>
    <xdr:from>
      <xdr:col>3</xdr:col>
      <xdr:colOff>0</xdr:colOff>
      <xdr:row>13</xdr:row>
      <xdr:rowOff>24655</xdr:rowOff>
    </xdr:from>
    <xdr:to>
      <xdr:col>3</xdr:col>
      <xdr:colOff>1532965</xdr:colOff>
      <xdr:row>14</xdr:row>
      <xdr:rowOff>105897</xdr:rowOff>
    </xdr:to>
    <xdr:sp macro="" textlink="$J$44">
      <xdr:nvSpPr>
        <xdr:cNvPr id="84" name="TextBox 83">
          <a:extLst>
            <a:ext uri="{FF2B5EF4-FFF2-40B4-BE49-F238E27FC236}">
              <a16:creationId xmlns:a16="http://schemas.microsoft.com/office/drawing/2014/main" id="{D65B372C-9529-42C4-AFC1-F40E336721BE}"/>
            </a:ext>
          </a:extLst>
        </xdr:cNvPr>
        <xdr:cNvSpPr txBox="1"/>
      </xdr:nvSpPr>
      <xdr:spPr>
        <a:xfrm>
          <a:off x="2678206" y="2770096"/>
          <a:ext cx="1532965" cy="2829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000" b="1" i="0" u="none" strike="noStrike">
              <a:solidFill>
                <a:srgbClr val="0C769E"/>
              </a:solidFill>
              <a:latin typeface="Arial"/>
              <a:cs typeface="Arial"/>
            </a:rPr>
            <a:t>Excluding removals</a:t>
          </a:r>
          <a:endParaRPr lang="en-AU" sz="1000" b="1">
            <a:solidFill>
              <a:srgbClr val="0C769E"/>
            </a:solidFill>
          </a:endParaRPr>
        </a:p>
      </xdr:txBody>
    </xdr:sp>
    <xdr:clientData/>
  </xdr:twoCellAnchor>
  <xdr:twoCellAnchor>
    <xdr:from>
      <xdr:col>3</xdr:col>
      <xdr:colOff>2323540</xdr:colOff>
      <xdr:row>13</xdr:row>
      <xdr:rowOff>24655</xdr:rowOff>
    </xdr:from>
    <xdr:to>
      <xdr:col>4</xdr:col>
      <xdr:colOff>895268</xdr:colOff>
      <xdr:row>14</xdr:row>
      <xdr:rowOff>105897</xdr:rowOff>
    </xdr:to>
    <xdr:sp macro="" textlink="$J$44">
      <xdr:nvSpPr>
        <xdr:cNvPr id="85" name="TextBox 84">
          <a:extLst>
            <a:ext uri="{FF2B5EF4-FFF2-40B4-BE49-F238E27FC236}">
              <a16:creationId xmlns:a16="http://schemas.microsoft.com/office/drawing/2014/main" id="{205AAFFD-D024-43E7-B739-5E50A03C4C17}"/>
            </a:ext>
          </a:extLst>
        </xdr:cNvPr>
        <xdr:cNvSpPr txBox="1"/>
      </xdr:nvSpPr>
      <xdr:spPr>
        <a:xfrm>
          <a:off x="5001746" y="2770096"/>
          <a:ext cx="2572228" cy="2829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000" b="1" i="0" u="none" strike="noStrike">
              <a:solidFill>
                <a:srgbClr val="0C769E"/>
              </a:solidFill>
              <a:latin typeface="Arial"/>
              <a:cs typeface="Arial"/>
            </a:rPr>
            <a:t>Including</a:t>
          </a:r>
          <a:r>
            <a:rPr lang="en-US" sz="1000" b="1" i="0" u="none" strike="noStrike" baseline="0">
              <a:solidFill>
                <a:srgbClr val="0C769E"/>
              </a:solidFill>
              <a:latin typeface="Arial"/>
              <a:cs typeface="Arial"/>
            </a:rPr>
            <a:t> removals (</a:t>
          </a:r>
          <a:r>
            <a:rPr lang="en-US" sz="1000" b="1" i="0" u="none" strike="noStrike">
              <a:solidFill>
                <a:srgbClr val="0C769E"/>
              </a:solidFill>
              <a:latin typeface="Arial"/>
              <a:cs typeface="Arial"/>
            </a:rPr>
            <a:t>Net emissions)</a:t>
          </a:r>
          <a:endParaRPr lang="en-AU" sz="1000" b="1">
            <a:solidFill>
              <a:srgbClr val="0C769E"/>
            </a:solidFill>
          </a:endParaRPr>
        </a:p>
      </xdr:txBody>
    </xdr:sp>
    <xdr:clientData/>
  </xdr:twoCellAnchor>
  <xdr:twoCellAnchor>
    <xdr:from>
      <xdr:col>3</xdr:col>
      <xdr:colOff>0</xdr:colOff>
      <xdr:row>11</xdr:row>
      <xdr:rowOff>49869</xdr:rowOff>
    </xdr:from>
    <xdr:to>
      <xdr:col>3</xdr:col>
      <xdr:colOff>1532965</xdr:colOff>
      <xdr:row>12</xdr:row>
      <xdr:rowOff>131110</xdr:rowOff>
    </xdr:to>
    <xdr:sp macro="" textlink="$J$44">
      <xdr:nvSpPr>
        <xdr:cNvPr id="86" name="TextBox 85">
          <a:extLst>
            <a:ext uri="{FF2B5EF4-FFF2-40B4-BE49-F238E27FC236}">
              <a16:creationId xmlns:a16="http://schemas.microsoft.com/office/drawing/2014/main" id="{2972A808-84E3-4357-B78C-5B8D3D579AE1}"/>
            </a:ext>
          </a:extLst>
        </xdr:cNvPr>
        <xdr:cNvSpPr txBox="1"/>
      </xdr:nvSpPr>
      <xdr:spPr>
        <a:xfrm>
          <a:off x="2678206" y="2391898"/>
          <a:ext cx="1532965" cy="28294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000" b="0" i="0" u="none" strike="noStrike">
              <a:solidFill>
                <a:schemeClr val="bg2">
                  <a:lumMod val="50000"/>
                </a:schemeClr>
              </a:solidFill>
              <a:latin typeface="Arial"/>
              <a:cs typeface="Arial"/>
            </a:rPr>
            <a:t>Method 1</a:t>
          </a:r>
          <a:endParaRPr lang="en-AU" sz="1000" b="0">
            <a:solidFill>
              <a:schemeClr val="bg2">
                <a:lumMod val="50000"/>
              </a:schemeClr>
            </a:solidFill>
          </a:endParaRPr>
        </a:p>
      </xdr:txBody>
    </xdr:sp>
    <xdr:clientData/>
  </xdr:twoCellAnchor>
  <xdr:twoCellAnchor>
    <xdr:from>
      <xdr:col>3</xdr:col>
      <xdr:colOff>38100</xdr:colOff>
      <xdr:row>9</xdr:row>
      <xdr:rowOff>56032</xdr:rowOff>
    </xdr:from>
    <xdr:to>
      <xdr:col>3</xdr:col>
      <xdr:colOff>2218765</xdr:colOff>
      <xdr:row>11</xdr:row>
      <xdr:rowOff>21294</xdr:rowOff>
    </xdr:to>
    <xdr:sp macro="" textlink="">
      <xdr:nvSpPr>
        <xdr:cNvPr id="87" name="TextBox 86">
          <a:extLst>
            <a:ext uri="{FF2B5EF4-FFF2-40B4-BE49-F238E27FC236}">
              <a16:creationId xmlns:a16="http://schemas.microsoft.com/office/drawing/2014/main" id="{47E34C48-5D90-4E62-A2F6-40E64C953A02}"/>
            </a:ext>
          </a:extLst>
        </xdr:cNvPr>
        <xdr:cNvSpPr txBox="1"/>
      </xdr:nvSpPr>
      <xdr:spPr>
        <a:xfrm>
          <a:off x="2716306" y="1994650"/>
          <a:ext cx="2180665" cy="36867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U" sz="1400">
              <a:solidFill>
                <a:srgbClr val="0C769E"/>
              </a:solidFill>
            </a:rPr>
            <a:t>Mass allocation</a:t>
          </a:r>
        </a:p>
      </xdr:txBody>
    </xdr:sp>
    <xdr:clientData/>
  </xdr:twoCellAnchor>
  <xdr:twoCellAnchor>
    <xdr:from>
      <xdr:col>3</xdr:col>
      <xdr:colOff>47625</xdr:colOff>
      <xdr:row>11</xdr:row>
      <xdr:rowOff>25411</xdr:rowOff>
    </xdr:from>
    <xdr:to>
      <xdr:col>7</xdr:col>
      <xdr:colOff>379319</xdr:colOff>
      <xdr:row>11</xdr:row>
      <xdr:rowOff>40344</xdr:rowOff>
    </xdr:to>
    <xdr:cxnSp macro="">
      <xdr:nvCxnSpPr>
        <xdr:cNvPr id="88" name="Straight Connector 87">
          <a:extLst>
            <a:ext uri="{FF2B5EF4-FFF2-40B4-BE49-F238E27FC236}">
              <a16:creationId xmlns:a16="http://schemas.microsoft.com/office/drawing/2014/main" id="{0CEE1C48-3375-4BA3-961D-85051EDC2980}"/>
            </a:ext>
          </a:extLst>
        </xdr:cNvPr>
        <xdr:cNvCxnSpPr/>
      </xdr:nvCxnSpPr>
      <xdr:spPr>
        <a:xfrm flipV="1">
          <a:off x="2725831" y="2367440"/>
          <a:ext cx="10484223" cy="14933"/>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twoCellAnchor>
    <xdr:from>
      <xdr:col>4</xdr:col>
      <xdr:colOff>1666314</xdr:colOff>
      <xdr:row>13</xdr:row>
      <xdr:rowOff>24655</xdr:rowOff>
    </xdr:from>
    <xdr:to>
      <xdr:col>5</xdr:col>
      <xdr:colOff>1154765</xdr:colOff>
      <xdr:row>14</xdr:row>
      <xdr:rowOff>105897</xdr:rowOff>
    </xdr:to>
    <xdr:sp macro="" textlink="$J$44">
      <xdr:nvSpPr>
        <xdr:cNvPr id="89" name="TextBox 88">
          <a:extLst>
            <a:ext uri="{FF2B5EF4-FFF2-40B4-BE49-F238E27FC236}">
              <a16:creationId xmlns:a16="http://schemas.microsoft.com/office/drawing/2014/main" id="{DFC460AF-9379-4449-9C0A-7B2F11C0397D}"/>
            </a:ext>
          </a:extLst>
        </xdr:cNvPr>
        <xdr:cNvSpPr txBox="1"/>
      </xdr:nvSpPr>
      <xdr:spPr>
        <a:xfrm>
          <a:off x="8345020" y="2770096"/>
          <a:ext cx="1539127" cy="2829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000" b="1" i="0" u="none" strike="noStrike">
              <a:solidFill>
                <a:srgbClr val="0C769E"/>
              </a:solidFill>
              <a:latin typeface="Arial"/>
              <a:cs typeface="Arial"/>
            </a:rPr>
            <a:t>Excluding removals</a:t>
          </a:r>
          <a:endParaRPr lang="en-AU" sz="1000" b="1">
            <a:solidFill>
              <a:srgbClr val="0C769E"/>
            </a:solidFill>
          </a:endParaRPr>
        </a:p>
      </xdr:txBody>
    </xdr:sp>
    <xdr:clientData/>
  </xdr:twoCellAnchor>
  <xdr:twoCellAnchor>
    <xdr:from>
      <xdr:col>6</xdr:col>
      <xdr:colOff>49866</xdr:colOff>
      <xdr:row>13</xdr:row>
      <xdr:rowOff>24655</xdr:rowOff>
    </xdr:from>
    <xdr:to>
      <xdr:col>7</xdr:col>
      <xdr:colOff>579822</xdr:colOff>
      <xdr:row>14</xdr:row>
      <xdr:rowOff>105897</xdr:rowOff>
    </xdr:to>
    <xdr:sp macro="" textlink="$J$44">
      <xdr:nvSpPr>
        <xdr:cNvPr id="90" name="TextBox 89">
          <a:extLst>
            <a:ext uri="{FF2B5EF4-FFF2-40B4-BE49-F238E27FC236}">
              <a16:creationId xmlns:a16="http://schemas.microsoft.com/office/drawing/2014/main" id="{A7555654-AC40-4A20-8C7C-5472B92143A7}"/>
            </a:ext>
          </a:extLst>
        </xdr:cNvPr>
        <xdr:cNvSpPr txBox="1"/>
      </xdr:nvSpPr>
      <xdr:spPr>
        <a:xfrm>
          <a:off x="10829925" y="2770096"/>
          <a:ext cx="2580632" cy="2829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000" b="1" i="0" u="none" strike="noStrike">
              <a:solidFill>
                <a:srgbClr val="0C769E"/>
              </a:solidFill>
              <a:latin typeface="Arial"/>
              <a:cs typeface="Arial"/>
            </a:rPr>
            <a:t>Including</a:t>
          </a:r>
          <a:r>
            <a:rPr lang="en-US" sz="1000" b="1" i="0" u="none" strike="noStrike" baseline="0">
              <a:solidFill>
                <a:srgbClr val="0C769E"/>
              </a:solidFill>
              <a:latin typeface="Arial"/>
              <a:cs typeface="Arial"/>
            </a:rPr>
            <a:t> removals (</a:t>
          </a:r>
          <a:r>
            <a:rPr lang="en-US" sz="1000" b="1" i="0" u="none" strike="noStrike">
              <a:solidFill>
                <a:srgbClr val="0C769E"/>
              </a:solidFill>
              <a:latin typeface="Arial"/>
              <a:cs typeface="Arial"/>
            </a:rPr>
            <a:t>Net emissions)</a:t>
          </a:r>
          <a:endParaRPr lang="en-AU" sz="1000" b="1">
            <a:solidFill>
              <a:srgbClr val="0C769E"/>
            </a:solidFill>
          </a:endParaRPr>
        </a:p>
      </xdr:txBody>
    </xdr:sp>
    <xdr:clientData/>
  </xdr:twoCellAnchor>
  <xdr:twoCellAnchor>
    <xdr:from>
      <xdr:col>4</xdr:col>
      <xdr:colOff>1666314</xdr:colOff>
      <xdr:row>11</xdr:row>
      <xdr:rowOff>49869</xdr:rowOff>
    </xdr:from>
    <xdr:to>
      <xdr:col>5</xdr:col>
      <xdr:colOff>1154765</xdr:colOff>
      <xdr:row>12</xdr:row>
      <xdr:rowOff>131110</xdr:rowOff>
    </xdr:to>
    <xdr:sp macro="" textlink="$J$44">
      <xdr:nvSpPr>
        <xdr:cNvPr id="91" name="TextBox 90">
          <a:extLst>
            <a:ext uri="{FF2B5EF4-FFF2-40B4-BE49-F238E27FC236}">
              <a16:creationId xmlns:a16="http://schemas.microsoft.com/office/drawing/2014/main" id="{1B097AE8-6BFD-4333-B0EB-FC56C2962059}"/>
            </a:ext>
          </a:extLst>
        </xdr:cNvPr>
        <xdr:cNvSpPr txBox="1"/>
      </xdr:nvSpPr>
      <xdr:spPr>
        <a:xfrm>
          <a:off x="8345020" y="2391898"/>
          <a:ext cx="1539127" cy="28294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000" b="0" i="0" u="none" strike="noStrike">
              <a:solidFill>
                <a:schemeClr val="bg2">
                  <a:lumMod val="50000"/>
                </a:schemeClr>
              </a:solidFill>
              <a:latin typeface="Arial"/>
              <a:cs typeface="Arial"/>
            </a:rPr>
            <a:t>Method 2</a:t>
          </a:r>
          <a:endParaRPr lang="en-AU" sz="1000" b="0">
            <a:solidFill>
              <a:schemeClr val="bg2">
                <a:lumMod val="50000"/>
              </a:schemeClr>
            </a:solidFill>
          </a:endParaRPr>
        </a:p>
      </xdr:txBody>
    </xdr:sp>
    <xdr:clientData/>
  </xdr:twoCellAnchor>
  <xdr:twoCellAnchor>
    <xdr:from>
      <xdr:col>3</xdr:col>
      <xdr:colOff>0</xdr:colOff>
      <xdr:row>12</xdr:row>
      <xdr:rowOff>150161</xdr:rowOff>
    </xdr:from>
    <xdr:to>
      <xdr:col>4</xdr:col>
      <xdr:colOff>866215</xdr:colOff>
      <xdr:row>12</xdr:row>
      <xdr:rowOff>150161</xdr:rowOff>
    </xdr:to>
    <xdr:cxnSp macro="">
      <xdr:nvCxnSpPr>
        <xdr:cNvPr id="92" name="Straight Connector 91">
          <a:extLst>
            <a:ext uri="{FF2B5EF4-FFF2-40B4-BE49-F238E27FC236}">
              <a16:creationId xmlns:a16="http://schemas.microsoft.com/office/drawing/2014/main" id="{515B2240-CF6B-434A-8E39-66B030531D7A}"/>
            </a:ext>
          </a:extLst>
        </xdr:cNvPr>
        <xdr:cNvCxnSpPr/>
      </xdr:nvCxnSpPr>
      <xdr:spPr>
        <a:xfrm>
          <a:off x="2678206" y="2693896"/>
          <a:ext cx="4866715" cy="0"/>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twoCellAnchor>
    <xdr:from>
      <xdr:col>4</xdr:col>
      <xdr:colOff>1666314</xdr:colOff>
      <xdr:row>12</xdr:row>
      <xdr:rowOff>150161</xdr:rowOff>
    </xdr:from>
    <xdr:to>
      <xdr:col>7</xdr:col>
      <xdr:colOff>398368</xdr:colOff>
      <xdr:row>12</xdr:row>
      <xdr:rowOff>150161</xdr:rowOff>
    </xdr:to>
    <xdr:cxnSp macro="">
      <xdr:nvCxnSpPr>
        <xdr:cNvPr id="93" name="Straight Connector 92">
          <a:extLst>
            <a:ext uri="{FF2B5EF4-FFF2-40B4-BE49-F238E27FC236}">
              <a16:creationId xmlns:a16="http://schemas.microsoft.com/office/drawing/2014/main" id="{5BE13F51-936B-49C8-A80F-AF6384A70483}"/>
            </a:ext>
          </a:extLst>
        </xdr:cNvPr>
        <xdr:cNvCxnSpPr/>
      </xdr:nvCxnSpPr>
      <xdr:spPr>
        <a:xfrm>
          <a:off x="8345020" y="2693896"/>
          <a:ext cx="4884083" cy="0"/>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twoCellAnchor>
    <xdr:from>
      <xdr:col>3</xdr:col>
      <xdr:colOff>0</xdr:colOff>
      <xdr:row>24</xdr:row>
      <xdr:rowOff>101976</xdr:rowOff>
    </xdr:from>
    <xdr:to>
      <xdr:col>3</xdr:col>
      <xdr:colOff>1532965</xdr:colOff>
      <xdr:row>25</xdr:row>
      <xdr:rowOff>181537</xdr:rowOff>
    </xdr:to>
    <xdr:sp macro="" textlink="$J$44">
      <xdr:nvSpPr>
        <xdr:cNvPr id="94" name="TextBox 93">
          <a:extLst>
            <a:ext uri="{FF2B5EF4-FFF2-40B4-BE49-F238E27FC236}">
              <a16:creationId xmlns:a16="http://schemas.microsoft.com/office/drawing/2014/main" id="{8ADB1D82-4B8C-48B4-A263-128CFD77FBCA}"/>
            </a:ext>
          </a:extLst>
        </xdr:cNvPr>
        <xdr:cNvSpPr txBox="1"/>
      </xdr:nvSpPr>
      <xdr:spPr>
        <a:xfrm>
          <a:off x="2678206" y="5066182"/>
          <a:ext cx="1532965" cy="2812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000" b="1" i="0" u="none" strike="noStrike">
              <a:solidFill>
                <a:srgbClr val="4F4789"/>
              </a:solidFill>
              <a:latin typeface="Arial"/>
              <a:cs typeface="Arial"/>
            </a:rPr>
            <a:t>Excluding removals</a:t>
          </a:r>
          <a:endParaRPr lang="en-AU" sz="1000" b="1">
            <a:solidFill>
              <a:srgbClr val="4F4789"/>
            </a:solidFill>
          </a:endParaRPr>
        </a:p>
      </xdr:txBody>
    </xdr:sp>
    <xdr:clientData/>
  </xdr:twoCellAnchor>
  <xdr:twoCellAnchor>
    <xdr:from>
      <xdr:col>3</xdr:col>
      <xdr:colOff>2408787</xdr:colOff>
      <xdr:row>24</xdr:row>
      <xdr:rowOff>101976</xdr:rowOff>
    </xdr:from>
    <xdr:to>
      <xdr:col>4</xdr:col>
      <xdr:colOff>980515</xdr:colOff>
      <xdr:row>25</xdr:row>
      <xdr:rowOff>181537</xdr:rowOff>
    </xdr:to>
    <xdr:sp macro="" textlink="$J$44">
      <xdr:nvSpPr>
        <xdr:cNvPr id="95" name="TextBox 94">
          <a:extLst>
            <a:ext uri="{FF2B5EF4-FFF2-40B4-BE49-F238E27FC236}">
              <a16:creationId xmlns:a16="http://schemas.microsoft.com/office/drawing/2014/main" id="{051442B9-C9B2-4861-B5C5-BF3F6DDB8602}"/>
            </a:ext>
          </a:extLst>
        </xdr:cNvPr>
        <xdr:cNvSpPr txBox="1"/>
      </xdr:nvSpPr>
      <xdr:spPr>
        <a:xfrm>
          <a:off x="5086993" y="5066182"/>
          <a:ext cx="2572228" cy="2812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000" b="1" i="0" u="none" strike="noStrike">
              <a:solidFill>
                <a:srgbClr val="4F4789"/>
              </a:solidFill>
              <a:latin typeface="Arial"/>
              <a:cs typeface="Arial"/>
            </a:rPr>
            <a:t>Including</a:t>
          </a:r>
          <a:r>
            <a:rPr lang="en-US" sz="1000" b="1" i="0" u="none" strike="noStrike" baseline="0">
              <a:solidFill>
                <a:srgbClr val="4F4789"/>
              </a:solidFill>
              <a:latin typeface="Arial"/>
              <a:cs typeface="Arial"/>
            </a:rPr>
            <a:t> removals (</a:t>
          </a:r>
          <a:r>
            <a:rPr lang="en-US" sz="1000" b="1" i="0" u="none" strike="noStrike">
              <a:solidFill>
                <a:srgbClr val="4F4789"/>
              </a:solidFill>
              <a:latin typeface="Arial"/>
              <a:cs typeface="Arial"/>
            </a:rPr>
            <a:t>Net emissions)</a:t>
          </a:r>
          <a:endParaRPr lang="en-AU" sz="1000" b="1">
            <a:solidFill>
              <a:srgbClr val="4F4789"/>
            </a:solidFill>
          </a:endParaRPr>
        </a:p>
      </xdr:txBody>
    </xdr:sp>
    <xdr:clientData/>
  </xdr:twoCellAnchor>
  <xdr:twoCellAnchor>
    <xdr:from>
      <xdr:col>3</xdr:col>
      <xdr:colOff>0</xdr:colOff>
      <xdr:row>22</xdr:row>
      <xdr:rowOff>128870</xdr:rowOff>
    </xdr:from>
    <xdr:to>
      <xdr:col>3</xdr:col>
      <xdr:colOff>1532965</xdr:colOff>
      <xdr:row>24</xdr:row>
      <xdr:rowOff>5044</xdr:rowOff>
    </xdr:to>
    <xdr:sp macro="" textlink="$J$44">
      <xdr:nvSpPr>
        <xdr:cNvPr id="96" name="TextBox 95">
          <a:extLst>
            <a:ext uri="{FF2B5EF4-FFF2-40B4-BE49-F238E27FC236}">
              <a16:creationId xmlns:a16="http://schemas.microsoft.com/office/drawing/2014/main" id="{07E5EDC8-C6D4-49ED-9FD8-4E72EA16C5E9}"/>
            </a:ext>
          </a:extLst>
        </xdr:cNvPr>
        <xdr:cNvSpPr txBox="1"/>
      </xdr:nvSpPr>
      <xdr:spPr>
        <a:xfrm>
          <a:off x="2678206" y="4689664"/>
          <a:ext cx="1532965" cy="2795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000" b="0" i="0" u="none" strike="noStrike">
              <a:solidFill>
                <a:schemeClr val="bg2">
                  <a:lumMod val="50000"/>
                </a:schemeClr>
              </a:solidFill>
              <a:latin typeface="Arial"/>
              <a:cs typeface="Arial"/>
            </a:rPr>
            <a:t>Method 1</a:t>
          </a:r>
          <a:endParaRPr lang="en-AU" sz="1000" b="0">
            <a:solidFill>
              <a:schemeClr val="bg2">
                <a:lumMod val="50000"/>
              </a:schemeClr>
            </a:solidFill>
          </a:endParaRPr>
        </a:p>
      </xdr:txBody>
    </xdr:sp>
    <xdr:clientData/>
  </xdr:twoCellAnchor>
  <xdr:oneCellAnchor>
    <xdr:from>
      <xdr:col>3</xdr:col>
      <xdr:colOff>0</xdr:colOff>
      <xdr:row>16</xdr:row>
      <xdr:rowOff>118785</xdr:rowOff>
    </xdr:from>
    <xdr:ext cx="1978747" cy="254493"/>
    <xdr:sp macro="" textlink="">
      <xdr:nvSpPr>
        <xdr:cNvPr id="97" name="TextBox 96">
          <a:extLst>
            <a:ext uri="{FF2B5EF4-FFF2-40B4-BE49-F238E27FC236}">
              <a16:creationId xmlns:a16="http://schemas.microsoft.com/office/drawing/2014/main" id="{74F57209-8D04-4DB7-987B-A078967A1A1B}"/>
            </a:ext>
          </a:extLst>
        </xdr:cNvPr>
        <xdr:cNvSpPr txBox="1"/>
      </xdr:nvSpPr>
      <xdr:spPr>
        <a:xfrm>
          <a:off x="2678206" y="3469344"/>
          <a:ext cx="1978747" cy="25449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AU" sz="1000" b="0" i="1" u="none" strike="noStrike">
              <a:solidFill>
                <a:schemeClr val="bg2">
                  <a:lumMod val="50000"/>
                </a:schemeClr>
              </a:solidFill>
              <a:effectLst/>
              <a:latin typeface="+mn-lt"/>
              <a:ea typeface="+mn-ea"/>
              <a:cs typeface="+mn-cs"/>
            </a:rPr>
            <a:t>t CO2-e / tonne liveweight sold</a:t>
          </a:r>
          <a:r>
            <a:rPr lang="en-AU">
              <a:solidFill>
                <a:schemeClr val="bg2">
                  <a:lumMod val="50000"/>
                </a:schemeClr>
              </a:solidFill>
              <a:effectLst/>
            </a:rPr>
            <a:t> </a:t>
          </a:r>
          <a:endParaRPr lang="en-AU" sz="1000">
            <a:solidFill>
              <a:schemeClr val="bg2">
                <a:lumMod val="50000"/>
              </a:schemeClr>
            </a:solidFill>
          </a:endParaRPr>
        </a:p>
      </xdr:txBody>
    </xdr:sp>
    <xdr:clientData/>
  </xdr:oneCellAnchor>
  <xdr:twoCellAnchor>
    <xdr:from>
      <xdr:col>3</xdr:col>
      <xdr:colOff>38100</xdr:colOff>
      <xdr:row>20</xdr:row>
      <xdr:rowOff>135033</xdr:rowOff>
    </xdr:from>
    <xdr:to>
      <xdr:col>3</xdr:col>
      <xdr:colOff>2218765</xdr:colOff>
      <xdr:row>22</xdr:row>
      <xdr:rowOff>98614</xdr:rowOff>
    </xdr:to>
    <xdr:sp macro="" textlink="">
      <xdr:nvSpPr>
        <xdr:cNvPr id="98" name="TextBox 97">
          <a:extLst>
            <a:ext uri="{FF2B5EF4-FFF2-40B4-BE49-F238E27FC236}">
              <a16:creationId xmlns:a16="http://schemas.microsoft.com/office/drawing/2014/main" id="{F9F6E8D7-844A-41CC-92D5-F1D50209A017}"/>
            </a:ext>
          </a:extLst>
        </xdr:cNvPr>
        <xdr:cNvSpPr txBox="1"/>
      </xdr:nvSpPr>
      <xdr:spPr>
        <a:xfrm>
          <a:off x="2716306" y="4292415"/>
          <a:ext cx="2180665" cy="3669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U" sz="1400">
              <a:solidFill>
                <a:srgbClr val="4F4789"/>
              </a:solidFill>
            </a:rPr>
            <a:t>Economic allocation</a:t>
          </a:r>
        </a:p>
      </xdr:txBody>
    </xdr:sp>
    <xdr:clientData/>
  </xdr:twoCellAnchor>
  <xdr:twoCellAnchor>
    <xdr:from>
      <xdr:col>3</xdr:col>
      <xdr:colOff>47625</xdr:colOff>
      <xdr:row>22</xdr:row>
      <xdr:rowOff>102663</xdr:rowOff>
    </xdr:from>
    <xdr:to>
      <xdr:col>7</xdr:col>
      <xdr:colOff>426944</xdr:colOff>
      <xdr:row>22</xdr:row>
      <xdr:rowOff>119345</xdr:rowOff>
    </xdr:to>
    <xdr:cxnSp macro="">
      <xdr:nvCxnSpPr>
        <xdr:cNvPr id="99" name="Straight Connector 98">
          <a:extLst>
            <a:ext uri="{FF2B5EF4-FFF2-40B4-BE49-F238E27FC236}">
              <a16:creationId xmlns:a16="http://schemas.microsoft.com/office/drawing/2014/main" id="{E4550A14-CA77-4AAA-8A4A-741BD64263DA}"/>
            </a:ext>
          </a:extLst>
        </xdr:cNvPr>
        <xdr:cNvCxnSpPr/>
      </xdr:nvCxnSpPr>
      <xdr:spPr>
        <a:xfrm flipV="1">
          <a:off x="2725831" y="4663457"/>
          <a:ext cx="10531848" cy="16682"/>
        </a:xfrm>
        <a:prstGeom prst="line">
          <a:avLst/>
        </a:prstGeom>
        <a:ln>
          <a:solidFill>
            <a:srgbClr val="4F4789"/>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4</xdr:col>
      <xdr:colOff>1666314</xdr:colOff>
      <xdr:row>24</xdr:row>
      <xdr:rowOff>101976</xdr:rowOff>
    </xdr:from>
    <xdr:to>
      <xdr:col>5</xdr:col>
      <xdr:colOff>1154765</xdr:colOff>
      <xdr:row>25</xdr:row>
      <xdr:rowOff>181537</xdr:rowOff>
    </xdr:to>
    <xdr:sp macro="" textlink="$J$44">
      <xdr:nvSpPr>
        <xdr:cNvPr id="100" name="TextBox 99">
          <a:extLst>
            <a:ext uri="{FF2B5EF4-FFF2-40B4-BE49-F238E27FC236}">
              <a16:creationId xmlns:a16="http://schemas.microsoft.com/office/drawing/2014/main" id="{8BF43C3A-8C1D-4E7F-940B-F95819B22421}"/>
            </a:ext>
          </a:extLst>
        </xdr:cNvPr>
        <xdr:cNvSpPr txBox="1"/>
      </xdr:nvSpPr>
      <xdr:spPr>
        <a:xfrm>
          <a:off x="8345020" y="5066182"/>
          <a:ext cx="1539127" cy="2812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000" b="1" i="0" u="none" strike="noStrike">
              <a:solidFill>
                <a:srgbClr val="4F4789"/>
              </a:solidFill>
              <a:latin typeface="Arial"/>
              <a:cs typeface="Arial"/>
            </a:rPr>
            <a:t>Excluding removals</a:t>
          </a:r>
          <a:endParaRPr lang="en-AU" sz="1000" b="1">
            <a:solidFill>
              <a:srgbClr val="4F4789"/>
            </a:solidFill>
          </a:endParaRPr>
        </a:p>
      </xdr:txBody>
    </xdr:sp>
    <xdr:clientData/>
  </xdr:twoCellAnchor>
  <xdr:twoCellAnchor>
    <xdr:from>
      <xdr:col>6</xdr:col>
      <xdr:colOff>49866</xdr:colOff>
      <xdr:row>24</xdr:row>
      <xdr:rowOff>101976</xdr:rowOff>
    </xdr:from>
    <xdr:to>
      <xdr:col>7</xdr:col>
      <xdr:colOff>579822</xdr:colOff>
      <xdr:row>25</xdr:row>
      <xdr:rowOff>181537</xdr:rowOff>
    </xdr:to>
    <xdr:sp macro="" textlink="$J$44">
      <xdr:nvSpPr>
        <xdr:cNvPr id="101" name="TextBox 100">
          <a:extLst>
            <a:ext uri="{FF2B5EF4-FFF2-40B4-BE49-F238E27FC236}">
              <a16:creationId xmlns:a16="http://schemas.microsoft.com/office/drawing/2014/main" id="{2C10772E-DD3A-4BAF-B36F-28A4B97AF469}"/>
            </a:ext>
          </a:extLst>
        </xdr:cNvPr>
        <xdr:cNvSpPr txBox="1"/>
      </xdr:nvSpPr>
      <xdr:spPr>
        <a:xfrm>
          <a:off x="10829925" y="5066182"/>
          <a:ext cx="2580632" cy="2812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000" b="1" i="0" u="none" strike="noStrike">
              <a:solidFill>
                <a:srgbClr val="4F4789"/>
              </a:solidFill>
              <a:latin typeface="Arial"/>
              <a:cs typeface="Arial"/>
            </a:rPr>
            <a:t>Including</a:t>
          </a:r>
          <a:r>
            <a:rPr lang="en-US" sz="1000" b="1" i="0" u="none" strike="noStrike" baseline="0">
              <a:solidFill>
                <a:srgbClr val="4F4789"/>
              </a:solidFill>
              <a:latin typeface="Arial"/>
              <a:cs typeface="Arial"/>
            </a:rPr>
            <a:t> removals (</a:t>
          </a:r>
          <a:r>
            <a:rPr lang="en-US" sz="1000" b="1" i="0" u="none" strike="noStrike">
              <a:solidFill>
                <a:srgbClr val="4F4789"/>
              </a:solidFill>
              <a:latin typeface="Arial"/>
              <a:cs typeface="Arial"/>
            </a:rPr>
            <a:t>Net emissions)</a:t>
          </a:r>
          <a:endParaRPr lang="en-AU" sz="1000" b="1">
            <a:solidFill>
              <a:srgbClr val="4F4789"/>
            </a:solidFill>
          </a:endParaRPr>
        </a:p>
      </xdr:txBody>
    </xdr:sp>
    <xdr:clientData/>
  </xdr:twoCellAnchor>
  <xdr:twoCellAnchor>
    <xdr:from>
      <xdr:col>4</xdr:col>
      <xdr:colOff>1666314</xdr:colOff>
      <xdr:row>22</xdr:row>
      <xdr:rowOff>128870</xdr:rowOff>
    </xdr:from>
    <xdr:to>
      <xdr:col>5</xdr:col>
      <xdr:colOff>1154765</xdr:colOff>
      <xdr:row>24</xdr:row>
      <xdr:rowOff>5044</xdr:rowOff>
    </xdr:to>
    <xdr:sp macro="" textlink="$J$44">
      <xdr:nvSpPr>
        <xdr:cNvPr id="102" name="TextBox 101">
          <a:extLst>
            <a:ext uri="{FF2B5EF4-FFF2-40B4-BE49-F238E27FC236}">
              <a16:creationId xmlns:a16="http://schemas.microsoft.com/office/drawing/2014/main" id="{21F1BAC9-A1BF-493E-8C57-D819BB045F9D}"/>
            </a:ext>
          </a:extLst>
        </xdr:cNvPr>
        <xdr:cNvSpPr txBox="1"/>
      </xdr:nvSpPr>
      <xdr:spPr>
        <a:xfrm>
          <a:off x="8345020" y="4689664"/>
          <a:ext cx="1539127" cy="2795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000" b="0" i="0" u="none" strike="noStrike">
              <a:solidFill>
                <a:schemeClr val="bg2">
                  <a:lumMod val="50000"/>
                </a:schemeClr>
              </a:solidFill>
              <a:latin typeface="Arial"/>
              <a:cs typeface="Arial"/>
            </a:rPr>
            <a:t>Method 2</a:t>
          </a:r>
          <a:endParaRPr lang="en-AU" sz="1000" b="0">
            <a:solidFill>
              <a:schemeClr val="bg2">
                <a:lumMod val="50000"/>
              </a:schemeClr>
            </a:solidFill>
          </a:endParaRPr>
        </a:p>
      </xdr:txBody>
    </xdr:sp>
    <xdr:clientData/>
  </xdr:twoCellAnchor>
  <xdr:twoCellAnchor>
    <xdr:from>
      <xdr:col>3</xdr:col>
      <xdr:colOff>0</xdr:colOff>
      <xdr:row>24</xdr:row>
      <xdr:rowOff>24095</xdr:rowOff>
    </xdr:from>
    <xdr:to>
      <xdr:col>4</xdr:col>
      <xdr:colOff>894790</xdr:colOff>
      <xdr:row>24</xdr:row>
      <xdr:rowOff>24095</xdr:rowOff>
    </xdr:to>
    <xdr:cxnSp macro="">
      <xdr:nvCxnSpPr>
        <xdr:cNvPr id="103" name="Straight Connector 102">
          <a:extLst>
            <a:ext uri="{FF2B5EF4-FFF2-40B4-BE49-F238E27FC236}">
              <a16:creationId xmlns:a16="http://schemas.microsoft.com/office/drawing/2014/main" id="{116B0BCA-4E23-46CE-9AF1-B13CBB354EB7}"/>
            </a:ext>
          </a:extLst>
        </xdr:cNvPr>
        <xdr:cNvCxnSpPr/>
      </xdr:nvCxnSpPr>
      <xdr:spPr>
        <a:xfrm>
          <a:off x="2678206" y="4988301"/>
          <a:ext cx="4895290" cy="0"/>
        </a:xfrm>
        <a:prstGeom prst="line">
          <a:avLst/>
        </a:prstGeom>
        <a:ln>
          <a:solidFill>
            <a:srgbClr val="4F4789"/>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4</xdr:col>
      <xdr:colOff>1666314</xdr:colOff>
      <xdr:row>24</xdr:row>
      <xdr:rowOff>24095</xdr:rowOff>
    </xdr:from>
    <xdr:to>
      <xdr:col>7</xdr:col>
      <xdr:colOff>436468</xdr:colOff>
      <xdr:row>24</xdr:row>
      <xdr:rowOff>24095</xdr:rowOff>
    </xdr:to>
    <xdr:cxnSp macro="">
      <xdr:nvCxnSpPr>
        <xdr:cNvPr id="104" name="Straight Connector 103">
          <a:extLst>
            <a:ext uri="{FF2B5EF4-FFF2-40B4-BE49-F238E27FC236}">
              <a16:creationId xmlns:a16="http://schemas.microsoft.com/office/drawing/2014/main" id="{71B71B52-D44C-4926-B949-90F4D2325CB5}"/>
            </a:ext>
          </a:extLst>
        </xdr:cNvPr>
        <xdr:cNvCxnSpPr/>
      </xdr:nvCxnSpPr>
      <xdr:spPr>
        <a:xfrm>
          <a:off x="8345020" y="4988301"/>
          <a:ext cx="4922183" cy="0"/>
        </a:xfrm>
        <a:prstGeom prst="line">
          <a:avLst/>
        </a:prstGeom>
        <a:ln>
          <a:solidFill>
            <a:srgbClr val="4F4789"/>
          </a:solidFill>
        </a:ln>
      </xdr:spPr>
      <xdr:style>
        <a:lnRef idx="2">
          <a:schemeClr val="accent1"/>
        </a:lnRef>
        <a:fillRef idx="0">
          <a:schemeClr val="accent1"/>
        </a:fillRef>
        <a:effectRef idx="1">
          <a:schemeClr val="accent1"/>
        </a:effectRef>
        <a:fontRef idx="minor">
          <a:schemeClr val="tx1"/>
        </a:fontRef>
      </xdr:style>
    </xdr:cxnSp>
    <xdr:clientData/>
  </xdr:twoCellAnchor>
  <xdr:oneCellAnchor>
    <xdr:from>
      <xdr:col>3</xdr:col>
      <xdr:colOff>2323540</xdr:colOff>
      <xdr:row>16</xdr:row>
      <xdr:rowOff>118785</xdr:rowOff>
    </xdr:from>
    <xdr:ext cx="1978747" cy="254493"/>
    <xdr:sp macro="" textlink="">
      <xdr:nvSpPr>
        <xdr:cNvPr id="105" name="TextBox 104">
          <a:extLst>
            <a:ext uri="{FF2B5EF4-FFF2-40B4-BE49-F238E27FC236}">
              <a16:creationId xmlns:a16="http://schemas.microsoft.com/office/drawing/2014/main" id="{E1A05E49-6C68-4EFE-89B7-3040A7A1ED8F}"/>
            </a:ext>
          </a:extLst>
        </xdr:cNvPr>
        <xdr:cNvSpPr txBox="1"/>
      </xdr:nvSpPr>
      <xdr:spPr>
        <a:xfrm>
          <a:off x="5001746" y="3469344"/>
          <a:ext cx="1978747" cy="25449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AU" sz="1000" b="0" i="1" u="none" strike="noStrike">
              <a:solidFill>
                <a:schemeClr val="bg2">
                  <a:lumMod val="50000"/>
                </a:schemeClr>
              </a:solidFill>
              <a:effectLst/>
              <a:latin typeface="+mn-lt"/>
              <a:ea typeface="+mn-ea"/>
              <a:cs typeface="+mn-cs"/>
            </a:rPr>
            <a:t>t CO2-e / tonne liveweight sold</a:t>
          </a:r>
          <a:r>
            <a:rPr lang="en-AU">
              <a:solidFill>
                <a:schemeClr val="bg2">
                  <a:lumMod val="50000"/>
                </a:schemeClr>
              </a:solidFill>
              <a:effectLst/>
            </a:rPr>
            <a:t> </a:t>
          </a:r>
          <a:endParaRPr lang="en-AU" sz="1000">
            <a:solidFill>
              <a:schemeClr val="bg2">
                <a:lumMod val="50000"/>
              </a:schemeClr>
            </a:solidFill>
          </a:endParaRPr>
        </a:p>
      </xdr:txBody>
    </xdr:sp>
    <xdr:clientData/>
  </xdr:oneCellAnchor>
  <xdr:oneCellAnchor>
    <xdr:from>
      <xdr:col>4</xdr:col>
      <xdr:colOff>1666314</xdr:colOff>
      <xdr:row>16</xdr:row>
      <xdr:rowOff>118785</xdr:rowOff>
    </xdr:from>
    <xdr:ext cx="1978747" cy="254493"/>
    <xdr:sp macro="" textlink="">
      <xdr:nvSpPr>
        <xdr:cNvPr id="106" name="TextBox 105">
          <a:extLst>
            <a:ext uri="{FF2B5EF4-FFF2-40B4-BE49-F238E27FC236}">
              <a16:creationId xmlns:a16="http://schemas.microsoft.com/office/drawing/2014/main" id="{58932CEC-AA0D-4863-ADBE-EB6D854221D5}"/>
            </a:ext>
          </a:extLst>
        </xdr:cNvPr>
        <xdr:cNvSpPr txBox="1"/>
      </xdr:nvSpPr>
      <xdr:spPr>
        <a:xfrm>
          <a:off x="8345020" y="3469344"/>
          <a:ext cx="1978747" cy="25449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AU" sz="1000" b="0" i="1" u="none" strike="noStrike">
              <a:solidFill>
                <a:schemeClr val="bg2">
                  <a:lumMod val="50000"/>
                </a:schemeClr>
              </a:solidFill>
              <a:effectLst/>
              <a:latin typeface="+mn-lt"/>
              <a:ea typeface="+mn-ea"/>
              <a:cs typeface="+mn-cs"/>
            </a:rPr>
            <a:t>t CO2-e / tonne liveweight sold</a:t>
          </a:r>
          <a:r>
            <a:rPr lang="en-AU">
              <a:solidFill>
                <a:schemeClr val="bg2">
                  <a:lumMod val="50000"/>
                </a:schemeClr>
              </a:solidFill>
              <a:effectLst/>
            </a:rPr>
            <a:t> </a:t>
          </a:r>
          <a:endParaRPr lang="en-AU" sz="1000">
            <a:solidFill>
              <a:schemeClr val="bg2">
                <a:lumMod val="50000"/>
              </a:schemeClr>
            </a:solidFill>
          </a:endParaRPr>
        </a:p>
      </xdr:txBody>
    </xdr:sp>
    <xdr:clientData/>
  </xdr:oneCellAnchor>
  <xdr:oneCellAnchor>
    <xdr:from>
      <xdr:col>6</xdr:col>
      <xdr:colOff>49866</xdr:colOff>
      <xdr:row>16</xdr:row>
      <xdr:rowOff>118785</xdr:rowOff>
    </xdr:from>
    <xdr:ext cx="1978747" cy="254493"/>
    <xdr:sp macro="" textlink="">
      <xdr:nvSpPr>
        <xdr:cNvPr id="107" name="TextBox 106">
          <a:extLst>
            <a:ext uri="{FF2B5EF4-FFF2-40B4-BE49-F238E27FC236}">
              <a16:creationId xmlns:a16="http://schemas.microsoft.com/office/drawing/2014/main" id="{EBBAE93E-8D8D-401B-BB50-3157E39D783D}"/>
            </a:ext>
          </a:extLst>
        </xdr:cNvPr>
        <xdr:cNvSpPr txBox="1"/>
      </xdr:nvSpPr>
      <xdr:spPr>
        <a:xfrm>
          <a:off x="10829925" y="3469344"/>
          <a:ext cx="1978747" cy="25449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AU" sz="1000" b="0" i="1" u="none" strike="noStrike">
              <a:solidFill>
                <a:schemeClr val="bg2">
                  <a:lumMod val="50000"/>
                </a:schemeClr>
              </a:solidFill>
              <a:effectLst/>
              <a:latin typeface="+mn-lt"/>
              <a:ea typeface="+mn-ea"/>
              <a:cs typeface="+mn-cs"/>
            </a:rPr>
            <a:t>t CO2-e / tonne liveweight sold</a:t>
          </a:r>
          <a:r>
            <a:rPr lang="en-AU">
              <a:solidFill>
                <a:schemeClr val="bg2">
                  <a:lumMod val="50000"/>
                </a:schemeClr>
              </a:solidFill>
              <a:effectLst/>
            </a:rPr>
            <a:t> </a:t>
          </a:r>
          <a:endParaRPr lang="en-AU" sz="1000">
            <a:solidFill>
              <a:schemeClr val="bg2">
                <a:lumMod val="50000"/>
              </a:schemeClr>
            </a:solidFill>
          </a:endParaRPr>
        </a:p>
      </xdr:txBody>
    </xdr:sp>
    <xdr:clientData/>
  </xdr:oneCellAnchor>
  <xdr:oneCellAnchor>
    <xdr:from>
      <xdr:col>3</xdr:col>
      <xdr:colOff>0</xdr:colOff>
      <xdr:row>28</xdr:row>
      <xdr:rowOff>87969</xdr:rowOff>
    </xdr:from>
    <xdr:ext cx="1978747" cy="254493"/>
    <xdr:sp macro="" textlink="">
      <xdr:nvSpPr>
        <xdr:cNvPr id="108" name="TextBox 107">
          <a:extLst>
            <a:ext uri="{FF2B5EF4-FFF2-40B4-BE49-F238E27FC236}">
              <a16:creationId xmlns:a16="http://schemas.microsoft.com/office/drawing/2014/main" id="{4A38E562-A13E-4C8B-80AD-B39CF1FEECE2}"/>
            </a:ext>
          </a:extLst>
        </xdr:cNvPr>
        <xdr:cNvSpPr txBox="1"/>
      </xdr:nvSpPr>
      <xdr:spPr>
        <a:xfrm>
          <a:off x="2678206" y="5858998"/>
          <a:ext cx="1978747" cy="25449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AU" sz="1000" b="0" i="1" u="none" strike="noStrike">
              <a:solidFill>
                <a:schemeClr val="bg2">
                  <a:lumMod val="50000"/>
                </a:schemeClr>
              </a:solidFill>
              <a:effectLst/>
              <a:latin typeface="+mn-lt"/>
              <a:ea typeface="+mn-ea"/>
              <a:cs typeface="+mn-cs"/>
            </a:rPr>
            <a:t>t CO2-e / tonne liveweight sold</a:t>
          </a:r>
          <a:r>
            <a:rPr lang="en-AU">
              <a:solidFill>
                <a:schemeClr val="bg2">
                  <a:lumMod val="50000"/>
                </a:schemeClr>
              </a:solidFill>
              <a:effectLst/>
            </a:rPr>
            <a:t> </a:t>
          </a:r>
          <a:endParaRPr lang="en-AU" sz="1000">
            <a:solidFill>
              <a:schemeClr val="bg2">
                <a:lumMod val="50000"/>
              </a:schemeClr>
            </a:solidFill>
          </a:endParaRPr>
        </a:p>
      </xdr:txBody>
    </xdr:sp>
    <xdr:clientData/>
  </xdr:oneCellAnchor>
  <xdr:oneCellAnchor>
    <xdr:from>
      <xdr:col>3</xdr:col>
      <xdr:colOff>2333065</xdr:colOff>
      <xdr:row>28</xdr:row>
      <xdr:rowOff>87969</xdr:rowOff>
    </xdr:from>
    <xdr:ext cx="1978747" cy="254493"/>
    <xdr:sp macro="" textlink="">
      <xdr:nvSpPr>
        <xdr:cNvPr id="109" name="TextBox 108">
          <a:extLst>
            <a:ext uri="{FF2B5EF4-FFF2-40B4-BE49-F238E27FC236}">
              <a16:creationId xmlns:a16="http://schemas.microsoft.com/office/drawing/2014/main" id="{57055F1F-1A5E-4F33-9836-0605F0CF493B}"/>
            </a:ext>
          </a:extLst>
        </xdr:cNvPr>
        <xdr:cNvSpPr txBox="1"/>
      </xdr:nvSpPr>
      <xdr:spPr>
        <a:xfrm>
          <a:off x="5011271" y="5858998"/>
          <a:ext cx="1978747" cy="25449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AU" sz="1000" b="0" i="1" u="none" strike="noStrike">
              <a:solidFill>
                <a:schemeClr val="bg2">
                  <a:lumMod val="50000"/>
                </a:schemeClr>
              </a:solidFill>
              <a:effectLst/>
              <a:latin typeface="+mn-lt"/>
              <a:ea typeface="+mn-ea"/>
              <a:cs typeface="+mn-cs"/>
            </a:rPr>
            <a:t>t CO2-e / tonne liveweight sold</a:t>
          </a:r>
          <a:r>
            <a:rPr lang="en-AU">
              <a:solidFill>
                <a:schemeClr val="bg2">
                  <a:lumMod val="50000"/>
                </a:schemeClr>
              </a:solidFill>
              <a:effectLst/>
            </a:rPr>
            <a:t> </a:t>
          </a:r>
          <a:endParaRPr lang="en-AU" sz="1000">
            <a:solidFill>
              <a:schemeClr val="bg2">
                <a:lumMod val="50000"/>
              </a:schemeClr>
            </a:solidFill>
          </a:endParaRPr>
        </a:p>
      </xdr:txBody>
    </xdr:sp>
    <xdr:clientData/>
  </xdr:oneCellAnchor>
  <xdr:oneCellAnchor>
    <xdr:from>
      <xdr:col>4</xdr:col>
      <xdr:colOff>1666314</xdr:colOff>
      <xdr:row>28</xdr:row>
      <xdr:rowOff>87969</xdr:rowOff>
    </xdr:from>
    <xdr:ext cx="1978747" cy="254493"/>
    <xdr:sp macro="" textlink="">
      <xdr:nvSpPr>
        <xdr:cNvPr id="110" name="TextBox 109">
          <a:extLst>
            <a:ext uri="{FF2B5EF4-FFF2-40B4-BE49-F238E27FC236}">
              <a16:creationId xmlns:a16="http://schemas.microsoft.com/office/drawing/2014/main" id="{0255C1BA-EF45-4B88-B5FA-A52375BACDC8}"/>
            </a:ext>
          </a:extLst>
        </xdr:cNvPr>
        <xdr:cNvSpPr txBox="1"/>
      </xdr:nvSpPr>
      <xdr:spPr>
        <a:xfrm>
          <a:off x="8345020" y="5858998"/>
          <a:ext cx="1978747" cy="25449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AU" sz="1000" b="0" i="1" u="none" strike="noStrike">
              <a:solidFill>
                <a:schemeClr val="bg2">
                  <a:lumMod val="50000"/>
                </a:schemeClr>
              </a:solidFill>
              <a:effectLst/>
              <a:latin typeface="+mn-lt"/>
              <a:ea typeface="+mn-ea"/>
              <a:cs typeface="+mn-cs"/>
            </a:rPr>
            <a:t>t CO2-e / tonne liveweight sold</a:t>
          </a:r>
          <a:r>
            <a:rPr lang="en-AU">
              <a:solidFill>
                <a:schemeClr val="bg2">
                  <a:lumMod val="50000"/>
                </a:schemeClr>
              </a:solidFill>
              <a:effectLst/>
            </a:rPr>
            <a:t> </a:t>
          </a:r>
          <a:endParaRPr lang="en-AU" sz="1000">
            <a:solidFill>
              <a:schemeClr val="bg2">
                <a:lumMod val="50000"/>
              </a:schemeClr>
            </a:solidFill>
          </a:endParaRPr>
        </a:p>
      </xdr:txBody>
    </xdr:sp>
    <xdr:clientData/>
  </xdr:oneCellAnchor>
  <xdr:oneCellAnchor>
    <xdr:from>
      <xdr:col>6</xdr:col>
      <xdr:colOff>49866</xdr:colOff>
      <xdr:row>28</xdr:row>
      <xdr:rowOff>87969</xdr:rowOff>
    </xdr:from>
    <xdr:ext cx="1978747" cy="254493"/>
    <xdr:sp macro="" textlink="">
      <xdr:nvSpPr>
        <xdr:cNvPr id="111" name="TextBox 110">
          <a:extLst>
            <a:ext uri="{FF2B5EF4-FFF2-40B4-BE49-F238E27FC236}">
              <a16:creationId xmlns:a16="http://schemas.microsoft.com/office/drawing/2014/main" id="{1FE74972-27B6-4F77-BF8B-FD910771357E}"/>
            </a:ext>
          </a:extLst>
        </xdr:cNvPr>
        <xdr:cNvSpPr txBox="1"/>
      </xdr:nvSpPr>
      <xdr:spPr>
        <a:xfrm>
          <a:off x="10829925" y="5858998"/>
          <a:ext cx="1978747" cy="25449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AU" sz="1000" b="0" i="1" u="none" strike="noStrike">
              <a:solidFill>
                <a:schemeClr val="bg2">
                  <a:lumMod val="50000"/>
                </a:schemeClr>
              </a:solidFill>
              <a:effectLst/>
              <a:latin typeface="+mn-lt"/>
              <a:ea typeface="+mn-ea"/>
              <a:cs typeface="+mn-cs"/>
            </a:rPr>
            <a:t>t CO2-e / tonne liveweight sold</a:t>
          </a:r>
          <a:r>
            <a:rPr lang="en-AU">
              <a:solidFill>
                <a:schemeClr val="bg2">
                  <a:lumMod val="50000"/>
                </a:schemeClr>
              </a:solidFill>
              <a:effectLst/>
            </a:rPr>
            <a:t> </a:t>
          </a:r>
          <a:endParaRPr lang="en-AU" sz="1000">
            <a:solidFill>
              <a:schemeClr val="bg2">
                <a:lumMod val="50000"/>
              </a:schemeClr>
            </a:solidFill>
          </a:endParaRPr>
        </a:p>
      </xdr:txBody>
    </xdr:sp>
    <xdr:clientData/>
  </xdr:oneCellAnchor>
  <xdr:twoCellAnchor>
    <xdr:from>
      <xdr:col>3</xdr:col>
      <xdr:colOff>2361640</xdr:colOff>
      <xdr:row>26</xdr:row>
      <xdr:rowOff>8407</xdr:rowOff>
    </xdr:from>
    <xdr:to>
      <xdr:col>4</xdr:col>
      <xdr:colOff>313765</xdr:colOff>
      <xdr:row>28</xdr:row>
      <xdr:rowOff>158005</xdr:rowOff>
    </xdr:to>
    <xdr:sp macro="" textlink="$J$53">
      <xdr:nvSpPr>
        <xdr:cNvPr id="112" name="TextBox 111">
          <a:extLst>
            <a:ext uri="{FF2B5EF4-FFF2-40B4-BE49-F238E27FC236}">
              <a16:creationId xmlns:a16="http://schemas.microsoft.com/office/drawing/2014/main" id="{DFE9DD5D-C807-4E3C-B113-9A9665AA0ED7}"/>
            </a:ext>
          </a:extLst>
        </xdr:cNvPr>
        <xdr:cNvSpPr txBox="1"/>
      </xdr:nvSpPr>
      <xdr:spPr>
        <a:xfrm>
          <a:off x="5039846" y="5376025"/>
          <a:ext cx="1952625" cy="55300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marL="0" indent="0"/>
          <a:fld id="{8B8ADE77-8739-4C42-8C9D-E087028DA258}" type="TxLink">
            <a:rPr lang="en-US" sz="2600" b="1" i="0" u="none" strike="noStrike">
              <a:solidFill>
                <a:srgbClr val="4F4789"/>
              </a:solidFill>
              <a:latin typeface="Arial"/>
              <a:ea typeface="+mn-ea"/>
              <a:cs typeface="Arial"/>
            </a:rPr>
            <a:pPr marL="0" indent="0"/>
            <a:t>#DIV/0!</a:t>
          </a:fld>
          <a:endParaRPr lang="en-AU" sz="2600" b="1" i="0" u="none" strike="noStrike">
            <a:solidFill>
              <a:srgbClr val="4F4789"/>
            </a:solidFill>
            <a:latin typeface="Arial"/>
            <a:ea typeface="+mn-ea"/>
            <a:cs typeface="Arial"/>
          </a:endParaRPr>
        </a:p>
      </xdr:txBody>
    </xdr:sp>
    <xdr:clientData/>
  </xdr:twoCellAnchor>
  <xdr:twoCellAnchor>
    <xdr:from>
      <xdr:col>5</xdr:col>
      <xdr:colOff>1983440</xdr:colOff>
      <xdr:row>26</xdr:row>
      <xdr:rowOff>36982</xdr:rowOff>
    </xdr:from>
    <xdr:to>
      <xdr:col>6</xdr:col>
      <xdr:colOff>1910042</xdr:colOff>
      <xdr:row>28</xdr:row>
      <xdr:rowOff>138955</xdr:rowOff>
    </xdr:to>
    <xdr:sp macro="" textlink="$K$53">
      <xdr:nvSpPr>
        <xdr:cNvPr id="113" name="TextBox 112">
          <a:extLst>
            <a:ext uri="{FF2B5EF4-FFF2-40B4-BE49-F238E27FC236}">
              <a16:creationId xmlns:a16="http://schemas.microsoft.com/office/drawing/2014/main" id="{419A6354-03AF-4EBF-8FCB-0A0986B37ED9}"/>
            </a:ext>
          </a:extLst>
        </xdr:cNvPr>
        <xdr:cNvSpPr txBox="1"/>
      </xdr:nvSpPr>
      <xdr:spPr>
        <a:xfrm>
          <a:off x="10712822" y="5404600"/>
          <a:ext cx="1977279" cy="5053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marL="0" indent="0"/>
          <a:fld id="{F9A87D5F-A637-4BA0-BFE4-996CA0B467D5}" type="TxLink">
            <a:rPr lang="en-US" sz="2600" b="1" i="0" u="none" strike="noStrike">
              <a:solidFill>
                <a:srgbClr val="4F4789"/>
              </a:solidFill>
              <a:latin typeface="Arial"/>
              <a:ea typeface="+mn-ea"/>
              <a:cs typeface="Arial"/>
            </a:rPr>
            <a:pPr marL="0" indent="0"/>
            <a:t>#DIV/0!</a:t>
          </a:fld>
          <a:endParaRPr lang="en-AU" sz="2600" b="1" i="0" u="none" strike="noStrike">
            <a:solidFill>
              <a:srgbClr val="4F4789"/>
            </a:solidFill>
            <a:latin typeface="Arial"/>
            <a:ea typeface="+mn-ea"/>
            <a:cs typeface="Arial"/>
          </a:endParaRPr>
        </a:p>
      </xdr:txBody>
    </xdr:sp>
    <xdr:clientData/>
  </xdr:twoCellAnchor>
  <xdr:twoCellAnchor>
    <xdr:from>
      <xdr:col>8</xdr:col>
      <xdr:colOff>45944</xdr:colOff>
      <xdr:row>14</xdr:row>
      <xdr:rowOff>143998</xdr:rowOff>
    </xdr:from>
    <xdr:to>
      <xdr:col>8</xdr:col>
      <xdr:colOff>1915646</xdr:colOff>
      <xdr:row>17</xdr:row>
      <xdr:rowOff>12328</xdr:rowOff>
    </xdr:to>
    <xdr:sp macro="" textlink="$J$46">
      <xdr:nvSpPr>
        <xdr:cNvPr id="114" name="TextBox 113">
          <a:extLst>
            <a:ext uri="{FF2B5EF4-FFF2-40B4-BE49-F238E27FC236}">
              <a16:creationId xmlns:a16="http://schemas.microsoft.com/office/drawing/2014/main" id="{8D23E85A-1551-466C-89C3-E43491BE5CAF}"/>
            </a:ext>
          </a:extLst>
        </xdr:cNvPr>
        <xdr:cNvSpPr txBox="1"/>
      </xdr:nvSpPr>
      <xdr:spPr>
        <a:xfrm>
          <a:off x="14927356" y="3091145"/>
          <a:ext cx="1869702" cy="4734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marL="0" indent="0"/>
          <a:fld id="{1924562D-F9FD-4007-A893-9658B36EA5E8}" type="TxLink">
            <a:rPr lang="en-US" sz="2600" b="1" i="0" u="none" strike="noStrike">
              <a:solidFill>
                <a:srgbClr val="0C769E"/>
              </a:solidFill>
              <a:latin typeface="Arial"/>
              <a:ea typeface="+mn-ea"/>
              <a:cs typeface="Arial"/>
            </a:rPr>
            <a:pPr marL="0" indent="0"/>
            <a:t>#DIV/0!</a:t>
          </a:fld>
          <a:endParaRPr lang="en-AU" sz="2600" b="1" i="0" u="none" strike="noStrike">
            <a:solidFill>
              <a:srgbClr val="0C769E"/>
            </a:solidFill>
            <a:latin typeface="Arial"/>
            <a:ea typeface="+mn-ea"/>
            <a:cs typeface="Arial"/>
          </a:endParaRPr>
        </a:p>
      </xdr:txBody>
    </xdr:sp>
    <xdr:clientData/>
  </xdr:twoCellAnchor>
  <xdr:twoCellAnchor>
    <xdr:from>
      <xdr:col>10</xdr:col>
      <xdr:colOff>1625973</xdr:colOff>
      <xdr:row>14</xdr:row>
      <xdr:rowOff>115423</xdr:rowOff>
    </xdr:from>
    <xdr:to>
      <xdr:col>11</xdr:col>
      <xdr:colOff>1485899</xdr:colOff>
      <xdr:row>17</xdr:row>
      <xdr:rowOff>12328</xdr:rowOff>
    </xdr:to>
    <xdr:sp macro="" textlink="$K$46">
      <xdr:nvSpPr>
        <xdr:cNvPr id="115" name="TextBox 114">
          <a:extLst>
            <a:ext uri="{FF2B5EF4-FFF2-40B4-BE49-F238E27FC236}">
              <a16:creationId xmlns:a16="http://schemas.microsoft.com/office/drawing/2014/main" id="{6B36214C-B628-4654-A200-F3A9EB05DF59}"/>
            </a:ext>
          </a:extLst>
        </xdr:cNvPr>
        <xdr:cNvSpPr txBox="1"/>
      </xdr:nvSpPr>
      <xdr:spPr>
        <a:xfrm>
          <a:off x="20608738" y="3062570"/>
          <a:ext cx="1910602" cy="50202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marL="0" indent="0"/>
          <a:fld id="{9178CED4-C7B4-4572-B5FF-C2C28E3FD695}" type="TxLink">
            <a:rPr lang="en-US" sz="2600" b="1" i="0" u="none" strike="noStrike">
              <a:solidFill>
                <a:srgbClr val="0C769E"/>
              </a:solidFill>
              <a:latin typeface="Arial"/>
              <a:ea typeface="+mn-ea"/>
              <a:cs typeface="Arial"/>
            </a:rPr>
            <a:pPr marL="0" indent="0"/>
            <a:t>#DIV/0!</a:t>
          </a:fld>
          <a:endParaRPr lang="en-AU" sz="2600" b="1" i="0" u="none" strike="noStrike">
            <a:solidFill>
              <a:srgbClr val="0C769E"/>
            </a:solidFill>
            <a:latin typeface="Arial"/>
            <a:ea typeface="+mn-ea"/>
            <a:cs typeface="Arial"/>
          </a:endParaRPr>
        </a:p>
      </xdr:txBody>
    </xdr:sp>
    <xdr:clientData/>
  </xdr:twoCellAnchor>
  <xdr:twoCellAnchor>
    <xdr:from>
      <xdr:col>8</xdr:col>
      <xdr:colOff>45944</xdr:colOff>
      <xdr:row>26</xdr:row>
      <xdr:rowOff>8407</xdr:rowOff>
    </xdr:from>
    <xdr:to>
      <xdr:col>8</xdr:col>
      <xdr:colOff>2001371</xdr:colOff>
      <xdr:row>28</xdr:row>
      <xdr:rowOff>158005</xdr:rowOff>
    </xdr:to>
    <xdr:sp macro="" textlink="$J$54">
      <xdr:nvSpPr>
        <xdr:cNvPr id="116" name="TextBox 115">
          <a:extLst>
            <a:ext uri="{FF2B5EF4-FFF2-40B4-BE49-F238E27FC236}">
              <a16:creationId xmlns:a16="http://schemas.microsoft.com/office/drawing/2014/main" id="{8A36ADE4-E119-4EFB-A8A8-78CF4CC921CA}"/>
            </a:ext>
          </a:extLst>
        </xdr:cNvPr>
        <xdr:cNvSpPr txBox="1"/>
      </xdr:nvSpPr>
      <xdr:spPr>
        <a:xfrm>
          <a:off x="14927356" y="5376025"/>
          <a:ext cx="1955427" cy="55300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marL="0" indent="0"/>
          <a:fld id="{47E4CB1C-EDB4-4181-B8C4-5B02C43CACE3}" type="TxLink">
            <a:rPr lang="en-US" sz="2600" b="1" i="0" u="none" strike="noStrike">
              <a:solidFill>
                <a:srgbClr val="4F4789"/>
              </a:solidFill>
              <a:latin typeface="Arial"/>
              <a:ea typeface="+mn-ea"/>
              <a:cs typeface="Arial"/>
            </a:rPr>
            <a:pPr marL="0" indent="0"/>
            <a:t>#DIV/0!</a:t>
          </a:fld>
          <a:endParaRPr lang="en-AU" sz="2600" b="1" i="0" u="none" strike="noStrike">
            <a:solidFill>
              <a:srgbClr val="4F4789"/>
            </a:solidFill>
            <a:latin typeface="Arial"/>
            <a:ea typeface="+mn-ea"/>
            <a:cs typeface="Arial"/>
          </a:endParaRPr>
        </a:p>
      </xdr:txBody>
    </xdr:sp>
    <xdr:clientData/>
  </xdr:twoCellAnchor>
  <xdr:twoCellAnchor>
    <xdr:from>
      <xdr:col>10</xdr:col>
      <xdr:colOff>1625973</xdr:colOff>
      <xdr:row>26</xdr:row>
      <xdr:rowOff>36982</xdr:rowOff>
    </xdr:from>
    <xdr:to>
      <xdr:col>11</xdr:col>
      <xdr:colOff>1552574</xdr:colOff>
      <xdr:row>28</xdr:row>
      <xdr:rowOff>138955</xdr:rowOff>
    </xdr:to>
    <xdr:sp macro="" textlink="$K$54">
      <xdr:nvSpPr>
        <xdr:cNvPr id="117" name="TextBox 116">
          <a:extLst>
            <a:ext uri="{FF2B5EF4-FFF2-40B4-BE49-F238E27FC236}">
              <a16:creationId xmlns:a16="http://schemas.microsoft.com/office/drawing/2014/main" id="{688A9E86-FE5E-4A29-9549-30D647EA49E3}"/>
            </a:ext>
          </a:extLst>
        </xdr:cNvPr>
        <xdr:cNvSpPr txBox="1"/>
      </xdr:nvSpPr>
      <xdr:spPr>
        <a:xfrm>
          <a:off x="20608738" y="5404600"/>
          <a:ext cx="1977277" cy="5053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marL="0" indent="0"/>
          <a:fld id="{52E2C27E-76F6-4365-A748-3D63EC144A1C}" type="TxLink">
            <a:rPr lang="en-US" sz="2600" b="1" i="0" u="none" strike="noStrike">
              <a:solidFill>
                <a:srgbClr val="4F4789"/>
              </a:solidFill>
              <a:latin typeface="Arial"/>
              <a:ea typeface="+mn-ea"/>
              <a:cs typeface="Arial"/>
            </a:rPr>
            <a:pPr marL="0" indent="0"/>
            <a:t>#DIV/0!</a:t>
          </a:fld>
          <a:endParaRPr lang="en-AU" sz="2600" b="1" i="0" u="none" strike="noStrike">
            <a:solidFill>
              <a:srgbClr val="4F4789"/>
            </a:solidFill>
            <a:latin typeface="Arial"/>
            <a:ea typeface="+mn-ea"/>
            <a:cs typeface="Arial"/>
          </a:endParaRPr>
        </a:p>
      </xdr:txBody>
    </xdr:sp>
    <xdr:clientData/>
  </xdr:twoCellAnchor>
  <xdr:twoCellAnchor>
    <xdr:from>
      <xdr:col>9</xdr:col>
      <xdr:colOff>327772</xdr:colOff>
      <xdr:row>14</xdr:row>
      <xdr:rowOff>105898</xdr:rowOff>
    </xdr:from>
    <xdr:to>
      <xdr:col>10</xdr:col>
      <xdr:colOff>635374</xdr:colOff>
      <xdr:row>17</xdr:row>
      <xdr:rowOff>12328</xdr:rowOff>
    </xdr:to>
    <xdr:sp macro="" textlink="$J$47">
      <xdr:nvSpPr>
        <xdr:cNvPr id="118" name="TextBox 117">
          <a:extLst>
            <a:ext uri="{FF2B5EF4-FFF2-40B4-BE49-F238E27FC236}">
              <a16:creationId xmlns:a16="http://schemas.microsoft.com/office/drawing/2014/main" id="{46207EBB-51C6-4AB4-B45D-51865CD26131}"/>
            </a:ext>
          </a:extLst>
        </xdr:cNvPr>
        <xdr:cNvSpPr txBox="1"/>
      </xdr:nvSpPr>
      <xdr:spPr>
        <a:xfrm>
          <a:off x="17259860" y="3053045"/>
          <a:ext cx="2358279" cy="5115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marL="0" indent="0"/>
          <a:fld id="{7ECA65A0-CBD7-46CD-8C95-E7E852DDA32D}" type="TxLink">
            <a:rPr lang="en-US" sz="2600" b="1" i="0" u="none" strike="noStrike">
              <a:solidFill>
                <a:srgbClr val="0C769E"/>
              </a:solidFill>
              <a:latin typeface="Arial"/>
              <a:ea typeface="+mn-ea"/>
              <a:cs typeface="Arial"/>
            </a:rPr>
            <a:pPr marL="0" indent="0"/>
            <a:t>#DIV/0!</a:t>
          </a:fld>
          <a:endParaRPr lang="en-AU" sz="2600" b="1" i="0" u="none" strike="noStrike">
            <a:solidFill>
              <a:srgbClr val="0C769E"/>
            </a:solidFill>
            <a:latin typeface="Arial"/>
            <a:ea typeface="+mn-ea"/>
            <a:cs typeface="Arial"/>
          </a:endParaRPr>
        </a:p>
      </xdr:txBody>
    </xdr:sp>
    <xdr:clientData/>
  </xdr:twoCellAnchor>
  <xdr:twoCellAnchor>
    <xdr:from>
      <xdr:col>12</xdr:col>
      <xdr:colOff>9525</xdr:colOff>
      <xdr:row>14</xdr:row>
      <xdr:rowOff>134473</xdr:rowOff>
    </xdr:from>
    <xdr:to>
      <xdr:col>15</xdr:col>
      <xdr:colOff>374277</xdr:colOff>
      <xdr:row>17</xdr:row>
      <xdr:rowOff>12328</xdr:rowOff>
    </xdr:to>
    <xdr:sp macro="" textlink="$K$47">
      <xdr:nvSpPr>
        <xdr:cNvPr id="119" name="TextBox 118">
          <a:extLst>
            <a:ext uri="{FF2B5EF4-FFF2-40B4-BE49-F238E27FC236}">
              <a16:creationId xmlns:a16="http://schemas.microsoft.com/office/drawing/2014/main" id="{630561FE-D650-4C9A-9197-C883F661A7F5}"/>
            </a:ext>
          </a:extLst>
        </xdr:cNvPr>
        <xdr:cNvSpPr txBox="1"/>
      </xdr:nvSpPr>
      <xdr:spPr>
        <a:xfrm>
          <a:off x="23093643" y="3081620"/>
          <a:ext cx="1888752" cy="48297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marL="0" indent="0"/>
          <a:fld id="{76248843-A903-4882-925A-19F5BC60ACE3}" type="TxLink">
            <a:rPr lang="en-US" sz="2600" b="1" i="0" u="none" strike="noStrike">
              <a:solidFill>
                <a:srgbClr val="0C769E"/>
              </a:solidFill>
              <a:latin typeface="Arial"/>
              <a:ea typeface="+mn-ea"/>
              <a:cs typeface="Arial"/>
            </a:rPr>
            <a:pPr marL="0" indent="0"/>
            <a:t>#DIV/0!</a:t>
          </a:fld>
          <a:endParaRPr lang="en-AU" sz="2600" b="1" i="0" u="none" strike="noStrike">
            <a:solidFill>
              <a:srgbClr val="0C769E"/>
            </a:solidFill>
            <a:latin typeface="Arial"/>
            <a:ea typeface="+mn-ea"/>
            <a:cs typeface="Arial"/>
          </a:endParaRPr>
        </a:p>
      </xdr:txBody>
    </xdr:sp>
    <xdr:clientData/>
  </xdr:twoCellAnchor>
  <xdr:twoCellAnchor>
    <xdr:from>
      <xdr:col>8</xdr:col>
      <xdr:colOff>45944</xdr:colOff>
      <xdr:row>13</xdr:row>
      <xdr:rowOff>24655</xdr:rowOff>
    </xdr:from>
    <xdr:to>
      <xdr:col>8</xdr:col>
      <xdr:colOff>1582271</xdr:colOff>
      <xdr:row>14</xdr:row>
      <xdr:rowOff>105897</xdr:rowOff>
    </xdr:to>
    <xdr:sp macro="" textlink="$J$44">
      <xdr:nvSpPr>
        <xdr:cNvPr id="120" name="TextBox 119">
          <a:extLst>
            <a:ext uri="{FF2B5EF4-FFF2-40B4-BE49-F238E27FC236}">
              <a16:creationId xmlns:a16="http://schemas.microsoft.com/office/drawing/2014/main" id="{F652D104-9279-4EEA-8BA4-CBAFA8E316DA}"/>
            </a:ext>
          </a:extLst>
        </xdr:cNvPr>
        <xdr:cNvSpPr txBox="1"/>
      </xdr:nvSpPr>
      <xdr:spPr>
        <a:xfrm>
          <a:off x="14927356" y="2770096"/>
          <a:ext cx="1536327" cy="2829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000" b="1" i="0" u="none" strike="noStrike">
              <a:solidFill>
                <a:srgbClr val="0C769E"/>
              </a:solidFill>
              <a:latin typeface="Arial"/>
              <a:cs typeface="Arial"/>
            </a:rPr>
            <a:t>Excluding removals</a:t>
          </a:r>
          <a:endParaRPr lang="en-AU" sz="1000" b="1">
            <a:solidFill>
              <a:srgbClr val="0C769E"/>
            </a:solidFill>
          </a:endParaRPr>
        </a:p>
      </xdr:txBody>
    </xdr:sp>
    <xdr:clientData/>
  </xdr:twoCellAnchor>
  <xdr:twoCellAnchor>
    <xdr:from>
      <xdr:col>9</xdr:col>
      <xdr:colOff>327772</xdr:colOff>
      <xdr:row>13</xdr:row>
      <xdr:rowOff>24655</xdr:rowOff>
    </xdr:from>
    <xdr:to>
      <xdr:col>10</xdr:col>
      <xdr:colOff>854927</xdr:colOff>
      <xdr:row>14</xdr:row>
      <xdr:rowOff>105897</xdr:rowOff>
    </xdr:to>
    <xdr:sp macro="" textlink="$J$44">
      <xdr:nvSpPr>
        <xdr:cNvPr id="121" name="TextBox 120">
          <a:extLst>
            <a:ext uri="{FF2B5EF4-FFF2-40B4-BE49-F238E27FC236}">
              <a16:creationId xmlns:a16="http://schemas.microsoft.com/office/drawing/2014/main" id="{1A523E42-5959-411B-91B2-CD5FBBDCD4BB}"/>
            </a:ext>
          </a:extLst>
        </xdr:cNvPr>
        <xdr:cNvSpPr txBox="1"/>
      </xdr:nvSpPr>
      <xdr:spPr>
        <a:xfrm>
          <a:off x="17259860" y="2770096"/>
          <a:ext cx="2577832" cy="2829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000" b="1" i="0" u="none" strike="noStrike">
              <a:solidFill>
                <a:srgbClr val="0C769E"/>
              </a:solidFill>
              <a:latin typeface="Arial"/>
              <a:cs typeface="Arial"/>
            </a:rPr>
            <a:t>Including</a:t>
          </a:r>
          <a:r>
            <a:rPr lang="en-US" sz="1000" b="1" i="0" u="none" strike="noStrike" baseline="0">
              <a:solidFill>
                <a:srgbClr val="0C769E"/>
              </a:solidFill>
              <a:latin typeface="Arial"/>
              <a:cs typeface="Arial"/>
            </a:rPr>
            <a:t> removals (</a:t>
          </a:r>
          <a:r>
            <a:rPr lang="en-US" sz="1000" b="1" i="0" u="none" strike="noStrike">
              <a:solidFill>
                <a:srgbClr val="0C769E"/>
              </a:solidFill>
              <a:latin typeface="Arial"/>
              <a:cs typeface="Arial"/>
            </a:rPr>
            <a:t>Net emissions)</a:t>
          </a:r>
          <a:endParaRPr lang="en-AU" sz="1000" b="1">
            <a:solidFill>
              <a:srgbClr val="0C769E"/>
            </a:solidFill>
          </a:endParaRPr>
        </a:p>
      </xdr:txBody>
    </xdr:sp>
    <xdr:clientData/>
  </xdr:twoCellAnchor>
  <xdr:twoCellAnchor>
    <xdr:from>
      <xdr:col>8</xdr:col>
      <xdr:colOff>45944</xdr:colOff>
      <xdr:row>11</xdr:row>
      <xdr:rowOff>49869</xdr:rowOff>
    </xdr:from>
    <xdr:to>
      <xdr:col>8</xdr:col>
      <xdr:colOff>1582271</xdr:colOff>
      <xdr:row>12</xdr:row>
      <xdr:rowOff>131110</xdr:rowOff>
    </xdr:to>
    <xdr:sp macro="" textlink="$J$44">
      <xdr:nvSpPr>
        <xdr:cNvPr id="122" name="TextBox 121">
          <a:extLst>
            <a:ext uri="{FF2B5EF4-FFF2-40B4-BE49-F238E27FC236}">
              <a16:creationId xmlns:a16="http://schemas.microsoft.com/office/drawing/2014/main" id="{F91187E7-1A1D-4EA5-849D-E2765865D938}"/>
            </a:ext>
          </a:extLst>
        </xdr:cNvPr>
        <xdr:cNvSpPr txBox="1"/>
      </xdr:nvSpPr>
      <xdr:spPr>
        <a:xfrm>
          <a:off x="14927356" y="2391898"/>
          <a:ext cx="1536327" cy="28294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000" b="0" i="0" u="none" strike="noStrike">
              <a:solidFill>
                <a:schemeClr val="bg2">
                  <a:lumMod val="50000"/>
                </a:schemeClr>
              </a:solidFill>
              <a:latin typeface="Arial"/>
              <a:cs typeface="Arial"/>
            </a:rPr>
            <a:t>Method 1</a:t>
          </a:r>
          <a:endParaRPr lang="en-AU" sz="1000" b="0">
            <a:solidFill>
              <a:schemeClr val="bg2">
                <a:lumMod val="50000"/>
              </a:schemeClr>
            </a:solidFill>
          </a:endParaRPr>
        </a:p>
      </xdr:txBody>
    </xdr:sp>
    <xdr:clientData/>
  </xdr:twoCellAnchor>
  <xdr:twoCellAnchor>
    <xdr:from>
      <xdr:col>8</xdr:col>
      <xdr:colOff>84044</xdr:colOff>
      <xdr:row>9</xdr:row>
      <xdr:rowOff>56032</xdr:rowOff>
    </xdr:from>
    <xdr:to>
      <xdr:col>9</xdr:col>
      <xdr:colOff>222997</xdr:colOff>
      <xdr:row>11</xdr:row>
      <xdr:rowOff>21294</xdr:rowOff>
    </xdr:to>
    <xdr:sp macro="" textlink="">
      <xdr:nvSpPr>
        <xdr:cNvPr id="123" name="TextBox 122">
          <a:extLst>
            <a:ext uri="{FF2B5EF4-FFF2-40B4-BE49-F238E27FC236}">
              <a16:creationId xmlns:a16="http://schemas.microsoft.com/office/drawing/2014/main" id="{326A35EF-CA77-49AE-B070-FA2610529BD9}"/>
            </a:ext>
          </a:extLst>
        </xdr:cNvPr>
        <xdr:cNvSpPr txBox="1"/>
      </xdr:nvSpPr>
      <xdr:spPr>
        <a:xfrm>
          <a:off x="14965456" y="1994650"/>
          <a:ext cx="2189629" cy="36867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U" sz="1400">
              <a:solidFill>
                <a:srgbClr val="0C769E"/>
              </a:solidFill>
            </a:rPr>
            <a:t>Mass allocation</a:t>
          </a:r>
        </a:p>
      </xdr:txBody>
    </xdr:sp>
    <xdr:clientData/>
  </xdr:twoCellAnchor>
  <xdr:twoCellAnchor>
    <xdr:from>
      <xdr:col>8</xdr:col>
      <xdr:colOff>93569</xdr:colOff>
      <xdr:row>11</xdr:row>
      <xdr:rowOff>25411</xdr:rowOff>
    </xdr:from>
    <xdr:to>
      <xdr:col>16</xdr:col>
      <xdr:colOff>226919</xdr:colOff>
      <xdr:row>11</xdr:row>
      <xdr:rowOff>40344</xdr:rowOff>
    </xdr:to>
    <xdr:cxnSp macro="">
      <xdr:nvCxnSpPr>
        <xdr:cNvPr id="124" name="Straight Connector 123">
          <a:extLst>
            <a:ext uri="{FF2B5EF4-FFF2-40B4-BE49-F238E27FC236}">
              <a16:creationId xmlns:a16="http://schemas.microsoft.com/office/drawing/2014/main" id="{06F86255-B5A1-4161-A507-6DE598D64103}"/>
            </a:ext>
          </a:extLst>
        </xdr:cNvPr>
        <xdr:cNvCxnSpPr/>
      </xdr:nvCxnSpPr>
      <xdr:spPr>
        <a:xfrm flipV="1">
          <a:off x="14974981" y="2367440"/>
          <a:ext cx="10465173" cy="14933"/>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twoCellAnchor>
    <xdr:from>
      <xdr:col>10</xdr:col>
      <xdr:colOff>1625973</xdr:colOff>
      <xdr:row>13</xdr:row>
      <xdr:rowOff>24655</xdr:rowOff>
    </xdr:from>
    <xdr:to>
      <xdr:col>11</xdr:col>
      <xdr:colOff>1114424</xdr:colOff>
      <xdr:row>14</xdr:row>
      <xdr:rowOff>105897</xdr:rowOff>
    </xdr:to>
    <xdr:sp macro="" textlink="$J$44">
      <xdr:nvSpPr>
        <xdr:cNvPr id="125" name="TextBox 124">
          <a:extLst>
            <a:ext uri="{FF2B5EF4-FFF2-40B4-BE49-F238E27FC236}">
              <a16:creationId xmlns:a16="http://schemas.microsoft.com/office/drawing/2014/main" id="{E88C761D-F269-4353-B8DC-B2A6D09F5913}"/>
            </a:ext>
          </a:extLst>
        </xdr:cNvPr>
        <xdr:cNvSpPr txBox="1"/>
      </xdr:nvSpPr>
      <xdr:spPr>
        <a:xfrm>
          <a:off x="20608738" y="2770096"/>
          <a:ext cx="1539127" cy="2829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000" b="1" i="0" u="none" strike="noStrike">
              <a:solidFill>
                <a:srgbClr val="0C769E"/>
              </a:solidFill>
              <a:latin typeface="Arial"/>
              <a:cs typeface="Arial"/>
            </a:rPr>
            <a:t>Excluding removals</a:t>
          </a:r>
          <a:endParaRPr lang="en-AU" sz="1000" b="1">
            <a:solidFill>
              <a:srgbClr val="0C769E"/>
            </a:solidFill>
          </a:endParaRPr>
        </a:p>
      </xdr:txBody>
    </xdr:sp>
    <xdr:clientData/>
  </xdr:twoCellAnchor>
  <xdr:twoCellAnchor>
    <xdr:from>
      <xdr:col>12</xdr:col>
      <xdr:colOff>9525</xdr:colOff>
      <xdr:row>13</xdr:row>
      <xdr:rowOff>24655</xdr:rowOff>
    </xdr:from>
    <xdr:to>
      <xdr:col>16</xdr:col>
      <xdr:colOff>427422</xdr:colOff>
      <xdr:row>14</xdr:row>
      <xdr:rowOff>105897</xdr:rowOff>
    </xdr:to>
    <xdr:sp macro="" textlink="$J$44">
      <xdr:nvSpPr>
        <xdr:cNvPr id="126" name="TextBox 125">
          <a:extLst>
            <a:ext uri="{FF2B5EF4-FFF2-40B4-BE49-F238E27FC236}">
              <a16:creationId xmlns:a16="http://schemas.microsoft.com/office/drawing/2014/main" id="{3FDD7D2E-DF03-4E15-8D64-C35336FB69E9}"/>
            </a:ext>
          </a:extLst>
        </xdr:cNvPr>
        <xdr:cNvSpPr txBox="1"/>
      </xdr:nvSpPr>
      <xdr:spPr>
        <a:xfrm>
          <a:off x="23093643" y="2770096"/>
          <a:ext cx="2547014" cy="2829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000" b="1" i="0" u="none" strike="noStrike">
              <a:solidFill>
                <a:srgbClr val="0C769E"/>
              </a:solidFill>
              <a:latin typeface="Arial"/>
              <a:cs typeface="Arial"/>
            </a:rPr>
            <a:t>Including</a:t>
          </a:r>
          <a:r>
            <a:rPr lang="en-US" sz="1000" b="1" i="0" u="none" strike="noStrike" baseline="0">
              <a:solidFill>
                <a:srgbClr val="0C769E"/>
              </a:solidFill>
              <a:latin typeface="Arial"/>
              <a:cs typeface="Arial"/>
            </a:rPr>
            <a:t> removals (</a:t>
          </a:r>
          <a:r>
            <a:rPr lang="en-US" sz="1000" b="1" i="0" u="none" strike="noStrike">
              <a:solidFill>
                <a:srgbClr val="0C769E"/>
              </a:solidFill>
              <a:latin typeface="Arial"/>
              <a:cs typeface="Arial"/>
            </a:rPr>
            <a:t>Net emissions)</a:t>
          </a:r>
          <a:endParaRPr lang="en-AU" sz="1000" b="1">
            <a:solidFill>
              <a:srgbClr val="0C769E"/>
            </a:solidFill>
          </a:endParaRPr>
        </a:p>
      </xdr:txBody>
    </xdr:sp>
    <xdr:clientData/>
  </xdr:twoCellAnchor>
  <xdr:twoCellAnchor>
    <xdr:from>
      <xdr:col>10</xdr:col>
      <xdr:colOff>1625973</xdr:colOff>
      <xdr:row>11</xdr:row>
      <xdr:rowOff>49869</xdr:rowOff>
    </xdr:from>
    <xdr:to>
      <xdr:col>11</xdr:col>
      <xdr:colOff>1114424</xdr:colOff>
      <xdr:row>12</xdr:row>
      <xdr:rowOff>131110</xdr:rowOff>
    </xdr:to>
    <xdr:sp macro="" textlink="$J$44">
      <xdr:nvSpPr>
        <xdr:cNvPr id="127" name="TextBox 126">
          <a:extLst>
            <a:ext uri="{FF2B5EF4-FFF2-40B4-BE49-F238E27FC236}">
              <a16:creationId xmlns:a16="http://schemas.microsoft.com/office/drawing/2014/main" id="{8DD443D0-877D-4B48-A6F9-9EFB161C93B0}"/>
            </a:ext>
          </a:extLst>
        </xdr:cNvPr>
        <xdr:cNvSpPr txBox="1"/>
      </xdr:nvSpPr>
      <xdr:spPr>
        <a:xfrm>
          <a:off x="20608738" y="2391898"/>
          <a:ext cx="1539127" cy="28294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000" b="0" i="0" u="none" strike="noStrike">
              <a:solidFill>
                <a:schemeClr val="bg2">
                  <a:lumMod val="50000"/>
                </a:schemeClr>
              </a:solidFill>
              <a:latin typeface="Arial"/>
              <a:cs typeface="Arial"/>
            </a:rPr>
            <a:t>Method 2</a:t>
          </a:r>
          <a:endParaRPr lang="en-AU" sz="1000" b="0">
            <a:solidFill>
              <a:schemeClr val="bg2">
                <a:lumMod val="50000"/>
              </a:schemeClr>
            </a:solidFill>
          </a:endParaRPr>
        </a:p>
      </xdr:txBody>
    </xdr:sp>
    <xdr:clientData/>
  </xdr:twoCellAnchor>
  <xdr:twoCellAnchor>
    <xdr:from>
      <xdr:col>8</xdr:col>
      <xdr:colOff>45944</xdr:colOff>
      <xdr:row>12</xdr:row>
      <xdr:rowOff>150161</xdr:rowOff>
    </xdr:from>
    <xdr:to>
      <xdr:col>10</xdr:col>
      <xdr:colOff>825874</xdr:colOff>
      <xdr:row>12</xdr:row>
      <xdr:rowOff>150161</xdr:rowOff>
    </xdr:to>
    <xdr:cxnSp macro="">
      <xdr:nvCxnSpPr>
        <xdr:cNvPr id="128" name="Straight Connector 127">
          <a:extLst>
            <a:ext uri="{FF2B5EF4-FFF2-40B4-BE49-F238E27FC236}">
              <a16:creationId xmlns:a16="http://schemas.microsoft.com/office/drawing/2014/main" id="{593D5B16-E085-43C5-90AD-DDF60874425E}"/>
            </a:ext>
          </a:extLst>
        </xdr:cNvPr>
        <xdr:cNvCxnSpPr/>
      </xdr:nvCxnSpPr>
      <xdr:spPr>
        <a:xfrm>
          <a:off x="14927356" y="2693896"/>
          <a:ext cx="4881283" cy="0"/>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twoCellAnchor>
    <xdr:from>
      <xdr:col>10</xdr:col>
      <xdr:colOff>1625973</xdr:colOff>
      <xdr:row>12</xdr:row>
      <xdr:rowOff>150161</xdr:rowOff>
    </xdr:from>
    <xdr:to>
      <xdr:col>16</xdr:col>
      <xdr:colOff>245968</xdr:colOff>
      <xdr:row>12</xdr:row>
      <xdr:rowOff>150161</xdr:rowOff>
    </xdr:to>
    <xdr:cxnSp macro="">
      <xdr:nvCxnSpPr>
        <xdr:cNvPr id="129" name="Straight Connector 128">
          <a:extLst>
            <a:ext uri="{FF2B5EF4-FFF2-40B4-BE49-F238E27FC236}">
              <a16:creationId xmlns:a16="http://schemas.microsoft.com/office/drawing/2014/main" id="{2AB571DF-5C5B-42FD-A159-BF16300413E4}"/>
            </a:ext>
          </a:extLst>
        </xdr:cNvPr>
        <xdr:cNvCxnSpPr/>
      </xdr:nvCxnSpPr>
      <xdr:spPr>
        <a:xfrm>
          <a:off x="20608738" y="2693896"/>
          <a:ext cx="4850465" cy="0"/>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twoCellAnchor>
    <xdr:from>
      <xdr:col>8</xdr:col>
      <xdr:colOff>45944</xdr:colOff>
      <xdr:row>24</xdr:row>
      <xdr:rowOff>101976</xdr:rowOff>
    </xdr:from>
    <xdr:to>
      <xdr:col>8</xdr:col>
      <xdr:colOff>1582271</xdr:colOff>
      <xdr:row>25</xdr:row>
      <xdr:rowOff>181537</xdr:rowOff>
    </xdr:to>
    <xdr:sp macro="" textlink="$J$44">
      <xdr:nvSpPr>
        <xdr:cNvPr id="130" name="TextBox 129">
          <a:extLst>
            <a:ext uri="{FF2B5EF4-FFF2-40B4-BE49-F238E27FC236}">
              <a16:creationId xmlns:a16="http://schemas.microsoft.com/office/drawing/2014/main" id="{0DA019AB-003E-473D-81BF-43411D2DD9F4}"/>
            </a:ext>
          </a:extLst>
        </xdr:cNvPr>
        <xdr:cNvSpPr txBox="1"/>
      </xdr:nvSpPr>
      <xdr:spPr>
        <a:xfrm>
          <a:off x="14927356" y="5066182"/>
          <a:ext cx="1536327" cy="2812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000" b="1" i="0" u="none" strike="noStrike">
              <a:solidFill>
                <a:srgbClr val="4F4789"/>
              </a:solidFill>
              <a:latin typeface="Arial"/>
              <a:cs typeface="Arial"/>
            </a:rPr>
            <a:t>Excluding removals</a:t>
          </a:r>
          <a:endParaRPr lang="en-AU" sz="1000" b="1">
            <a:solidFill>
              <a:srgbClr val="4F4789"/>
            </a:solidFill>
          </a:endParaRPr>
        </a:p>
      </xdr:txBody>
    </xdr:sp>
    <xdr:clientData/>
  </xdr:twoCellAnchor>
  <xdr:twoCellAnchor>
    <xdr:from>
      <xdr:col>9</xdr:col>
      <xdr:colOff>413019</xdr:colOff>
      <xdr:row>24</xdr:row>
      <xdr:rowOff>101976</xdr:rowOff>
    </xdr:from>
    <xdr:to>
      <xdr:col>10</xdr:col>
      <xdr:colOff>940174</xdr:colOff>
      <xdr:row>25</xdr:row>
      <xdr:rowOff>181537</xdr:rowOff>
    </xdr:to>
    <xdr:sp macro="" textlink="$J$44">
      <xdr:nvSpPr>
        <xdr:cNvPr id="131" name="TextBox 130">
          <a:extLst>
            <a:ext uri="{FF2B5EF4-FFF2-40B4-BE49-F238E27FC236}">
              <a16:creationId xmlns:a16="http://schemas.microsoft.com/office/drawing/2014/main" id="{4C6F196D-619D-46FB-8FE0-04B90593A643}"/>
            </a:ext>
          </a:extLst>
        </xdr:cNvPr>
        <xdr:cNvSpPr txBox="1"/>
      </xdr:nvSpPr>
      <xdr:spPr>
        <a:xfrm>
          <a:off x="17345107" y="5066182"/>
          <a:ext cx="2577832" cy="2812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000" b="1" i="0" u="none" strike="noStrike">
              <a:solidFill>
                <a:srgbClr val="4F4789"/>
              </a:solidFill>
              <a:latin typeface="Arial"/>
              <a:cs typeface="Arial"/>
            </a:rPr>
            <a:t>Including</a:t>
          </a:r>
          <a:r>
            <a:rPr lang="en-US" sz="1000" b="1" i="0" u="none" strike="noStrike" baseline="0">
              <a:solidFill>
                <a:srgbClr val="4F4789"/>
              </a:solidFill>
              <a:latin typeface="Arial"/>
              <a:cs typeface="Arial"/>
            </a:rPr>
            <a:t> removals (</a:t>
          </a:r>
          <a:r>
            <a:rPr lang="en-US" sz="1000" b="1" i="0" u="none" strike="noStrike">
              <a:solidFill>
                <a:srgbClr val="4F4789"/>
              </a:solidFill>
              <a:latin typeface="Arial"/>
              <a:cs typeface="Arial"/>
            </a:rPr>
            <a:t>Net emissions)</a:t>
          </a:r>
          <a:endParaRPr lang="en-AU" sz="1000" b="1">
            <a:solidFill>
              <a:srgbClr val="4F4789"/>
            </a:solidFill>
          </a:endParaRPr>
        </a:p>
      </xdr:txBody>
    </xdr:sp>
    <xdr:clientData/>
  </xdr:twoCellAnchor>
  <xdr:twoCellAnchor>
    <xdr:from>
      <xdr:col>8</xdr:col>
      <xdr:colOff>45944</xdr:colOff>
      <xdr:row>22</xdr:row>
      <xdr:rowOff>128870</xdr:rowOff>
    </xdr:from>
    <xdr:to>
      <xdr:col>8</xdr:col>
      <xdr:colOff>1582271</xdr:colOff>
      <xdr:row>24</xdr:row>
      <xdr:rowOff>5044</xdr:rowOff>
    </xdr:to>
    <xdr:sp macro="" textlink="$J$44">
      <xdr:nvSpPr>
        <xdr:cNvPr id="132" name="TextBox 131">
          <a:extLst>
            <a:ext uri="{FF2B5EF4-FFF2-40B4-BE49-F238E27FC236}">
              <a16:creationId xmlns:a16="http://schemas.microsoft.com/office/drawing/2014/main" id="{A02BABC0-5DAF-49A3-B783-F2AFC0ADBF08}"/>
            </a:ext>
          </a:extLst>
        </xdr:cNvPr>
        <xdr:cNvSpPr txBox="1"/>
      </xdr:nvSpPr>
      <xdr:spPr>
        <a:xfrm>
          <a:off x="14927356" y="4689664"/>
          <a:ext cx="1536327" cy="2795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000" b="0" i="0" u="none" strike="noStrike">
              <a:solidFill>
                <a:schemeClr val="bg2">
                  <a:lumMod val="50000"/>
                </a:schemeClr>
              </a:solidFill>
              <a:latin typeface="Arial"/>
              <a:cs typeface="Arial"/>
            </a:rPr>
            <a:t>Method 1</a:t>
          </a:r>
          <a:endParaRPr lang="en-AU" sz="1000" b="0">
            <a:solidFill>
              <a:schemeClr val="bg2">
                <a:lumMod val="50000"/>
              </a:schemeClr>
            </a:solidFill>
          </a:endParaRPr>
        </a:p>
      </xdr:txBody>
    </xdr:sp>
    <xdr:clientData/>
  </xdr:twoCellAnchor>
  <xdr:oneCellAnchor>
    <xdr:from>
      <xdr:col>8</xdr:col>
      <xdr:colOff>45944</xdr:colOff>
      <xdr:row>16</xdr:row>
      <xdr:rowOff>118785</xdr:rowOff>
    </xdr:from>
    <xdr:ext cx="1978747" cy="254493"/>
    <xdr:sp macro="" textlink="">
      <xdr:nvSpPr>
        <xdr:cNvPr id="133" name="TextBox 132">
          <a:extLst>
            <a:ext uri="{FF2B5EF4-FFF2-40B4-BE49-F238E27FC236}">
              <a16:creationId xmlns:a16="http://schemas.microsoft.com/office/drawing/2014/main" id="{5BEAE6F4-A469-4529-BD18-DF188FC38E0C}"/>
            </a:ext>
          </a:extLst>
        </xdr:cNvPr>
        <xdr:cNvSpPr txBox="1"/>
      </xdr:nvSpPr>
      <xdr:spPr>
        <a:xfrm>
          <a:off x="14927356" y="3469344"/>
          <a:ext cx="1978747" cy="25449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AU" sz="1000" b="0" i="1" u="none" strike="noStrike">
              <a:solidFill>
                <a:schemeClr val="bg2">
                  <a:lumMod val="50000"/>
                </a:schemeClr>
              </a:solidFill>
              <a:effectLst/>
              <a:latin typeface="+mn-lt"/>
              <a:ea typeface="+mn-ea"/>
              <a:cs typeface="+mn-cs"/>
            </a:rPr>
            <a:t>t CO2-e / tonne liveweight sold</a:t>
          </a:r>
          <a:r>
            <a:rPr lang="en-AU">
              <a:solidFill>
                <a:schemeClr val="bg2">
                  <a:lumMod val="50000"/>
                </a:schemeClr>
              </a:solidFill>
              <a:effectLst/>
            </a:rPr>
            <a:t> </a:t>
          </a:r>
          <a:endParaRPr lang="en-AU" sz="1000">
            <a:solidFill>
              <a:schemeClr val="bg2">
                <a:lumMod val="50000"/>
              </a:schemeClr>
            </a:solidFill>
          </a:endParaRPr>
        </a:p>
      </xdr:txBody>
    </xdr:sp>
    <xdr:clientData/>
  </xdr:oneCellAnchor>
  <xdr:twoCellAnchor>
    <xdr:from>
      <xdr:col>8</xdr:col>
      <xdr:colOff>84044</xdr:colOff>
      <xdr:row>20</xdr:row>
      <xdr:rowOff>135033</xdr:rowOff>
    </xdr:from>
    <xdr:to>
      <xdr:col>9</xdr:col>
      <xdr:colOff>222997</xdr:colOff>
      <xdr:row>22</xdr:row>
      <xdr:rowOff>98614</xdr:rowOff>
    </xdr:to>
    <xdr:sp macro="" textlink="">
      <xdr:nvSpPr>
        <xdr:cNvPr id="134" name="TextBox 133">
          <a:extLst>
            <a:ext uri="{FF2B5EF4-FFF2-40B4-BE49-F238E27FC236}">
              <a16:creationId xmlns:a16="http://schemas.microsoft.com/office/drawing/2014/main" id="{713370C2-2091-48AA-A49A-F396F8D6BB6A}"/>
            </a:ext>
          </a:extLst>
        </xdr:cNvPr>
        <xdr:cNvSpPr txBox="1"/>
      </xdr:nvSpPr>
      <xdr:spPr>
        <a:xfrm>
          <a:off x="14965456" y="4292415"/>
          <a:ext cx="2189629" cy="3669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U" sz="1400">
              <a:solidFill>
                <a:srgbClr val="4F4789"/>
              </a:solidFill>
            </a:rPr>
            <a:t>Economic allocation</a:t>
          </a:r>
        </a:p>
      </xdr:txBody>
    </xdr:sp>
    <xdr:clientData/>
  </xdr:twoCellAnchor>
  <xdr:twoCellAnchor>
    <xdr:from>
      <xdr:col>8</xdr:col>
      <xdr:colOff>93569</xdr:colOff>
      <xdr:row>22</xdr:row>
      <xdr:rowOff>102663</xdr:rowOff>
    </xdr:from>
    <xdr:to>
      <xdr:col>16</xdr:col>
      <xdr:colOff>274544</xdr:colOff>
      <xdr:row>22</xdr:row>
      <xdr:rowOff>119345</xdr:rowOff>
    </xdr:to>
    <xdr:cxnSp macro="">
      <xdr:nvCxnSpPr>
        <xdr:cNvPr id="135" name="Straight Connector 134">
          <a:extLst>
            <a:ext uri="{FF2B5EF4-FFF2-40B4-BE49-F238E27FC236}">
              <a16:creationId xmlns:a16="http://schemas.microsoft.com/office/drawing/2014/main" id="{57950CED-40BA-47D5-92A1-594ACE6748DD}"/>
            </a:ext>
          </a:extLst>
        </xdr:cNvPr>
        <xdr:cNvCxnSpPr/>
      </xdr:nvCxnSpPr>
      <xdr:spPr>
        <a:xfrm flipV="1">
          <a:off x="14974981" y="4663457"/>
          <a:ext cx="10512798" cy="16682"/>
        </a:xfrm>
        <a:prstGeom prst="line">
          <a:avLst/>
        </a:prstGeom>
        <a:ln>
          <a:solidFill>
            <a:srgbClr val="4F4789"/>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10</xdr:col>
      <xdr:colOff>1625973</xdr:colOff>
      <xdr:row>24</xdr:row>
      <xdr:rowOff>101976</xdr:rowOff>
    </xdr:from>
    <xdr:to>
      <xdr:col>11</xdr:col>
      <xdr:colOff>1114424</xdr:colOff>
      <xdr:row>25</xdr:row>
      <xdr:rowOff>181537</xdr:rowOff>
    </xdr:to>
    <xdr:sp macro="" textlink="$J$44">
      <xdr:nvSpPr>
        <xdr:cNvPr id="136" name="TextBox 135">
          <a:extLst>
            <a:ext uri="{FF2B5EF4-FFF2-40B4-BE49-F238E27FC236}">
              <a16:creationId xmlns:a16="http://schemas.microsoft.com/office/drawing/2014/main" id="{C9C942F3-303F-48CA-A130-672026B5F0BA}"/>
            </a:ext>
          </a:extLst>
        </xdr:cNvPr>
        <xdr:cNvSpPr txBox="1"/>
      </xdr:nvSpPr>
      <xdr:spPr>
        <a:xfrm>
          <a:off x="20608738" y="5066182"/>
          <a:ext cx="1539127" cy="2812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000" b="1" i="0" u="none" strike="noStrike">
              <a:solidFill>
                <a:srgbClr val="4F4789"/>
              </a:solidFill>
              <a:latin typeface="Arial"/>
              <a:cs typeface="Arial"/>
            </a:rPr>
            <a:t>Excluding removals</a:t>
          </a:r>
          <a:endParaRPr lang="en-AU" sz="1000" b="1">
            <a:solidFill>
              <a:srgbClr val="4F4789"/>
            </a:solidFill>
          </a:endParaRPr>
        </a:p>
      </xdr:txBody>
    </xdr:sp>
    <xdr:clientData/>
  </xdr:twoCellAnchor>
  <xdr:twoCellAnchor>
    <xdr:from>
      <xdr:col>12</xdr:col>
      <xdr:colOff>76200</xdr:colOff>
      <xdr:row>24</xdr:row>
      <xdr:rowOff>92451</xdr:rowOff>
    </xdr:from>
    <xdr:to>
      <xdr:col>16</xdr:col>
      <xdr:colOff>494097</xdr:colOff>
      <xdr:row>25</xdr:row>
      <xdr:rowOff>172012</xdr:rowOff>
    </xdr:to>
    <xdr:sp macro="" textlink="$J$44">
      <xdr:nvSpPr>
        <xdr:cNvPr id="137" name="TextBox 136">
          <a:extLst>
            <a:ext uri="{FF2B5EF4-FFF2-40B4-BE49-F238E27FC236}">
              <a16:creationId xmlns:a16="http://schemas.microsoft.com/office/drawing/2014/main" id="{AE95A3F3-6351-400B-B0B7-C591991FF9A7}"/>
            </a:ext>
          </a:extLst>
        </xdr:cNvPr>
        <xdr:cNvSpPr txBox="1"/>
      </xdr:nvSpPr>
      <xdr:spPr>
        <a:xfrm>
          <a:off x="23160318" y="5056657"/>
          <a:ext cx="2547014" cy="2812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000" b="1" i="0" u="none" strike="noStrike">
              <a:solidFill>
                <a:srgbClr val="4F4789"/>
              </a:solidFill>
              <a:latin typeface="Arial"/>
              <a:cs typeface="Arial"/>
            </a:rPr>
            <a:t>Including</a:t>
          </a:r>
          <a:r>
            <a:rPr lang="en-US" sz="1000" b="1" i="0" u="none" strike="noStrike" baseline="0">
              <a:solidFill>
                <a:srgbClr val="4F4789"/>
              </a:solidFill>
              <a:latin typeface="Arial"/>
              <a:cs typeface="Arial"/>
            </a:rPr>
            <a:t> removals (</a:t>
          </a:r>
          <a:r>
            <a:rPr lang="en-US" sz="1000" b="1" i="0" u="none" strike="noStrike">
              <a:solidFill>
                <a:srgbClr val="4F4789"/>
              </a:solidFill>
              <a:latin typeface="Arial"/>
              <a:cs typeface="Arial"/>
            </a:rPr>
            <a:t>Net emissions)</a:t>
          </a:r>
          <a:endParaRPr lang="en-AU" sz="1000" b="1">
            <a:solidFill>
              <a:srgbClr val="4F4789"/>
            </a:solidFill>
          </a:endParaRPr>
        </a:p>
      </xdr:txBody>
    </xdr:sp>
    <xdr:clientData/>
  </xdr:twoCellAnchor>
  <xdr:twoCellAnchor>
    <xdr:from>
      <xdr:col>10</xdr:col>
      <xdr:colOff>1625973</xdr:colOff>
      <xdr:row>22</xdr:row>
      <xdr:rowOff>128870</xdr:rowOff>
    </xdr:from>
    <xdr:to>
      <xdr:col>11</xdr:col>
      <xdr:colOff>1114424</xdr:colOff>
      <xdr:row>24</xdr:row>
      <xdr:rowOff>5044</xdr:rowOff>
    </xdr:to>
    <xdr:sp macro="" textlink="$J$44">
      <xdr:nvSpPr>
        <xdr:cNvPr id="138" name="TextBox 137">
          <a:extLst>
            <a:ext uri="{FF2B5EF4-FFF2-40B4-BE49-F238E27FC236}">
              <a16:creationId xmlns:a16="http://schemas.microsoft.com/office/drawing/2014/main" id="{5053AE32-979E-4913-909F-0061D38A4654}"/>
            </a:ext>
          </a:extLst>
        </xdr:cNvPr>
        <xdr:cNvSpPr txBox="1"/>
      </xdr:nvSpPr>
      <xdr:spPr>
        <a:xfrm>
          <a:off x="20608738" y="4689664"/>
          <a:ext cx="1539127" cy="2795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000" b="0" i="0" u="none" strike="noStrike">
              <a:solidFill>
                <a:schemeClr val="bg2">
                  <a:lumMod val="50000"/>
                </a:schemeClr>
              </a:solidFill>
              <a:latin typeface="Arial"/>
              <a:cs typeface="Arial"/>
            </a:rPr>
            <a:t>Method 2</a:t>
          </a:r>
          <a:endParaRPr lang="en-AU" sz="1000" b="0">
            <a:solidFill>
              <a:schemeClr val="bg2">
                <a:lumMod val="50000"/>
              </a:schemeClr>
            </a:solidFill>
          </a:endParaRPr>
        </a:p>
      </xdr:txBody>
    </xdr:sp>
    <xdr:clientData/>
  </xdr:twoCellAnchor>
  <xdr:twoCellAnchor>
    <xdr:from>
      <xdr:col>8</xdr:col>
      <xdr:colOff>45944</xdr:colOff>
      <xdr:row>24</xdr:row>
      <xdr:rowOff>24095</xdr:rowOff>
    </xdr:from>
    <xdr:to>
      <xdr:col>10</xdr:col>
      <xdr:colOff>854449</xdr:colOff>
      <xdr:row>24</xdr:row>
      <xdr:rowOff>24095</xdr:rowOff>
    </xdr:to>
    <xdr:cxnSp macro="">
      <xdr:nvCxnSpPr>
        <xdr:cNvPr id="139" name="Straight Connector 138">
          <a:extLst>
            <a:ext uri="{FF2B5EF4-FFF2-40B4-BE49-F238E27FC236}">
              <a16:creationId xmlns:a16="http://schemas.microsoft.com/office/drawing/2014/main" id="{1C551705-F718-4730-98AE-F113C19CCA9B}"/>
            </a:ext>
          </a:extLst>
        </xdr:cNvPr>
        <xdr:cNvCxnSpPr/>
      </xdr:nvCxnSpPr>
      <xdr:spPr>
        <a:xfrm>
          <a:off x="14927356" y="4988301"/>
          <a:ext cx="4909858" cy="0"/>
        </a:xfrm>
        <a:prstGeom prst="line">
          <a:avLst/>
        </a:prstGeom>
        <a:ln>
          <a:solidFill>
            <a:srgbClr val="4F4789"/>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10</xdr:col>
      <xdr:colOff>1625973</xdr:colOff>
      <xdr:row>24</xdr:row>
      <xdr:rowOff>24095</xdr:rowOff>
    </xdr:from>
    <xdr:to>
      <xdr:col>16</xdr:col>
      <xdr:colOff>284068</xdr:colOff>
      <xdr:row>24</xdr:row>
      <xdr:rowOff>24095</xdr:rowOff>
    </xdr:to>
    <xdr:cxnSp macro="">
      <xdr:nvCxnSpPr>
        <xdr:cNvPr id="140" name="Straight Connector 139">
          <a:extLst>
            <a:ext uri="{FF2B5EF4-FFF2-40B4-BE49-F238E27FC236}">
              <a16:creationId xmlns:a16="http://schemas.microsoft.com/office/drawing/2014/main" id="{A957B890-811D-439D-B3C0-8C3ECDF0EF99}"/>
            </a:ext>
          </a:extLst>
        </xdr:cNvPr>
        <xdr:cNvCxnSpPr/>
      </xdr:nvCxnSpPr>
      <xdr:spPr>
        <a:xfrm>
          <a:off x="20608738" y="4988301"/>
          <a:ext cx="4888565" cy="0"/>
        </a:xfrm>
        <a:prstGeom prst="line">
          <a:avLst/>
        </a:prstGeom>
        <a:ln>
          <a:solidFill>
            <a:srgbClr val="4F4789"/>
          </a:solidFill>
        </a:ln>
      </xdr:spPr>
      <xdr:style>
        <a:lnRef idx="2">
          <a:schemeClr val="accent1"/>
        </a:lnRef>
        <a:fillRef idx="0">
          <a:schemeClr val="accent1"/>
        </a:fillRef>
        <a:effectRef idx="1">
          <a:schemeClr val="accent1"/>
        </a:effectRef>
        <a:fontRef idx="minor">
          <a:schemeClr val="tx1"/>
        </a:fontRef>
      </xdr:style>
    </xdr:cxnSp>
    <xdr:clientData/>
  </xdr:twoCellAnchor>
  <xdr:oneCellAnchor>
    <xdr:from>
      <xdr:col>9</xdr:col>
      <xdr:colOff>327772</xdr:colOff>
      <xdr:row>16</xdr:row>
      <xdr:rowOff>118785</xdr:rowOff>
    </xdr:from>
    <xdr:ext cx="1978747" cy="254493"/>
    <xdr:sp macro="" textlink="">
      <xdr:nvSpPr>
        <xdr:cNvPr id="141" name="TextBox 140">
          <a:extLst>
            <a:ext uri="{FF2B5EF4-FFF2-40B4-BE49-F238E27FC236}">
              <a16:creationId xmlns:a16="http://schemas.microsoft.com/office/drawing/2014/main" id="{35672F5B-FDA1-4729-93CE-4E5E4B0055CD}"/>
            </a:ext>
          </a:extLst>
        </xdr:cNvPr>
        <xdr:cNvSpPr txBox="1"/>
      </xdr:nvSpPr>
      <xdr:spPr>
        <a:xfrm>
          <a:off x="17259860" y="3469344"/>
          <a:ext cx="1978747" cy="25449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AU" sz="1000" b="0" i="1" u="none" strike="noStrike">
              <a:solidFill>
                <a:schemeClr val="bg2">
                  <a:lumMod val="50000"/>
                </a:schemeClr>
              </a:solidFill>
              <a:effectLst/>
              <a:latin typeface="+mn-lt"/>
              <a:ea typeface="+mn-ea"/>
              <a:cs typeface="+mn-cs"/>
            </a:rPr>
            <a:t>t CO2-e / tonne liveweight sold</a:t>
          </a:r>
          <a:r>
            <a:rPr lang="en-AU">
              <a:solidFill>
                <a:schemeClr val="bg2">
                  <a:lumMod val="50000"/>
                </a:schemeClr>
              </a:solidFill>
              <a:effectLst/>
            </a:rPr>
            <a:t> </a:t>
          </a:r>
          <a:endParaRPr lang="en-AU" sz="1000">
            <a:solidFill>
              <a:schemeClr val="bg2">
                <a:lumMod val="50000"/>
              </a:schemeClr>
            </a:solidFill>
          </a:endParaRPr>
        </a:p>
      </xdr:txBody>
    </xdr:sp>
    <xdr:clientData/>
  </xdr:oneCellAnchor>
  <xdr:oneCellAnchor>
    <xdr:from>
      <xdr:col>10</xdr:col>
      <xdr:colOff>1625973</xdr:colOff>
      <xdr:row>16</xdr:row>
      <xdr:rowOff>118785</xdr:rowOff>
    </xdr:from>
    <xdr:ext cx="1978747" cy="254493"/>
    <xdr:sp macro="" textlink="">
      <xdr:nvSpPr>
        <xdr:cNvPr id="142" name="TextBox 141">
          <a:extLst>
            <a:ext uri="{FF2B5EF4-FFF2-40B4-BE49-F238E27FC236}">
              <a16:creationId xmlns:a16="http://schemas.microsoft.com/office/drawing/2014/main" id="{EB5DC473-4D15-45DE-B500-7AA129D4879C}"/>
            </a:ext>
          </a:extLst>
        </xdr:cNvPr>
        <xdr:cNvSpPr txBox="1"/>
      </xdr:nvSpPr>
      <xdr:spPr>
        <a:xfrm>
          <a:off x="20608738" y="3469344"/>
          <a:ext cx="1978747" cy="25449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AU" sz="1000" b="0" i="1" u="none" strike="noStrike">
              <a:solidFill>
                <a:schemeClr val="bg2">
                  <a:lumMod val="50000"/>
                </a:schemeClr>
              </a:solidFill>
              <a:effectLst/>
              <a:latin typeface="+mn-lt"/>
              <a:ea typeface="+mn-ea"/>
              <a:cs typeface="+mn-cs"/>
            </a:rPr>
            <a:t>t CO2-e / tonne liveweight sold</a:t>
          </a:r>
          <a:r>
            <a:rPr lang="en-AU">
              <a:solidFill>
                <a:schemeClr val="bg2">
                  <a:lumMod val="50000"/>
                </a:schemeClr>
              </a:solidFill>
              <a:effectLst/>
            </a:rPr>
            <a:t> </a:t>
          </a:r>
          <a:endParaRPr lang="en-AU" sz="1000">
            <a:solidFill>
              <a:schemeClr val="bg2">
                <a:lumMod val="50000"/>
              </a:schemeClr>
            </a:solidFill>
          </a:endParaRPr>
        </a:p>
      </xdr:txBody>
    </xdr:sp>
    <xdr:clientData/>
  </xdr:oneCellAnchor>
  <xdr:oneCellAnchor>
    <xdr:from>
      <xdr:col>12</xdr:col>
      <xdr:colOff>9525</xdr:colOff>
      <xdr:row>16</xdr:row>
      <xdr:rowOff>118785</xdr:rowOff>
    </xdr:from>
    <xdr:ext cx="1978747" cy="254493"/>
    <xdr:sp macro="" textlink="">
      <xdr:nvSpPr>
        <xdr:cNvPr id="143" name="TextBox 142">
          <a:extLst>
            <a:ext uri="{FF2B5EF4-FFF2-40B4-BE49-F238E27FC236}">
              <a16:creationId xmlns:a16="http://schemas.microsoft.com/office/drawing/2014/main" id="{553A661D-9D5D-469E-A8C5-CCD6D3B7F8A3}"/>
            </a:ext>
          </a:extLst>
        </xdr:cNvPr>
        <xdr:cNvSpPr txBox="1"/>
      </xdr:nvSpPr>
      <xdr:spPr>
        <a:xfrm>
          <a:off x="23093643" y="3469344"/>
          <a:ext cx="1978747" cy="25449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AU" sz="1000" b="0" i="1" u="none" strike="noStrike">
              <a:solidFill>
                <a:schemeClr val="bg2">
                  <a:lumMod val="50000"/>
                </a:schemeClr>
              </a:solidFill>
              <a:effectLst/>
              <a:latin typeface="+mn-lt"/>
              <a:ea typeface="+mn-ea"/>
              <a:cs typeface="+mn-cs"/>
            </a:rPr>
            <a:t>t CO2-e / tonne liveweight sold</a:t>
          </a:r>
          <a:r>
            <a:rPr lang="en-AU">
              <a:solidFill>
                <a:schemeClr val="bg2">
                  <a:lumMod val="50000"/>
                </a:schemeClr>
              </a:solidFill>
              <a:effectLst/>
            </a:rPr>
            <a:t> </a:t>
          </a:r>
          <a:endParaRPr lang="en-AU" sz="1000">
            <a:solidFill>
              <a:schemeClr val="bg2">
                <a:lumMod val="50000"/>
              </a:schemeClr>
            </a:solidFill>
          </a:endParaRPr>
        </a:p>
      </xdr:txBody>
    </xdr:sp>
    <xdr:clientData/>
  </xdr:oneCellAnchor>
  <xdr:oneCellAnchor>
    <xdr:from>
      <xdr:col>8</xdr:col>
      <xdr:colOff>45944</xdr:colOff>
      <xdr:row>28</xdr:row>
      <xdr:rowOff>87969</xdr:rowOff>
    </xdr:from>
    <xdr:ext cx="1978747" cy="254493"/>
    <xdr:sp macro="" textlink="">
      <xdr:nvSpPr>
        <xdr:cNvPr id="144" name="TextBox 143">
          <a:extLst>
            <a:ext uri="{FF2B5EF4-FFF2-40B4-BE49-F238E27FC236}">
              <a16:creationId xmlns:a16="http://schemas.microsoft.com/office/drawing/2014/main" id="{E0FE7C28-F96F-4355-A72F-E3EE4FDE5F93}"/>
            </a:ext>
          </a:extLst>
        </xdr:cNvPr>
        <xdr:cNvSpPr txBox="1"/>
      </xdr:nvSpPr>
      <xdr:spPr>
        <a:xfrm>
          <a:off x="14927356" y="5858998"/>
          <a:ext cx="1978747" cy="25449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AU" sz="1000" b="0" i="1" u="none" strike="noStrike">
              <a:solidFill>
                <a:schemeClr val="bg2">
                  <a:lumMod val="50000"/>
                </a:schemeClr>
              </a:solidFill>
              <a:effectLst/>
              <a:latin typeface="+mn-lt"/>
              <a:ea typeface="+mn-ea"/>
              <a:cs typeface="+mn-cs"/>
            </a:rPr>
            <a:t>t CO2-e / tonne liveweight sold</a:t>
          </a:r>
          <a:r>
            <a:rPr lang="en-AU">
              <a:solidFill>
                <a:schemeClr val="bg2">
                  <a:lumMod val="50000"/>
                </a:schemeClr>
              </a:solidFill>
              <a:effectLst/>
            </a:rPr>
            <a:t> </a:t>
          </a:r>
          <a:endParaRPr lang="en-AU" sz="1000">
            <a:solidFill>
              <a:schemeClr val="bg2">
                <a:lumMod val="50000"/>
              </a:schemeClr>
            </a:solidFill>
          </a:endParaRPr>
        </a:p>
      </xdr:txBody>
    </xdr:sp>
    <xdr:clientData/>
  </xdr:oneCellAnchor>
  <xdr:oneCellAnchor>
    <xdr:from>
      <xdr:col>9</xdr:col>
      <xdr:colOff>337297</xdr:colOff>
      <xdr:row>28</xdr:row>
      <xdr:rowOff>87969</xdr:rowOff>
    </xdr:from>
    <xdr:ext cx="1978747" cy="254493"/>
    <xdr:sp macro="" textlink="">
      <xdr:nvSpPr>
        <xdr:cNvPr id="145" name="TextBox 144">
          <a:extLst>
            <a:ext uri="{FF2B5EF4-FFF2-40B4-BE49-F238E27FC236}">
              <a16:creationId xmlns:a16="http://schemas.microsoft.com/office/drawing/2014/main" id="{909997E3-9706-4CF2-ADF6-6A2F31B395A2}"/>
            </a:ext>
          </a:extLst>
        </xdr:cNvPr>
        <xdr:cNvSpPr txBox="1"/>
      </xdr:nvSpPr>
      <xdr:spPr>
        <a:xfrm>
          <a:off x="17269385" y="5858998"/>
          <a:ext cx="1978747" cy="25449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AU" sz="1000" b="0" i="1" u="none" strike="noStrike">
              <a:solidFill>
                <a:schemeClr val="bg2">
                  <a:lumMod val="50000"/>
                </a:schemeClr>
              </a:solidFill>
              <a:effectLst/>
              <a:latin typeface="+mn-lt"/>
              <a:ea typeface="+mn-ea"/>
              <a:cs typeface="+mn-cs"/>
            </a:rPr>
            <a:t>t CO2-e / tonne liveweight sold</a:t>
          </a:r>
          <a:r>
            <a:rPr lang="en-AU">
              <a:solidFill>
                <a:schemeClr val="bg2">
                  <a:lumMod val="50000"/>
                </a:schemeClr>
              </a:solidFill>
              <a:effectLst/>
            </a:rPr>
            <a:t> </a:t>
          </a:r>
          <a:endParaRPr lang="en-AU" sz="1000">
            <a:solidFill>
              <a:schemeClr val="bg2">
                <a:lumMod val="50000"/>
              </a:schemeClr>
            </a:solidFill>
          </a:endParaRPr>
        </a:p>
      </xdr:txBody>
    </xdr:sp>
    <xdr:clientData/>
  </xdr:oneCellAnchor>
  <xdr:oneCellAnchor>
    <xdr:from>
      <xdr:col>10</xdr:col>
      <xdr:colOff>1625973</xdr:colOff>
      <xdr:row>28</xdr:row>
      <xdr:rowOff>87969</xdr:rowOff>
    </xdr:from>
    <xdr:ext cx="1978747" cy="254493"/>
    <xdr:sp macro="" textlink="">
      <xdr:nvSpPr>
        <xdr:cNvPr id="146" name="TextBox 145">
          <a:extLst>
            <a:ext uri="{FF2B5EF4-FFF2-40B4-BE49-F238E27FC236}">
              <a16:creationId xmlns:a16="http://schemas.microsoft.com/office/drawing/2014/main" id="{501ACC80-136B-4033-BB9E-6965D0E7FC12}"/>
            </a:ext>
          </a:extLst>
        </xdr:cNvPr>
        <xdr:cNvSpPr txBox="1"/>
      </xdr:nvSpPr>
      <xdr:spPr>
        <a:xfrm>
          <a:off x="20608738" y="5858998"/>
          <a:ext cx="1978747" cy="25449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AU" sz="1000" b="0" i="1" u="none" strike="noStrike">
              <a:solidFill>
                <a:schemeClr val="bg2">
                  <a:lumMod val="50000"/>
                </a:schemeClr>
              </a:solidFill>
              <a:effectLst/>
              <a:latin typeface="+mn-lt"/>
              <a:ea typeface="+mn-ea"/>
              <a:cs typeface="+mn-cs"/>
            </a:rPr>
            <a:t>t CO2-e / tonne liveweight sold</a:t>
          </a:r>
          <a:r>
            <a:rPr lang="en-AU">
              <a:solidFill>
                <a:schemeClr val="bg2">
                  <a:lumMod val="50000"/>
                </a:schemeClr>
              </a:solidFill>
              <a:effectLst/>
            </a:rPr>
            <a:t> </a:t>
          </a:r>
          <a:endParaRPr lang="en-AU" sz="1000">
            <a:solidFill>
              <a:schemeClr val="bg2">
                <a:lumMod val="50000"/>
              </a:schemeClr>
            </a:solidFill>
          </a:endParaRPr>
        </a:p>
      </xdr:txBody>
    </xdr:sp>
    <xdr:clientData/>
  </xdr:oneCellAnchor>
  <xdr:oneCellAnchor>
    <xdr:from>
      <xdr:col>12</xdr:col>
      <xdr:colOff>76200</xdr:colOff>
      <xdr:row>28</xdr:row>
      <xdr:rowOff>78444</xdr:rowOff>
    </xdr:from>
    <xdr:ext cx="1978747" cy="254493"/>
    <xdr:sp macro="" textlink="">
      <xdr:nvSpPr>
        <xdr:cNvPr id="147" name="TextBox 146">
          <a:extLst>
            <a:ext uri="{FF2B5EF4-FFF2-40B4-BE49-F238E27FC236}">
              <a16:creationId xmlns:a16="http://schemas.microsoft.com/office/drawing/2014/main" id="{A366835D-14D3-4260-8FCF-4521760D197F}"/>
            </a:ext>
          </a:extLst>
        </xdr:cNvPr>
        <xdr:cNvSpPr txBox="1"/>
      </xdr:nvSpPr>
      <xdr:spPr>
        <a:xfrm>
          <a:off x="23160318" y="5849473"/>
          <a:ext cx="1978747" cy="25449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AU" sz="1000" b="0" i="1" u="none" strike="noStrike">
              <a:solidFill>
                <a:schemeClr val="bg2">
                  <a:lumMod val="50000"/>
                </a:schemeClr>
              </a:solidFill>
              <a:effectLst/>
              <a:latin typeface="+mn-lt"/>
              <a:ea typeface="+mn-ea"/>
              <a:cs typeface="+mn-cs"/>
            </a:rPr>
            <a:t>t CO2-e / tonne liveweight sold</a:t>
          </a:r>
          <a:r>
            <a:rPr lang="en-AU">
              <a:solidFill>
                <a:schemeClr val="bg2">
                  <a:lumMod val="50000"/>
                </a:schemeClr>
              </a:solidFill>
              <a:effectLst/>
            </a:rPr>
            <a:t> </a:t>
          </a:r>
          <a:endParaRPr lang="en-AU" sz="1000">
            <a:solidFill>
              <a:schemeClr val="bg2">
                <a:lumMod val="50000"/>
              </a:schemeClr>
            </a:solidFill>
          </a:endParaRPr>
        </a:p>
      </xdr:txBody>
    </xdr:sp>
    <xdr:clientData/>
  </xdr:oneCellAnchor>
  <xdr:twoCellAnchor>
    <xdr:from>
      <xdr:col>9</xdr:col>
      <xdr:colOff>365872</xdr:colOff>
      <xdr:row>26</xdr:row>
      <xdr:rowOff>8407</xdr:rowOff>
    </xdr:from>
    <xdr:to>
      <xdr:col>10</xdr:col>
      <xdr:colOff>273424</xdr:colOff>
      <xdr:row>28</xdr:row>
      <xdr:rowOff>158005</xdr:rowOff>
    </xdr:to>
    <xdr:sp macro="" textlink="$J$55">
      <xdr:nvSpPr>
        <xdr:cNvPr id="148" name="TextBox 147">
          <a:extLst>
            <a:ext uri="{FF2B5EF4-FFF2-40B4-BE49-F238E27FC236}">
              <a16:creationId xmlns:a16="http://schemas.microsoft.com/office/drawing/2014/main" id="{6D21AB22-5675-4795-A71A-43DB36D24CCB}"/>
            </a:ext>
          </a:extLst>
        </xdr:cNvPr>
        <xdr:cNvSpPr txBox="1"/>
      </xdr:nvSpPr>
      <xdr:spPr>
        <a:xfrm>
          <a:off x="17297960" y="5376025"/>
          <a:ext cx="1958229" cy="55300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marL="0" indent="0"/>
          <a:fld id="{CB7BF3CE-0316-4BA7-A0BD-943D37538344}" type="TxLink">
            <a:rPr lang="en-US" sz="2600" b="1" i="0" u="none" strike="noStrike">
              <a:solidFill>
                <a:srgbClr val="4F4789"/>
              </a:solidFill>
              <a:latin typeface="Arial"/>
              <a:ea typeface="+mn-ea"/>
              <a:cs typeface="Arial"/>
            </a:rPr>
            <a:pPr marL="0" indent="0"/>
            <a:t>#DIV/0!</a:t>
          </a:fld>
          <a:endParaRPr lang="en-AU" sz="2600" b="1" i="0" u="none" strike="noStrike">
            <a:solidFill>
              <a:srgbClr val="4F4789"/>
            </a:solidFill>
            <a:latin typeface="Arial"/>
            <a:ea typeface="+mn-ea"/>
            <a:cs typeface="Arial"/>
          </a:endParaRPr>
        </a:p>
      </xdr:txBody>
    </xdr:sp>
    <xdr:clientData/>
  </xdr:twoCellAnchor>
  <xdr:twoCellAnchor>
    <xdr:from>
      <xdr:col>12</xdr:col>
      <xdr:colOff>66674</xdr:colOff>
      <xdr:row>26</xdr:row>
      <xdr:rowOff>27457</xdr:rowOff>
    </xdr:from>
    <xdr:to>
      <xdr:col>15</xdr:col>
      <xdr:colOff>498101</xdr:colOff>
      <xdr:row>28</xdr:row>
      <xdr:rowOff>129430</xdr:rowOff>
    </xdr:to>
    <xdr:sp macro="" textlink="$K$55">
      <xdr:nvSpPr>
        <xdr:cNvPr id="149" name="TextBox 148">
          <a:extLst>
            <a:ext uri="{FF2B5EF4-FFF2-40B4-BE49-F238E27FC236}">
              <a16:creationId xmlns:a16="http://schemas.microsoft.com/office/drawing/2014/main" id="{B797EABB-6975-451A-A50B-63C69175BAE7}"/>
            </a:ext>
          </a:extLst>
        </xdr:cNvPr>
        <xdr:cNvSpPr txBox="1"/>
      </xdr:nvSpPr>
      <xdr:spPr>
        <a:xfrm>
          <a:off x="23150792" y="5395075"/>
          <a:ext cx="1955427" cy="5053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marL="0" indent="0"/>
          <a:fld id="{50191ECC-A3E9-4A88-BA70-A94CDD98CFD4}" type="TxLink">
            <a:rPr lang="en-US" sz="2600" b="1" i="0" u="none" strike="noStrike">
              <a:solidFill>
                <a:srgbClr val="4F4789"/>
              </a:solidFill>
              <a:latin typeface="Arial"/>
              <a:ea typeface="+mn-ea"/>
              <a:cs typeface="Arial"/>
            </a:rPr>
            <a:pPr marL="0" indent="0"/>
            <a:t>#DIV/0!</a:t>
          </a:fld>
          <a:endParaRPr lang="en-AU" sz="2600" b="1" i="0" u="none" strike="noStrike">
            <a:solidFill>
              <a:srgbClr val="4F4789"/>
            </a:solidFill>
            <a:latin typeface="Arial"/>
            <a:ea typeface="+mn-ea"/>
            <a:cs typeface="Arial"/>
          </a:endParaRPr>
        </a:p>
      </xdr:txBody>
    </xdr:sp>
    <xdr:clientData/>
  </xdr:twoCellAnchor>
  <xdr:twoCellAnchor>
    <xdr:from>
      <xdr:col>3</xdr:col>
      <xdr:colOff>1056715</xdr:colOff>
      <xdr:row>5</xdr:row>
      <xdr:rowOff>148481</xdr:rowOff>
    </xdr:from>
    <xdr:to>
      <xdr:col>4</xdr:col>
      <xdr:colOff>551890</xdr:colOff>
      <xdr:row>7</xdr:row>
      <xdr:rowOff>127190</xdr:rowOff>
    </xdr:to>
    <xdr:sp macro="" textlink="">
      <xdr:nvSpPr>
        <xdr:cNvPr id="150" name="TextBox 149">
          <a:extLst>
            <a:ext uri="{FF2B5EF4-FFF2-40B4-BE49-F238E27FC236}">
              <a16:creationId xmlns:a16="http://schemas.microsoft.com/office/drawing/2014/main" id="{4FAAC798-3702-4E1F-B3A5-37D62A165ADA}"/>
            </a:ext>
          </a:extLst>
        </xdr:cNvPr>
        <xdr:cNvSpPr txBox="1"/>
      </xdr:nvSpPr>
      <xdr:spPr>
        <a:xfrm>
          <a:off x="3734921" y="1280275"/>
          <a:ext cx="3495675" cy="38212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U" sz="1800"/>
            <a:t>Liveweight sold</a:t>
          </a:r>
        </a:p>
      </xdr:txBody>
    </xdr:sp>
    <xdr:clientData/>
  </xdr:twoCellAnchor>
  <xdr:twoCellAnchor editAs="oneCell">
    <xdr:from>
      <xdr:col>3</xdr:col>
      <xdr:colOff>104216</xdr:colOff>
      <xdr:row>4</xdr:row>
      <xdr:rowOff>127749</xdr:rowOff>
    </xdr:from>
    <xdr:to>
      <xdr:col>3</xdr:col>
      <xdr:colOff>945470</xdr:colOff>
      <xdr:row>8</xdr:row>
      <xdr:rowOff>114864</xdr:rowOff>
    </xdr:to>
    <xdr:pic>
      <xdr:nvPicPr>
        <xdr:cNvPr id="151" name="Picture 150">
          <a:extLst>
            <a:ext uri="{FF2B5EF4-FFF2-40B4-BE49-F238E27FC236}">
              <a16:creationId xmlns:a16="http://schemas.microsoft.com/office/drawing/2014/main" id="{87B3CDEE-84F8-4C4F-9819-68D7813DE7B3}"/>
            </a:ext>
          </a:extLst>
        </xdr:cNvPr>
        <xdr:cNvPicPr>
          <a:picLocks noChangeAspect="1"/>
        </xdr:cNvPicPr>
      </xdr:nvPicPr>
      <xdr:blipFill>
        <a:blip xmlns:r="http://schemas.openxmlformats.org/officeDocument/2006/relationships" r:embed="rId1"/>
        <a:stretch>
          <a:fillRect/>
        </a:stretch>
      </xdr:blipFill>
      <xdr:spPr>
        <a:xfrm>
          <a:off x="2782422" y="1057837"/>
          <a:ext cx="841254" cy="793939"/>
        </a:xfrm>
        <a:prstGeom prst="ellipse">
          <a:avLst/>
        </a:prstGeom>
        <a:ln w="38100" cap="rnd">
          <a:solidFill>
            <a:srgbClr val="333333"/>
          </a:solidFill>
        </a:ln>
        <a:effectLst>
          <a:outerShdw blurRad="50800" dist="38100" dir="5400000" algn="t" rotWithShape="0">
            <a:prstClr val="black">
              <a:alpha val="40000"/>
            </a:prstClr>
          </a:outerShdw>
        </a:effectLst>
        <a:scene3d>
          <a:camera prst="orthographicFront"/>
          <a:lightRig rig="contrasting" dir="t">
            <a:rot lat="0" lon="0" rev="3000000"/>
          </a:lightRig>
        </a:scene3d>
        <a:sp3d contourW="7620">
          <a:bevelT w="95250" h="31750"/>
          <a:contourClr>
            <a:srgbClr val="333333"/>
          </a:contourClr>
        </a:sp3d>
      </xdr:spPr>
    </xdr:pic>
    <xdr:clientData/>
  </xdr:twoCellAnchor>
  <xdr:twoCellAnchor>
    <xdr:from>
      <xdr:col>8</xdr:col>
      <xdr:colOff>1096496</xdr:colOff>
      <xdr:row>5</xdr:row>
      <xdr:rowOff>129431</xdr:rowOff>
    </xdr:from>
    <xdr:to>
      <xdr:col>10</xdr:col>
      <xdr:colOff>502024</xdr:colOff>
      <xdr:row>7</xdr:row>
      <xdr:rowOff>108140</xdr:rowOff>
    </xdr:to>
    <xdr:sp macro="" textlink="">
      <xdr:nvSpPr>
        <xdr:cNvPr id="152" name="TextBox 151">
          <a:extLst>
            <a:ext uri="{FF2B5EF4-FFF2-40B4-BE49-F238E27FC236}">
              <a16:creationId xmlns:a16="http://schemas.microsoft.com/office/drawing/2014/main" id="{22A64615-A9A4-4B7F-8E54-00964343F931}"/>
            </a:ext>
          </a:extLst>
        </xdr:cNvPr>
        <xdr:cNvSpPr txBox="1"/>
      </xdr:nvSpPr>
      <xdr:spPr>
        <a:xfrm>
          <a:off x="15977908" y="1261225"/>
          <a:ext cx="3506881" cy="38212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U" sz="1800"/>
            <a:t>Manure sold</a:t>
          </a:r>
        </a:p>
      </xdr:txBody>
    </xdr:sp>
    <xdr:clientData/>
  </xdr:twoCellAnchor>
  <xdr:twoCellAnchor editAs="oneCell">
    <xdr:from>
      <xdr:col>8</xdr:col>
      <xdr:colOff>86880</xdr:colOff>
      <xdr:row>4</xdr:row>
      <xdr:rowOff>89650</xdr:rowOff>
    </xdr:from>
    <xdr:to>
      <xdr:col>8</xdr:col>
      <xdr:colOff>1014522</xdr:colOff>
      <xdr:row>8</xdr:row>
      <xdr:rowOff>162488</xdr:rowOff>
    </xdr:to>
    <xdr:pic>
      <xdr:nvPicPr>
        <xdr:cNvPr id="153" name="Picture 152">
          <a:extLst>
            <a:ext uri="{FF2B5EF4-FFF2-40B4-BE49-F238E27FC236}">
              <a16:creationId xmlns:a16="http://schemas.microsoft.com/office/drawing/2014/main" id="{778A5294-029E-4960-AF2B-639326DC3A3D}"/>
            </a:ext>
          </a:extLst>
        </xdr:cNvPr>
        <xdr:cNvPicPr>
          <a:picLocks noChangeAspect="1"/>
        </xdr:cNvPicPr>
      </xdr:nvPicPr>
      <xdr:blipFill>
        <a:blip xmlns:r="http://schemas.openxmlformats.org/officeDocument/2006/relationships" r:embed="rId2"/>
        <a:stretch>
          <a:fillRect/>
        </a:stretch>
      </xdr:blipFill>
      <xdr:spPr>
        <a:xfrm flipH="1">
          <a:off x="14968292" y="1019738"/>
          <a:ext cx="927642" cy="879662"/>
        </a:xfrm>
        <a:prstGeom prst="ellipse">
          <a:avLst/>
        </a:prstGeom>
        <a:ln w="38100" cap="rnd">
          <a:solidFill>
            <a:srgbClr val="333333"/>
          </a:solidFill>
        </a:ln>
        <a:effectLst>
          <a:outerShdw blurRad="50800" dist="38100" dir="5400000" algn="t" rotWithShape="0">
            <a:prstClr val="black">
              <a:alpha val="40000"/>
            </a:prstClr>
          </a:outerShdw>
        </a:effectLst>
        <a:scene3d>
          <a:camera prst="orthographicFront"/>
          <a:lightRig rig="contrasting" dir="t">
            <a:rot lat="0" lon="0" rev="3000000"/>
          </a:lightRig>
        </a:scene3d>
        <a:sp3d contourW="7620">
          <a:bevelT w="95250" h="31750"/>
          <a:contourClr>
            <a:srgbClr val="333333"/>
          </a:contourClr>
        </a:sp3d>
      </xdr:spPr>
    </xdr:pic>
    <xdr:clientData/>
  </xdr:twoCellAnchor>
</xdr:wsDr>
</file>

<file path=xl/drawings/drawing3.xml><?xml version="1.0" encoding="utf-8"?>
<xdr:wsDr xmlns:xdr="http://schemas.openxmlformats.org/drawingml/2006/spreadsheetDrawing" xmlns:a="http://schemas.openxmlformats.org/drawingml/2006/main">
  <xdr:oneCellAnchor>
    <xdr:from>
      <xdr:col>2</xdr:col>
      <xdr:colOff>309562</xdr:colOff>
      <xdr:row>73</xdr:row>
      <xdr:rowOff>195262</xdr:rowOff>
    </xdr:from>
    <xdr:ext cx="1550360" cy="186333"/>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9DCB4F47-E0B8-43BA-B35F-6F6329043C3F}"/>
                </a:ext>
              </a:extLst>
            </xdr:cNvPr>
            <xdr:cNvSpPr txBox="1"/>
          </xdr:nvSpPr>
          <xdr:spPr>
            <a:xfrm>
              <a:off x="2671762" y="18407062"/>
              <a:ext cx="1550360" cy="18633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000" i="1">
                            <a:latin typeface="Cambria Math" panose="02040503050406030204" pitchFamily="18" charset="0"/>
                          </a:rPr>
                        </m:ctrlPr>
                      </m:sSubPr>
                      <m:e>
                        <m:r>
                          <a:rPr lang="en-AU" sz="1000" i="1">
                            <a:latin typeface="Cambria Math" panose="02040503050406030204" pitchFamily="18" charset="0"/>
                          </a:rPr>
                          <m:t>𝑀</m:t>
                        </m:r>
                      </m:e>
                      <m:sub>
                        <m:r>
                          <a:rPr lang="en-AU" sz="1000" i="1">
                            <a:latin typeface="Cambria Math" panose="02040503050406030204" pitchFamily="18" charset="0"/>
                          </a:rPr>
                          <m:t>𝑗𝑘𝑙</m:t>
                        </m:r>
                      </m:sub>
                    </m:sSub>
                    <m:r>
                      <a:rPr lang="en-AU" sz="1000" i="1">
                        <a:latin typeface="Cambria Math" panose="02040503050406030204" pitchFamily="18" charset="0"/>
                      </a:rPr>
                      <m:t>=20.7×</m:t>
                    </m:r>
                    <m:sSub>
                      <m:sSubPr>
                        <m:ctrlPr>
                          <a:rPr lang="en-AU" sz="1000" i="1">
                            <a:latin typeface="Cambria Math" panose="02040503050406030204" pitchFamily="18" charset="0"/>
                          </a:rPr>
                        </m:ctrlPr>
                      </m:sSubPr>
                      <m:e>
                        <m:r>
                          <a:rPr lang="en-AU" sz="1000" i="1">
                            <a:latin typeface="Cambria Math" panose="02040503050406030204" pitchFamily="18" charset="0"/>
                          </a:rPr>
                          <m:t>𝐼</m:t>
                        </m:r>
                      </m:e>
                      <m:sub>
                        <m:r>
                          <a:rPr lang="en-AU" sz="1000" i="1">
                            <a:latin typeface="Cambria Math" panose="02040503050406030204" pitchFamily="18" charset="0"/>
                          </a:rPr>
                          <m:t>𝑗𝑘𝑙</m:t>
                        </m:r>
                      </m:sub>
                    </m:sSub>
                    <m:r>
                      <a:rPr lang="en-AU" sz="1000" i="1">
                        <a:latin typeface="Cambria Math" panose="02040503050406030204" pitchFamily="18" charset="0"/>
                      </a:rPr>
                      <m:t>×</m:t>
                    </m:r>
                    <m:sSup>
                      <m:sSupPr>
                        <m:ctrlPr>
                          <a:rPr lang="en-AU" sz="1000" i="1">
                            <a:latin typeface="Cambria Math" panose="02040503050406030204" pitchFamily="18" charset="0"/>
                          </a:rPr>
                        </m:ctrlPr>
                      </m:sSupPr>
                      <m:e>
                        <m:r>
                          <a:rPr lang="en-AU" sz="1000" i="1">
                            <a:latin typeface="Cambria Math" panose="02040503050406030204" pitchFamily="18" charset="0"/>
                          </a:rPr>
                          <m:t>10</m:t>
                        </m:r>
                      </m:e>
                      <m:sup>
                        <m:r>
                          <a:rPr lang="en-AU" sz="1000" i="1">
                            <a:latin typeface="Cambria Math" panose="02040503050406030204" pitchFamily="18" charset="0"/>
                          </a:rPr>
                          <m:t>−3</m:t>
                        </m:r>
                      </m:sup>
                    </m:sSup>
                  </m:oMath>
                </m:oMathPara>
              </a14:m>
              <a:endParaRPr lang="en-AU" sz="1000"/>
            </a:p>
          </xdr:txBody>
        </xdr:sp>
      </mc:Choice>
      <mc:Fallback xmlns="">
        <xdr:sp macro="" textlink="">
          <xdr:nvSpPr>
            <xdr:cNvPr id="2" name="TextBox 1">
              <a:extLst>
                <a:ext uri="{FF2B5EF4-FFF2-40B4-BE49-F238E27FC236}">
                  <a16:creationId xmlns:a16="http://schemas.microsoft.com/office/drawing/2014/main" id="{9DCB4F47-E0B8-43BA-B35F-6F6329043C3F}"/>
                </a:ext>
              </a:extLst>
            </xdr:cNvPr>
            <xdr:cNvSpPr txBox="1"/>
          </xdr:nvSpPr>
          <xdr:spPr>
            <a:xfrm>
              <a:off x="2671762" y="18407062"/>
              <a:ext cx="1550360" cy="18633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𝑀_𝑗𝑘𝑙=20.7×𝐼_𝑗𝑘𝑙×10^(−3)</a:t>
              </a:r>
              <a:endParaRPr lang="en-AU" sz="1000"/>
            </a:p>
          </xdr:txBody>
        </xdr:sp>
      </mc:Fallback>
    </mc:AlternateContent>
    <xdr:clientData/>
  </xdr:oneCellAnchor>
  <xdr:oneCellAnchor>
    <xdr:from>
      <xdr:col>2</xdr:col>
      <xdr:colOff>295275</xdr:colOff>
      <xdr:row>7</xdr:row>
      <xdr:rowOff>128587</xdr:rowOff>
    </xdr:from>
    <xdr:ext cx="3071354" cy="194990"/>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E110EE2D-3A60-4DEE-BE86-6A0EA340C031}"/>
                </a:ext>
              </a:extLst>
            </xdr:cNvPr>
            <xdr:cNvSpPr txBox="1"/>
          </xdr:nvSpPr>
          <xdr:spPr>
            <a:xfrm>
              <a:off x="2657475" y="1995487"/>
              <a:ext cx="3071354"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000" i="1">
                        <a:latin typeface="Cambria Math" panose="02040503050406030204" pitchFamily="18" charset="0"/>
                      </a:rPr>
                      <m:t>𝑀</m:t>
                    </m:r>
                    <m:sSub>
                      <m:sSubPr>
                        <m:ctrlPr>
                          <a:rPr lang="en-AU" sz="1000" i="1">
                            <a:latin typeface="Cambria Math" panose="02040503050406030204" pitchFamily="18" charset="0"/>
                          </a:rPr>
                        </m:ctrlPr>
                      </m:sSubPr>
                      <m:e>
                        <m:r>
                          <a:rPr lang="en-AU" sz="1000" i="1">
                            <a:latin typeface="Cambria Math" panose="02040503050406030204" pitchFamily="18" charset="0"/>
                          </a:rPr>
                          <m:t>𝐴</m:t>
                        </m:r>
                      </m:e>
                      <m:sub>
                        <m:r>
                          <a:rPr lang="en-AU" sz="1000" i="1">
                            <a:latin typeface="Cambria Math" panose="02040503050406030204" pitchFamily="18" charset="0"/>
                          </a:rPr>
                          <m:t>𝑗𝑘</m:t>
                        </m:r>
                        <m:r>
                          <a:rPr lang="en-AU" sz="1000" i="1">
                            <a:latin typeface="Cambria Math" panose="02040503050406030204" pitchFamily="18" charset="0"/>
                          </a:rPr>
                          <m:t>=4,5</m:t>
                        </m:r>
                      </m:sub>
                    </m:sSub>
                    <m:r>
                      <a:rPr lang="en-AU" sz="1000" i="1">
                        <a:latin typeface="Cambria Math" panose="02040503050406030204" pitchFamily="18" charset="0"/>
                      </a:rPr>
                      <m:t>=</m:t>
                    </m:r>
                    <m:d>
                      <m:dPr>
                        <m:ctrlPr>
                          <a:rPr lang="en-AU" sz="1000" i="1">
                            <a:latin typeface="Cambria Math" panose="02040503050406030204" pitchFamily="18" charset="0"/>
                          </a:rPr>
                        </m:ctrlPr>
                      </m:dPr>
                      <m:e>
                        <m:r>
                          <a:rPr lang="en-AU" sz="1000" i="1">
                            <a:latin typeface="Cambria Math" panose="02040503050406030204" pitchFamily="18" charset="0"/>
                          </a:rPr>
                          <m:t>𝐿</m:t>
                        </m:r>
                        <m:sSub>
                          <m:sSubPr>
                            <m:ctrlPr>
                              <a:rPr lang="en-AU" sz="1000" i="1">
                                <a:latin typeface="Cambria Math" panose="02040503050406030204" pitchFamily="18" charset="0"/>
                              </a:rPr>
                            </m:ctrlPr>
                          </m:sSubPr>
                          <m:e>
                            <m:r>
                              <a:rPr lang="en-AU" sz="1000" i="1">
                                <a:latin typeface="Cambria Math" panose="02040503050406030204" pitchFamily="18" charset="0"/>
                              </a:rPr>
                              <m:t>𝐶</m:t>
                            </m:r>
                          </m:e>
                          <m:sub>
                            <m:r>
                              <a:rPr lang="en-AU" sz="1000" i="1">
                                <a:latin typeface="Cambria Math" panose="02040503050406030204" pitchFamily="18" charset="0"/>
                              </a:rPr>
                              <m:t>𝑗𝑘</m:t>
                            </m:r>
                            <m:r>
                              <a:rPr lang="en-AU" sz="1000" i="1">
                                <a:latin typeface="Cambria Math" panose="02040503050406030204" pitchFamily="18" charset="0"/>
                              </a:rPr>
                              <m:t>=4,5</m:t>
                            </m:r>
                          </m:sub>
                        </m:sSub>
                        <m:r>
                          <a:rPr lang="en-AU" sz="1000" i="1">
                            <a:latin typeface="Cambria Math" panose="02040503050406030204" pitchFamily="18" charset="0"/>
                          </a:rPr>
                          <m:t>×</m:t>
                        </m:r>
                        <m:r>
                          <a:rPr lang="en-AU" sz="1000" i="1">
                            <a:latin typeface="Cambria Math" panose="02040503050406030204" pitchFamily="18" charset="0"/>
                          </a:rPr>
                          <m:t>𝐹</m:t>
                        </m:r>
                        <m:sSub>
                          <m:sSubPr>
                            <m:ctrlPr>
                              <a:rPr lang="en-AU" sz="1000" i="1">
                                <a:latin typeface="Cambria Math" panose="02040503050406030204" pitchFamily="18" charset="0"/>
                              </a:rPr>
                            </m:ctrlPr>
                          </m:sSubPr>
                          <m:e>
                            <m:r>
                              <a:rPr lang="en-AU" sz="1000" i="1">
                                <a:latin typeface="Cambria Math" panose="02040503050406030204" pitchFamily="18" charset="0"/>
                              </a:rPr>
                              <m:t>𝐴</m:t>
                            </m:r>
                          </m:e>
                          <m:sub>
                            <m:r>
                              <a:rPr lang="en-AU" sz="1000" i="1">
                                <a:latin typeface="Cambria Math" panose="02040503050406030204" pitchFamily="18" charset="0"/>
                              </a:rPr>
                              <m:t>𝑗𝑘</m:t>
                            </m:r>
                            <m:r>
                              <a:rPr lang="en-AU" sz="1000" i="1">
                                <a:latin typeface="Cambria Math" panose="02040503050406030204" pitchFamily="18" charset="0"/>
                              </a:rPr>
                              <m:t>=4,5</m:t>
                            </m:r>
                          </m:sub>
                        </m:sSub>
                      </m:e>
                    </m:d>
                    <m:r>
                      <a:rPr lang="en-AU" sz="1000" i="1">
                        <a:latin typeface="Cambria Math" panose="02040503050406030204" pitchFamily="18" charset="0"/>
                      </a:rPr>
                      <m:t>+</m:t>
                    </m:r>
                    <m:d>
                      <m:dPr>
                        <m:ctrlPr>
                          <a:rPr lang="en-AU" sz="1000" i="1">
                            <a:latin typeface="Cambria Math" panose="02040503050406030204" pitchFamily="18" charset="0"/>
                          </a:rPr>
                        </m:ctrlPr>
                      </m:dPr>
                      <m:e>
                        <m:r>
                          <a:rPr lang="en-AU" sz="1000" i="1">
                            <a:latin typeface="Cambria Math" panose="02040503050406030204" pitchFamily="18" charset="0"/>
                          </a:rPr>
                          <m:t>1−</m:t>
                        </m:r>
                        <m:r>
                          <a:rPr lang="en-AU" sz="1000" i="1">
                            <a:latin typeface="Cambria Math" panose="02040503050406030204" pitchFamily="18" charset="0"/>
                          </a:rPr>
                          <m:t>𝐿</m:t>
                        </m:r>
                        <m:sSub>
                          <m:sSubPr>
                            <m:ctrlPr>
                              <a:rPr lang="en-AU" sz="1000" i="1">
                                <a:latin typeface="Cambria Math" panose="02040503050406030204" pitchFamily="18" charset="0"/>
                              </a:rPr>
                            </m:ctrlPr>
                          </m:sSubPr>
                          <m:e>
                            <m:r>
                              <a:rPr lang="en-AU" sz="1000" i="1">
                                <a:latin typeface="Cambria Math" panose="02040503050406030204" pitchFamily="18" charset="0"/>
                              </a:rPr>
                              <m:t>𝐶</m:t>
                            </m:r>
                          </m:e>
                          <m:sub>
                            <m:r>
                              <a:rPr lang="en-AU" sz="1000" i="1">
                                <a:latin typeface="Cambria Math" panose="02040503050406030204" pitchFamily="18" charset="0"/>
                              </a:rPr>
                              <m:t>𝑗𝑘</m:t>
                            </m:r>
                            <m:r>
                              <a:rPr lang="en-AU" sz="1000" i="1">
                                <a:latin typeface="Cambria Math" panose="02040503050406030204" pitchFamily="18" charset="0"/>
                              </a:rPr>
                              <m:t>=4,5</m:t>
                            </m:r>
                          </m:sub>
                        </m:sSub>
                      </m:e>
                    </m:d>
                  </m:oMath>
                </m:oMathPara>
              </a14:m>
              <a:endParaRPr lang="en-AU" sz="1000"/>
            </a:p>
          </xdr:txBody>
        </xdr:sp>
      </mc:Choice>
      <mc:Fallback xmlns="">
        <xdr:sp macro="" textlink="">
          <xdr:nvSpPr>
            <xdr:cNvPr id="3" name="TextBox 2">
              <a:extLst>
                <a:ext uri="{FF2B5EF4-FFF2-40B4-BE49-F238E27FC236}">
                  <a16:creationId xmlns:a16="http://schemas.microsoft.com/office/drawing/2014/main" id="{E110EE2D-3A60-4DEE-BE86-6A0EA340C031}"/>
                </a:ext>
              </a:extLst>
            </xdr:cNvPr>
            <xdr:cNvSpPr txBox="1"/>
          </xdr:nvSpPr>
          <xdr:spPr>
            <a:xfrm>
              <a:off x="2657475" y="1995487"/>
              <a:ext cx="3071354"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𝑀𝐴_(𝑗𝑘=4,5)=(𝐿𝐶_(𝑗𝑘=4,5)×𝐹𝐴_(𝑗𝑘=4,5) )+(1−𝐿𝐶_(𝑗𝑘=4,5) )</a:t>
              </a:r>
              <a:endParaRPr lang="en-AU" sz="1000"/>
            </a:p>
          </xdr:txBody>
        </xdr:sp>
      </mc:Fallback>
    </mc:AlternateContent>
    <xdr:clientData/>
  </xdr:oneCellAnchor>
  <xdr:oneCellAnchor>
    <xdr:from>
      <xdr:col>3</xdr:col>
      <xdr:colOff>23812</xdr:colOff>
      <xdr:row>35</xdr:row>
      <xdr:rowOff>128587</xdr:rowOff>
    </xdr:from>
    <xdr:ext cx="5088508" cy="234103"/>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F5BE5600-A756-43D7-A54A-03C0CBD233DC}"/>
                </a:ext>
              </a:extLst>
            </xdr:cNvPr>
            <xdr:cNvSpPr txBox="1"/>
          </xdr:nvSpPr>
          <xdr:spPr>
            <a:xfrm>
              <a:off x="2700337" y="8929687"/>
              <a:ext cx="5088508" cy="2341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000" i="1">
                            <a:latin typeface="Cambria Math" panose="02040503050406030204" pitchFamily="18" charset="0"/>
                          </a:rPr>
                        </m:ctrlPr>
                      </m:sSubPr>
                      <m:e>
                        <m:r>
                          <a:rPr lang="en-AU" sz="1000" i="1">
                            <a:latin typeface="Cambria Math" panose="02040503050406030204" pitchFamily="18" charset="0"/>
                          </a:rPr>
                          <m:t>𝐼</m:t>
                        </m:r>
                      </m:e>
                      <m:sub>
                        <m:r>
                          <a:rPr lang="en-AU" sz="1000" i="1">
                            <a:latin typeface="Cambria Math" panose="02040503050406030204" pitchFamily="18" charset="0"/>
                          </a:rPr>
                          <m:t>𝑗𝑘𝑙</m:t>
                        </m:r>
                      </m:sub>
                    </m:sSub>
                    <m:r>
                      <a:rPr lang="en-AU" sz="1000" i="1">
                        <a:latin typeface="Cambria Math" panose="02040503050406030204" pitchFamily="18" charset="0"/>
                      </a:rPr>
                      <m:t>=</m:t>
                    </m:r>
                    <m:sSup>
                      <m:sSupPr>
                        <m:ctrlPr>
                          <a:rPr lang="en-AU" sz="1000" i="1">
                            <a:latin typeface="Cambria Math" panose="02040503050406030204" pitchFamily="18" charset="0"/>
                          </a:rPr>
                        </m:ctrlPr>
                      </m:sSupPr>
                      <m:e>
                        <m:d>
                          <m:dPr>
                            <m:ctrlPr>
                              <a:rPr lang="en-AU" sz="1000" i="1">
                                <a:latin typeface="Cambria Math" panose="02040503050406030204" pitchFamily="18" charset="0"/>
                              </a:rPr>
                            </m:ctrlPr>
                          </m:dPr>
                          <m:e>
                            <m:r>
                              <a:rPr lang="en-AU" sz="1000" i="1">
                                <a:latin typeface="Cambria Math" panose="02040503050406030204" pitchFamily="18" charset="0"/>
                              </a:rPr>
                              <m:t>1.185+0.00454×</m:t>
                            </m:r>
                            <m:sSub>
                              <m:sSubPr>
                                <m:ctrlPr>
                                  <a:rPr lang="en-AU" sz="1000" i="1">
                                    <a:latin typeface="Cambria Math" panose="02040503050406030204" pitchFamily="18" charset="0"/>
                                  </a:rPr>
                                </m:ctrlPr>
                              </m:sSubPr>
                              <m:e>
                                <m:r>
                                  <a:rPr lang="en-AU" sz="1000" i="1">
                                    <a:latin typeface="Cambria Math" panose="02040503050406030204" pitchFamily="18" charset="0"/>
                                  </a:rPr>
                                  <m:t>𝑊</m:t>
                                </m:r>
                              </m:e>
                              <m:sub>
                                <m:r>
                                  <a:rPr lang="en-AU" sz="1000" i="1">
                                    <a:latin typeface="Cambria Math" panose="02040503050406030204" pitchFamily="18" charset="0"/>
                                  </a:rPr>
                                  <m:t>𝑗𝑘𝑙</m:t>
                                </m:r>
                              </m:sub>
                            </m:sSub>
                            <m:r>
                              <a:rPr lang="en-AU" sz="1000" i="1">
                                <a:latin typeface="Cambria Math" panose="02040503050406030204" pitchFamily="18" charset="0"/>
                              </a:rPr>
                              <m:t>−0.0000026×</m:t>
                            </m:r>
                            <m:sSubSup>
                              <m:sSubSupPr>
                                <m:ctrlPr>
                                  <a:rPr lang="en-AU" sz="1000" i="1">
                                    <a:latin typeface="Cambria Math" panose="02040503050406030204" pitchFamily="18" charset="0"/>
                                  </a:rPr>
                                </m:ctrlPr>
                              </m:sSubSupPr>
                              <m:e>
                                <m:r>
                                  <a:rPr lang="en-AU" sz="1000" i="1">
                                    <a:latin typeface="Cambria Math" panose="02040503050406030204" pitchFamily="18" charset="0"/>
                                  </a:rPr>
                                  <m:t>𝑊</m:t>
                                </m:r>
                              </m:e>
                              <m:sub>
                                <m:r>
                                  <a:rPr lang="en-AU" sz="1000" i="1">
                                    <a:latin typeface="Cambria Math" panose="02040503050406030204" pitchFamily="18" charset="0"/>
                                  </a:rPr>
                                  <m:t>𝑗𝑘𝑙</m:t>
                                </m:r>
                              </m:sub>
                              <m:sup>
                                <m:r>
                                  <a:rPr lang="en-AU" sz="1000" i="1">
                                    <a:latin typeface="Cambria Math" panose="02040503050406030204" pitchFamily="18" charset="0"/>
                                  </a:rPr>
                                  <m:t>2</m:t>
                                </m:r>
                              </m:sup>
                            </m:sSubSup>
                            <m:r>
                              <a:rPr lang="en-AU" sz="1000" i="1">
                                <a:latin typeface="Cambria Math" panose="02040503050406030204" pitchFamily="18" charset="0"/>
                              </a:rPr>
                              <m:t>+0.315×</m:t>
                            </m:r>
                            <m:r>
                              <a:rPr lang="en-AU" sz="1000" i="1">
                                <a:latin typeface="Cambria Math" panose="02040503050406030204" pitchFamily="18" charset="0"/>
                              </a:rPr>
                              <m:t>𝐿𝑊</m:t>
                            </m:r>
                            <m:sSub>
                              <m:sSubPr>
                                <m:ctrlPr>
                                  <a:rPr lang="en-AU" sz="1000" i="1">
                                    <a:latin typeface="Cambria Math" panose="02040503050406030204" pitchFamily="18" charset="0"/>
                                  </a:rPr>
                                </m:ctrlPr>
                              </m:sSubPr>
                              <m:e>
                                <m:r>
                                  <a:rPr lang="en-AU" sz="1000" i="1">
                                    <a:latin typeface="Cambria Math" panose="02040503050406030204" pitchFamily="18" charset="0"/>
                                  </a:rPr>
                                  <m:t>𝐺</m:t>
                                </m:r>
                              </m:e>
                              <m:sub>
                                <m:r>
                                  <a:rPr lang="en-AU" sz="1000" i="1">
                                    <a:latin typeface="Cambria Math" panose="02040503050406030204" pitchFamily="18" charset="0"/>
                                  </a:rPr>
                                  <m:t>𝑗𝑘𝑙</m:t>
                                </m:r>
                              </m:sub>
                            </m:sSub>
                          </m:e>
                        </m:d>
                      </m:e>
                      <m:sup>
                        <m:r>
                          <a:rPr lang="en-AU" sz="1000" i="1">
                            <a:latin typeface="Cambria Math" panose="02040503050406030204" pitchFamily="18" charset="0"/>
                          </a:rPr>
                          <m:t>2</m:t>
                        </m:r>
                      </m:sup>
                    </m:sSup>
                    <m:r>
                      <a:rPr lang="en-AU" sz="1000" i="1">
                        <a:latin typeface="Cambria Math" panose="02040503050406030204" pitchFamily="18" charset="0"/>
                      </a:rPr>
                      <m:t>×</m:t>
                    </m:r>
                    <m:r>
                      <a:rPr lang="en-AU" sz="1000" i="1">
                        <a:latin typeface="Cambria Math" panose="02040503050406030204" pitchFamily="18" charset="0"/>
                      </a:rPr>
                      <m:t>𝑀</m:t>
                    </m:r>
                    <m:sSub>
                      <m:sSubPr>
                        <m:ctrlPr>
                          <a:rPr lang="en-AU" sz="1000" i="1">
                            <a:latin typeface="Cambria Math" panose="02040503050406030204" pitchFamily="18" charset="0"/>
                          </a:rPr>
                        </m:ctrlPr>
                      </m:sSubPr>
                      <m:e>
                        <m:r>
                          <a:rPr lang="en-AU" sz="1000" i="1">
                            <a:latin typeface="Cambria Math" panose="02040503050406030204" pitchFamily="18" charset="0"/>
                          </a:rPr>
                          <m:t>𝐴</m:t>
                        </m:r>
                      </m:e>
                      <m:sub>
                        <m:r>
                          <a:rPr lang="en-AU" sz="1000" i="1">
                            <a:latin typeface="Cambria Math" panose="02040503050406030204" pitchFamily="18" charset="0"/>
                          </a:rPr>
                          <m:t>𝑗𝑘</m:t>
                        </m:r>
                        <m:r>
                          <a:rPr lang="en-AU" sz="1000" i="1">
                            <a:latin typeface="Cambria Math" panose="02040503050406030204" pitchFamily="18" charset="0"/>
                          </a:rPr>
                          <m:t>=4,5</m:t>
                        </m:r>
                      </m:sub>
                    </m:sSub>
                  </m:oMath>
                </m:oMathPara>
              </a14:m>
              <a:endParaRPr lang="en-AU" sz="1000"/>
            </a:p>
          </xdr:txBody>
        </xdr:sp>
      </mc:Choice>
      <mc:Fallback xmlns="">
        <xdr:sp macro="" textlink="">
          <xdr:nvSpPr>
            <xdr:cNvPr id="4" name="TextBox 3">
              <a:extLst>
                <a:ext uri="{FF2B5EF4-FFF2-40B4-BE49-F238E27FC236}">
                  <a16:creationId xmlns:a16="http://schemas.microsoft.com/office/drawing/2014/main" id="{F5BE5600-A756-43D7-A54A-03C0CBD233DC}"/>
                </a:ext>
              </a:extLst>
            </xdr:cNvPr>
            <xdr:cNvSpPr txBox="1"/>
          </xdr:nvSpPr>
          <xdr:spPr>
            <a:xfrm>
              <a:off x="2700337" y="8929687"/>
              <a:ext cx="5088508" cy="2341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𝐼_𝑗𝑘𝑙=(1.185+0.00454×𝑊_𝑗𝑘𝑙−0.0000026×𝑊_𝑗𝑘𝑙^2+0.315×𝐿𝑊𝐺_𝑗𝑘𝑙 )^2×𝑀𝐴_(𝑗𝑘=4,5)</a:t>
              </a:r>
              <a:endParaRPr lang="en-AU" sz="1000"/>
            </a:p>
          </xdr:txBody>
        </xdr:sp>
      </mc:Fallback>
    </mc:AlternateContent>
    <xdr:clientData/>
  </xdr:oneCellAnchor>
  <xdr:oneCellAnchor>
    <xdr:from>
      <xdr:col>3</xdr:col>
      <xdr:colOff>4762</xdr:colOff>
      <xdr:row>94</xdr:row>
      <xdr:rowOff>90487</xdr:rowOff>
    </xdr:from>
    <xdr:ext cx="2822631" cy="429926"/>
    <mc:AlternateContent xmlns:mc="http://schemas.openxmlformats.org/markup-compatibility/2006" xmlns:a14="http://schemas.microsoft.com/office/drawing/2010/main">
      <mc:Choice Requires="a14">
        <xdr:sp macro="" textlink="">
          <xdr:nvSpPr>
            <xdr:cNvPr id="5" name="TextBox 4">
              <a:extLst>
                <a:ext uri="{FF2B5EF4-FFF2-40B4-BE49-F238E27FC236}">
                  <a16:creationId xmlns:a16="http://schemas.microsoft.com/office/drawing/2014/main" id="{2796F561-4D93-47E0-ACA6-D7EB24FE7774}"/>
                </a:ext>
              </a:extLst>
            </xdr:cNvPr>
            <xdr:cNvSpPr txBox="1"/>
          </xdr:nvSpPr>
          <xdr:spPr>
            <a:xfrm>
              <a:off x="2681287" y="23502937"/>
              <a:ext cx="2822631"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000" i="1">
                            <a:latin typeface="Cambria Math" panose="02040503050406030204" pitchFamily="18" charset="0"/>
                          </a:rPr>
                        </m:ctrlPr>
                      </m:sSubPr>
                      <m:e>
                        <m:r>
                          <a:rPr lang="en-AU" sz="1000" i="1">
                            <a:latin typeface="Cambria Math" panose="02040503050406030204" pitchFamily="18" charset="0"/>
                          </a:rPr>
                          <m:t>𝐸</m:t>
                        </m:r>
                      </m:e>
                      <m:sub>
                        <m:r>
                          <a:rPr lang="en-AU" sz="1000" i="1">
                            <a:latin typeface="Cambria Math" panose="02040503050406030204" pitchFamily="18" charset="0"/>
                          </a:rPr>
                          <m:t>𝑒𝑛𝑡𝑒𝑟𝑖𝑐</m:t>
                        </m:r>
                      </m:sub>
                    </m:sSub>
                    <m:r>
                      <a:rPr lang="en-AU" sz="1000" i="1">
                        <a:latin typeface="Cambria Math" panose="02040503050406030204" pitchFamily="18" charset="0"/>
                      </a:rPr>
                      <m:t>=</m:t>
                    </m:r>
                    <m:nary>
                      <m:naryPr>
                        <m:chr m:val="∑"/>
                        <m:supHide m:val="on"/>
                        <m:ctrlPr>
                          <a:rPr lang="en-AU" sz="1000" i="1">
                            <a:latin typeface="Cambria Math" panose="02040503050406030204" pitchFamily="18" charset="0"/>
                          </a:rPr>
                        </m:ctrlPr>
                      </m:naryPr>
                      <m:sub>
                        <m:r>
                          <a:rPr lang="en-AU" sz="1000" i="1">
                            <a:latin typeface="Cambria Math" panose="02040503050406030204" pitchFamily="18" charset="0"/>
                          </a:rPr>
                          <m:t>𝑗</m:t>
                        </m:r>
                      </m:sub>
                      <m:sup/>
                      <m:e>
                        <m:nary>
                          <m:naryPr>
                            <m:chr m:val="∑"/>
                            <m:supHide m:val="on"/>
                            <m:ctrlPr>
                              <a:rPr lang="en-AU" sz="1000" i="1">
                                <a:latin typeface="Cambria Math" panose="02040503050406030204" pitchFamily="18" charset="0"/>
                              </a:rPr>
                            </m:ctrlPr>
                          </m:naryPr>
                          <m:sub>
                            <m:r>
                              <a:rPr lang="en-AU" sz="1000" i="1">
                                <a:latin typeface="Cambria Math" panose="02040503050406030204" pitchFamily="18" charset="0"/>
                              </a:rPr>
                              <m:t>𝑘</m:t>
                            </m:r>
                          </m:sub>
                          <m:sup/>
                          <m:e>
                            <m:nary>
                              <m:naryPr>
                                <m:chr m:val="∑"/>
                                <m:supHide m:val="on"/>
                                <m:ctrlPr>
                                  <a:rPr lang="en-AU" sz="1000" i="1">
                                    <a:latin typeface="Cambria Math" panose="02040503050406030204" pitchFamily="18" charset="0"/>
                                  </a:rPr>
                                </m:ctrlPr>
                              </m:naryPr>
                              <m:sub>
                                <m:r>
                                  <a:rPr lang="en-AU" sz="1000" i="1">
                                    <a:latin typeface="Cambria Math" panose="02040503050406030204" pitchFamily="18" charset="0"/>
                                  </a:rPr>
                                  <m:t>𝑙</m:t>
                                </m:r>
                              </m:sub>
                              <m:sup/>
                              <m:e>
                                <m:d>
                                  <m:dPr>
                                    <m:ctrlPr>
                                      <a:rPr lang="en-AU" sz="1000" i="1">
                                        <a:latin typeface="Cambria Math" panose="02040503050406030204" pitchFamily="18" charset="0"/>
                                      </a:rPr>
                                    </m:ctrlPr>
                                  </m:dPr>
                                  <m:e>
                                    <m:sSub>
                                      <m:sSubPr>
                                        <m:ctrlPr>
                                          <a:rPr lang="en-AU" sz="1000" i="1">
                                            <a:latin typeface="Cambria Math" panose="02040503050406030204" pitchFamily="18" charset="0"/>
                                          </a:rPr>
                                        </m:ctrlPr>
                                      </m:sSubPr>
                                      <m:e>
                                        <m:r>
                                          <a:rPr lang="en-AU" sz="1000" i="1">
                                            <a:latin typeface="Cambria Math" panose="02040503050406030204" pitchFamily="18" charset="0"/>
                                          </a:rPr>
                                          <m:t>𝐷</m:t>
                                        </m:r>
                                      </m:e>
                                      <m:sub>
                                        <m:r>
                                          <a:rPr lang="en-AU" sz="1000" i="1">
                                            <a:latin typeface="Cambria Math" panose="02040503050406030204" pitchFamily="18" charset="0"/>
                                          </a:rPr>
                                          <m:t>𝑗</m:t>
                                        </m:r>
                                      </m:sub>
                                    </m:sSub>
                                    <m:r>
                                      <a:rPr lang="en-AU" sz="1000" i="1">
                                        <a:latin typeface="Cambria Math" panose="02040503050406030204" pitchFamily="18" charset="0"/>
                                      </a:rPr>
                                      <m:t>×</m:t>
                                    </m:r>
                                    <m:sSub>
                                      <m:sSubPr>
                                        <m:ctrlPr>
                                          <a:rPr lang="en-AU" sz="1000" i="1">
                                            <a:latin typeface="Cambria Math" panose="02040503050406030204" pitchFamily="18" charset="0"/>
                                          </a:rPr>
                                        </m:ctrlPr>
                                      </m:sSubPr>
                                      <m:e>
                                        <m:r>
                                          <a:rPr lang="en-AU" sz="1000" i="1">
                                            <a:latin typeface="Cambria Math" panose="02040503050406030204" pitchFamily="18" charset="0"/>
                                          </a:rPr>
                                          <m:t>𝑀</m:t>
                                        </m:r>
                                      </m:e>
                                      <m:sub>
                                        <m:r>
                                          <a:rPr lang="en-AU" sz="1000" i="1">
                                            <a:latin typeface="Cambria Math" panose="02040503050406030204" pitchFamily="18" charset="0"/>
                                          </a:rPr>
                                          <m:t>𝑗𝑘𝑙</m:t>
                                        </m:r>
                                      </m:sub>
                                    </m:sSub>
                                    <m:r>
                                      <a:rPr lang="en-AU" sz="1000" i="1">
                                        <a:latin typeface="Cambria Math" panose="02040503050406030204" pitchFamily="18" charset="0"/>
                                      </a:rPr>
                                      <m:t>×</m:t>
                                    </m:r>
                                    <m:sSub>
                                      <m:sSubPr>
                                        <m:ctrlPr>
                                          <a:rPr lang="en-AU" sz="1000" i="1">
                                            <a:latin typeface="Cambria Math" panose="02040503050406030204" pitchFamily="18" charset="0"/>
                                          </a:rPr>
                                        </m:ctrlPr>
                                      </m:sSubPr>
                                      <m:e>
                                        <m:r>
                                          <a:rPr lang="en-AU" sz="1000" i="1">
                                            <a:latin typeface="Cambria Math" panose="02040503050406030204" pitchFamily="18" charset="0"/>
                                          </a:rPr>
                                          <m:t>𝑁</m:t>
                                        </m:r>
                                      </m:e>
                                      <m:sub>
                                        <m:r>
                                          <a:rPr lang="en-AU" sz="1000" i="1">
                                            <a:latin typeface="Cambria Math" panose="02040503050406030204" pitchFamily="18" charset="0"/>
                                          </a:rPr>
                                          <m:t>𝑗𝑘𝑙</m:t>
                                        </m:r>
                                      </m:sub>
                                    </m:sSub>
                                  </m:e>
                                </m:d>
                              </m:e>
                            </m:nary>
                          </m:e>
                        </m:nary>
                      </m:e>
                    </m:nary>
                    <m:r>
                      <a:rPr lang="en-AU" sz="1000" i="1">
                        <a:latin typeface="Cambria Math" panose="02040503050406030204" pitchFamily="18" charset="0"/>
                      </a:rPr>
                      <m:t>×</m:t>
                    </m:r>
                    <m:sSup>
                      <m:sSupPr>
                        <m:ctrlPr>
                          <a:rPr lang="en-AU" sz="1000" i="1">
                            <a:latin typeface="Cambria Math" panose="02040503050406030204" pitchFamily="18" charset="0"/>
                          </a:rPr>
                        </m:ctrlPr>
                      </m:sSupPr>
                      <m:e>
                        <m:r>
                          <a:rPr lang="en-AU" sz="1000" i="1">
                            <a:latin typeface="Cambria Math" panose="02040503050406030204" pitchFamily="18" charset="0"/>
                          </a:rPr>
                          <m:t>10</m:t>
                        </m:r>
                      </m:e>
                      <m:sup>
                        <m:r>
                          <a:rPr lang="en-AU" sz="1000" i="1">
                            <a:latin typeface="Cambria Math" panose="02040503050406030204" pitchFamily="18" charset="0"/>
                          </a:rPr>
                          <m:t>−3</m:t>
                        </m:r>
                      </m:sup>
                    </m:sSup>
                  </m:oMath>
                </m:oMathPara>
              </a14:m>
              <a:endParaRPr lang="en-AU" sz="1000"/>
            </a:p>
          </xdr:txBody>
        </xdr:sp>
      </mc:Choice>
      <mc:Fallback xmlns="">
        <xdr:sp macro="" textlink="">
          <xdr:nvSpPr>
            <xdr:cNvPr id="5" name="TextBox 4">
              <a:extLst>
                <a:ext uri="{FF2B5EF4-FFF2-40B4-BE49-F238E27FC236}">
                  <a16:creationId xmlns:a16="http://schemas.microsoft.com/office/drawing/2014/main" id="{2796F561-4D93-47E0-ACA6-D7EB24FE7774}"/>
                </a:ext>
              </a:extLst>
            </xdr:cNvPr>
            <xdr:cNvSpPr txBox="1"/>
          </xdr:nvSpPr>
          <xdr:spPr>
            <a:xfrm>
              <a:off x="2681287" y="23502937"/>
              <a:ext cx="2822631"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𝐸_𝑒𝑛𝑡𝑒𝑟𝑖𝑐=∑_𝑗▒∑_𝑘▒∑_𝑙▒(𝐷_𝑗×𝑀_𝑗𝑘𝑙×𝑁_𝑗𝑘𝑙 ) ×10^(−3)</a:t>
              </a:r>
              <a:endParaRPr lang="en-AU" sz="1000"/>
            </a:p>
          </xdr:txBody>
        </xdr:sp>
      </mc:Fallback>
    </mc:AlternateContent>
    <xdr:clientData/>
  </xdr:oneCellAnchor>
</xdr:wsDr>
</file>

<file path=xl/drawings/drawing4.xml><?xml version="1.0" encoding="utf-8"?>
<xdr:wsDr xmlns:xdr="http://schemas.openxmlformats.org/drawingml/2006/spreadsheetDrawing" xmlns:a="http://schemas.openxmlformats.org/drawingml/2006/main">
  <xdr:oneCellAnchor>
    <xdr:from>
      <xdr:col>2</xdr:col>
      <xdr:colOff>309562</xdr:colOff>
      <xdr:row>101</xdr:row>
      <xdr:rowOff>195262</xdr:rowOff>
    </xdr:from>
    <xdr:ext cx="3370218" cy="253339"/>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E697A6E8-B473-4D61-885F-853CA960A30C}"/>
                </a:ext>
              </a:extLst>
            </xdr:cNvPr>
            <xdr:cNvSpPr txBox="1"/>
          </xdr:nvSpPr>
          <xdr:spPr>
            <a:xfrm>
              <a:off x="2671762" y="25341262"/>
              <a:ext cx="3370218" cy="2533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000" i="1">
                        <a:latin typeface="Cambria Math" panose="02040503050406030204" pitchFamily="18" charset="0"/>
                      </a:rPr>
                      <m:t>𝑉</m:t>
                    </m:r>
                    <m:sSub>
                      <m:sSubPr>
                        <m:ctrlPr>
                          <a:rPr lang="en-AU" sz="1000" i="1">
                            <a:latin typeface="Cambria Math" panose="02040503050406030204" pitchFamily="18" charset="0"/>
                          </a:rPr>
                        </m:ctrlPr>
                      </m:sSubPr>
                      <m:e>
                        <m:r>
                          <a:rPr lang="en-AU" sz="1000" i="1">
                            <a:latin typeface="Cambria Math" panose="02040503050406030204" pitchFamily="18" charset="0"/>
                          </a:rPr>
                          <m:t>𝑆</m:t>
                        </m:r>
                      </m:e>
                      <m:sub>
                        <m:r>
                          <a:rPr lang="en-AU" sz="1000" i="1">
                            <a:latin typeface="Cambria Math" panose="02040503050406030204" pitchFamily="18" charset="0"/>
                          </a:rPr>
                          <m:t>𝑗𝑘𝑙</m:t>
                        </m:r>
                      </m:sub>
                    </m:sSub>
                    <m:r>
                      <a:rPr lang="en-AU" sz="1000" i="1">
                        <a:latin typeface="Cambria Math" panose="02040503050406030204" pitchFamily="18" charset="0"/>
                      </a:rPr>
                      <m:t>=</m:t>
                    </m:r>
                    <m:d>
                      <m:dPr>
                        <m:ctrlPr>
                          <a:rPr lang="en-AU" sz="1000" i="1">
                            <a:latin typeface="Cambria Math" panose="02040503050406030204" pitchFamily="18" charset="0"/>
                          </a:rPr>
                        </m:ctrlPr>
                      </m:dPr>
                      <m:e>
                        <m:sSub>
                          <m:sSubPr>
                            <m:ctrlPr>
                              <a:rPr lang="en-AU" sz="1000" i="1">
                                <a:latin typeface="Cambria Math" panose="02040503050406030204" pitchFamily="18" charset="0"/>
                              </a:rPr>
                            </m:ctrlPr>
                          </m:sSubPr>
                          <m:e>
                            <m:r>
                              <a:rPr lang="en-AU" sz="1000" i="1">
                                <a:latin typeface="Cambria Math" panose="02040503050406030204" pitchFamily="18" charset="0"/>
                              </a:rPr>
                              <m:t>𝐼</m:t>
                            </m:r>
                          </m:e>
                          <m:sub>
                            <m:r>
                              <a:rPr lang="en-AU" sz="1000" i="1">
                                <a:latin typeface="Cambria Math" panose="02040503050406030204" pitchFamily="18" charset="0"/>
                              </a:rPr>
                              <m:t>𝑗𝑘𝑙</m:t>
                            </m:r>
                          </m:sub>
                        </m:sSub>
                        <m:r>
                          <a:rPr lang="en-AU" sz="1000" i="1">
                            <a:latin typeface="Cambria Math" panose="02040503050406030204" pitchFamily="18" charset="0"/>
                          </a:rPr>
                          <m:t>×</m:t>
                        </m:r>
                        <m:d>
                          <m:dPr>
                            <m:ctrlPr>
                              <a:rPr lang="en-AU" sz="1000" i="1">
                                <a:latin typeface="Cambria Math" panose="02040503050406030204" pitchFamily="18" charset="0"/>
                              </a:rPr>
                            </m:ctrlPr>
                          </m:dPr>
                          <m:e>
                            <m:r>
                              <a:rPr lang="en-AU" sz="1000" i="1">
                                <a:latin typeface="Cambria Math" panose="02040503050406030204" pitchFamily="18" charset="0"/>
                              </a:rPr>
                              <m:t>1−</m:t>
                            </m:r>
                            <m:r>
                              <a:rPr lang="en-AU" sz="1000" i="1">
                                <a:latin typeface="Cambria Math" panose="02040503050406030204" pitchFamily="18" charset="0"/>
                              </a:rPr>
                              <m:t>𝐷𝑀</m:t>
                            </m:r>
                            <m:sSub>
                              <m:sSubPr>
                                <m:ctrlPr>
                                  <a:rPr lang="en-AU" sz="1000" i="1">
                                    <a:latin typeface="Cambria Math" panose="02040503050406030204" pitchFamily="18" charset="0"/>
                                  </a:rPr>
                                </m:ctrlPr>
                              </m:sSubPr>
                              <m:e>
                                <m:r>
                                  <a:rPr lang="en-AU" sz="1000" i="1">
                                    <a:latin typeface="Cambria Math" panose="02040503050406030204" pitchFamily="18" charset="0"/>
                                  </a:rPr>
                                  <m:t>𝐷</m:t>
                                </m:r>
                              </m:e>
                              <m:sub>
                                <m:r>
                                  <a:rPr lang="en-AU" sz="1000" i="1">
                                    <a:latin typeface="Cambria Math" panose="02040503050406030204" pitchFamily="18" charset="0"/>
                                  </a:rPr>
                                  <m:t>𝑗𝑘𝑙</m:t>
                                </m:r>
                              </m:sub>
                            </m:sSub>
                          </m:e>
                        </m:d>
                        <m:r>
                          <a:rPr lang="en-AU" sz="1000" i="1">
                            <a:latin typeface="Cambria Math" panose="02040503050406030204" pitchFamily="18" charset="0"/>
                          </a:rPr>
                          <m:t>+</m:t>
                        </m:r>
                        <m:d>
                          <m:dPr>
                            <m:ctrlPr>
                              <a:rPr lang="en-AU" sz="1000" i="1">
                                <a:latin typeface="Cambria Math" panose="02040503050406030204" pitchFamily="18" charset="0"/>
                              </a:rPr>
                            </m:ctrlPr>
                          </m:dPr>
                          <m:e>
                            <m:r>
                              <a:rPr lang="en-AU" sz="1000" i="1">
                                <a:latin typeface="Cambria Math" panose="02040503050406030204" pitchFamily="18" charset="0"/>
                              </a:rPr>
                              <m:t>0.04×</m:t>
                            </m:r>
                            <m:sSub>
                              <m:sSubPr>
                                <m:ctrlPr>
                                  <a:rPr lang="en-AU" sz="1000" i="1">
                                    <a:latin typeface="Cambria Math" panose="02040503050406030204" pitchFamily="18" charset="0"/>
                                  </a:rPr>
                                </m:ctrlPr>
                              </m:sSubPr>
                              <m:e>
                                <m:r>
                                  <a:rPr lang="en-AU" sz="1000" i="1">
                                    <a:latin typeface="Cambria Math" panose="02040503050406030204" pitchFamily="18" charset="0"/>
                                  </a:rPr>
                                  <m:t>𝐼</m:t>
                                </m:r>
                              </m:e>
                              <m:sub>
                                <m:r>
                                  <a:rPr lang="en-AU" sz="1000" i="1">
                                    <a:latin typeface="Cambria Math" panose="02040503050406030204" pitchFamily="18" charset="0"/>
                                  </a:rPr>
                                  <m:t>𝑗𝑘𝑙</m:t>
                                </m:r>
                              </m:sub>
                            </m:sSub>
                          </m:e>
                        </m:d>
                      </m:e>
                    </m:d>
                    <m:r>
                      <a:rPr lang="en-AU" sz="1000" i="1">
                        <a:latin typeface="Cambria Math" panose="02040503050406030204" pitchFamily="18" charset="0"/>
                      </a:rPr>
                      <m:t>×</m:t>
                    </m:r>
                    <m:d>
                      <m:dPr>
                        <m:ctrlPr>
                          <a:rPr lang="en-AU" sz="1000" i="1">
                            <a:latin typeface="Cambria Math" panose="02040503050406030204" pitchFamily="18" charset="0"/>
                          </a:rPr>
                        </m:ctrlPr>
                      </m:dPr>
                      <m:e>
                        <m:r>
                          <a:rPr lang="en-AU" sz="1000" i="1">
                            <a:latin typeface="Cambria Math" panose="02040503050406030204" pitchFamily="18" charset="0"/>
                          </a:rPr>
                          <m:t>1−</m:t>
                        </m:r>
                        <m:r>
                          <a:rPr lang="en-AU" sz="1000" i="1">
                            <a:latin typeface="Cambria Math" panose="02040503050406030204" pitchFamily="18" charset="0"/>
                          </a:rPr>
                          <m:t>𝐴</m:t>
                        </m:r>
                      </m:e>
                    </m:d>
                  </m:oMath>
                </m:oMathPara>
              </a14:m>
              <a:endParaRPr lang="en-AU" sz="1000"/>
            </a:p>
          </xdr:txBody>
        </xdr:sp>
      </mc:Choice>
      <mc:Fallback xmlns="">
        <xdr:sp macro="" textlink="">
          <xdr:nvSpPr>
            <xdr:cNvPr id="2" name="TextBox 1">
              <a:extLst>
                <a:ext uri="{FF2B5EF4-FFF2-40B4-BE49-F238E27FC236}">
                  <a16:creationId xmlns:a16="http://schemas.microsoft.com/office/drawing/2014/main" id="{E697A6E8-B473-4D61-885F-853CA960A30C}"/>
                </a:ext>
              </a:extLst>
            </xdr:cNvPr>
            <xdr:cNvSpPr txBox="1"/>
          </xdr:nvSpPr>
          <xdr:spPr>
            <a:xfrm>
              <a:off x="2671762" y="25341262"/>
              <a:ext cx="3370218" cy="2533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𝑉𝑆_𝑗𝑘𝑙=(𝐼_𝑗𝑘𝑙×(1−𝐷𝑀𝐷_𝑗𝑘𝑙 )+(0.04×𝐼_𝑗𝑘𝑙 ))×(1−𝐴)</a:t>
              </a:r>
              <a:endParaRPr lang="en-AU" sz="1000"/>
            </a:p>
          </xdr:txBody>
        </xdr:sp>
      </mc:Fallback>
    </mc:AlternateContent>
    <xdr:clientData/>
  </xdr:oneCellAnchor>
  <xdr:oneCellAnchor>
    <xdr:from>
      <xdr:col>2</xdr:col>
      <xdr:colOff>295275</xdr:colOff>
      <xdr:row>7</xdr:row>
      <xdr:rowOff>128587</xdr:rowOff>
    </xdr:from>
    <xdr:ext cx="3071354" cy="194990"/>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891DF9FF-5D80-48F0-AB17-726F3A4BCE8C}"/>
                </a:ext>
              </a:extLst>
            </xdr:cNvPr>
            <xdr:cNvSpPr txBox="1"/>
          </xdr:nvSpPr>
          <xdr:spPr>
            <a:xfrm>
              <a:off x="2657475" y="1995487"/>
              <a:ext cx="3071354"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000" i="1">
                        <a:latin typeface="Cambria Math" panose="02040503050406030204" pitchFamily="18" charset="0"/>
                      </a:rPr>
                      <m:t>𝑀</m:t>
                    </m:r>
                    <m:sSub>
                      <m:sSubPr>
                        <m:ctrlPr>
                          <a:rPr lang="en-AU" sz="1000" i="1">
                            <a:latin typeface="Cambria Math" panose="02040503050406030204" pitchFamily="18" charset="0"/>
                          </a:rPr>
                        </m:ctrlPr>
                      </m:sSubPr>
                      <m:e>
                        <m:r>
                          <a:rPr lang="en-AU" sz="1000" i="1">
                            <a:latin typeface="Cambria Math" panose="02040503050406030204" pitchFamily="18" charset="0"/>
                          </a:rPr>
                          <m:t>𝐴</m:t>
                        </m:r>
                      </m:e>
                      <m:sub>
                        <m:r>
                          <a:rPr lang="en-AU" sz="1000" i="1">
                            <a:latin typeface="Cambria Math" panose="02040503050406030204" pitchFamily="18" charset="0"/>
                          </a:rPr>
                          <m:t>𝑗𝑘</m:t>
                        </m:r>
                        <m:r>
                          <a:rPr lang="en-AU" sz="1000" i="1">
                            <a:latin typeface="Cambria Math" panose="02040503050406030204" pitchFamily="18" charset="0"/>
                          </a:rPr>
                          <m:t>=4,5</m:t>
                        </m:r>
                      </m:sub>
                    </m:sSub>
                    <m:r>
                      <a:rPr lang="en-AU" sz="1000" i="1">
                        <a:latin typeface="Cambria Math" panose="02040503050406030204" pitchFamily="18" charset="0"/>
                      </a:rPr>
                      <m:t>=</m:t>
                    </m:r>
                    <m:d>
                      <m:dPr>
                        <m:ctrlPr>
                          <a:rPr lang="en-AU" sz="1000" i="1">
                            <a:latin typeface="Cambria Math" panose="02040503050406030204" pitchFamily="18" charset="0"/>
                          </a:rPr>
                        </m:ctrlPr>
                      </m:dPr>
                      <m:e>
                        <m:r>
                          <a:rPr lang="en-AU" sz="1000" i="1">
                            <a:latin typeface="Cambria Math" panose="02040503050406030204" pitchFamily="18" charset="0"/>
                          </a:rPr>
                          <m:t>𝐿</m:t>
                        </m:r>
                        <m:sSub>
                          <m:sSubPr>
                            <m:ctrlPr>
                              <a:rPr lang="en-AU" sz="1000" i="1">
                                <a:latin typeface="Cambria Math" panose="02040503050406030204" pitchFamily="18" charset="0"/>
                              </a:rPr>
                            </m:ctrlPr>
                          </m:sSubPr>
                          <m:e>
                            <m:r>
                              <a:rPr lang="en-AU" sz="1000" i="1">
                                <a:latin typeface="Cambria Math" panose="02040503050406030204" pitchFamily="18" charset="0"/>
                              </a:rPr>
                              <m:t>𝐶</m:t>
                            </m:r>
                          </m:e>
                          <m:sub>
                            <m:r>
                              <a:rPr lang="en-AU" sz="1000" i="1">
                                <a:latin typeface="Cambria Math" panose="02040503050406030204" pitchFamily="18" charset="0"/>
                              </a:rPr>
                              <m:t>𝑗𝑘</m:t>
                            </m:r>
                            <m:r>
                              <a:rPr lang="en-AU" sz="1000" i="1">
                                <a:latin typeface="Cambria Math" panose="02040503050406030204" pitchFamily="18" charset="0"/>
                              </a:rPr>
                              <m:t>=4,5</m:t>
                            </m:r>
                          </m:sub>
                        </m:sSub>
                        <m:r>
                          <a:rPr lang="en-AU" sz="1000" i="1">
                            <a:latin typeface="Cambria Math" panose="02040503050406030204" pitchFamily="18" charset="0"/>
                          </a:rPr>
                          <m:t>×</m:t>
                        </m:r>
                        <m:r>
                          <a:rPr lang="en-AU" sz="1000" i="1">
                            <a:latin typeface="Cambria Math" panose="02040503050406030204" pitchFamily="18" charset="0"/>
                          </a:rPr>
                          <m:t>𝐹</m:t>
                        </m:r>
                        <m:sSub>
                          <m:sSubPr>
                            <m:ctrlPr>
                              <a:rPr lang="en-AU" sz="1000" i="1">
                                <a:latin typeface="Cambria Math" panose="02040503050406030204" pitchFamily="18" charset="0"/>
                              </a:rPr>
                            </m:ctrlPr>
                          </m:sSubPr>
                          <m:e>
                            <m:r>
                              <a:rPr lang="en-AU" sz="1000" i="1">
                                <a:latin typeface="Cambria Math" panose="02040503050406030204" pitchFamily="18" charset="0"/>
                              </a:rPr>
                              <m:t>𝐴</m:t>
                            </m:r>
                          </m:e>
                          <m:sub>
                            <m:r>
                              <a:rPr lang="en-AU" sz="1000" i="1">
                                <a:latin typeface="Cambria Math" panose="02040503050406030204" pitchFamily="18" charset="0"/>
                              </a:rPr>
                              <m:t>𝑗𝑘</m:t>
                            </m:r>
                            <m:r>
                              <a:rPr lang="en-AU" sz="1000" i="1">
                                <a:latin typeface="Cambria Math" panose="02040503050406030204" pitchFamily="18" charset="0"/>
                              </a:rPr>
                              <m:t>=4,5</m:t>
                            </m:r>
                          </m:sub>
                        </m:sSub>
                      </m:e>
                    </m:d>
                    <m:r>
                      <a:rPr lang="en-AU" sz="1000" i="1">
                        <a:latin typeface="Cambria Math" panose="02040503050406030204" pitchFamily="18" charset="0"/>
                      </a:rPr>
                      <m:t>+</m:t>
                    </m:r>
                    <m:d>
                      <m:dPr>
                        <m:ctrlPr>
                          <a:rPr lang="en-AU" sz="1000" i="1">
                            <a:latin typeface="Cambria Math" panose="02040503050406030204" pitchFamily="18" charset="0"/>
                          </a:rPr>
                        </m:ctrlPr>
                      </m:dPr>
                      <m:e>
                        <m:r>
                          <a:rPr lang="en-AU" sz="1000" i="1">
                            <a:latin typeface="Cambria Math" panose="02040503050406030204" pitchFamily="18" charset="0"/>
                          </a:rPr>
                          <m:t>1−</m:t>
                        </m:r>
                        <m:r>
                          <a:rPr lang="en-AU" sz="1000" i="1">
                            <a:latin typeface="Cambria Math" panose="02040503050406030204" pitchFamily="18" charset="0"/>
                          </a:rPr>
                          <m:t>𝐿</m:t>
                        </m:r>
                        <m:sSub>
                          <m:sSubPr>
                            <m:ctrlPr>
                              <a:rPr lang="en-AU" sz="1000" i="1">
                                <a:latin typeface="Cambria Math" panose="02040503050406030204" pitchFamily="18" charset="0"/>
                              </a:rPr>
                            </m:ctrlPr>
                          </m:sSubPr>
                          <m:e>
                            <m:r>
                              <a:rPr lang="en-AU" sz="1000" i="1">
                                <a:latin typeface="Cambria Math" panose="02040503050406030204" pitchFamily="18" charset="0"/>
                              </a:rPr>
                              <m:t>𝐶</m:t>
                            </m:r>
                          </m:e>
                          <m:sub>
                            <m:r>
                              <a:rPr lang="en-AU" sz="1000" i="1">
                                <a:latin typeface="Cambria Math" panose="02040503050406030204" pitchFamily="18" charset="0"/>
                              </a:rPr>
                              <m:t>𝑗𝑘</m:t>
                            </m:r>
                            <m:r>
                              <a:rPr lang="en-AU" sz="1000" i="1">
                                <a:latin typeface="Cambria Math" panose="02040503050406030204" pitchFamily="18" charset="0"/>
                              </a:rPr>
                              <m:t>=4,5</m:t>
                            </m:r>
                          </m:sub>
                        </m:sSub>
                      </m:e>
                    </m:d>
                  </m:oMath>
                </m:oMathPara>
              </a14:m>
              <a:endParaRPr lang="en-AU" sz="1000"/>
            </a:p>
          </xdr:txBody>
        </xdr:sp>
      </mc:Choice>
      <mc:Fallback xmlns="">
        <xdr:sp macro="" textlink="">
          <xdr:nvSpPr>
            <xdr:cNvPr id="3" name="TextBox 2">
              <a:extLst>
                <a:ext uri="{FF2B5EF4-FFF2-40B4-BE49-F238E27FC236}">
                  <a16:creationId xmlns:a16="http://schemas.microsoft.com/office/drawing/2014/main" id="{891DF9FF-5D80-48F0-AB17-726F3A4BCE8C}"/>
                </a:ext>
              </a:extLst>
            </xdr:cNvPr>
            <xdr:cNvSpPr txBox="1"/>
          </xdr:nvSpPr>
          <xdr:spPr>
            <a:xfrm>
              <a:off x="2657475" y="1995487"/>
              <a:ext cx="3071354"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𝑀𝐴_(𝑗𝑘=4,5)=(𝐿𝐶_(𝑗𝑘=4,5)×𝐹𝐴_(𝑗𝑘=4,5) )+(1−𝐿𝐶_(𝑗𝑘=4,5) )</a:t>
              </a:r>
              <a:endParaRPr lang="en-AU" sz="1000"/>
            </a:p>
          </xdr:txBody>
        </xdr:sp>
      </mc:Fallback>
    </mc:AlternateContent>
    <xdr:clientData/>
  </xdr:oneCellAnchor>
  <xdr:oneCellAnchor>
    <xdr:from>
      <xdr:col>3</xdr:col>
      <xdr:colOff>23812</xdr:colOff>
      <xdr:row>39</xdr:row>
      <xdr:rowOff>128587</xdr:rowOff>
    </xdr:from>
    <xdr:ext cx="5088508" cy="234103"/>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D1A5B970-BC2E-4668-8946-4C3E5509F654}"/>
                </a:ext>
              </a:extLst>
            </xdr:cNvPr>
            <xdr:cNvSpPr txBox="1"/>
          </xdr:nvSpPr>
          <xdr:spPr>
            <a:xfrm>
              <a:off x="2700337" y="9920287"/>
              <a:ext cx="5088508" cy="2341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000" i="1">
                            <a:latin typeface="Cambria Math" panose="02040503050406030204" pitchFamily="18" charset="0"/>
                          </a:rPr>
                        </m:ctrlPr>
                      </m:sSubPr>
                      <m:e>
                        <m:r>
                          <a:rPr lang="en-AU" sz="1000" i="1">
                            <a:latin typeface="Cambria Math" panose="02040503050406030204" pitchFamily="18" charset="0"/>
                          </a:rPr>
                          <m:t>𝐼</m:t>
                        </m:r>
                      </m:e>
                      <m:sub>
                        <m:r>
                          <a:rPr lang="en-AU" sz="1000" i="1">
                            <a:latin typeface="Cambria Math" panose="02040503050406030204" pitchFamily="18" charset="0"/>
                          </a:rPr>
                          <m:t>𝑗𝑘𝑙</m:t>
                        </m:r>
                      </m:sub>
                    </m:sSub>
                    <m:r>
                      <a:rPr lang="en-AU" sz="1000" i="1">
                        <a:latin typeface="Cambria Math" panose="02040503050406030204" pitchFamily="18" charset="0"/>
                      </a:rPr>
                      <m:t>=</m:t>
                    </m:r>
                    <m:sSup>
                      <m:sSupPr>
                        <m:ctrlPr>
                          <a:rPr lang="en-AU" sz="1000" i="1">
                            <a:latin typeface="Cambria Math" panose="02040503050406030204" pitchFamily="18" charset="0"/>
                          </a:rPr>
                        </m:ctrlPr>
                      </m:sSupPr>
                      <m:e>
                        <m:d>
                          <m:dPr>
                            <m:ctrlPr>
                              <a:rPr lang="en-AU" sz="1000" i="1">
                                <a:latin typeface="Cambria Math" panose="02040503050406030204" pitchFamily="18" charset="0"/>
                              </a:rPr>
                            </m:ctrlPr>
                          </m:dPr>
                          <m:e>
                            <m:r>
                              <a:rPr lang="en-AU" sz="1000" i="1">
                                <a:latin typeface="Cambria Math" panose="02040503050406030204" pitchFamily="18" charset="0"/>
                              </a:rPr>
                              <m:t>1.185+0.00454×</m:t>
                            </m:r>
                            <m:sSub>
                              <m:sSubPr>
                                <m:ctrlPr>
                                  <a:rPr lang="en-AU" sz="1000" i="1">
                                    <a:latin typeface="Cambria Math" panose="02040503050406030204" pitchFamily="18" charset="0"/>
                                  </a:rPr>
                                </m:ctrlPr>
                              </m:sSubPr>
                              <m:e>
                                <m:r>
                                  <a:rPr lang="en-AU" sz="1000" i="1">
                                    <a:latin typeface="Cambria Math" panose="02040503050406030204" pitchFamily="18" charset="0"/>
                                  </a:rPr>
                                  <m:t>𝑊</m:t>
                                </m:r>
                              </m:e>
                              <m:sub>
                                <m:r>
                                  <a:rPr lang="en-AU" sz="1000" i="1">
                                    <a:latin typeface="Cambria Math" panose="02040503050406030204" pitchFamily="18" charset="0"/>
                                  </a:rPr>
                                  <m:t>𝑗𝑘𝑙</m:t>
                                </m:r>
                              </m:sub>
                            </m:sSub>
                            <m:r>
                              <a:rPr lang="en-AU" sz="1000" i="1">
                                <a:latin typeface="Cambria Math" panose="02040503050406030204" pitchFamily="18" charset="0"/>
                              </a:rPr>
                              <m:t>−0.0000026×</m:t>
                            </m:r>
                            <m:sSubSup>
                              <m:sSubSupPr>
                                <m:ctrlPr>
                                  <a:rPr lang="en-AU" sz="1000" i="1">
                                    <a:latin typeface="Cambria Math" panose="02040503050406030204" pitchFamily="18" charset="0"/>
                                  </a:rPr>
                                </m:ctrlPr>
                              </m:sSubSupPr>
                              <m:e>
                                <m:r>
                                  <a:rPr lang="en-AU" sz="1000" i="1">
                                    <a:latin typeface="Cambria Math" panose="02040503050406030204" pitchFamily="18" charset="0"/>
                                  </a:rPr>
                                  <m:t>𝑊</m:t>
                                </m:r>
                              </m:e>
                              <m:sub>
                                <m:r>
                                  <a:rPr lang="en-AU" sz="1000" i="1">
                                    <a:latin typeface="Cambria Math" panose="02040503050406030204" pitchFamily="18" charset="0"/>
                                  </a:rPr>
                                  <m:t>𝑗𝑘𝑙</m:t>
                                </m:r>
                              </m:sub>
                              <m:sup>
                                <m:r>
                                  <a:rPr lang="en-AU" sz="1000" i="1">
                                    <a:latin typeface="Cambria Math" panose="02040503050406030204" pitchFamily="18" charset="0"/>
                                  </a:rPr>
                                  <m:t>2</m:t>
                                </m:r>
                              </m:sup>
                            </m:sSubSup>
                            <m:r>
                              <a:rPr lang="en-AU" sz="1000" i="1">
                                <a:latin typeface="Cambria Math" panose="02040503050406030204" pitchFamily="18" charset="0"/>
                              </a:rPr>
                              <m:t>+0.315×</m:t>
                            </m:r>
                            <m:r>
                              <a:rPr lang="en-AU" sz="1000" i="1">
                                <a:latin typeface="Cambria Math" panose="02040503050406030204" pitchFamily="18" charset="0"/>
                              </a:rPr>
                              <m:t>𝐿𝑊</m:t>
                            </m:r>
                            <m:sSub>
                              <m:sSubPr>
                                <m:ctrlPr>
                                  <a:rPr lang="en-AU" sz="1000" i="1">
                                    <a:latin typeface="Cambria Math" panose="02040503050406030204" pitchFamily="18" charset="0"/>
                                  </a:rPr>
                                </m:ctrlPr>
                              </m:sSubPr>
                              <m:e>
                                <m:r>
                                  <a:rPr lang="en-AU" sz="1000" i="1">
                                    <a:latin typeface="Cambria Math" panose="02040503050406030204" pitchFamily="18" charset="0"/>
                                  </a:rPr>
                                  <m:t>𝐺</m:t>
                                </m:r>
                              </m:e>
                              <m:sub>
                                <m:r>
                                  <a:rPr lang="en-AU" sz="1000" i="1">
                                    <a:latin typeface="Cambria Math" panose="02040503050406030204" pitchFamily="18" charset="0"/>
                                  </a:rPr>
                                  <m:t>𝑗𝑘𝑙</m:t>
                                </m:r>
                              </m:sub>
                            </m:sSub>
                          </m:e>
                        </m:d>
                      </m:e>
                      <m:sup>
                        <m:r>
                          <a:rPr lang="en-AU" sz="1000" i="1">
                            <a:latin typeface="Cambria Math" panose="02040503050406030204" pitchFamily="18" charset="0"/>
                          </a:rPr>
                          <m:t>2</m:t>
                        </m:r>
                      </m:sup>
                    </m:sSup>
                    <m:r>
                      <a:rPr lang="en-AU" sz="1000" i="1">
                        <a:latin typeface="Cambria Math" panose="02040503050406030204" pitchFamily="18" charset="0"/>
                      </a:rPr>
                      <m:t>×</m:t>
                    </m:r>
                    <m:r>
                      <a:rPr lang="en-AU" sz="1000" i="1">
                        <a:latin typeface="Cambria Math" panose="02040503050406030204" pitchFamily="18" charset="0"/>
                      </a:rPr>
                      <m:t>𝑀</m:t>
                    </m:r>
                    <m:sSub>
                      <m:sSubPr>
                        <m:ctrlPr>
                          <a:rPr lang="en-AU" sz="1000" i="1">
                            <a:latin typeface="Cambria Math" panose="02040503050406030204" pitchFamily="18" charset="0"/>
                          </a:rPr>
                        </m:ctrlPr>
                      </m:sSubPr>
                      <m:e>
                        <m:r>
                          <a:rPr lang="en-AU" sz="1000" i="1">
                            <a:latin typeface="Cambria Math" panose="02040503050406030204" pitchFamily="18" charset="0"/>
                          </a:rPr>
                          <m:t>𝐴</m:t>
                        </m:r>
                      </m:e>
                      <m:sub>
                        <m:r>
                          <a:rPr lang="en-AU" sz="1000" i="1">
                            <a:latin typeface="Cambria Math" panose="02040503050406030204" pitchFamily="18" charset="0"/>
                          </a:rPr>
                          <m:t>𝑗𝑘</m:t>
                        </m:r>
                        <m:r>
                          <a:rPr lang="en-AU" sz="1000" i="1">
                            <a:latin typeface="Cambria Math" panose="02040503050406030204" pitchFamily="18" charset="0"/>
                          </a:rPr>
                          <m:t>=4,5</m:t>
                        </m:r>
                      </m:sub>
                    </m:sSub>
                  </m:oMath>
                </m:oMathPara>
              </a14:m>
              <a:endParaRPr lang="en-AU" sz="1000"/>
            </a:p>
          </xdr:txBody>
        </xdr:sp>
      </mc:Choice>
      <mc:Fallback xmlns="">
        <xdr:sp macro="" textlink="">
          <xdr:nvSpPr>
            <xdr:cNvPr id="4" name="TextBox 3">
              <a:extLst>
                <a:ext uri="{FF2B5EF4-FFF2-40B4-BE49-F238E27FC236}">
                  <a16:creationId xmlns:a16="http://schemas.microsoft.com/office/drawing/2014/main" id="{D1A5B970-BC2E-4668-8946-4C3E5509F654}"/>
                </a:ext>
              </a:extLst>
            </xdr:cNvPr>
            <xdr:cNvSpPr txBox="1"/>
          </xdr:nvSpPr>
          <xdr:spPr>
            <a:xfrm>
              <a:off x="2700337" y="9920287"/>
              <a:ext cx="5088508" cy="2341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𝐼_𝑗𝑘𝑙=(1.185+0.00454×𝑊_𝑗𝑘𝑙−0.0000026×𝑊_𝑗𝑘𝑙^2+0.315×𝐿𝑊𝐺_𝑗𝑘𝑙 )^2×𝑀𝐴_(𝑗𝑘=4,5)</a:t>
              </a:r>
              <a:endParaRPr lang="en-AU" sz="1000"/>
            </a:p>
          </xdr:txBody>
        </xdr:sp>
      </mc:Fallback>
    </mc:AlternateContent>
    <xdr:clientData/>
  </xdr:oneCellAnchor>
  <xdr:oneCellAnchor>
    <xdr:from>
      <xdr:col>3</xdr:col>
      <xdr:colOff>4762</xdr:colOff>
      <xdr:row>148</xdr:row>
      <xdr:rowOff>90487</xdr:rowOff>
    </xdr:from>
    <xdr:ext cx="2595389" cy="182871"/>
    <mc:AlternateContent xmlns:mc="http://schemas.openxmlformats.org/markup-compatibility/2006" xmlns:a14="http://schemas.microsoft.com/office/drawing/2010/main">
      <mc:Choice Requires="a14">
        <xdr:sp macro="" textlink="">
          <xdr:nvSpPr>
            <xdr:cNvPr id="5" name="TextBox 4">
              <a:extLst>
                <a:ext uri="{FF2B5EF4-FFF2-40B4-BE49-F238E27FC236}">
                  <a16:creationId xmlns:a16="http://schemas.microsoft.com/office/drawing/2014/main" id="{C04D2080-B7AF-4EC5-886C-29D4C4368F9C}"/>
                </a:ext>
              </a:extLst>
            </xdr:cNvPr>
            <xdr:cNvSpPr txBox="1"/>
          </xdr:nvSpPr>
          <xdr:spPr>
            <a:xfrm>
              <a:off x="2681287" y="36876037"/>
              <a:ext cx="2595389"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000" i="1">
                            <a:latin typeface="Cambria Math" panose="02040503050406030204" pitchFamily="18" charset="0"/>
                          </a:rPr>
                        </m:ctrlPr>
                      </m:sSubPr>
                      <m:e>
                        <m:r>
                          <a:rPr lang="en-AU" sz="1000" i="1">
                            <a:latin typeface="Cambria Math" panose="02040503050406030204" pitchFamily="18" charset="0"/>
                          </a:rPr>
                          <m:t>𝑀</m:t>
                        </m:r>
                      </m:e>
                      <m:sub>
                        <m:r>
                          <a:rPr lang="en-AU" sz="1000" i="1">
                            <a:latin typeface="Cambria Math" panose="02040503050406030204" pitchFamily="18" charset="0"/>
                          </a:rPr>
                          <m:t>𝑗𝑘𝑙𝑚</m:t>
                        </m:r>
                      </m:sub>
                    </m:sSub>
                    <m:r>
                      <a:rPr lang="en-AU" sz="1000" i="1">
                        <a:latin typeface="Cambria Math" panose="02040503050406030204" pitchFamily="18" charset="0"/>
                      </a:rPr>
                      <m:t>=</m:t>
                    </m:r>
                    <m:r>
                      <a:rPr lang="en-AU" sz="1000" i="1">
                        <a:latin typeface="Cambria Math" panose="02040503050406030204" pitchFamily="18" charset="0"/>
                      </a:rPr>
                      <m:t>𝑉</m:t>
                    </m:r>
                    <m:sSub>
                      <m:sSubPr>
                        <m:ctrlPr>
                          <a:rPr lang="en-AU" sz="1000" i="1">
                            <a:latin typeface="Cambria Math" panose="02040503050406030204" pitchFamily="18" charset="0"/>
                          </a:rPr>
                        </m:ctrlPr>
                      </m:sSubPr>
                      <m:e>
                        <m:r>
                          <a:rPr lang="en-AU" sz="1000" i="1">
                            <a:latin typeface="Cambria Math" panose="02040503050406030204" pitchFamily="18" charset="0"/>
                          </a:rPr>
                          <m:t>𝑆</m:t>
                        </m:r>
                      </m:e>
                      <m:sub>
                        <m:r>
                          <a:rPr lang="en-AU" sz="1000" i="1">
                            <a:latin typeface="Cambria Math" panose="02040503050406030204" pitchFamily="18" charset="0"/>
                          </a:rPr>
                          <m:t>𝑗𝑘𝑙</m:t>
                        </m:r>
                      </m:sub>
                    </m:sSub>
                    <m:r>
                      <a:rPr lang="en-AU" sz="1000" i="1">
                        <a:latin typeface="Cambria Math" panose="02040503050406030204" pitchFamily="18" charset="0"/>
                      </a:rPr>
                      <m:t>×</m:t>
                    </m:r>
                    <m:sSub>
                      <m:sSubPr>
                        <m:ctrlPr>
                          <a:rPr lang="en-AU" sz="1000" i="1">
                            <a:latin typeface="Cambria Math" panose="02040503050406030204" pitchFamily="18" charset="0"/>
                          </a:rPr>
                        </m:ctrlPr>
                      </m:sSubPr>
                      <m:e>
                        <m:r>
                          <a:rPr lang="en-AU" sz="1000" i="1">
                            <a:latin typeface="Cambria Math" panose="02040503050406030204" pitchFamily="18" charset="0"/>
                          </a:rPr>
                          <m:t>𝐵</m:t>
                        </m:r>
                      </m:e>
                      <m:sub>
                        <m:r>
                          <a:rPr lang="en-AU" sz="1000" i="1">
                            <a:latin typeface="Cambria Math" panose="02040503050406030204" pitchFamily="18" charset="0"/>
                          </a:rPr>
                          <m:t>𝑜</m:t>
                        </m:r>
                      </m:sub>
                    </m:sSub>
                    <m:r>
                      <a:rPr lang="en-AU" sz="1000" i="1">
                        <a:latin typeface="Cambria Math" panose="02040503050406030204" pitchFamily="18" charset="0"/>
                      </a:rPr>
                      <m:t>×</m:t>
                    </m:r>
                    <m:r>
                      <a:rPr lang="en-AU" sz="1000" i="1">
                        <a:latin typeface="Cambria Math" panose="02040503050406030204" pitchFamily="18" charset="0"/>
                      </a:rPr>
                      <m:t>𝑀𝑀</m:t>
                    </m:r>
                    <m:sSub>
                      <m:sSubPr>
                        <m:ctrlPr>
                          <a:rPr lang="en-AU" sz="1000" i="1">
                            <a:latin typeface="Cambria Math" panose="02040503050406030204" pitchFamily="18" charset="0"/>
                          </a:rPr>
                        </m:ctrlPr>
                      </m:sSubPr>
                      <m:e>
                        <m:r>
                          <a:rPr lang="en-AU" sz="1000" i="1">
                            <a:latin typeface="Cambria Math" panose="02040503050406030204" pitchFamily="18" charset="0"/>
                          </a:rPr>
                          <m:t>𝑆</m:t>
                        </m:r>
                      </m:e>
                      <m:sub>
                        <m:r>
                          <a:rPr lang="en-AU" sz="1000" i="1">
                            <a:latin typeface="Cambria Math" panose="02040503050406030204" pitchFamily="18" charset="0"/>
                          </a:rPr>
                          <m:t>𝑚</m:t>
                        </m:r>
                      </m:sub>
                    </m:sSub>
                    <m:r>
                      <a:rPr lang="en-AU" sz="1000" i="1">
                        <a:latin typeface="Cambria Math" panose="02040503050406030204" pitchFamily="18" charset="0"/>
                      </a:rPr>
                      <m:t>×</m:t>
                    </m:r>
                    <m:r>
                      <a:rPr lang="en-AU" sz="1000" i="1">
                        <a:latin typeface="Cambria Math" panose="02040503050406030204" pitchFamily="18" charset="0"/>
                      </a:rPr>
                      <m:t>𝑀𝐶</m:t>
                    </m:r>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𝑖𝑚</m:t>
                        </m:r>
                      </m:sub>
                    </m:sSub>
                    <m:r>
                      <a:rPr lang="en-AU" sz="1000" i="1">
                        <a:latin typeface="Cambria Math" panose="02040503050406030204" pitchFamily="18" charset="0"/>
                      </a:rPr>
                      <m:t>×</m:t>
                    </m:r>
                    <m:r>
                      <a:rPr lang="en-AU" sz="1000" i="1">
                        <a:latin typeface="Cambria Math" panose="02040503050406030204" pitchFamily="18" charset="0"/>
                      </a:rPr>
                      <m:t>𝜌</m:t>
                    </m:r>
                  </m:oMath>
                </m:oMathPara>
              </a14:m>
              <a:endParaRPr lang="en-AU" sz="1000"/>
            </a:p>
          </xdr:txBody>
        </xdr:sp>
      </mc:Choice>
      <mc:Fallback xmlns="">
        <xdr:sp macro="" textlink="">
          <xdr:nvSpPr>
            <xdr:cNvPr id="5" name="TextBox 4">
              <a:extLst>
                <a:ext uri="{FF2B5EF4-FFF2-40B4-BE49-F238E27FC236}">
                  <a16:creationId xmlns:a16="http://schemas.microsoft.com/office/drawing/2014/main" id="{C04D2080-B7AF-4EC5-886C-29D4C4368F9C}"/>
                </a:ext>
              </a:extLst>
            </xdr:cNvPr>
            <xdr:cNvSpPr txBox="1"/>
          </xdr:nvSpPr>
          <xdr:spPr>
            <a:xfrm>
              <a:off x="2681287" y="36876037"/>
              <a:ext cx="2595389"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𝑀_𝑗𝑘𝑙𝑚=𝑉𝑆_𝑗𝑘𝑙×𝐵_𝑜×𝑀𝑀𝑆_𝑚×𝑀𝐶𝐹_𝑖𝑚×𝜌</a:t>
              </a:r>
              <a:endParaRPr lang="en-AU" sz="1000"/>
            </a:p>
          </xdr:txBody>
        </xdr:sp>
      </mc:Fallback>
    </mc:AlternateContent>
    <xdr:clientData/>
  </xdr:oneCellAnchor>
  <xdr:oneCellAnchor>
    <xdr:from>
      <xdr:col>3</xdr:col>
      <xdr:colOff>11722</xdr:colOff>
      <xdr:row>206</xdr:row>
      <xdr:rowOff>27946</xdr:rowOff>
    </xdr:from>
    <xdr:ext cx="2957348" cy="429926"/>
    <mc:AlternateContent xmlns:mc="http://schemas.openxmlformats.org/markup-compatibility/2006" xmlns:a14="http://schemas.microsoft.com/office/drawing/2010/main">
      <mc:Choice Requires="a14">
        <xdr:sp macro="" textlink="">
          <xdr:nvSpPr>
            <xdr:cNvPr id="6" name="TextBox 5">
              <a:extLst>
                <a:ext uri="{FF2B5EF4-FFF2-40B4-BE49-F238E27FC236}">
                  <a16:creationId xmlns:a16="http://schemas.microsoft.com/office/drawing/2014/main" id="{C1D99AA9-2103-4F8F-9B8B-EBD099104DDB}"/>
                </a:ext>
              </a:extLst>
            </xdr:cNvPr>
            <xdr:cNvSpPr txBox="1"/>
          </xdr:nvSpPr>
          <xdr:spPr>
            <a:xfrm>
              <a:off x="2688247" y="51177196"/>
              <a:ext cx="2957348"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000" i="1">
                            <a:latin typeface="Cambria Math" panose="02040503050406030204" pitchFamily="18" charset="0"/>
                          </a:rPr>
                        </m:ctrlPr>
                      </m:sSubPr>
                      <m:e>
                        <m:r>
                          <a:rPr lang="en-AU" sz="1000" i="1">
                            <a:latin typeface="Cambria Math" panose="02040503050406030204" pitchFamily="18" charset="0"/>
                          </a:rPr>
                          <m:t>𝐸</m:t>
                        </m:r>
                      </m:e>
                      <m:sub>
                        <m:r>
                          <a:rPr lang="en-AU" sz="1000" i="1">
                            <a:latin typeface="Cambria Math" panose="02040503050406030204" pitchFamily="18" charset="0"/>
                          </a:rPr>
                          <m:t>𝐶𝐻</m:t>
                        </m:r>
                        <m:r>
                          <a:rPr lang="en-AU" sz="1000" i="1">
                            <a:latin typeface="Cambria Math" panose="02040503050406030204" pitchFamily="18" charset="0"/>
                          </a:rPr>
                          <m:t>4</m:t>
                        </m:r>
                      </m:sub>
                    </m:sSub>
                    <m:r>
                      <a:rPr lang="en-AU" sz="1000" i="1">
                        <a:latin typeface="Cambria Math" panose="02040503050406030204" pitchFamily="18" charset="0"/>
                      </a:rPr>
                      <m:t>=</m:t>
                    </m:r>
                    <m:nary>
                      <m:naryPr>
                        <m:chr m:val="∑"/>
                        <m:supHide m:val="on"/>
                        <m:ctrlPr>
                          <a:rPr lang="en-AU" sz="1000" i="1">
                            <a:latin typeface="Cambria Math" panose="02040503050406030204" pitchFamily="18" charset="0"/>
                          </a:rPr>
                        </m:ctrlPr>
                      </m:naryPr>
                      <m:sub>
                        <m:r>
                          <a:rPr lang="en-AU" sz="1000" i="1">
                            <a:latin typeface="Cambria Math" panose="02040503050406030204" pitchFamily="18" charset="0"/>
                          </a:rPr>
                          <m:t>𝑗</m:t>
                        </m:r>
                      </m:sub>
                      <m:sup/>
                      <m:e>
                        <m:nary>
                          <m:naryPr>
                            <m:chr m:val="∑"/>
                            <m:supHide m:val="on"/>
                            <m:ctrlPr>
                              <a:rPr lang="en-AU" sz="1000" i="1">
                                <a:latin typeface="Cambria Math" panose="02040503050406030204" pitchFamily="18" charset="0"/>
                              </a:rPr>
                            </m:ctrlPr>
                          </m:naryPr>
                          <m:sub>
                            <m:r>
                              <a:rPr lang="en-AU" sz="1000" i="1">
                                <a:latin typeface="Cambria Math" panose="02040503050406030204" pitchFamily="18" charset="0"/>
                              </a:rPr>
                              <m:t>𝑘</m:t>
                            </m:r>
                          </m:sub>
                          <m:sup/>
                          <m:e>
                            <m:nary>
                              <m:naryPr>
                                <m:chr m:val="∑"/>
                                <m:supHide m:val="on"/>
                                <m:ctrlPr>
                                  <a:rPr lang="en-AU" sz="1000" i="1">
                                    <a:latin typeface="Cambria Math" panose="02040503050406030204" pitchFamily="18" charset="0"/>
                                  </a:rPr>
                                </m:ctrlPr>
                              </m:naryPr>
                              <m:sub>
                                <m:r>
                                  <a:rPr lang="en-AU" sz="1000" i="1">
                                    <a:latin typeface="Cambria Math" panose="02040503050406030204" pitchFamily="18" charset="0"/>
                                  </a:rPr>
                                  <m:t>𝑙</m:t>
                                </m:r>
                              </m:sub>
                              <m:sup/>
                              <m:e>
                                <m:nary>
                                  <m:naryPr>
                                    <m:chr m:val="∑"/>
                                    <m:supHide m:val="on"/>
                                    <m:ctrlPr>
                                      <a:rPr lang="en-AU" sz="1000" i="1">
                                        <a:latin typeface="Cambria Math" panose="02040503050406030204" pitchFamily="18" charset="0"/>
                                      </a:rPr>
                                    </m:ctrlPr>
                                  </m:naryPr>
                                  <m:sub>
                                    <m:r>
                                      <a:rPr lang="en-AU" sz="1000" i="1">
                                        <a:latin typeface="Cambria Math" panose="02040503050406030204" pitchFamily="18" charset="0"/>
                                      </a:rPr>
                                      <m:t>𝑚</m:t>
                                    </m:r>
                                  </m:sub>
                                  <m:sup/>
                                  <m:e>
                                    <m:d>
                                      <m:dPr>
                                        <m:ctrlPr>
                                          <a:rPr lang="en-AU" sz="1000" i="1">
                                            <a:latin typeface="Cambria Math" panose="02040503050406030204" pitchFamily="18" charset="0"/>
                                          </a:rPr>
                                        </m:ctrlPr>
                                      </m:dPr>
                                      <m:e>
                                        <m:sSub>
                                          <m:sSubPr>
                                            <m:ctrlPr>
                                              <a:rPr lang="en-AU" sz="1000" i="1">
                                                <a:latin typeface="Cambria Math" panose="02040503050406030204" pitchFamily="18" charset="0"/>
                                              </a:rPr>
                                            </m:ctrlPr>
                                          </m:sSubPr>
                                          <m:e>
                                            <m:r>
                                              <a:rPr lang="en-AU" sz="1000" i="1">
                                                <a:latin typeface="Cambria Math" panose="02040503050406030204" pitchFamily="18" charset="0"/>
                                              </a:rPr>
                                              <m:t>𝑁</m:t>
                                            </m:r>
                                          </m:e>
                                          <m:sub>
                                            <m:r>
                                              <a:rPr lang="en-AU" sz="1000" i="1">
                                                <a:latin typeface="Cambria Math" panose="02040503050406030204" pitchFamily="18" charset="0"/>
                                              </a:rPr>
                                              <m:t>𝑗𝑘𝑙</m:t>
                                            </m:r>
                                          </m:sub>
                                        </m:sSub>
                                        <m:r>
                                          <a:rPr lang="en-AU" sz="1000" i="1">
                                            <a:latin typeface="Cambria Math" panose="02040503050406030204" pitchFamily="18" charset="0"/>
                                          </a:rPr>
                                          <m:t>×</m:t>
                                        </m:r>
                                        <m:sSub>
                                          <m:sSubPr>
                                            <m:ctrlPr>
                                              <a:rPr lang="en-AU" sz="1000" i="1">
                                                <a:latin typeface="Cambria Math" panose="02040503050406030204" pitchFamily="18" charset="0"/>
                                              </a:rPr>
                                            </m:ctrlPr>
                                          </m:sSubPr>
                                          <m:e>
                                            <m:r>
                                              <a:rPr lang="en-AU" sz="1000" i="1">
                                                <a:latin typeface="Cambria Math" panose="02040503050406030204" pitchFamily="18" charset="0"/>
                                              </a:rPr>
                                              <m:t>𝑀</m:t>
                                            </m:r>
                                          </m:e>
                                          <m:sub>
                                            <m:r>
                                              <a:rPr lang="en-AU" sz="1000" i="1">
                                                <a:latin typeface="Cambria Math" panose="02040503050406030204" pitchFamily="18" charset="0"/>
                                              </a:rPr>
                                              <m:t>𝑗𝑘𝑙𝑚</m:t>
                                            </m:r>
                                          </m:sub>
                                        </m:sSub>
                                        <m:r>
                                          <a:rPr lang="en-AU" sz="1000" i="1">
                                            <a:latin typeface="Cambria Math" panose="02040503050406030204" pitchFamily="18" charset="0"/>
                                          </a:rPr>
                                          <m:t>×</m:t>
                                        </m:r>
                                        <m:sSub>
                                          <m:sSubPr>
                                            <m:ctrlPr>
                                              <a:rPr lang="en-AU" sz="1000" i="1">
                                                <a:latin typeface="Cambria Math" panose="02040503050406030204" pitchFamily="18" charset="0"/>
                                              </a:rPr>
                                            </m:ctrlPr>
                                          </m:sSubPr>
                                          <m:e>
                                            <m:r>
                                              <a:rPr lang="en-AU" sz="1000" i="1">
                                                <a:latin typeface="Cambria Math" panose="02040503050406030204" pitchFamily="18" charset="0"/>
                                              </a:rPr>
                                              <m:t>𝐷</m:t>
                                            </m:r>
                                          </m:e>
                                          <m:sub>
                                            <m:r>
                                              <a:rPr lang="en-AU" sz="1000" i="1">
                                                <a:latin typeface="Cambria Math" panose="02040503050406030204" pitchFamily="18" charset="0"/>
                                              </a:rPr>
                                              <m:t>𝑗</m:t>
                                            </m:r>
                                          </m:sub>
                                        </m:sSub>
                                      </m:e>
                                    </m:d>
                                  </m:e>
                                </m:nary>
                              </m:e>
                            </m:nary>
                          </m:e>
                        </m:nary>
                      </m:e>
                    </m:nary>
                    <m:r>
                      <a:rPr lang="en-AU" sz="1000" i="1">
                        <a:latin typeface="Cambria Math" panose="02040503050406030204" pitchFamily="18" charset="0"/>
                      </a:rPr>
                      <m:t>×</m:t>
                    </m:r>
                    <m:sSup>
                      <m:sSupPr>
                        <m:ctrlPr>
                          <a:rPr lang="en-AU" sz="1000" i="1">
                            <a:latin typeface="Cambria Math" panose="02040503050406030204" pitchFamily="18" charset="0"/>
                          </a:rPr>
                        </m:ctrlPr>
                      </m:sSupPr>
                      <m:e>
                        <m:r>
                          <a:rPr lang="en-AU" sz="1000" i="1">
                            <a:latin typeface="Cambria Math" panose="02040503050406030204" pitchFamily="18" charset="0"/>
                          </a:rPr>
                          <m:t>10</m:t>
                        </m:r>
                      </m:e>
                      <m:sup>
                        <m:r>
                          <a:rPr lang="en-AU" sz="1000" i="1">
                            <a:latin typeface="Cambria Math" panose="02040503050406030204" pitchFamily="18" charset="0"/>
                          </a:rPr>
                          <m:t>−3</m:t>
                        </m:r>
                      </m:sup>
                    </m:sSup>
                  </m:oMath>
                </m:oMathPara>
              </a14:m>
              <a:endParaRPr lang="en-AU" sz="1000"/>
            </a:p>
          </xdr:txBody>
        </xdr:sp>
      </mc:Choice>
      <mc:Fallback xmlns="">
        <xdr:sp macro="" textlink="">
          <xdr:nvSpPr>
            <xdr:cNvPr id="6" name="TextBox 5">
              <a:extLst>
                <a:ext uri="{FF2B5EF4-FFF2-40B4-BE49-F238E27FC236}">
                  <a16:creationId xmlns:a16="http://schemas.microsoft.com/office/drawing/2014/main" id="{C1D99AA9-2103-4F8F-9B8B-EBD099104DDB}"/>
                </a:ext>
              </a:extLst>
            </xdr:cNvPr>
            <xdr:cNvSpPr txBox="1"/>
          </xdr:nvSpPr>
          <xdr:spPr>
            <a:xfrm>
              <a:off x="2688247" y="51177196"/>
              <a:ext cx="2957348"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𝐸_𝐶𝐻4=∑_𝑗▒∑_𝑘▒∑_𝑙▒∑_𝑚▒(𝑁_𝑗𝑘𝑙×𝑀_𝑗𝑘𝑙𝑚×𝐷_𝑗 ) ×10^(−3)</a:t>
              </a:r>
              <a:endParaRPr lang="en-AU" sz="1000"/>
            </a:p>
          </xdr:txBody>
        </xdr:sp>
      </mc:Fallback>
    </mc:AlternateContent>
    <xdr:clientData/>
  </xdr:oneCellAnchor>
  <xdr:oneCellAnchor>
    <xdr:from>
      <xdr:col>8</xdr:col>
      <xdr:colOff>1396253</xdr:colOff>
      <xdr:row>17</xdr:row>
      <xdr:rowOff>76200</xdr:rowOff>
    </xdr:from>
    <xdr:ext cx="6922664" cy="253339"/>
    <mc:AlternateContent xmlns:mc="http://schemas.openxmlformats.org/markup-compatibility/2006" xmlns:a14="http://schemas.microsoft.com/office/drawing/2010/main">
      <mc:Choice Requires="a14">
        <xdr:sp macro="" textlink="">
          <xdr:nvSpPr>
            <xdr:cNvPr id="7" name="TextBox 6">
              <a:extLst>
                <a:ext uri="{FF2B5EF4-FFF2-40B4-BE49-F238E27FC236}">
                  <a16:creationId xmlns:a16="http://schemas.microsoft.com/office/drawing/2014/main" id="{8C367B1A-F5A3-4C69-B1CA-D277879ACEFA}"/>
                </a:ext>
              </a:extLst>
            </xdr:cNvPr>
            <xdr:cNvSpPr txBox="1"/>
          </xdr:nvSpPr>
          <xdr:spPr>
            <a:xfrm>
              <a:off x="14312153" y="4419600"/>
              <a:ext cx="6922664" cy="2533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000" i="1">
                        <a:latin typeface="Cambria Math" panose="02040503050406030204" pitchFamily="18" charset="0"/>
                      </a:rPr>
                      <m:t>𝑀</m:t>
                    </m:r>
                    <m:sSub>
                      <m:sSubPr>
                        <m:ctrlPr>
                          <a:rPr lang="en-AU" sz="1000" i="1">
                            <a:latin typeface="Cambria Math" panose="02040503050406030204" pitchFamily="18" charset="0"/>
                          </a:rPr>
                        </m:ctrlPr>
                      </m:sSubPr>
                      <m:e>
                        <m:r>
                          <a:rPr lang="en-AU" sz="1000" i="1">
                            <a:latin typeface="Cambria Math" panose="02040503050406030204" pitchFamily="18" charset="0"/>
                          </a:rPr>
                          <m:t>𝐴</m:t>
                        </m:r>
                      </m:e>
                      <m:sub>
                        <m:r>
                          <a:rPr lang="en-AU" sz="1000" i="1">
                            <a:latin typeface="Cambria Math" panose="02040503050406030204" pitchFamily="18" charset="0"/>
                          </a:rPr>
                          <m:t>𝑗𝑘</m:t>
                        </m:r>
                        <m:r>
                          <a:rPr lang="en-AU" sz="1000" i="1">
                            <a:latin typeface="Cambria Math" panose="02040503050406030204" pitchFamily="18" charset="0"/>
                          </a:rPr>
                          <m:t>=4,5</m:t>
                        </m:r>
                      </m:sub>
                    </m:sSub>
                    <m:r>
                      <a:rPr lang="en-AU" sz="1000" i="1">
                        <a:latin typeface="Cambria Math" panose="02040503050406030204" pitchFamily="18" charset="0"/>
                      </a:rPr>
                      <m:t>=</m:t>
                    </m:r>
                    <m:d>
                      <m:dPr>
                        <m:ctrlPr>
                          <a:rPr lang="en-AU" sz="1000" i="1">
                            <a:latin typeface="Cambria Math" panose="02040503050406030204" pitchFamily="18" charset="0"/>
                          </a:rPr>
                        </m:ctrlPr>
                      </m:dPr>
                      <m:e>
                        <m:d>
                          <m:dPr>
                            <m:ctrlPr>
                              <a:rPr lang="en-AU" sz="1000" i="1">
                                <a:latin typeface="Cambria Math" panose="02040503050406030204" pitchFamily="18" charset="0"/>
                              </a:rPr>
                            </m:ctrlPr>
                          </m:dPr>
                          <m:e>
                            <m:r>
                              <a:rPr lang="en-AU" sz="1000" i="1">
                                <a:latin typeface="Cambria Math" panose="02040503050406030204" pitchFamily="18" charset="0"/>
                              </a:rPr>
                              <m:t>𝐿</m:t>
                            </m:r>
                            <m:sSub>
                              <m:sSubPr>
                                <m:ctrlPr>
                                  <a:rPr lang="en-AU" sz="1000" i="1">
                                    <a:latin typeface="Cambria Math" panose="02040503050406030204" pitchFamily="18" charset="0"/>
                                  </a:rPr>
                                </m:ctrlPr>
                              </m:sSubPr>
                              <m:e>
                                <m:r>
                                  <a:rPr lang="en-AU" sz="1000" i="1">
                                    <a:latin typeface="Cambria Math" panose="02040503050406030204" pitchFamily="18" charset="0"/>
                                  </a:rPr>
                                  <m:t>𝐶</m:t>
                                </m:r>
                              </m:e>
                              <m:sub>
                                <m:r>
                                  <a:rPr lang="en-AU" sz="1000" i="1">
                                    <a:latin typeface="Cambria Math" panose="02040503050406030204" pitchFamily="18" charset="0"/>
                                  </a:rPr>
                                  <m:t>𝑗𝑘</m:t>
                                </m:r>
                                <m:r>
                                  <a:rPr lang="en-AU" sz="1000" i="1">
                                    <a:latin typeface="Cambria Math" panose="02040503050406030204" pitchFamily="18" charset="0"/>
                                  </a:rPr>
                                  <m:t>=4,5,</m:t>
                                </m:r>
                                <m:r>
                                  <a:rPr lang="en-AU" sz="1000" i="1">
                                    <a:latin typeface="Cambria Math" panose="02040503050406030204" pitchFamily="18" charset="0"/>
                                  </a:rPr>
                                  <m:t>𝑐𝑎𝑙𝑣</m:t>
                                </m:r>
                              </m:sub>
                            </m:sSub>
                            <m:r>
                              <a:rPr lang="en-AU" sz="1000" i="1">
                                <a:latin typeface="Cambria Math" panose="02040503050406030204" pitchFamily="18" charset="0"/>
                              </a:rPr>
                              <m:t>×</m:t>
                            </m:r>
                            <m:r>
                              <a:rPr lang="en-AU" sz="1000" i="1">
                                <a:latin typeface="Cambria Math" panose="02040503050406030204" pitchFamily="18" charset="0"/>
                              </a:rPr>
                              <m:t>𝐹</m:t>
                            </m:r>
                            <m:sSub>
                              <m:sSubPr>
                                <m:ctrlPr>
                                  <a:rPr lang="en-AU" sz="1000" i="1">
                                    <a:latin typeface="Cambria Math" panose="02040503050406030204" pitchFamily="18" charset="0"/>
                                  </a:rPr>
                                </m:ctrlPr>
                              </m:sSubPr>
                              <m:e>
                                <m:r>
                                  <a:rPr lang="en-AU" sz="1000" i="1">
                                    <a:latin typeface="Cambria Math" panose="02040503050406030204" pitchFamily="18" charset="0"/>
                                  </a:rPr>
                                  <m:t>𝐴</m:t>
                                </m:r>
                              </m:e>
                              <m:sub>
                                <m:r>
                                  <a:rPr lang="en-AU" sz="1000" i="1">
                                    <a:latin typeface="Cambria Math" panose="02040503050406030204" pitchFamily="18" charset="0"/>
                                  </a:rPr>
                                  <m:t>𝑗𝑘</m:t>
                                </m:r>
                                <m:r>
                                  <a:rPr lang="en-AU" sz="1000" i="1">
                                    <a:latin typeface="Cambria Math" panose="02040503050406030204" pitchFamily="18" charset="0"/>
                                  </a:rPr>
                                  <m:t>=4,5,</m:t>
                                </m:r>
                                <m:r>
                                  <a:rPr lang="en-AU" sz="1000" i="1">
                                    <a:latin typeface="Cambria Math" panose="02040503050406030204" pitchFamily="18" charset="0"/>
                                  </a:rPr>
                                  <m:t>𝑐𝑎𝑙𝑣</m:t>
                                </m:r>
                              </m:sub>
                            </m:sSub>
                          </m:e>
                        </m:d>
                        <m:r>
                          <a:rPr lang="en-AU" sz="1000" i="1">
                            <a:latin typeface="Cambria Math" panose="02040503050406030204" pitchFamily="18" charset="0"/>
                          </a:rPr>
                          <m:t>+</m:t>
                        </m:r>
                        <m:d>
                          <m:dPr>
                            <m:ctrlPr>
                              <a:rPr lang="en-AU" sz="1000" i="1">
                                <a:latin typeface="Cambria Math" panose="02040503050406030204" pitchFamily="18" charset="0"/>
                              </a:rPr>
                            </m:ctrlPr>
                          </m:dPr>
                          <m:e>
                            <m:r>
                              <a:rPr lang="en-AU" sz="1000" i="1">
                                <a:latin typeface="Cambria Math" panose="02040503050406030204" pitchFamily="18" charset="0"/>
                              </a:rPr>
                              <m:t>𝐿</m:t>
                            </m:r>
                            <m:sSub>
                              <m:sSubPr>
                                <m:ctrlPr>
                                  <a:rPr lang="en-AU" sz="1000" i="1">
                                    <a:latin typeface="Cambria Math" panose="02040503050406030204" pitchFamily="18" charset="0"/>
                                  </a:rPr>
                                </m:ctrlPr>
                              </m:sSubPr>
                              <m:e>
                                <m:r>
                                  <a:rPr lang="en-AU" sz="1000" i="1">
                                    <a:latin typeface="Cambria Math" panose="02040503050406030204" pitchFamily="18" charset="0"/>
                                  </a:rPr>
                                  <m:t>𝐶</m:t>
                                </m:r>
                              </m:e>
                              <m:sub>
                                <m:r>
                                  <a:rPr lang="en-AU" sz="1000" i="1">
                                    <a:latin typeface="Cambria Math" panose="02040503050406030204" pitchFamily="18" charset="0"/>
                                  </a:rPr>
                                  <m:t>𝑗𝑘</m:t>
                                </m:r>
                                <m:r>
                                  <a:rPr lang="en-AU" sz="1000" i="1">
                                    <a:latin typeface="Cambria Math" panose="02040503050406030204" pitchFamily="18" charset="0"/>
                                  </a:rPr>
                                  <m:t>=4,5,</m:t>
                                </m:r>
                                <m:r>
                                  <a:rPr lang="en-AU" sz="1000" i="1">
                                    <a:latin typeface="Cambria Math" panose="02040503050406030204" pitchFamily="18" charset="0"/>
                                  </a:rPr>
                                  <m:t>𝑝𝑟𝑒𝑣</m:t>
                                </m:r>
                              </m:sub>
                            </m:sSub>
                            <m:r>
                              <a:rPr lang="en-AU" sz="1000" i="1">
                                <a:latin typeface="Cambria Math" panose="02040503050406030204" pitchFamily="18" charset="0"/>
                              </a:rPr>
                              <m:t>×</m:t>
                            </m:r>
                            <m:r>
                              <a:rPr lang="en-AU" sz="1000" i="1">
                                <a:latin typeface="Cambria Math" panose="02040503050406030204" pitchFamily="18" charset="0"/>
                              </a:rPr>
                              <m:t>𝐹</m:t>
                            </m:r>
                            <m:sSub>
                              <m:sSubPr>
                                <m:ctrlPr>
                                  <a:rPr lang="en-AU" sz="1000" i="1">
                                    <a:latin typeface="Cambria Math" panose="02040503050406030204" pitchFamily="18" charset="0"/>
                                  </a:rPr>
                                </m:ctrlPr>
                              </m:sSubPr>
                              <m:e>
                                <m:r>
                                  <a:rPr lang="en-AU" sz="1000" i="1">
                                    <a:latin typeface="Cambria Math" panose="02040503050406030204" pitchFamily="18" charset="0"/>
                                  </a:rPr>
                                  <m:t>𝐴</m:t>
                                </m:r>
                              </m:e>
                              <m:sub>
                                <m:r>
                                  <a:rPr lang="en-AU" sz="1000" i="1">
                                    <a:latin typeface="Cambria Math" panose="02040503050406030204" pitchFamily="18" charset="0"/>
                                  </a:rPr>
                                  <m:t>𝑗𝑘</m:t>
                                </m:r>
                                <m:r>
                                  <a:rPr lang="en-AU" sz="1000" i="1">
                                    <a:latin typeface="Cambria Math" panose="02040503050406030204" pitchFamily="18" charset="0"/>
                                  </a:rPr>
                                  <m:t>=4,5,</m:t>
                                </m:r>
                                <m:r>
                                  <a:rPr lang="en-AU" sz="1000" i="1">
                                    <a:latin typeface="Cambria Math" panose="02040503050406030204" pitchFamily="18" charset="0"/>
                                  </a:rPr>
                                  <m:t>𝑎𝑓𝑡𝑒𝑟</m:t>
                                </m:r>
                              </m:sub>
                            </m:sSub>
                          </m:e>
                        </m:d>
                      </m:e>
                    </m:d>
                    <m:r>
                      <a:rPr lang="en-AU" sz="1000" i="1">
                        <a:latin typeface="Cambria Math" panose="02040503050406030204" pitchFamily="18" charset="0"/>
                      </a:rPr>
                      <m:t>+</m:t>
                    </m:r>
                    <m:d>
                      <m:dPr>
                        <m:ctrlPr>
                          <a:rPr lang="en-AU" sz="1000" i="1">
                            <a:latin typeface="Cambria Math" panose="02040503050406030204" pitchFamily="18" charset="0"/>
                          </a:rPr>
                        </m:ctrlPr>
                      </m:dPr>
                      <m:e>
                        <m:r>
                          <a:rPr lang="en-AU" sz="1000" i="1">
                            <a:latin typeface="Cambria Math" panose="02040503050406030204" pitchFamily="18" charset="0"/>
                          </a:rPr>
                          <m:t>1−</m:t>
                        </m:r>
                        <m:d>
                          <m:dPr>
                            <m:ctrlPr>
                              <a:rPr lang="en-AU" sz="1000" i="1">
                                <a:latin typeface="Cambria Math" panose="02040503050406030204" pitchFamily="18" charset="0"/>
                              </a:rPr>
                            </m:ctrlPr>
                          </m:dPr>
                          <m:e>
                            <m:r>
                              <a:rPr lang="en-AU" sz="1000" i="1">
                                <a:latin typeface="Cambria Math" panose="02040503050406030204" pitchFamily="18" charset="0"/>
                              </a:rPr>
                              <m:t>𝐿</m:t>
                            </m:r>
                            <m:sSub>
                              <m:sSubPr>
                                <m:ctrlPr>
                                  <a:rPr lang="en-AU" sz="1000" i="1">
                                    <a:latin typeface="Cambria Math" panose="02040503050406030204" pitchFamily="18" charset="0"/>
                                  </a:rPr>
                                </m:ctrlPr>
                              </m:sSubPr>
                              <m:e>
                                <m:r>
                                  <a:rPr lang="en-AU" sz="1000" i="1">
                                    <a:latin typeface="Cambria Math" panose="02040503050406030204" pitchFamily="18" charset="0"/>
                                  </a:rPr>
                                  <m:t>𝐶</m:t>
                                </m:r>
                              </m:e>
                              <m:sub>
                                <m:r>
                                  <a:rPr lang="en-AU" sz="1000" i="1">
                                    <a:latin typeface="Cambria Math" panose="02040503050406030204" pitchFamily="18" charset="0"/>
                                  </a:rPr>
                                  <m:t>𝑗𝑘</m:t>
                                </m:r>
                                <m:r>
                                  <a:rPr lang="en-AU" sz="1000" i="1">
                                    <a:latin typeface="Cambria Math" panose="02040503050406030204" pitchFamily="18" charset="0"/>
                                  </a:rPr>
                                  <m:t>=4,5,</m:t>
                                </m:r>
                                <m:r>
                                  <a:rPr lang="en-AU" sz="1000" i="1">
                                    <a:latin typeface="Cambria Math" panose="02040503050406030204" pitchFamily="18" charset="0"/>
                                  </a:rPr>
                                  <m:t>𝑐𝑎𝑙𝑣</m:t>
                                </m:r>
                              </m:sub>
                            </m:sSub>
                            <m:r>
                              <a:rPr lang="en-AU" sz="1000" i="1">
                                <a:latin typeface="Cambria Math" panose="02040503050406030204" pitchFamily="18" charset="0"/>
                              </a:rPr>
                              <m:t>+</m:t>
                            </m:r>
                            <m:r>
                              <a:rPr lang="en-AU" sz="1000" i="1">
                                <a:latin typeface="Cambria Math" panose="02040503050406030204" pitchFamily="18" charset="0"/>
                              </a:rPr>
                              <m:t>𝐿</m:t>
                            </m:r>
                            <m:sSub>
                              <m:sSubPr>
                                <m:ctrlPr>
                                  <a:rPr lang="en-AU" sz="1000" i="1">
                                    <a:latin typeface="Cambria Math" panose="02040503050406030204" pitchFamily="18" charset="0"/>
                                  </a:rPr>
                                </m:ctrlPr>
                              </m:sSubPr>
                              <m:e>
                                <m:r>
                                  <a:rPr lang="en-AU" sz="1000" i="1">
                                    <a:latin typeface="Cambria Math" panose="02040503050406030204" pitchFamily="18" charset="0"/>
                                  </a:rPr>
                                  <m:t>𝐶</m:t>
                                </m:r>
                              </m:e>
                              <m:sub>
                                <m:r>
                                  <a:rPr lang="en-AU" sz="1000" i="1">
                                    <a:latin typeface="Cambria Math" panose="02040503050406030204" pitchFamily="18" charset="0"/>
                                  </a:rPr>
                                  <m:t>𝑗𝑘</m:t>
                                </m:r>
                                <m:r>
                                  <a:rPr lang="en-AU" sz="1000" i="1">
                                    <a:latin typeface="Cambria Math" panose="02040503050406030204" pitchFamily="18" charset="0"/>
                                  </a:rPr>
                                  <m:t>=4,5,</m:t>
                                </m:r>
                                <m:r>
                                  <a:rPr lang="en-AU" sz="1000" i="1">
                                    <a:latin typeface="Cambria Math" panose="02040503050406030204" pitchFamily="18" charset="0"/>
                                  </a:rPr>
                                  <m:t>𝑝𝑟𝑒𝑣</m:t>
                                </m:r>
                              </m:sub>
                            </m:sSub>
                          </m:e>
                        </m:d>
                      </m:e>
                    </m:d>
                  </m:oMath>
                </m:oMathPara>
              </a14:m>
              <a:endParaRPr lang="en-AU" sz="1000"/>
            </a:p>
          </xdr:txBody>
        </xdr:sp>
      </mc:Choice>
      <mc:Fallback xmlns="">
        <xdr:sp macro="" textlink="">
          <xdr:nvSpPr>
            <xdr:cNvPr id="7" name="TextBox 6">
              <a:extLst>
                <a:ext uri="{FF2B5EF4-FFF2-40B4-BE49-F238E27FC236}">
                  <a16:creationId xmlns:a16="http://schemas.microsoft.com/office/drawing/2014/main" id="{8C367B1A-F5A3-4C69-B1CA-D277879ACEFA}"/>
                </a:ext>
              </a:extLst>
            </xdr:cNvPr>
            <xdr:cNvSpPr txBox="1"/>
          </xdr:nvSpPr>
          <xdr:spPr>
            <a:xfrm>
              <a:off x="14312153" y="4419600"/>
              <a:ext cx="6922664" cy="2533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𝑀𝐴_(𝑗𝑘=4,5)=((𝐿𝐶_(𝑗𝑘=4,5,𝑐𝑎𝑙𝑣)×𝐹𝐴_(𝑗𝑘=4,5,𝑐𝑎𝑙𝑣) )+(𝐿𝐶_(𝑗𝑘=4,5,𝑝𝑟𝑒𝑣)×𝐹𝐴_(𝑗𝑘=4,5,𝑎𝑓𝑡𝑒𝑟) ))+(1−(𝐿𝐶_(𝑗𝑘=4,5,𝑐𝑎𝑙𝑣)+𝐿𝐶_(𝑗𝑘=4,5,𝑝𝑟𝑒𝑣) ))</a:t>
              </a:r>
              <a:endParaRPr lang="en-AU" sz="1000"/>
            </a:p>
          </xdr:txBody>
        </xdr:sp>
      </mc:Fallback>
    </mc:AlternateContent>
    <xdr:clientData/>
  </xdr:oneCellAnchor>
</xdr:wsDr>
</file>

<file path=xl/drawings/drawing5.xml><?xml version="1.0" encoding="utf-8"?>
<xdr:wsDr xmlns:xdr="http://schemas.openxmlformats.org/drawingml/2006/spreadsheetDrawing" xmlns:a="http://schemas.openxmlformats.org/drawingml/2006/main">
  <xdr:oneCellAnchor>
    <xdr:from>
      <xdr:col>3</xdr:col>
      <xdr:colOff>4762</xdr:colOff>
      <xdr:row>7</xdr:row>
      <xdr:rowOff>47625</xdr:rowOff>
    </xdr:from>
    <xdr:ext cx="797334" cy="350352"/>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DFBD5436-8DDA-4A14-A1BC-BB381FD2A3B6}"/>
                </a:ext>
              </a:extLst>
            </xdr:cNvPr>
            <xdr:cNvSpPr txBox="1"/>
          </xdr:nvSpPr>
          <xdr:spPr>
            <a:xfrm>
              <a:off x="2681287" y="1914525"/>
              <a:ext cx="797334" cy="3503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000" i="1">
                            <a:latin typeface="Cambria Math" panose="02040503050406030204" pitchFamily="18" charset="0"/>
                          </a:rPr>
                        </m:ctrlPr>
                      </m:sSubPr>
                      <m:e>
                        <m:r>
                          <a:rPr lang="en-AU" sz="1000" i="1">
                            <a:latin typeface="Cambria Math" panose="02040503050406030204" pitchFamily="18" charset="0"/>
                          </a:rPr>
                          <m:t>𝑍</m:t>
                        </m:r>
                      </m:e>
                      <m:sub>
                        <m:r>
                          <a:rPr lang="en-AU" sz="1000" i="1">
                            <a:latin typeface="Cambria Math" panose="02040503050406030204" pitchFamily="18" charset="0"/>
                          </a:rPr>
                          <m:t>𝑗𝑘𝑙</m:t>
                        </m:r>
                      </m:sub>
                    </m:sSub>
                    <m:r>
                      <a:rPr lang="en-AU" sz="1000" i="1">
                        <a:latin typeface="Cambria Math" panose="02040503050406030204" pitchFamily="18" charset="0"/>
                      </a:rPr>
                      <m:t>=</m:t>
                    </m:r>
                    <m:f>
                      <m:fPr>
                        <m:ctrlPr>
                          <a:rPr lang="en-AU" sz="1000" i="1">
                            <a:latin typeface="Cambria Math" panose="02040503050406030204" pitchFamily="18" charset="0"/>
                          </a:rPr>
                        </m:ctrlPr>
                      </m:fPr>
                      <m:num>
                        <m:sSub>
                          <m:sSubPr>
                            <m:ctrlPr>
                              <a:rPr lang="en-AU" sz="1000" i="1">
                                <a:latin typeface="Cambria Math" panose="02040503050406030204" pitchFamily="18" charset="0"/>
                              </a:rPr>
                            </m:ctrlPr>
                          </m:sSubPr>
                          <m:e>
                            <m:r>
                              <a:rPr lang="en-AU" sz="1000" i="1">
                                <a:latin typeface="Cambria Math" panose="02040503050406030204" pitchFamily="18" charset="0"/>
                              </a:rPr>
                              <m:t>𝑊</m:t>
                            </m:r>
                          </m:e>
                          <m:sub>
                            <m:r>
                              <a:rPr lang="en-AU" sz="1000" i="1">
                                <a:latin typeface="Cambria Math" panose="02040503050406030204" pitchFamily="18" charset="0"/>
                              </a:rPr>
                              <m:t>𝑗𝑘𝑙</m:t>
                            </m:r>
                          </m:sub>
                        </m:sSub>
                      </m:num>
                      <m:den>
                        <m:r>
                          <a:rPr lang="en-AU" sz="1000" i="1">
                            <a:latin typeface="Cambria Math" panose="02040503050406030204" pitchFamily="18" charset="0"/>
                          </a:rPr>
                          <m:t>𝑆𝑅</m:t>
                        </m:r>
                        <m:sSub>
                          <m:sSubPr>
                            <m:ctrlPr>
                              <a:rPr lang="en-AU" sz="1000" i="1">
                                <a:latin typeface="Cambria Math" panose="02040503050406030204" pitchFamily="18" charset="0"/>
                              </a:rPr>
                            </m:ctrlPr>
                          </m:sSubPr>
                          <m:e>
                            <m:r>
                              <a:rPr lang="en-AU" sz="1000" i="1">
                                <a:latin typeface="Cambria Math" panose="02040503050406030204" pitchFamily="18" charset="0"/>
                              </a:rPr>
                              <m:t>𝑊</m:t>
                            </m:r>
                          </m:e>
                          <m:sub>
                            <m:r>
                              <a:rPr lang="en-AU" sz="1000" i="1">
                                <a:latin typeface="Cambria Math" panose="02040503050406030204" pitchFamily="18" charset="0"/>
                              </a:rPr>
                              <m:t>𝑘</m:t>
                            </m:r>
                          </m:sub>
                        </m:sSub>
                      </m:den>
                    </m:f>
                  </m:oMath>
                </m:oMathPara>
              </a14:m>
              <a:endParaRPr lang="en-AU" sz="1000"/>
            </a:p>
          </xdr:txBody>
        </xdr:sp>
      </mc:Choice>
      <mc:Fallback xmlns="">
        <xdr:sp macro="" textlink="">
          <xdr:nvSpPr>
            <xdr:cNvPr id="2" name="TextBox 1">
              <a:extLst>
                <a:ext uri="{FF2B5EF4-FFF2-40B4-BE49-F238E27FC236}">
                  <a16:creationId xmlns:a16="http://schemas.microsoft.com/office/drawing/2014/main" id="{DFBD5436-8DDA-4A14-A1BC-BB381FD2A3B6}"/>
                </a:ext>
              </a:extLst>
            </xdr:cNvPr>
            <xdr:cNvSpPr txBox="1"/>
          </xdr:nvSpPr>
          <xdr:spPr>
            <a:xfrm>
              <a:off x="2681287" y="1914525"/>
              <a:ext cx="797334" cy="3503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𝑍_𝑗𝑘𝑙=𝑊_𝑗𝑘𝑙/(𝑆𝑅𝑊_𝑘 )</a:t>
              </a:r>
              <a:endParaRPr lang="en-AU" sz="1000"/>
            </a:p>
          </xdr:txBody>
        </xdr:sp>
      </mc:Fallback>
    </mc:AlternateContent>
    <xdr:clientData/>
  </xdr:oneCellAnchor>
  <xdr:oneCellAnchor>
    <xdr:from>
      <xdr:col>2</xdr:col>
      <xdr:colOff>290512</xdr:colOff>
      <xdr:row>42</xdr:row>
      <xdr:rowOff>38100</xdr:rowOff>
    </xdr:from>
    <xdr:ext cx="3303853" cy="426592"/>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904C6ECC-D6EF-4E38-92B8-FD91A0B3AE8B}"/>
                </a:ext>
              </a:extLst>
            </xdr:cNvPr>
            <xdr:cNvSpPr txBox="1"/>
          </xdr:nvSpPr>
          <xdr:spPr>
            <a:xfrm>
              <a:off x="2652712" y="10572750"/>
              <a:ext cx="3303853" cy="42659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000" i="1">
                            <a:latin typeface="Cambria Math" panose="02040503050406030204" pitchFamily="18" charset="0"/>
                          </a:rPr>
                        </m:ctrlPr>
                      </m:sSubPr>
                      <m:e>
                        <m:r>
                          <a:rPr lang="en-AU" sz="1000" i="1">
                            <a:latin typeface="Cambria Math" panose="02040503050406030204" pitchFamily="18" charset="0"/>
                          </a:rPr>
                          <m:t>𝐿</m:t>
                        </m:r>
                      </m:e>
                      <m:sub>
                        <m:r>
                          <a:rPr lang="en-AU" sz="1000" i="1">
                            <a:latin typeface="Cambria Math" panose="02040503050406030204" pitchFamily="18" charset="0"/>
                          </a:rPr>
                          <m:t>𝑗𝑘𝑙</m:t>
                        </m:r>
                      </m:sub>
                    </m:sSub>
                    <m:r>
                      <a:rPr lang="en-AU" sz="1000" i="1">
                        <a:latin typeface="Cambria Math" panose="02040503050406030204" pitchFamily="18" charset="0"/>
                      </a:rPr>
                      <m:t>=</m:t>
                    </m:r>
                    <m:f>
                      <m:fPr>
                        <m:ctrlPr>
                          <a:rPr lang="en-AU" sz="1000" i="1">
                            <a:latin typeface="Cambria Math" panose="02040503050406030204" pitchFamily="18" charset="0"/>
                          </a:rPr>
                        </m:ctrlPr>
                      </m:fPr>
                      <m:num>
                        <m:sSub>
                          <m:sSubPr>
                            <m:ctrlPr>
                              <a:rPr lang="en-AU" sz="1000" i="1">
                                <a:latin typeface="Cambria Math" panose="02040503050406030204" pitchFamily="18" charset="0"/>
                              </a:rPr>
                            </m:ctrlPr>
                          </m:sSubPr>
                          <m:e>
                            <m:r>
                              <a:rPr lang="en-AU" sz="1000" i="1">
                                <a:latin typeface="Cambria Math" panose="02040503050406030204" pitchFamily="18" charset="0"/>
                              </a:rPr>
                              <m:t>𝐼</m:t>
                            </m:r>
                          </m:e>
                          <m:sub>
                            <m:r>
                              <a:rPr lang="en-AU" sz="1000" i="1">
                                <a:latin typeface="Cambria Math" panose="02040503050406030204" pitchFamily="18" charset="0"/>
                              </a:rPr>
                              <m:t>𝑗𝑘𝑙</m:t>
                            </m:r>
                          </m:sub>
                        </m:sSub>
                      </m:num>
                      <m:den>
                        <m:sSup>
                          <m:sSupPr>
                            <m:ctrlPr>
                              <a:rPr lang="en-AU" sz="1000" i="1">
                                <a:latin typeface="Cambria Math" panose="02040503050406030204" pitchFamily="18" charset="0"/>
                              </a:rPr>
                            </m:ctrlPr>
                          </m:sSupPr>
                          <m:e>
                            <m:d>
                              <m:dPr>
                                <m:ctrlPr>
                                  <a:rPr lang="en-AU" sz="1000" i="1">
                                    <a:latin typeface="Cambria Math" panose="02040503050406030204" pitchFamily="18" charset="0"/>
                                  </a:rPr>
                                </m:ctrlPr>
                              </m:dPr>
                              <m:e>
                                <m:r>
                                  <a:rPr lang="en-AU" sz="1000" i="1">
                                    <a:latin typeface="Cambria Math" panose="02040503050406030204" pitchFamily="18" charset="0"/>
                                  </a:rPr>
                                  <m:t>1.185+0.00454×</m:t>
                                </m:r>
                                <m:sSub>
                                  <m:sSubPr>
                                    <m:ctrlPr>
                                      <a:rPr lang="en-AU" sz="1000" i="1">
                                        <a:latin typeface="Cambria Math" panose="02040503050406030204" pitchFamily="18" charset="0"/>
                                      </a:rPr>
                                    </m:ctrlPr>
                                  </m:sSubPr>
                                  <m:e>
                                    <m:r>
                                      <a:rPr lang="en-AU" sz="1000" i="1">
                                        <a:latin typeface="Cambria Math" panose="02040503050406030204" pitchFamily="18" charset="0"/>
                                      </a:rPr>
                                      <m:t>𝑊</m:t>
                                    </m:r>
                                  </m:e>
                                  <m:sub>
                                    <m:r>
                                      <a:rPr lang="en-AU" sz="1000" i="1">
                                        <a:latin typeface="Cambria Math" panose="02040503050406030204" pitchFamily="18" charset="0"/>
                                      </a:rPr>
                                      <m:t>𝑗𝑘𝑙</m:t>
                                    </m:r>
                                  </m:sub>
                                </m:sSub>
                                <m:r>
                                  <a:rPr lang="en-AU" sz="1000" i="1">
                                    <a:latin typeface="Cambria Math" panose="02040503050406030204" pitchFamily="18" charset="0"/>
                                  </a:rPr>
                                  <m:t>−0.0000026×</m:t>
                                </m:r>
                                <m:sSubSup>
                                  <m:sSubSupPr>
                                    <m:ctrlPr>
                                      <a:rPr lang="en-AU" sz="1000" i="1">
                                        <a:latin typeface="Cambria Math" panose="02040503050406030204" pitchFamily="18" charset="0"/>
                                      </a:rPr>
                                    </m:ctrlPr>
                                  </m:sSubSupPr>
                                  <m:e>
                                    <m:r>
                                      <a:rPr lang="en-AU" sz="1000" i="1">
                                        <a:latin typeface="Cambria Math" panose="02040503050406030204" pitchFamily="18" charset="0"/>
                                      </a:rPr>
                                      <m:t>𝑊</m:t>
                                    </m:r>
                                  </m:e>
                                  <m:sub>
                                    <m:r>
                                      <a:rPr lang="en-AU" sz="1000" i="1">
                                        <a:latin typeface="Cambria Math" panose="02040503050406030204" pitchFamily="18" charset="0"/>
                                      </a:rPr>
                                      <m:t>𝑗𝑘𝑙</m:t>
                                    </m:r>
                                  </m:sub>
                                  <m:sup>
                                    <m:r>
                                      <a:rPr lang="en-AU" sz="1000" i="1">
                                        <a:latin typeface="Cambria Math" panose="02040503050406030204" pitchFamily="18" charset="0"/>
                                      </a:rPr>
                                      <m:t>2</m:t>
                                    </m:r>
                                  </m:sup>
                                </m:sSubSup>
                              </m:e>
                            </m:d>
                          </m:e>
                          <m:sup>
                            <m:r>
                              <a:rPr lang="en-AU" sz="1000" i="1">
                                <a:latin typeface="Cambria Math" panose="02040503050406030204" pitchFamily="18" charset="0"/>
                              </a:rPr>
                              <m:t>2</m:t>
                            </m:r>
                          </m:sup>
                        </m:sSup>
                      </m:den>
                    </m:f>
                  </m:oMath>
                </m:oMathPara>
              </a14:m>
              <a:endParaRPr lang="en-AU" sz="1000"/>
            </a:p>
          </xdr:txBody>
        </xdr:sp>
      </mc:Choice>
      <mc:Fallback xmlns="">
        <xdr:sp macro="" textlink="">
          <xdr:nvSpPr>
            <xdr:cNvPr id="3" name="TextBox 2">
              <a:extLst>
                <a:ext uri="{FF2B5EF4-FFF2-40B4-BE49-F238E27FC236}">
                  <a16:creationId xmlns:a16="http://schemas.microsoft.com/office/drawing/2014/main" id="{904C6ECC-D6EF-4E38-92B8-FD91A0B3AE8B}"/>
                </a:ext>
              </a:extLst>
            </xdr:cNvPr>
            <xdr:cNvSpPr txBox="1"/>
          </xdr:nvSpPr>
          <xdr:spPr>
            <a:xfrm>
              <a:off x="2652712" y="10572750"/>
              <a:ext cx="3303853" cy="42659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𝐿_𝑗𝑘𝑙=𝐼_𝑗𝑘𝑙/(1.185+0.00454×𝑊_𝑗𝑘𝑙−0.0000026×𝑊_𝑗𝑘𝑙^2 )^2 </a:t>
              </a:r>
              <a:endParaRPr lang="en-AU" sz="1000"/>
            </a:p>
          </xdr:txBody>
        </xdr:sp>
      </mc:Fallback>
    </mc:AlternateContent>
    <xdr:clientData/>
  </xdr:oneCellAnchor>
  <xdr:oneCellAnchor>
    <xdr:from>
      <xdr:col>2</xdr:col>
      <xdr:colOff>280987</xdr:colOff>
      <xdr:row>72</xdr:row>
      <xdr:rowOff>161925</xdr:rowOff>
    </xdr:from>
    <xdr:ext cx="1750094" cy="182871"/>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F7A5401C-D2D4-4D1E-8D52-67E60FE39BD8}"/>
                </a:ext>
              </a:extLst>
            </xdr:cNvPr>
            <xdr:cNvSpPr txBox="1"/>
          </xdr:nvSpPr>
          <xdr:spPr>
            <a:xfrm>
              <a:off x="2643187" y="18126075"/>
              <a:ext cx="1750094"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000" i="1">
                        <a:latin typeface="Cambria Math" panose="02040503050406030204" pitchFamily="18" charset="0"/>
                      </a:rPr>
                      <m:t>𝑀</m:t>
                    </m:r>
                    <m:sSub>
                      <m:sSubPr>
                        <m:ctrlPr>
                          <a:rPr lang="en-AU" sz="1000" i="1">
                            <a:latin typeface="Cambria Math" panose="02040503050406030204" pitchFamily="18" charset="0"/>
                          </a:rPr>
                        </m:ctrlPr>
                      </m:sSubPr>
                      <m:e>
                        <m:r>
                          <a:rPr lang="en-AU" sz="1000" i="1">
                            <a:latin typeface="Cambria Math" panose="02040503050406030204" pitchFamily="18" charset="0"/>
                          </a:rPr>
                          <m:t>𝑃</m:t>
                        </m:r>
                      </m:e>
                      <m:sub>
                        <m:r>
                          <a:rPr lang="en-AU" sz="1000" i="1">
                            <a:latin typeface="Cambria Math" panose="02040503050406030204" pitchFamily="18" charset="0"/>
                          </a:rPr>
                          <m:t>𝑗𝑘</m:t>
                        </m:r>
                        <m:r>
                          <a:rPr lang="en-AU" sz="1000" i="1">
                            <a:latin typeface="Cambria Math" panose="02040503050406030204" pitchFamily="18" charset="0"/>
                          </a:rPr>
                          <m:t>=5</m:t>
                        </m:r>
                      </m:sub>
                    </m:sSub>
                    <m:r>
                      <a:rPr lang="en-AU" sz="1000" i="1">
                        <a:latin typeface="Cambria Math" panose="02040503050406030204" pitchFamily="18" charset="0"/>
                      </a:rPr>
                      <m:t>=</m:t>
                    </m:r>
                    <m:r>
                      <a:rPr lang="en-AU" sz="1000" i="1">
                        <a:latin typeface="Cambria Math" panose="02040503050406030204" pitchFamily="18" charset="0"/>
                      </a:rPr>
                      <m:t>𝐿</m:t>
                    </m:r>
                    <m:sSub>
                      <m:sSubPr>
                        <m:ctrlPr>
                          <a:rPr lang="en-AU" sz="1000" i="1">
                            <a:latin typeface="Cambria Math" panose="02040503050406030204" pitchFamily="18" charset="0"/>
                          </a:rPr>
                        </m:ctrlPr>
                      </m:sSubPr>
                      <m:e>
                        <m:r>
                          <a:rPr lang="en-AU" sz="1000" i="1">
                            <a:latin typeface="Cambria Math" panose="02040503050406030204" pitchFamily="18" charset="0"/>
                          </a:rPr>
                          <m:t>𝐶</m:t>
                        </m:r>
                      </m:e>
                      <m:sub>
                        <m:r>
                          <a:rPr lang="en-AU" sz="1000" i="1">
                            <a:latin typeface="Cambria Math" panose="02040503050406030204" pitchFamily="18" charset="0"/>
                          </a:rPr>
                          <m:t>𝑗𝑘</m:t>
                        </m:r>
                        <m:r>
                          <a:rPr lang="en-AU" sz="1000" i="1">
                            <a:latin typeface="Cambria Math" panose="02040503050406030204" pitchFamily="18" charset="0"/>
                          </a:rPr>
                          <m:t>=5</m:t>
                        </m:r>
                      </m:sub>
                    </m:sSub>
                    <m:r>
                      <a:rPr lang="en-AU" sz="1000" i="1">
                        <a:latin typeface="Cambria Math" panose="02040503050406030204" pitchFamily="18" charset="0"/>
                      </a:rPr>
                      <m:t>×</m:t>
                    </m:r>
                    <m:r>
                      <a:rPr lang="en-AU" sz="1000" i="1">
                        <a:latin typeface="Cambria Math" panose="02040503050406030204" pitchFamily="18" charset="0"/>
                      </a:rPr>
                      <m:t>𝐷𝑀</m:t>
                    </m:r>
                    <m:sSub>
                      <m:sSubPr>
                        <m:ctrlPr>
                          <a:rPr lang="en-AU" sz="1000" i="1">
                            <a:latin typeface="Cambria Math" panose="02040503050406030204" pitchFamily="18" charset="0"/>
                          </a:rPr>
                        </m:ctrlPr>
                      </m:sSubPr>
                      <m:e>
                        <m:r>
                          <a:rPr lang="en-AU" sz="1000" i="1">
                            <a:latin typeface="Cambria Math" panose="02040503050406030204" pitchFamily="18" charset="0"/>
                          </a:rPr>
                          <m:t>𝑃</m:t>
                        </m:r>
                      </m:e>
                      <m:sub>
                        <m:r>
                          <a:rPr lang="en-AU" sz="1000" i="1">
                            <a:latin typeface="Cambria Math" panose="02040503050406030204" pitchFamily="18" charset="0"/>
                          </a:rPr>
                          <m:t>𝑗𝑘</m:t>
                        </m:r>
                        <m:r>
                          <a:rPr lang="en-AU" sz="1000" i="1">
                            <a:latin typeface="Cambria Math" panose="02040503050406030204" pitchFamily="18" charset="0"/>
                          </a:rPr>
                          <m:t>=5</m:t>
                        </m:r>
                      </m:sub>
                    </m:sSub>
                  </m:oMath>
                </m:oMathPara>
              </a14:m>
              <a:endParaRPr lang="en-AU" sz="1000"/>
            </a:p>
          </xdr:txBody>
        </xdr:sp>
      </mc:Choice>
      <mc:Fallback xmlns="">
        <xdr:sp macro="" textlink="">
          <xdr:nvSpPr>
            <xdr:cNvPr id="4" name="TextBox 3">
              <a:extLst>
                <a:ext uri="{FF2B5EF4-FFF2-40B4-BE49-F238E27FC236}">
                  <a16:creationId xmlns:a16="http://schemas.microsoft.com/office/drawing/2014/main" id="{F7A5401C-D2D4-4D1E-8D52-67E60FE39BD8}"/>
                </a:ext>
              </a:extLst>
            </xdr:cNvPr>
            <xdr:cNvSpPr txBox="1"/>
          </xdr:nvSpPr>
          <xdr:spPr>
            <a:xfrm>
              <a:off x="2643187" y="18126075"/>
              <a:ext cx="1750094"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𝑀𝑃_(𝑗𝑘=5)=𝐿𝐶_(𝑗𝑘=5)×𝐷𝑀𝑃_(𝑗𝑘=5)</a:t>
              </a:r>
              <a:endParaRPr lang="en-AU" sz="1000"/>
            </a:p>
          </xdr:txBody>
        </xdr:sp>
      </mc:Fallback>
    </mc:AlternateContent>
    <xdr:clientData/>
  </xdr:oneCellAnchor>
  <xdr:oneCellAnchor>
    <xdr:from>
      <xdr:col>2</xdr:col>
      <xdr:colOff>282388</xdr:colOff>
      <xdr:row>104</xdr:row>
      <xdr:rowOff>47066</xdr:rowOff>
    </xdr:from>
    <xdr:ext cx="7589001" cy="540404"/>
    <mc:AlternateContent xmlns:mc="http://schemas.openxmlformats.org/markup-compatibility/2006" xmlns:a14="http://schemas.microsoft.com/office/drawing/2010/main">
      <mc:Choice Requires="a14">
        <xdr:sp macro="" textlink="">
          <xdr:nvSpPr>
            <xdr:cNvPr id="5" name="TextBox 4">
              <a:extLst>
                <a:ext uri="{FF2B5EF4-FFF2-40B4-BE49-F238E27FC236}">
                  <a16:creationId xmlns:a16="http://schemas.microsoft.com/office/drawing/2014/main" id="{EA2DF1D8-F9C6-4E43-B456-6020238B48E5}"/>
                </a:ext>
              </a:extLst>
            </xdr:cNvPr>
            <xdr:cNvSpPr txBox="1"/>
          </xdr:nvSpPr>
          <xdr:spPr>
            <a:xfrm>
              <a:off x="2644588" y="25936016"/>
              <a:ext cx="7589001" cy="54040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000" i="1">
                        <a:latin typeface="Cambria Math" panose="02040503050406030204" pitchFamily="18" charset="0"/>
                      </a:rPr>
                      <m:t>𝑁</m:t>
                    </m:r>
                    <m:sSub>
                      <m:sSubPr>
                        <m:ctrlPr>
                          <a:rPr lang="en-AU" sz="1000" i="1">
                            <a:latin typeface="Cambria Math" panose="02040503050406030204" pitchFamily="18" charset="0"/>
                          </a:rPr>
                        </m:ctrlPr>
                      </m:sSubPr>
                      <m:e>
                        <m:r>
                          <a:rPr lang="en-AU" sz="1000" i="1">
                            <a:latin typeface="Cambria Math" panose="02040503050406030204" pitchFamily="18" charset="0"/>
                          </a:rPr>
                          <m:t>𝑅</m:t>
                        </m:r>
                      </m:e>
                      <m:sub>
                        <m:r>
                          <a:rPr lang="en-AU" sz="1000" i="1">
                            <a:latin typeface="Cambria Math" panose="02040503050406030204" pitchFamily="18" charset="0"/>
                          </a:rPr>
                          <m:t>𝑗𝑘𝑙</m:t>
                        </m:r>
                      </m:sub>
                    </m:sSub>
                    <m:r>
                      <a:rPr lang="en-AU" sz="1000" i="1">
                        <a:latin typeface="Cambria Math" panose="02040503050406030204" pitchFamily="18" charset="0"/>
                      </a:rPr>
                      <m:t>=</m:t>
                    </m:r>
                    <m:d>
                      <m:dPr>
                        <m:ctrlPr>
                          <a:rPr lang="en-AU" sz="1000" i="1">
                            <a:latin typeface="Cambria Math" panose="02040503050406030204" pitchFamily="18" charset="0"/>
                          </a:rPr>
                        </m:ctrlPr>
                      </m:dPr>
                      <m:e>
                        <m:r>
                          <a:rPr lang="en-AU" sz="1000" i="1">
                            <a:latin typeface="Cambria Math" panose="02040503050406030204" pitchFamily="18" charset="0"/>
                          </a:rPr>
                          <m:t>0.032×</m:t>
                        </m:r>
                        <m:r>
                          <a:rPr lang="en-AU" sz="1000" i="1">
                            <a:latin typeface="Cambria Math" panose="02040503050406030204" pitchFamily="18" charset="0"/>
                          </a:rPr>
                          <m:t>𝑀</m:t>
                        </m:r>
                        <m:sSub>
                          <m:sSubPr>
                            <m:ctrlPr>
                              <a:rPr lang="en-AU" sz="1000" i="1">
                                <a:latin typeface="Cambria Math" panose="02040503050406030204" pitchFamily="18" charset="0"/>
                              </a:rPr>
                            </m:ctrlPr>
                          </m:sSubPr>
                          <m:e>
                            <m:r>
                              <a:rPr lang="en-AU" sz="1000" i="1">
                                <a:latin typeface="Cambria Math" panose="02040503050406030204" pitchFamily="18" charset="0"/>
                              </a:rPr>
                              <m:t>𝑃</m:t>
                            </m:r>
                          </m:e>
                          <m:sub>
                            <m:r>
                              <a:rPr lang="en-AU" sz="1000" i="1">
                                <a:latin typeface="Cambria Math" panose="02040503050406030204" pitchFamily="18" charset="0"/>
                              </a:rPr>
                              <m:t>𝑗𝑘</m:t>
                            </m:r>
                            <m:r>
                              <a:rPr lang="en-AU" sz="1000" i="1">
                                <a:latin typeface="Cambria Math" panose="02040503050406030204" pitchFamily="18" charset="0"/>
                              </a:rPr>
                              <m:t>=5</m:t>
                            </m:r>
                          </m:sub>
                        </m:sSub>
                        <m:r>
                          <a:rPr lang="en-AU" sz="1000" i="1">
                            <a:latin typeface="Cambria Math" panose="02040503050406030204" pitchFamily="18" charset="0"/>
                          </a:rPr>
                          <m:t>÷6.38</m:t>
                        </m:r>
                      </m:e>
                    </m:d>
                    <m:r>
                      <a:rPr lang="en-AU" sz="1000" i="1">
                        <a:latin typeface="Cambria Math" panose="02040503050406030204" pitchFamily="18" charset="0"/>
                      </a:rPr>
                      <m:t>+</m:t>
                    </m:r>
                    <m:d>
                      <m:dPr>
                        <m:begChr m:val="{"/>
                        <m:endChr m:val="}"/>
                        <m:ctrlPr>
                          <a:rPr lang="en-AU" sz="1000" i="1">
                            <a:latin typeface="Cambria Math" panose="02040503050406030204" pitchFamily="18" charset="0"/>
                          </a:rPr>
                        </m:ctrlPr>
                      </m:dPr>
                      <m:e>
                        <m:d>
                          <m:dPr>
                            <m:begChr m:val="{"/>
                            <m:endChr m:val="}"/>
                            <m:ctrlPr>
                              <a:rPr lang="en-AU" sz="1000" i="1">
                                <a:latin typeface="Cambria Math" panose="02040503050406030204" pitchFamily="18" charset="0"/>
                              </a:rPr>
                            </m:ctrlPr>
                          </m:dPr>
                          <m:e>
                            <m:r>
                              <a:rPr lang="en-AU" sz="1000" i="1">
                                <a:latin typeface="Cambria Math" panose="02040503050406030204" pitchFamily="18" charset="0"/>
                              </a:rPr>
                              <m:t>0.212−0.008×</m:t>
                            </m:r>
                            <m:d>
                              <m:dPr>
                                <m:ctrlPr>
                                  <a:rPr lang="en-AU" sz="1000" i="1">
                                    <a:latin typeface="Cambria Math" panose="02040503050406030204" pitchFamily="18" charset="0"/>
                                  </a:rPr>
                                </m:ctrlPr>
                              </m:dPr>
                              <m:e>
                                <m:sSub>
                                  <m:sSubPr>
                                    <m:ctrlPr>
                                      <a:rPr lang="en-AU" sz="1000" i="1">
                                        <a:latin typeface="Cambria Math" panose="02040503050406030204" pitchFamily="18" charset="0"/>
                                      </a:rPr>
                                    </m:ctrlPr>
                                  </m:sSubPr>
                                  <m:e>
                                    <m:r>
                                      <a:rPr lang="en-AU" sz="1000" i="1">
                                        <a:latin typeface="Cambria Math" panose="02040503050406030204" pitchFamily="18" charset="0"/>
                                      </a:rPr>
                                      <m:t>𝐿</m:t>
                                    </m:r>
                                  </m:e>
                                  <m:sub>
                                    <m:r>
                                      <a:rPr lang="en-AU" sz="1000" i="1">
                                        <a:latin typeface="Cambria Math" panose="02040503050406030204" pitchFamily="18" charset="0"/>
                                      </a:rPr>
                                      <m:t>𝑗𝑘𝑙</m:t>
                                    </m:r>
                                  </m:sub>
                                </m:sSub>
                                <m:r>
                                  <a:rPr lang="en-AU" sz="1000" i="1">
                                    <a:latin typeface="Cambria Math" panose="02040503050406030204" pitchFamily="18" charset="0"/>
                                  </a:rPr>
                                  <m:t>−2</m:t>
                                </m:r>
                              </m:e>
                            </m:d>
                            <m:r>
                              <a:rPr lang="en-AU" sz="1000" i="1">
                                <a:latin typeface="Cambria Math" panose="02040503050406030204" pitchFamily="18" charset="0"/>
                              </a:rPr>
                              <m:t>−</m:t>
                            </m:r>
                            <m:d>
                              <m:dPr>
                                <m:begChr m:val="["/>
                                <m:endChr m:val="]"/>
                                <m:ctrlPr>
                                  <a:rPr lang="en-AU" sz="1000" i="1">
                                    <a:latin typeface="Cambria Math" panose="02040503050406030204" pitchFamily="18" charset="0"/>
                                  </a:rPr>
                                </m:ctrlPr>
                              </m:dPr>
                              <m:e>
                                <m:f>
                                  <m:fPr>
                                    <m:ctrlPr>
                                      <a:rPr lang="en-AU" sz="1000" i="1">
                                        <a:latin typeface="Cambria Math" panose="02040503050406030204" pitchFamily="18" charset="0"/>
                                      </a:rPr>
                                    </m:ctrlPr>
                                  </m:fPr>
                                  <m:num>
                                    <m:r>
                                      <a:rPr lang="en-AU" sz="1000" i="1">
                                        <a:latin typeface="Cambria Math" panose="02040503050406030204" pitchFamily="18" charset="0"/>
                                      </a:rPr>
                                      <m:t>0.140−0.008×</m:t>
                                    </m:r>
                                    <m:d>
                                      <m:dPr>
                                        <m:ctrlPr>
                                          <a:rPr lang="en-AU" sz="1000" i="1">
                                            <a:latin typeface="Cambria Math" panose="02040503050406030204" pitchFamily="18" charset="0"/>
                                          </a:rPr>
                                        </m:ctrlPr>
                                      </m:dPr>
                                      <m:e>
                                        <m:sSub>
                                          <m:sSubPr>
                                            <m:ctrlPr>
                                              <a:rPr lang="en-AU" sz="1000" i="1">
                                                <a:latin typeface="Cambria Math" panose="02040503050406030204" pitchFamily="18" charset="0"/>
                                              </a:rPr>
                                            </m:ctrlPr>
                                          </m:sSubPr>
                                          <m:e>
                                            <m:r>
                                              <a:rPr lang="en-AU" sz="1000" i="1">
                                                <a:latin typeface="Cambria Math" panose="02040503050406030204" pitchFamily="18" charset="0"/>
                                              </a:rPr>
                                              <m:t>𝐿</m:t>
                                            </m:r>
                                          </m:e>
                                          <m:sub>
                                            <m:r>
                                              <a:rPr lang="en-AU" sz="1000" i="1">
                                                <a:latin typeface="Cambria Math" panose="02040503050406030204" pitchFamily="18" charset="0"/>
                                              </a:rPr>
                                              <m:t>𝑗𝑘𝑙</m:t>
                                            </m:r>
                                          </m:sub>
                                        </m:sSub>
                                        <m:r>
                                          <a:rPr lang="en-AU" sz="1000" i="1">
                                            <a:latin typeface="Cambria Math" panose="02040503050406030204" pitchFamily="18" charset="0"/>
                                          </a:rPr>
                                          <m:t>−2</m:t>
                                        </m:r>
                                      </m:e>
                                    </m:d>
                                  </m:num>
                                  <m:den>
                                    <m:r>
                                      <a:rPr lang="en-AU" sz="1000" i="1">
                                        <a:latin typeface="Cambria Math" panose="02040503050406030204" pitchFamily="18" charset="0"/>
                                      </a:rPr>
                                      <m:t>1+</m:t>
                                    </m:r>
                                    <m:sSup>
                                      <m:sSupPr>
                                        <m:ctrlPr>
                                          <a:rPr lang="en-AU" sz="1000" i="1">
                                            <a:latin typeface="Cambria Math" panose="02040503050406030204" pitchFamily="18" charset="0"/>
                                          </a:rPr>
                                        </m:ctrlPr>
                                      </m:sSupPr>
                                      <m:e>
                                        <m:r>
                                          <a:rPr lang="en-AU" sz="1000" i="1">
                                            <a:latin typeface="Cambria Math" panose="02040503050406030204" pitchFamily="18" charset="0"/>
                                          </a:rPr>
                                          <m:t>𝑒</m:t>
                                        </m:r>
                                      </m:e>
                                      <m:sup>
                                        <m:d>
                                          <m:dPr>
                                            <m:ctrlPr>
                                              <a:rPr lang="en-AU" sz="1000" i="1">
                                                <a:latin typeface="Cambria Math" panose="02040503050406030204" pitchFamily="18" charset="0"/>
                                              </a:rPr>
                                            </m:ctrlPr>
                                          </m:dPr>
                                          <m:e>
                                            <m:r>
                                              <a:rPr lang="en-AU" sz="1000" i="1">
                                                <a:latin typeface="Cambria Math" panose="02040503050406030204" pitchFamily="18" charset="0"/>
                                              </a:rPr>
                                              <m:t>−6×</m:t>
                                            </m:r>
                                            <m:d>
                                              <m:dPr>
                                                <m:ctrlPr>
                                                  <a:rPr lang="en-AU" sz="1000" i="1">
                                                    <a:latin typeface="Cambria Math" panose="02040503050406030204" pitchFamily="18" charset="0"/>
                                                  </a:rPr>
                                                </m:ctrlPr>
                                              </m:dPr>
                                              <m:e>
                                                <m:sSub>
                                                  <m:sSubPr>
                                                    <m:ctrlPr>
                                                      <a:rPr lang="en-AU" sz="1000" i="1">
                                                        <a:latin typeface="Cambria Math" panose="02040503050406030204" pitchFamily="18" charset="0"/>
                                                      </a:rPr>
                                                    </m:ctrlPr>
                                                  </m:sSubPr>
                                                  <m:e>
                                                    <m:r>
                                                      <a:rPr lang="en-AU" sz="1000" i="1">
                                                        <a:latin typeface="Cambria Math" panose="02040503050406030204" pitchFamily="18" charset="0"/>
                                                      </a:rPr>
                                                      <m:t>𝑍</m:t>
                                                    </m:r>
                                                  </m:e>
                                                  <m:sub>
                                                    <m:r>
                                                      <a:rPr lang="en-AU" sz="1000" i="1">
                                                        <a:latin typeface="Cambria Math" panose="02040503050406030204" pitchFamily="18" charset="0"/>
                                                      </a:rPr>
                                                      <m:t>𝑗𝑘𝑙</m:t>
                                                    </m:r>
                                                  </m:sub>
                                                </m:sSub>
                                                <m:r>
                                                  <a:rPr lang="en-AU" sz="1000" i="1">
                                                    <a:latin typeface="Cambria Math" panose="02040503050406030204" pitchFamily="18" charset="0"/>
                                                  </a:rPr>
                                                  <m:t>−0.4</m:t>
                                                </m:r>
                                              </m:e>
                                            </m:d>
                                          </m:e>
                                        </m:d>
                                      </m:sup>
                                    </m:sSup>
                                  </m:den>
                                </m:f>
                              </m:e>
                            </m:d>
                          </m:e>
                        </m:d>
                        <m:r>
                          <a:rPr lang="en-AU" sz="1000" i="1">
                            <a:latin typeface="Cambria Math" panose="02040503050406030204" pitchFamily="18" charset="0"/>
                          </a:rPr>
                          <m:t>×</m:t>
                        </m:r>
                        <m:d>
                          <m:dPr>
                            <m:ctrlPr>
                              <a:rPr lang="en-AU" sz="1000" i="1">
                                <a:latin typeface="Cambria Math" panose="02040503050406030204" pitchFamily="18" charset="0"/>
                              </a:rPr>
                            </m:ctrlPr>
                          </m:dPr>
                          <m:e>
                            <m:r>
                              <a:rPr lang="en-AU" sz="1000" i="1">
                                <a:latin typeface="Cambria Math" panose="02040503050406030204" pitchFamily="18" charset="0"/>
                              </a:rPr>
                              <m:t>𝐿𝑊</m:t>
                            </m:r>
                            <m:sSub>
                              <m:sSubPr>
                                <m:ctrlPr>
                                  <a:rPr lang="en-AU" sz="1000" i="1">
                                    <a:latin typeface="Cambria Math" panose="02040503050406030204" pitchFamily="18" charset="0"/>
                                  </a:rPr>
                                </m:ctrlPr>
                              </m:sSubPr>
                              <m:e>
                                <m:r>
                                  <a:rPr lang="en-AU" sz="1000" i="1">
                                    <a:latin typeface="Cambria Math" panose="02040503050406030204" pitchFamily="18" charset="0"/>
                                  </a:rPr>
                                  <m:t>𝐺</m:t>
                                </m:r>
                              </m:e>
                              <m:sub>
                                <m:r>
                                  <a:rPr lang="en-AU" sz="1000" i="1">
                                    <a:latin typeface="Cambria Math" panose="02040503050406030204" pitchFamily="18" charset="0"/>
                                  </a:rPr>
                                  <m:t>𝑗𝑘𝑙</m:t>
                                </m:r>
                              </m:sub>
                            </m:sSub>
                            <m:r>
                              <a:rPr lang="en-AU" sz="1000" i="1">
                                <a:latin typeface="Cambria Math" panose="02040503050406030204" pitchFamily="18" charset="0"/>
                              </a:rPr>
                              <m:t>×0.92</m:t>
                            </m:r>
                          </m:e>
                        </m:d>
                      </m:e>
                    </m:d>
                    <m:r>
                      <a:rPr lang="en-AU" sz="1000" i="1">
                        <a:latin typeface="Cambria Math" panose="02040503050406030204" pitchFamily="18" charset="0"/>
                      </a:rPr>
                      <m:t>÷6.25</m:t>
                    </m:r>
                  </m:oMath>
                </m:oMathPara>
              </a14:m>
              <a:endParaRPr lang="en-AU" sz="1000"/>
            </a:p>
          </xdr:txBody>
        </xdr:sp>
      </mc:Choice>
      <mc:Fallback xmlns="">
        <xdr:sp macro="" textlink="">
          <xdr:nvSpPr>
            <xdr:cNvPr id="5" name="TextBox 4">
              <a:extLst>
                <a:ext uri="{FF2B5EF4-FFF2-40B4-BE49-F238E27FC236}">
                  <a16:creationId xmlns:a16="http://schemas.microsoft.com/office/drawing/2014/main" id="{EA2DF1D8-F9C6-4E43-B456-6020238B48E5}"/>
                </a:ext>
              </a:extLst>
            </xdr:cNvPr>
            <xdr:cNvSpPr txBox="1"/>
          </xdr:nvSpPr>
          <xdr:spPr>
            <a:xfrm>
              <a:off x="2644588" y="25936016"/>
              <a:ext cx="7589001" cy="54040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𝑁𝑅_𝑗𝑘𝑙=(0.032×𝑀𝑃_(𝑗𝑘=5)÷6.38)+{{0.212−0.008×(𝐿_𝑗𝑘𝑙−2)−[(0.140−0.008×(𝐿_𝑗𝑘𝑙−2))/(1+𝑒^((−6×(𝑍_𝑗𝑘𝑙−0.4)) ) )]}×(𝐿𝑊𝐺_𝑗𝑘𝑙×0.92)}÷6.25</a:t>
              </a:r>
              <a:endParaRPr lang="en-AU" sz="1000"/>
            </a:p>
          </xdr:txBody>
        </xdr:sp>
      </mc:Fallback>
    </mc:AlternateContent>
    <xdr:clientData/>
  </xdr:oneCellAnchor>
  <xdr:oneCellAnchor>
    <xdr:from>
      <xdr:col>2</xdr:col>
      <xdr:colOff>300037</xdr:colOff>
      <xdr:row>136</xdr:row>
      <xdr:rowOff>142875</xdr:rowOff>
    </xdr:from>
    <xdr:ext cx="5991640" cy="201209"/>
    <mc:AlternateContent xmlns:mc="http://schemas.openxmlformats.org/markup-compatibility/2006" xmlns:a14="http://schemas.microsoft.com/office/drawing/2010/main">
      <mc:Choice Requires="a14">
        <xdr:sp macro="" textlink="">
          <xdr:nvSpPr>
            <xdr:cNvPr id="6" name="TextBox 5">
              <a:extLst>
                <a:ext uri="{FF2B5EF4-FFF2-40B4-BE49-F238E27FC236}">
                  <a16:creationId xmlns:a16="http://schemas.microsoft.com/office/drawing/2014/main" id="{3E35277A-B322-49A2-9BD4-A770210C3F6C}"/>
                </a:ext>
              </a:extLst>
            </xdr:cNvPr>
            <xdr:cNvSpPr txBox="1"/>
          </xdr:nvSpPr>
          <xdr:spPr>
            <a:xfrm>
              <a:off x="2662237" y="33956625"/>
              <a:ext cx="5991640" cy="20120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000" i="1">
                        <a:latin typeface="Cambria Math" panose="02040503050406030204" pitchFamily="18" charset="0"/>
                      </a:rPr>
                      <m:t>𝑁</m:t>
                    </m:r>
                    <m:sSub>
                      <m:sSubPr>
                        <m:ctrlPr>
                          <a:rPr lang="en-AU" sz="1000" i="1">
                            <a:latin typeface="Cambria Math" panose="02040503050406030204" pitchFamily="18" charset="0"/>
                          </a:rPr>
                        </m:ctrlPr>
                      </m:sSubPr>
                      <m:e>
                        <m:r>
                          <a:rPr lang="en-AU" sz="1000" i="1">
                            <a:latin typeface="Cambria Math" panose="02040503050406030204" pitchFamily="18" charset="0"/>
                          </a:rPr>
                          <m:t>𝐸</m:t>
                        </m:r>
                      </m:e>
                      <m:sub>
                        <m:r>
                          <a:rPr lang="en-AU" sz="1000" i="1">
                            <a:latin typeface="Cambria Math" panose="02040503050406030204" pitchFamily="18" charset="0"/>
                          </a:rPr>
                          <m:t>𝑗𝑘𝑙</m:t>
                        </m:r>
                      </m:sub>
                    </m:sSub>
                    <m:r>
                      <a:rPr lang="en-AU" sz="1000" i="1">
                        <a:latin typeface="Cambria Math" panose="02040503050406030204" pitchFamily="18" charset="0"/>
                      </a:rPr>
                      <m:t>=</m:t>
                    </m:r>
                    <m:d>
                      <m:dPr>
                        <m:ctrlPr>
                          <a:rPr lang="en-AU" sz="1000" i="1">
                            <a:latin typeface="Cambria Math" panose="02040503050406030204" pitchFamily="18" charset="0"/>
                          </a:rPr>
                        </m:ctrlPr>
                      </m:dPr>
                      <m:e>
                        <m:sSub>
                          <m:sSubPr>
                            <m:ctrlPr>
                              <a:rPr lang="en-AU" sz="1000" i="1">
                                <a:latin typeface="Cambria Math" panose="02040503050406030204" pitchFamily="18" charset="0"/>
                              </a:rPr>
                            </m:ctrlPr>
                          </m:sSubPr>
                          <m:e>
                            <m:r>
                              <a:rPr lang="en-AU" sz="1000" i="1">
                                <a:latin typeface="Cambria Math" panose="02040503050406030204" pitchFamily="18" charset="0"/>
                              </a:rPr>
                              <m:t>𝐼</m:t>
                            </m:r>
                          </m:e>
                          <m:sub>
                            <m:r>
                              <a:rPr lang="en-AU" sz="1000" i="1">
                                <a:latin typeface="Cambria Math" panose="02040503050406030204" pitchFamily="18" charset="0"/>
                              </a:rPr>
                              <m:t>𝑗𝑘𝑙</m:t>
                            </m:r>
                          </m:sub>
                        </m:sSub>
                        <m:r>
                          <a:rPr lang="en-AU" sz="1000" i="1">
                            <a:latin typeface="Cambria Math" panose="02040503050406030204" pitchFamily="18" charset="0"/>
                          </a:rPr>
                          <m:t>×</m:t>
                        </m:r>
                        <m:r>
                          <a:rPr lang="en-AU" sz="1000" i="1">
                            <a:latin typeface="Cambria Math" panose="02040503050406030204" pitchFamily="18" charset="0"/>
                          </a:rPr>
                          <m:t>𝐶</m:t>
                        </m:r>
                        <m:sSub>
                          <m:sSubPr>
                            <m:ctrlPr>
                              <a:rPr lang="en-AU" sz="1000" i="1">
                                <a:latin typeface="Cambria Math" panose="02040503050406030204" pitchFamily="18" charset="0"/>
                              </a:rPr>
                            </m:ctrlPr>
                          </m:sSubPr>
                          <m:e>
                            <m:r>
                              <a:rPr lang="en-AU" sz="1000" i="1">
                                <a:latin typeface="Cambria Math" panose="02040503050406030204" pitchFamily="18" charset="0"/>
                              </a:rPr>
                              <m:t>𝑃</m:t>
                            </m:r>
                          </m:e>
                          <m:sub>
                            <m:r>
                              <a:rPr lang="en-AU" sz="1000" i="1">
                                <a:latin typeface="Cambria Math" panose="02040503050406030204" pitchFamily="18" charset="0"/>
                              </a:rPr>
                              <m:t>𝑗</m:t>
                            </m:r>
                          </m:sub>
                        </m:sSub>
                        <m:r>
                          <a:rPr lang="en-AU" sz="1000" i="1">
                            <a:latin typeface="Cambria Math" panose="02040503050406030204" pitchFamily="18" charset="0"/>
                          </a:rPr>
                          <m:t>÷6.25</m:t>
                        </m:r>
                      </m:e>
                    </m:d>
                    <m:r>
                      <a:rPr lang="en-AU" sz="1000" i="1">
                        <a:latin typeface="Cambria Math" panose="02040503050406030204" pitchFamily="18" charset="0"/>
                      </a:rPr>
                      <m:t>+</m:t>
                    </m:r>
                    <m:d>
                      <m:dPr>
                        <m:ctrlPr>
                          <a:rPr lang="en-AU" sz="1000" i="1">
                            <a:latin typeface="Cambria Math" panose="02040503050406030204" pitchFamily="18" charset="0"/>
                          </a:rPr>
                        </m:ctrlPr>
                      </m:dPr>
                      <m:e>
                        <m:r>
                          <a:rPr lang="en-AU" sz="1000" i="1">
                            <a:latin typeface="Cambria Math" panose="02040503050406030204" pitchFamily="18" charset="0"/>
                          </a:rPr>
                          <m:t>0.032×</m:t>
                        </m:r>
                        <m:r>
                          <a:rPr lang="en-AU" sz="1000" i="1">
                            <a:latin typeface="Cambria Math" panose="02040503050406030204" pitchFamily="18" charset="0"/>
                          </a:rPr>
                          <m:t>𝑀</m:t>
                        </m:r>
                        <m:sSub>
                          <m:sSubPr>
                            <m:ctrlPr>
                              <a:rPr lang="en-AU" sz="1000" i="1">
                                <a:latin typeface="Cambria Math" panose="02040503050406030204" pitchFamily="18" charset="0"/>
                              </a:rPr>
                            </m:ctrlPr>
                          </m:sSubPr>
                          <m:e>
                            <m:r>
                              <a:rPr lang="en-AU" sz="1000" i="1">
                                <a:latin typeface="Cambria Math" panose="02040503050406030204" pitchFamily="18" charset="0"/>
                              </a:rPr>
                              <m:t>𝐶</m:t>
                            </m:r>
                          </m:e>
                          <m:sub>
                            <m:r>
                              <a:rPr lang="en-AU" sz="1000" i="1">
                                <a:latin typeface="Cambria Math" panose="02040503050406030204" pitchFamily="18" charset="0"/>
                              </a:rPr>
                              <m:t>𝑗𝑘</m:t>
                            </m:r>
                            <m:r>
                              <a:rPr lang="en-AU" sz="1000" i="1">
                                <a:latin typeface="Cambria Math" panose="02040503050406030204" pitchFamily="18" charset="0"/>
                              </a:rPr>
                              <m:t>=1,3,6</m:t>
                            </m:r>
                          </m:sub>
                        </m:sSub>
                        <m:r>
                          <a:rPr lang="en-AU" sz="1000" i="1">
                            <a:latin typeface="Cambria Math" panose="02040503050406030204" pitchFamily="18" charset="0"/>
                          </a:rPr>
                          <m:t>÷6.38</m:t>
                        </m:r>
                      </m:e>
                    </m:d>
                    <m:r>
                      <a:rPr lang="en-AU" sz="1000" i="1">
                        <a:latin typeface="Cambria Math" panose="02040503050406030204" pitchFamily="18" charset="0"/>
                      </a:rPr>
                      <m:t>−</m:t>
                    </m:r>
                    <m:r>
                      <a:rPr lang="en-AU" sz="1000" i="1">
                        <a:latin typeface="Cambria Math" panose="02040503050406030204" pitchFamily="18" charset="0"/>
                      </a:rPr>
                      <m:t>𝑁</m:t>
                    </m:r>
                    <m:sSub>
                      <m:sSubPr>
                        <m:ctrlPr>
                          <a:rPr lang="en-AU" sz="1000" i="1">
                            <a:latin typeface="Cambria Math" panose="02040503050406030204" pitchFamily="18" charset="0"/>
                          </a:rPr>
                        </m:ctrlPr>
                      </m:sSubPr>
                      <m:e>
                        <m:r>
                          <a:rPr lang="en-AU" sz="1000" i="1">
                            <a:latin typeface="Cambria Math" panose="02040503050406030204" pitchFamily="18" charset="0"/>
                          </a:rPr>
                          <m:t>𝑅</m:t>
                        </m:r>
                      </m:e>
                      <m:sub>
                        <m:r>
                          <a:rPr lang="en-AU" sz="1000" i="1">
                            <a:latin typeface="Cambria Math" panose="02040503050406030204" pitchFamily="18" charset="0"/>
                          </a:rPr>
                          <m:t>𝑗𝑘𝑙</m:t>
                        </m:r>
                      </m:sub>
                    </m:sSub>
                    <m:r>
                      <a:rPr lang="en-AU" sz="1000" i="1">
                        <a:latin typeface="Cambria Math" panose="02040503050406030204" pitchFamily="18" charset="0"/>
                      </a:rPr>
                      <m:t>−</m:t>
                    </m:r>
                    <m:d>
                      <m:dPr>
                        <m:begChr m:val="["/>
                        <m:endChr m:val="]"/>
                        <m:ctrlPr>
                          <a:rPr lang="en-AU" sz="1000" i="1">
                            <a:latin typeface="Cambria Math" panose="02040503050406030204" pitchFamily="18" charset="0"/>
                          </a:rPr>
                        </m:ctrlPr>
                      </m:dPr>
                      <m:e>
                        <m:d>
                          <m:dPr>
                            <m:ctrlPr>
                              <a:rPr lang="en-AU" sz="1000" i="1">
                                <a:latin typeface="Cambria Math" panose="02040503050406030204" pitchFamily="18" charset="0"/>
                              </a:rPr>
                            </m:ctrlPr>
                          </m:dPr>
                          <m:e>
                            <m:r>
                              <a:rPr lang="en-AU" sz="1000" i="1">
                                <a:latin typeface="Cambria Math" panose="02040503050406030204" pitchFamily="18" charset="0"/>
                              </a:rPr>
                              <m:t>1.1×</m:t>
                            </m:r>
                            <m:sSup>
                              <m:sSupPr>
                                <m:ctrlPr>
                                  <a:rPr lang="en-AU" sz="1000" i="1">
                                    <a:latin typeface="Cambria Math" panose="02040503050406030204" pitchFamily="18" charset="0"/>
                                  </a:rPr>
                                </m:ctrlPr>
                              </m:sSupPr>
                              <m:e>
                                <m:r>
                                  <a:rPr lang="en-AU" sz="1000" i="1">
                                    <a:latin typeface="Cambria Math" panose="02040503050406030204" pitchFamily="18" charset="0"/>
                                  </a:rPr>
                                  <m:t>10</m:t>
                                </m:r>
                              </m:e>
                              <m:sup>
                                <m:r>
                                  <a:rPr lang="en-AU" sz="1000" i="1">
                                    <a:latin typeface="Cambria Math" panose="02040503050406030204" pitchFamily="18" charset="0"/>
                                  </a:rPr>
                                  <m:t>−4</m:t>
                                </m:r>
                              </m:sup>
                            </m:sSup>
                            <m:r>
                              <a:rPr lang="en-AU" sz="1000" i="1">
                                <a:latin typeface="Cambria Math" panose="02040503050406030204" pitchFamily="18" charset="0"/>
                              </a:rPr>
                              <m:t>×</m:t>
                            </m:r>
                            <m:sSubSup>
                              <m:sSubSupPr>
                                <m:ctrlPr>
                                  <a:rPr lang="en-AU" sz="1000" i="1">
                                    <a:latin typeface="Cambria Math" panose="02040503050406030204" pitchFamily="18" charset="0"/>
                                  </a:rPr>
                                </m:ctrlPr>
                              </m:sSubSupPr>
                              <m:e>
                                <m:r>
                                  <a:rPr lang="en-AU" sz="1000" i="1">
                                    <a:latin typeface="Cambria Math" panose="02040503050406030204" pitchFamily="18" charset="0"/>
                                  </a:rPr>
                                  <m:t>𝑊</m:t>
                                </m:r>
                              </m:e>
                              <m:sub>
                                <m:r>
                                  <a:rPr lang="en-AU" sz="1000" i="1">
                                    <a:latin typeface="Cambria Math" panose="02040503050406030204" pitchFamily="18" charset="0"/>
                                  </a:rPr>
                                  <m:t>𝑗𝑘𝑙</m:t>
                                </m:r>
                              </m:sub>
                              <m:sup>
                                <m:r>
                                  <a:rPr lang="en-AU" sz="1000" i="1">
                                    <a:latin typeface="Cambria Math" panose="02040503050406030204" pitchFamily="18" charset="0"/>
                                  </a:rPr>
                                  <m:t>0.75</m:t>
                                </m:r>
                              </m:sup>
                            </m:sSubSup>
                          </m:e>
                        </m:d>
                        <m:r>
                          <a:rPr lang="en-AU" sz="1000" i="1">
                            <a:latin typeface="Cambria Math" panose="02040503050406030204" pitchFamily="18" charset="0"/>
                          </a:rPr>
                          <m:t>÷6.25</m:t>
                        </m:r>
                      </m:e>
                    </m:d>
                  </m:oMath>
                </m:oMathPara>
              </a14:m>
              <a:endParaRPr lang="en-AU" sz="1000"/>
            </a:p>
          </xdr:txBody>
        </xdr:sp>
      </mc:Choice>
      <mc:Fallback xmlns="">
        <xdr:sp macro="" textlink="">
          <xdr:nvSpPr>
            <xdr:cNvPr id="6" name="TextBox 5">
              <a:extLst>
                <a:ext uri="{FF2B5EF4-FFF2-40B4-BE49-F238E27FC236}">
                  <a16:creationId xmlns:a16="http://schemas.microsoft.com/office/drawing/2014/main" id="{3E35277A-B322-49A2-9BD4-A770210C3F6C}"/>
                </a:ext>
              </a:extLst>
            </xdr:cNvPr>
            <xdr:cNvSpPr txBox="1"/>
          </xdr:nvSpPr>
          <xdr:spPr>
            <a:xfrm>
              <a:off x="2662237" y="33956625"/>
              <a:ext cx="5991640" cy="20120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𝑁𝐸_𝑗𝑘𝑙=(𝐼_𝑗𝑘𝑙×𝐶𝑃_𝑗÷6.25)+(0.032×𝑀𝐶_(𝑗𝑘=1,3,6)÷6.38)−𝑁𝑅_𝑗𝑘𝑙−[(1.1×10^(−4)×𝑊_𝑗𝑘𝑙^0.75 )÷6.25]</a:t>
              </a:r>
              <a:endParaRPr lang="en-AU" sz="1000"/>
            </a:p>
          </xdr:txBody>
        </xdr:sp>
      </mc:Fallback>
    </mc:AlternateContent>
    <xdr:clientData/>
  </xdr:oneCellAnchor>
  <xdr:oneCellAnchor>
    <xdr:from>
      <xdr:col>3</xdr:col>
      <xdr:colOff>4762</xdr:colOff>
      <xdr:row>178</xdr:row>
      <xdr:rowOff>38100</xdr:rowOff>
    </xdr:from>
    <xdr:ext cx="2164952" cy="429926"/>
    <mc:AlternateContent xmlns:mc="http://schemas.openxmlformats.org/markup-compatibility/2006" xmlns:a14="http://schemas.microsoft.com/office/drawing/2010/main">
      <mc:Choice Requires="a14">
        <xdr:sp macro="" textlink="">
          <xdr:nvSpPr>
            <xdr:cNvPr id="7" name="TextBox 6">
              <a:extLst>
                <a:ext uri="{FF2B5EF4-FFF2-40B4-BE49-F238E27FC236}">
                  <a16:creationId xmlns:a16="http://schemas.microsoft.com/office/drawing/2014/main" id="{377B9712-D979-41D6-BEF2-D056CE628CB7}"/>
                </a:ext>
              </a:extLst>
            </xdr:cNvPr>
            <xdr:cNvSpPr txBox="1"/>
          </xdr:nvSpPr>
          <xdr:spPr>
            <a:xfrm>
              <a:off x="2681287" y="44253150"/>
              <a:ext cx="2164952"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000" i="1">
                        <a:latin typeface="Cambria Math" panose="02040503050406030204" pitchFamily="18" charset="0"/>
                      </a:rPr>
                      <m:t>𝐴𝐸</m:t>
                    </m:r>
                    <m:r>
                      <a:rPr lang="en-AU" sz="1000" i="1">
                        <a:latin typeface="Cambria Math" panose="02040503050406030204" pitchFamily="18" charset="0"/>
                      </a:rPr>
                      <m:t>=</m:t>
                    </m:r>
                    <m:nary>
                      <m:naryPr>
                        <m:chr m:val="∑"/>
                        <m:supHide m:val="on"/>
                        <m:ctrlPr>
                          <a:rPr lang="en-AU" sz="1000" i="1">
                            <a:latin typeface="Cambria Math" panose="02040503050406030204" pitchFamily="18" charset="0"/>
                          </a:rPr>
                        </m:ctrlPr>
                      </m:naryPr>
                      <m:sub>
                        <m:r>
                          <a:rPr lang="en-AU" sz="1000" i="1">
                            <a:latin typeface="Cambria Math" panose="02040503050406030204" pitchFamily="18" charset="0"/>
                          </a:rPr>
                          <m:t>𝑗</m:t>
                        </m:r>
                      </m:sub>
                      <m:sup/>
                      <m:e>
                        <m:nary>
                          <m:naryPr>
                            <m:chr m:val="∑"/>
                            <m:supHide m:val="on"/>
                            <m:ctrlPr>
                              <a:rPr lang="en-AU" sz="1000" i="1">
                                <a:latin typeface="Cambria Math" panose="02040503050406030204" pitchFamily="18" charset="0"/>
                              </a:rPr>
                            </m:ctrlPr>
                          </m:naryPr>
                          <m:sub>
                            <m:r>
                              <a:rPr lang="en-AU" sz="1000" i="1">
                                <a:latin typeface="Cambria Math" panose="02040503050406030204" pitchFamily="18" charset="0"/>
                              </a:rPr>
                              <m:t>𝑘</m:t>
                            </m:r>
                          </m:sub>
                          <m:sup/>
                          <m:e>
                            <m:nary>
                              <m:naryPr>
                                <m:chr m:val="∑"/>
                                <m:supHide m:val="on"/>
                                <m:ctrlPr>
                                  <a:rPr lang="en-AU" sz="1000" i="1">
                                    <a:latin typeface="Cambria Math" panose="02040503050406030204" pitchFamily="18" charset="0"/>
                                  </a:rPr>
                                </m:ctrlPr>
                              </m:naryPr>
                              <m:sub>
                                <m:r>
                                  <a:rPr lang="en-AU" sz="1000" i="1">
                                    <a:latin typeface="Cambria Math" panose="02040503050406030204" pitchFamily="18" charset="0"/>
                                  </a:rPr>
                                  <m:t>𝑙</m:t>
                                </m:r>
                              </m:sub>
                              <m:sup/>
                              <m:e>
                                <m:d>
                                  <m:dPr>
                                    <m:ctrlPr>
                                      <a:rPr lang="en-AU" sz="1000" i="1">
                                        <a:latin typeface="Cambria Math" panose="02040503050406030204" pitchFamily="18" charset="0"/>
                                      </a:rPr>
                                    </m:ctrlPr>
                                  </m:dPr>
                                  <m:e>
                                    <m:sSub>
                                      <m:sSubPr>
                                        <m:ctrlPr>
                                          <a:rPr lang="en-AU" sz="1000" i="1">
                                            <a:latin typeface="Cambria Math" panose="02040503050406030204" pitchFamily="18" charset="0"/>
                                          </a:rPr>
                                        </m:ctrlPr>
                                      </m:sSubPr>
                                      <m:e>
                                        <m:r>
                                          <a:rPr lang="en-AU" sz="1000" i="1">
                                            <a:latin typeface="Cambria Math" panose="02040503050406030204" pitchFamily="18" charset="0"/>
                                          </a:rPr>
                                          <m:t>𝑁</m:t>
                                        </m:r>
                                      </m:e>
                                      <m:sub>
                                        <m:r>
                                          <a:rPr lang="en-AU" sz="1000" i="1">
                                            <a:latin typeface="Cambria Math" panose="02040503050406030204" pitchFamily="18" charset="0"/>
                                          </a:rPr>
                                          <m:t>𝑗𝑘𝑙</m:t>
                                        </m:r>
                                      </m:sub>
                                    </m:sSub>
                                    <m:r>
                                      <a:rPr lang="en-AU" sz="1000" i="1">
                                        <a:latin typeface="Cambria Math" panose="02040503050406030204" pitchFamily="18" charset="0"/>
                                      </a:rPr>
                                      <m:t>×</m:t>
                                    </m:r>
                                    <m:r>
                                      <a:rPr lang="en-AU" sz="1000" i="1">
                                        <a:latin typeface="Cambria Math" panose="02040503050406030204" pitchFamily="18" charset="0"/>
                                      </a:rPr>
                                      <m:t>𝑁</m:t>
                                    </m:r>
                                    <m:sSub>
                                      <m:sSubPr>
                                        <m:ctrlPr>
                                          <a:rPr lang="en-AU" sz="1000" i="1">
                                            <a:latin typeface="Cambria Math" panose="02040503050406030204" pitchFamily="18" charset="0"/>
                                          </a:rPr>
                                        </m:ctrlPr>
                                      </m:sSubPr>
                                      <m:e>
                                        <m:r>
                                          <a:rPr lang="en-AU" sz="1000" i="1">
                                            <a:latin typeface="Cambria Math" panose="02040503050406030204" pitchFamily="18" charset="0"/>
                                          </a:rPr>
                                          <m:t>𝐸</m:t>
                                        </m:r>
                                      </m:e>
                                      <m:sub>
                                        <m:r>
                                          <a:rPr lang="en-AU" sz="1000" i="1">
                                            <a:latin typeface="Cambria Math" panose="02040503050406030204" pitchFamily="18" charset="0"/>
                                          </a:rPr>
                                          <m:t>𝑗𝑘𝑙</m:t>
                                        </m:r>
                                      </m:sub>
                                    </m:sSub>
                                    <m:r>
                                      <a:rPr lang="en-AU" sz="1000" i="1">
                                        <a:latin typeface="Cambria Math" panose="02040503050406030204" pitchFamily="18" charset="0"/>
                                      </a:rPr>
                                      <m:t>×</m:t>
                                    </m:r>
                                    <m:sSub>
                                      <m:sSubPr>
                                        <m:ctrlPr>
                                          <a:rPr lang="en-AU" sz="1000" i="1">
                                            <a:latin typeface="Cambria Math" panose="02040503050406030204" pitchFamily="18" charset="0"/>
                                          </a:rPr>
                                        </m:ctrlPr>
                                      </m:sSubPr>
                                      <m:e>
                                        <m:r>
                                          <a:rPr lang="en-AU" sz="1000" i="1">
                                            <a:latin typeface="Cambria Math" panose="02040503050406030204" pitchFamily="18" charset="0"/>
                                          </a:rPr>
                                          <m:t>𝐷</m:t>
                                        </m:r>
                                      </m:e>
                                      <m:sub>
                                        <m:r>
                                          <a:rPr lang="en-AU" sz="1000" i="1">
                                            <a:latin typeface="Cambria Math" panose="02040503050406030204" pitchFamily="18" charset="0"/>
                                          </a:rPr>
                                          <m:t>𝑗</m:t>
                                        </m:r>
                                      </m:sub>
                                    </m:sSub>
                                  </m:e>
                                </m:d>
                              </m:e>
                            </m:nary>
                          </m:e>
                        </m:nary>
                      </m:e>
                    </m:nary>
                  </m:oMath>
                </m:oMathPara>
              </a14:m>
              <a:endParaRPr lang="en-AU" sz="1000"/>
            </a:p>
          </xdr:txBody>
        </xdr:sp>
      </mc:Choice>
      <mc:Fallback xmlns="">
        <xdr:sp macro="" textlink="">
          <xdr:nvSpPr>
            <xdr:cNvPr id="7" name="TextBox 6">
              <a:extLst>
                <a:ext uri="{FF2B5EF4-FFF2-40B4-BE49-F238E27FC236}">
                  <a16:creationId xmlns:a16="http://schemas.microsoft.com/office/drawing/2014/main" id="{377B9712-D979-41D6-BEF2-D056CE628CB7}"/>
                </a:ext>
              </a:extLst>
            </xdr:cNvPr>
            <xdr:cNvSpPr txBox="1"/>
          </xdr:nvSpPr>
          <xdr:spPr>
            <a:xfrm>
              <a:off x="2681287" y="44253150"/>
              <a:ext cx="2164952"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𝐴𝐸=∑_𝑗▒∑_𝑘▒∑_𝑙▒(𝑁_𝑗𝑘𝑙×𝑁𝐸_𝑗𝑘𝑙×𝐷_𝑗 ) </a:t>
              </a:r>
              <a:endParaRPr lang="en-AU" sz="1000"/>
            </a:p>
          </xdr:txBody>
        </xdr:sp>
      </mc:Fallback>
    </mc:AlternateContent>
    <xdr:clientData/>
  </xdr:oneCellAnchor>
  <xdr:oneCellAnchor>
    <xdr:from>
      <xdr:col>2</xdr:col>
      <xdr:colOff>309562</xdr:colOff>
      <xdr:row>218</xdr:row>
      <xdr:rowOff>95250</xdr:rowOff>
    </xdr:from>
    <xdr:ext cx="2334870" cy="180114"/>
    <mc:AlternateContent xmlns:mc="http://schemas.openxmlformats.org/markup-compatibility/2006" xmlns:a14="http://schemas.microsoft.com/office/drawing/2010/main">
      <mc:Choice Requires="a14">
        <xdr:sp macro="" textlink="">
          <xdr:nvSpPr>
            <xdr:cNvPr id="8" name="TextBox 7">
              <a:extLst>
                <a:ext uri="{FF2B5EF4-FFF2-40B4-BE49-F238E27FC236}">
                  <a16:creationId xmlns:a16="http://schemas.microsoft.com/office/drawing/2014/main" id="{28D6FF68-367F-485F-8ECA-A8BEA79A713D}"/>
                </a:ext>
              </a:extLst>
            </xdr:cNvPr>
            <xdr:cNvSpPr txBox="1"/>
          </xdr:nvSpPr>
          <xdr:spPr>
            <a:xfrm>
              <a:off x="2671762" y="54216300"/>
              <a:ext cx="2334870" cy="1801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000" i="1">
                            <a:latin typeface="Cambria Math" panose="02040503050406030204" pitchFamily="18" charset="0"/>
                          </a:rPr>
                        </m:ctrlPr>
                      </m:sSubPr>
                      <m:e>
                        <m:r>
                          <a:rPr lang="en-AU" sz="1000" i="1">
                            <a:latin typeface="Cambria Math" panose="02040503050406030204" pitchFamily="18" charset="0"/>
                          </a:rPr>
                          <m:t>𝐸</m:t>
                        </m:r>
                      </m:e>
                      <m:sub>
                        <m:r>
                          <a:rPr lang="en-AU" sz="1000" i="1">
                            <a:latin typeface="Cambria Math" panose="02040503050406030204" pitchFamily="18" charset="0"/>
                          </a:rPr>
                          <m:t>𝑁</m:t>
                        </m:r>
                        <m:r>
                          <a:rPr lang="en-AU" sz="1000" i="1">
                            <a:latin typeface="Cambria Math" panose="02040503050406030204" pitchFamily="18" charset="0"/>
                          </a:rPr>
                          <m:t>2</m:t>
                        </m:r>
                        <m:r>
                          <a:rPr lang="en-AU" sz="1000" i="1">
                            <a:latin typeface="Cambria Math" panose="02040503050406030204" pitchFamily="18" charset="0"/>
                          </a:rPr>
                          <m:t>𝑂</m:t>
                        </m:r>
                        <m:r>
                          <a:rPr lang="en-AU" sz="1000" i="1">
                            <a:latin typeface="Cambria Math" panose="02040503050406030204" pitchFamily="18" charset="0"/>
                          </a:rPr>
                          <m:t>,</m:t>
                        </m:r>
                        <m:r>
                          <a:rPr lang="en-AU" sz="1000" i="1">
                            <a:latin typeface="Cambria Math" panose="02040503050406030204" pitchFamily="18" charset="0"/>
                          </a:rPr>
                          <m:t>𝑑𝑖𝑟</m:t>
                        </m:r>
                      </m:sub>
                    </m:sSub>
                    <m:r>
                      <a:rPr lang="en-AU" sz="1000" i="1">
                        <a:latin typeface="Cambria Math" panose="02040503050406030204" pitchFamily="18" charset="0"/>
                      </a:rPr>
                      <m:t>=</m:t>
                    </m:r>
                    <m:r>
                      <a:rPr lang="en-AU" sz="1000" i="1">
                        <a:latin typeface="Cambria Math" panose="02040503050406030204" pitchFamily="18" charset="0"/>
                      </a:rPr>
                      <m:t>𝐴𝐸</m:t>
                    </m:r>
                    <m:r>
                      <a:rPr lang="en-AU" sz="1000" i="1">
                        <a:latin typeface="Cambria Math" panose="02040503050406030204" pitchFamily="18" charset="0"/>
                      </a:rPr>
                      <m:t>×</m:t>
                    </m:r>
                    <m:r>
                      <a:rPr lang="en-AU" sz="1000" i="1">
                        <a:latin typeface="Cambria Math" panose="02040503050406030204" pitchFamily="18" charset="0"/>
                      </a:rPr>
                      <m:t>𝐸</m:t>
                    </m:r>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𝑃𝑅𝑃</m:t>
                        </m:r>
                      </m:sub>
                    </m:sSub>
                    <m:r>
                      <a:rPr lang="en-AU" sz="1000" i="1">
                        <a:latin typeface="Cambria Math" panose="02040503050406030204" pitchFamily="18" charset="0"/>
                      </a:rPr>
                      <m:t>×</m:t>
                    </m:r>
                    <m:sSub>
                      <m:sSubPr>
                        <m:ctrlPr>
                          <a:rPr lang="en-AU" sz="1000" i="1">
                            <a:latin typeface="Cambria Math" panose="02040503050406030204" pitchFamily="18" charset="0"/>
                          </a:rPr>
                        </m:ctrlPr>
                      </m:sSubPr>
                      <m:e>
                        <m:r>
                          <a:rPr lang="en-AU" sz="1000" i="1">
                            <a:latin typeface="Cambria Math" panose="02040503050406030204" pitchFamily="18" charset="0"/>
                          </a:rPr>
                          <m:t>𝐶</m:t>
                        </m:r>
                      </m:e>
                      <m:sub>
                        <m:r>
                          <a:rPr lang="en-AU" sz="1000" i="1">
                            <a:latin typeface="Cambria Math" panose="02040503050406030204" pitchFamily="18" charset="0"/>
                          </a:rPr>
                          <m:t>𝑁</m:t>
                        </m:r>
                        <m:r>
                          <a:rPr lang="en-AU" sz="1000" i="1">
                            <a:latin typeface="Cambria Math" panose="02040503050406030204" pitchFamily="18" charset="0"/>
                          </a:rPr>
                          <m:t>2</m:t>
                        </m:r>
                        <m:r>
                          <a:rPr lang="en-AU" sz="1000" i="1">
                            <a:latin typeface="Cambria Math" panose="02040503050406030204" pitchFamily="18" charset="0"/>
                          </a:rPr>
                          <m:t>𝑂</m:t>
                        </m:r>
                      </m:sub>
                    </m:sSub>
                    <m:r>
                      <a:rPr lang="en-AU" sz="1000" i="1">
                        <a:latin typeface="Cambria Math" panose="02040503050406030204" pitchFamily="18" charset="0"/>
                      </a:rPr>
                      <m:t>×</m:t>
                    </m:r>
                    <m:sSup>
                      <m:sSupPr>
                        <m:ctrlPr>
                          <a:rPr lang="en-AU" sz="1000" i="1">
                            <a:latin typeface="Cambria Math" panose="02040503050406030204" pitchFamily="18" charset="0"/>
                          </a:rPr>
                        </m:ctrlPr>
                      </m:sSupPr>
                      <m:e>
                        <m:r>
                          <a:rPr lang="en-AU" sz="1000" i="1">
                            <a:latin typeface="Cambria Math" panose="02040503050406030204" pitchFamily="18" charset="0"/>
                          </a:rPr>
                          <m:t>10</m:t>
                        </m:r>
                      </m:e>
                      <m:sup>
                        <m:r>
                          <a:rPr lang="en-AU" sz="1000" i="1">
                            <a:latin typeface="Cambria Math" panose="02040503050406030204" pitchFamily="18" charset="0"/>
                          </a:rPr>
                          <m:t>−3</m:t>
                        </m:r>
                      </m:sup>
                    </m:sSup>
                  </m:oMath>
                </m:oMathPara>
              </a14:m>
              <a:endParaRPr lang="en-AU" sz="1000"/>
            </a:p>
          </xdr:txBody>
        </xdr:sp>
      </mc:Choice>
      <mc:Fallback xmlns="">
        <xdr:sp macro="" textlink="">
          <xdr:nvSpPr>
            <xdr:cNvPr id="8" name="TextBox 7">
              <a:extLst>
                <a:ext uri="{FF2B5EF4-FFF2-40B4-BE49-F238E27FC236}">
                  <a16:creationId xmlns:a16="http://schemas.microsoft.com/office/drawing/2014/main" id="{28D6FF68-367F-485F-8ECA-A8BEA79A713D}"/>
                </a:ext>
              </a:extLst>
            </xdr:cNvPr>
            <xdr:cNvSpPr txBox="1"/>
          </xdr:nvSpPr>
          <xdr:spPr>
            <a:xfrm>
              <a:off x="2671762" y="54216300"/>
              <a:ext cx="2334870" cy="1801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𝐸_(𝑁2𝑂,𝑑𝑖𝑟)=𝐴𝐸×𝐸𝐹_𝑃𝑅𝑃×𝐶_𝑁2𝑂×10^(−3)</a:t>
              </a:r>
              <a:endParaRPr lang="en-AU" sz="1000"/>
            </a:p>
          </xdr:txBody>
        </xdr:sp>
      </mc:Fallback>
    </mc:AlternateContent>
    <xdr:clientData/>
  </xdr:oneCellAnchor>
</xdr:wsDr>
</file>

<file path=xl/drawings/drawing6.xml><?xml version="1.0" encoding="utf-8"?>
<xdr:wsDr xmlns:xdr="http://schemas.openxmlformats.org/drawingml/2006/spreadsheetDrawing" xmlns:a="http://schemas.openxmlformats.org/drawingml/2006/main">
  <xdr:oneCellAnchor>
    <xdr:from>
      <xdr:col>3</xdr:col>
      <xdr:colOff>4762</xdr:colOff>
      <xdr:row>7</xdr:row>
      <xdr:rowOff>133350</xdr:rowOff>
    </xdr:from>
    <xdr:ext cx="1745413" cy="165366"/>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EFBAA006-6C48-45A7-A33B-BC415E35E790}"/>
                </a:ext>
              </a:extLst>
            </xdr:cNvPr>
            <xdr:cNvSpPr txBox="1"/>
          </xdr:nvSpPr>
          <xdr:spPr>
            <a:xfrm>
              <a:off x="2681287" y="2000250"/>
              <a:ext cx="1745413" cy="1653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000" i="1">
                            <a:latin typeface="Cambria Math" panose="02040503050406030204" pitchFamily="18" charset="0"/>
                          </a:rPr>
                        </m:ctrlPr>
                      </m:sSubPr>
                      <m:e>
                        <m:r>
                          <a:rPr lang="en-AU" sz="1000" i="1">
                            <a:latin typeface="Cambria Math" panose="02040503050406030204" pitchFamily="18" charset="0"/>
                          </a:rPr>
                          <m:t>𝑀</m:t>
                        </m:r>
                      </m:e>
                      <m:sub>
                        <m:r>
                          <a:rPr lang="en-AU" sz="1000" i="1">
                            <a:latin typeface="Cambria Math" panose="02040503050406030204" pitchFamily="18" charset="0"/>
                          </a:rPr>
                          <m:t>𝑣𝑜𝑙</m:t>
                        </m:r>
                      </m:sub>
                    </m:sSub>
                    <m:r>
                      <a:rPr lang="en-AU" sz="1000" i="1">
                        <a:latin typeface="Cambria Math" panose="02040503050406030204" pitchFamily="18" charset="0"/>
                      </a:rPr>
                      <m:t>=</m:t>
                    </m:r>
                    <m:r>
                      <a:rPr lang="en-AU" sz="1000" i="1">
                        <a:latin typeface="Cambria Math" panose="02040503050406030204" pitchFamily="18" charset="0"/>
                      </a:rPr>
                      <m:t>𝐴𝐸</m:t>
                    </m:r>
                    <m:r>
                      <a:rPr lang="en-AU" sz="1000" i="1">
                        <a:latin typeface="Cambria Math" panose="02040503050406030204" pitchFamily="18" charset="0"/>
                      </a:rPr>
                      <m:t>×</m:t>
                    </m:r>
                    <m:r>
                      <a:rPr lang="en-AU" sz="1000" i="1">
                        <a:latin typeface="Cambria Math" panose="02040503050406030204" pitchFamily="18" charset="0"/>
                      </a:rPr>
                      <m:t>𝐹𝑟𝑎𝑐𝐺𝐴𝑆𝑀𝑠𝑜𝑖𝑙</m:t>
                    </m:r>
                  </m:oMath>
                </m:oMathPara>
              </a14:m>
              <a:endParaRPr lang="en-AU" sz="1000"/>
            </a:p>
          </xdr:txBody>
        </xdr:sp>
      </mc:Choice>
      <mc:Fallback xmlns="">
        <xdr:sp macro="" textlink="">
          <xdr:nvSpPr>
            <xdr:cNvPr id="2" name="TextBox 1">
              <a:extLst>
                <a:ext uri="{FF2B5EF4-FFF2-40B4-BE49-F238E27FC236}">
                  <a16:creationId xmlns:a16="http://schemas.microsoft.com/office/drawing/2014/main" id="{EFBAA006-6C48-45A7-A33B-BC415E35E790}"/>
                </a:ext>
              </a:extLst>
            </xdr:cNvPr>
            <xdr:cNvSpPr txBox="1"/>
          </xdr:nvSpPr>
          <xdr:spPr>
            <a:xfrm>
              <a:off x="2681287" y="2000250"/>
              <a:ext cx="1745413" cy="1653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𝑀_𝑣𝑜𝑙=𝐴𝐸×𝐹𝑟𝑎𝑐𝐺𝐴𝑆𝑀𝑠𝑜𝑖𝑙</a:t>
              </a:r>
              <a:endParaRPr lang="en-AU" sz="1000"/>
            </a:p>
          </xdr:txBody>
        </xdr:sp>
      </mc:Fallback>
    </mc:AlternateContent>
    <xdr:clientData/>
  </xdr:oneCellAnchor>
  <xdr:oneCellAnchor>
    <xdr:from>
      <xdr:col>2</xdr:col>
      <xdr:colOff>309562</xdr:colOff>
      <xdr:row>22</xdr:row>
      <xdr:rowOff>152400</xdr:rowOff>
    </xdr:from>
    <xdr:ext cx="2410467" cy="180114"/>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41105853-CA49-4079-9A0D-02ECB08A70E0}"/>
                </a:ext>
              </a:extLst>
            </xdr:cNvPr>
            <xdr:cNvSpPr txBox="1"/>
          </xdr:nvSpPr>
          <xdr:spPr>
            <a:xfrm>
              <a:off x="2671762" y="5734050"/>
              <a:ext cx="2410467" cy="1801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000" i="1">
                            <a:latin typeface="Cambria Math" panose="02040503050406030204" pitchFamily="18" charset="0"/>
                          </a:rPr>
                        </m:ctrlPr>
                      </m:sSubPr>
                      <m:e>
                        <m:r>
                          <a:rPr lang="en-AU" sz="1000" i="1">
                            <a:latin typeface="Cambria Math" panose="02040503050406030204" pitchFamily="18" charset="0"/>
                          </a:rPr>
                          <m:t>𝐸</m:t>
                        </m:r>
                      </m:e>
                      <m:sub>
                        <m:r>
                          <a:rPr lang="en-AU" sz="1000" i="1">
                            <a:latin typeface="Cambria Math" panose="02040503050406030204" pitchFamily="18" charset="0"/>
                          </a:rPr>
                          <m:t>𝑁</m:t>
                        </m:r>
                        <m:r>
                          <a:rPr lang="en-AU" sz="1000" i="1">
                            <a:latin typeface="Cambria Math" panose="02040503050406030204" pitchFamily="18" charset="0"/>
                          </a:rPr>
                          <m:t>2</m:t>
                        </m:r>
                        <m:r>
                          <a:rPr lang="en-AU" sz="1000" i="1">
                            <a:latin typeface="Cambria Math" panose="02040503050406030204" pitchFamily="18" charset="0"/>
                          </a:rPr>
                          <m:t>𝑂</m:t>
                        </m:r>
                        <m:r>
                          <a:rPr lang="en-AU" sz="1000" i="1">
                            <a:latin typeface="Cambria Math" panose="02040503050406030204" pitchFamily="18" charset="0"/>
                          </a:rPr>
                          <m:t>,</m:t>
                        </m:r>
                        <m:r>
                          <a:rPr lang="en-AU" sz="1000" i="1">
                            <a:latin typeface="Cambria Math" panose="02040503050406030204" pitchFamily="18" charset="0"/>
                          </a:rPr>
                          <m:t>𝑎𝑑</m:t>
                        </m:r>
                      </m:sub>
                    </m:sSub>
                    <m:r>
                      <a:rPr lang="en-AU" sz="1000" i="1">
                        <a:latin typeface="Cambria Math" panose="02040503050406030204" pitchFamily="18" charset="0"/>
                      </a:rPr>
                      <m:t>=</m:t>
                    </m:r>
                    <m:sSub>
                      <m:sSubPr>
                        <m:ctrlPr>
                          <a:rPr lang="en-AU" sz="1000" i="1">
                            <a:latin typeface="Cambria Math" panose="02040503050406030204" pitchFamily="18" charset="0"/>
                          </a:rPr>
                        </m:ctrlPr>
                      </m:sSubPr>
                      <m:e>
                        <m:r>
                          <a:rPr lang="en-AU" sz="1000" i="1">
                            <a:latin typeface="Cambria Math" panose="02040503050406030204" pitchFamily="18" charset="0"/>
                          </a:rPr>
                          <m:t>𝑀</m:t>
                        </m:r>
                      </m:e>
                      <m:sub>
                        <m:r>
                          <a:rPr lang="en-AU" sz="1000" i="1">
                            <a:latin typeface="Cambria Math" panose="02040503050406030204" pitchFamily="18" charset="0"/>
                          </a:rPr>
                          <m:t>𝑣𝑜𝑙</m:t>
                        </m:r>
                      </m:sub>
                    </m:sSub>
                    <m:r>
                      <a:rPr lang="en-AU" sz="1000" i="1">
                        <a:latin typeface="Cambria Math" panose="02040503050406030204" pitchFamily="18" charset="0"/>
                      </a:rPr>
                      <m:t>×</m:t>
                    </m:r>
                    <m:r>
                      <a:rPr lang="en-AU" sz="1000" i="1">
                        <a:latin typeface="Cambria Math" panose="02040503050406030204" pitchFamily="18" charset="0"/>
                      </a:rPr>
                      <m:t>𝐸</m:t>
                    </m:r>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𝑁</m:t>
                        </m:r>
                        <m:r>
                          <a:rPr lang="en-AU" sz="1000" i="1">
                            <a:latin typeface="Cambria Math" panose="02040503050406030204" pitchFamily="18" charset="0"/>
                          </a:rPr>
                          <m:t>2</m:t>
                        </m:r>
                        <m:r>
                          <a:rPr lang="en-AU" sz="1000" i="1">
                            <a:latin typeface="Cambria Math" panose="02040503050406030204" pitchFamily="18" charset="0"/>
                          </a:rPr>
                          <m:t>𝑂</m:t>
                        </m:r>
                      </m:sub>
                    </m:sSub>
                    <m:r>
                      <a:rPr lang="en-AU" sz="1000" i="1">
                        <a:latin typeface="Cambria Math" panose="02040503050406030204" pitchFamily="18" charset="0"/>
                      </a:rPr>
                      <m:t>×</m:t>
                    </m:r>
                    <m:sSub>
                      <m:sSubPr>
                        <m:ctrlPr>
                          <a:rPr lang="en-AU" sz="1000" i="1">
                            <a:latin typeface="Cambria Math" panose="02040503050406030204" pitchFamily="18" charset="0"/>
                          </a:rPr>
                        </m:ctrlPr>
                      </m:sSubPr>
                      <m:e>
                        <m:r>
                          <a:rPr lang="en-AU" sz="1000" i="1">
                            <a:latin typeface="Cambria Math" panose="02040503050406030204" pitchFamily="18" charset="0"/>
                          </a:rPr>
                          <m:t>𝐶</m:t>
                        </m:r>
                      </m:e>
                      <m:sub>
                        <m:r>
                          <a:rPr lang="en-AU" sz="1000" i="1">
                            <a:latin typeface="Cambria Math" panose="02040503050406030204" pitchFamily="18" charset="0"/>
                          </a:rPr>
                          <m:t>𝑁</m:t>
                        </m:r>
                        <m:r>
                          <a:rPr lang="en-AU" sz="1000" i="1">
                            <a:latin typeface="Cambria Math" panose="02040503050406030204" pitchFamily="18" charset="0"/>
                          </a:rPr>
                          <m:t>2</m:t>
                        </m:r>
                        <m:r>
                          <a:rPr lang="en-AU" sz="1000" i="1">
                            <a:latin typeface="Cambria Math" panose="02040503050406030204" pitchFamily="18" charset="0"/>
                          </a:rPr>
                          <m:t>𝑂</m:t>
                        </m:r>
                      </m:sub>
                    </m:sSub>
                    <m:r>
                      <a:rPr lang="en-AU" sz="1000" i="1">
                        <a:latin typeface="Cambria Math" panose="02040503050406030204" pitchFamily="18" charset="0"/>
                      </a:rPr>
                      <m:t>×</m:t>
                    </m:r>
                    <m:sSup>
                      <m:sSupPr>
                        <m:ctrlPr>
                          <a:rPr lang="en-AU" sz="1000" i="1">
                            <a:latin typeface="Cambria Math" panose="02040503050406030204" pitchFamily="18" charset="0"/>
                          </a:rPr>
                        </m:ctrlPr>
                      </m:sSupPr>
                      <m:e>
                        <m:r>
                          <a:rPr lang="en-AU" sz="1000" i="1">
                            <a:latin typeface="Cambria Math" panose="02040503050406030204" pitchFamily="18" charset="0"/>
                          </a:rPr>
                          <m:t>10</m:t>
                        </m:r>
                      </m:e>
                      <m:sup>
                        <m:r>
                          <a:rPr lang="en-AU" sz="1000" i="1">
                            <a:latin typeface="Cambria Math" panose="02040503050406030204" pitchFamily="18" charset="0"/>
                          </a:rPr>
                          <m:t>−3</m:t>
                        </m:r>
                      </m:sup>
                    </m:sSup>
                  </m:oMath>
                </m:oMathPara>
              </a14:m>
              <a:endParaRPr lang="en-AU" sz="1000"/>
            </a:p>
          </xdr:txBody>
        </xdr:sp>
      </mc:Choice>
      <mc:Fallback xmlns="">
        <xdr:sp macro="" textlink="">
          <xdr:nvSpPr>
            <xdr:cNvPr id="3" name="TextBox 2">
              <a:extLst>
                <a:ext uri="{FF2B5EF4-FFF2-40B4-BE49-F238E27FC236}">
                  <a16:creationId xmlns:a16="http://schemas.microsoft.com/office/drawing/2014/main" id="{41105853-CA49-4079-9A0D-02ECB08A70E0}"/>
                </a:ext>
              </a:extLst>
            </xdr:cNvPr>
            <xdr:cNvSpPr txBox="1"/>
          </xdr:nvSpPr>
          <xdr:spPr>
            <a:xfrm>
              <a:off x="2671762" y="5734050"/>
              <a:ext cx="2410467" cy="1801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𝐸_(𝑁2𝑂,𝑎𝑑)=𝑀_𝑣𝑜𝑙×𝐸𝐹_𝑁2𝑂×𝐶_𝑁2𝑂×10^(−3)</a:t>
              </a:r>
              <a:endParaRPr lang="en-AU" sz="1000"/>
            </a:p>
          </xdr:txBody>
        </xdr:sp>
      </mc:Fallback>
    </mc:AlternateContent>
    <xdr:clientData/>
  </xdr:oneCellAnchor>
</xdr:wsDr>
</file>

<file path=xl/drawings/drawing7.xml><?xml version="1.0" encoding="utf-8"?>
<xdr:wsDr xmlns:xdr="http://schemas.openxmlformats.org/drawingml/2006/spreadsheetDrawing" xmlns:a="http://schemas.openxmlformats.org/drawingml/2006/main">
  <xdr:oneCellAnchor>
    <xdr:from>
      <xdr:col>2</xdr:col>
      <xdr:colOff>300037</xdr:colOff>
      <xdr:row>7</xdr:row>
      <xdr:rowOff>133350</xdr:rowOff>
    </xdr:from>
    <xdr:ext cx="2421624" cy="165366"/>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F7745645-EC48-431F-A0C8-E1F40227693C}"/>
                </a:ext>
              </a:extLst>
            </xdr:cNvPr>
            <xdr:cNvSpPr txBox="1"/>
          </xdr:nvSpPr>
          <xdr:spPr>
            <a:xfrm>
              <a:off x="2662237" y="2000250"/>
              <a:ext cx="2421624" cy="1653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000" i="1">
                            <a:latin typeface="Cambria Math" panose="02040503050406030204" pitchFamily="18" charset="0"/>
                          </a:rPr>
                        </m:ctrlPr>
                      </m:sSubPr>
                      <m:e>
                        <m:r>
                          <a:rPr lang="en-AU" sz="1000" i="1">
                            <a:latin typeface="Cambria Math" panose="02040503050406030204" pitchFamily="18" charset="0"/>
                          </a:rPr>
                          <m:t>𝑀</m:t>
                        </m:r>
                      </m:e>
                      <m:sub>
                        <m:r>
                          <a:rPr lang="en-AU" sz="1000" i="1">
                            <a:latin typeface="Cambria Math" panose="02040503050406030204" pitchFamily="18" charset="0"/>
                          </a:rPr>
                          <m:t>𝑙𝑒𝑎𝑐ℎ</m:t>
                        </m:r>
                      </m:sub>
                    </m:sSub>
                    <m:r>
                      <a:rPr lang="en-AU" sz="1000" i="1">
                        <a:latin typeface="Cambria Math" panose="02040503050406030204" pitchFamily="18" charset="0"/>
                      </a:rPr>
                      <m:t>=</m:t>
                    </m:r>
                    <m:r>
                      <a:rPr lang="en-AU" sz="1000" i="1">
                        <a:latin typeface="Cambria Math" panose="02040503050406030204" pitchFamily="18" charset="0"/>
                      </a:rPr>
                      <m:t>𝐴𝐸</m:t>
                    </m:r>
                    <m:r>
                      <a:rPr lang="en-AU" sz="1000" i="1">
                        <a:latin typeface="Cambria Math" panose="02040503050406030204" pitchFamily="18" charset="0"/>
                      </a:rPr>
                      <m:t>×</m:t>
                    </m:r>
                    <m:r>
                      <a:rPr lang="en-AU" sz="1000" i="1">
                        <a:latin typeface="Cambria Math" panose="02040503050406030204" pitchFamily="18" charset="0"/>
                      </a:rPr>
                      <m:t>𝐹𝑟𝑎𝑐𝑊𝑒𝑡</m:t>
                    </m:r>
                    <m:r>
                      <a:rPr lang="en-AU" sz="1000" i="1">
                        <a:latin typeface="Cambria Math" panose="02040503050406030204" pitchFamily="18" charset="0"/>
                      </a:rPr>
                      <m:t>×</m:t>
                    </m:r>
                    <m:r>
                      <a:rPr lang="en-AU" sz="1000" i="1">
                        <a:latin typeface="Cambria Math" panose="02040503050406030204" pitchFamily="18" charset="0"/>
                      </a:rPr>
                      <m:t>𝐹𝑟𝑎𝑐𝐿𝐸𝐴𝐶𝐻</m:t>
                    </m:r>
                  </m:oMath>
                </m:oMathPara>
              </a14:m>
              <a:endParaRPr lang="en-AU" sz="1000"/>
            </a:p>
          </xdr:txBody>
        </xdr:sp>
      </mc:Choice>
      <mc:Fallback xmlns="">
        <xdr:sp macro="" textlink="">
          <xdr:nvSpPr>
            <xdr:cNvPr id="2" name="TextBox 1">
              <a:extLst>
                <a:ext uri="{FF2B5EF4-FFF2-40B4-BE49-F238E27FC236}">
                  <a16:creationId xmlns:a16="http://schemas.microsoft.com/office/drawing/2014/main" id="{F7745645-EC48-431F-A0C8-E1F40227693C}"/>
                </a:ext>
              </a:extLst>
            </xdr:cNvPr>
            <xdr:cNvSpPr txBox="1"/>
          </xdr:nvSpPr>
          <xdr:spPr>
            <a:xfrm>
              <a:off x="2662237" y="2000250"/>
              <a:ext cx="2421624" cy="1653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𝑀_𝑙𝑒𝑎𝑐ℎ=𝐴𝐸×𝐹𝑟𝑎𝑐𝑊𝑒𝑡×𝐹𝑟𝑎𝑐𝐿𝐸𝐴𝐶𝐻</a:t>
              </a:r>
              <a:endParaRPr lang="en-AU" sz="1000"/>
            </a:p>
          </xdr:txBody>
        </xdr:sp>
      </mc:Fallback>
    </mc:AlternateContent>
    <xdr:clientData/>
  </xdr:oneCellAnchor>
  <xdr:oneCellAnchor>
    <xdr:from>
      <xdr:col>2</xdr:col>
      <xdr:colOff>300037</xdr:colOff>
      <xdr:row>26</xdr:row>
      <xdr:rowOff>180975</xdr:rowOff>
    </xdr:from>
    <xdr:ext cx="2731838" cy="180114"/>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7BBC21CE-6DE6-4371-81D6-D3FA8F8D8872}"/>
                </a:ext>
              </a:extLst>
            </xdr:cNvPr>
            <xdr:cNvSpPr txBox="1"/>
          </xdr:nvSpPr>
          <xdr:spPr>
            <a:xfrm>
              <a:off x="2662237" y="6753225"/>
              <a:ext cx="2731838" cy="1801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000" i="1">
                            <a:latin typeface="Cambria Math" panose="02040503050406030204" pitchFamily="18" charset="0"/>
                          </a:rPr>
                        </m:ctrlPr>
                      </m:sSubPr>
                      <m:e>
                        <m:r>
                          <a:rPr lang="en-AU" sz="1000" i="1">
                            <a:latin typeface="Cambria Math" panose="02040503050406030204" pitchFamily="18" charset="0"/>
                          </a:rPr>
                          <m:t>𝐸</m:t>
                        </m:r>
                      </m:e>
                      <m:sub>
                        <m:r>
                          <a:rPr lang="en-AU" sz="1000" i="1">
                            <a:latin typeface="Cambria Math" panose="02040503050406030204" pitchFamily="18" charset="0"/>
                          </a:rPr>
                          <m:t>𝑁</m:t>
                        </m:r>
                        <m:r>
                          <a:rPr lang="en-AU" sz="1000" i="1">
                            <a:latin typeface="Cambria Math" panose="02040503050406030204" pitchFamily="18" charset="0"/>
                          </a:rPr>
                          <m:t>2</m:t>
                        </m:r>
                        <m:r>
                          <a:rPr lang="en-AU" sz="1000" i="1">
                            <a:latin typeface="Cambria Math" panose="02040503050406030204" pitchFamily="18" charset="0"/>
                          </a:rPr>
                          <m:t>𝑂</m:t>
                        </m:r>
                        <m:r>
                          <a:rPr lang="en-AU" sz="1000" i="1">
                            <a:latin typeface="Cambria Math" panose="02040503050406030204" pitchFamily="18" charset="0"/>
                          </a:rPr>
                          <m:t>,</m:t>
                        </m:r>
                        <m:r>
                          <a:rPr lang="en-AU" sz="1000" i="1">
                            <a:latin typeface="Cambria Math" panose="02040503050406030204" pitchFamily="18" charset="0"/>
                          </a:rPr>
                          <m:t>𝑙𝑒𝑎𝑐ℎ</m:t>
                        </m:r>
                      </m:sub>
                    </m:sSub>
                    <m:r>
                      <a:rPr lang="en-AU" sz="1000" i="1">
                        <a:latin typeface="Cambria Math" panose="02040503050406030204" pitchFamily="18" charset="0"/>
                      </a:rPr>
                      <m:t>=</m:t>
                    </m:r>
                    <m:sSub>
                      <m:sSubPr>
                        <m:ctrlPr>
                          <a:rPr lang="en-AU" sz="1000" i="1">
                            <a:latin typeface="Cambria Math" panose="02040503050406030204" pitchFamily="18" charset="0"/>
                          </a:rPr>
                        </m:ctrlPr>
                      </m:sSubPr>
                      <m:e>
                        <m:r>
                          <a:rPr lang="en-AU" sz="1000" i="1">
                            <a:latin typeface="Cambria Math" panose="02040503050406030204" pitchFamily="18" charset="0"/>
                          </a:rPr>
                          <m:t>𝑀</m:t>
                        </m:r>
                      </m:e>
                      <m:sub>
                        <m:r>
                          <a:rPr lang="en-AU" sz="1000" i="1">
                            <a:latin typeface="Cambria Math" panose="02040503050406030204" pitchFamily="18" charset="0"/>
                          </a:rPr>
                          <m:t>𝑙𝑒𝑎𝑐ℎ</m:t>
                        </m:r>
                      </m:sub>
                    </m:sSub>
                    <m:r>
                      <a:rPr lang="en-AU" sz="1000" i="1">
                        <a:latin typeface="Cambria Math" panose="02040503050406030204" pitchFamily="18" charset="0"/>
                      </a:rPr>
                      <m:t>×</m:t>
                    </m:r>
                    <m:r>
                      <a:rPr lang="en-AU" sz="1000" i="1">
                        <a:latin typeface="Cambria Math" panose="02040503050406030204" pitchFamily="18" charset="0"/>
                      </a:rPr>
                      <m:t>𝐸</m:t>
                    </m:r>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𝑙𝑒𝑎𝑐ℎ</m:t>
                        </m:r>
                      </m:sub>
                    </m:sSub>
                    <m:r>
                      <a:rPr lang="en-AU" sz="1000" i="1">
                        <a:latin typeface="Cambria Math" panose="02040503050406030204" pitchFamily="18" charset="0"/>
                      </a:rPr>
                      <m:t>×</m:t>
                    </m:r>
                    <m:sSub>
                      <m:sSubPr>
                        <m:ctrlPr>
                          <a:rPr lang="en-AU" sz="1000" i="1">
                            <a:latin typeface="Cambria Math" panose="02040503050406030204" pitchFamily="18" charset="0"/>
                          </a:rPr>
                        </m:ctrlPr>
                      </m:sSubPr>
                      <m:e>
                        <m:r>
                          <a:rPr lang="en-AU" sz="1000" i="1">
                            <a:latin typeface="Cambria Math" panose="02040503050406030204" pitchFamily="18" charset="0"/>
                          </a:rPr>
                          <m:t>𝐶</m:t>
                        </m:r>
                      </m:e>
                      <m:sub>
                        <m:r>
                          <a:rPr lang="en-AU" sz="1000" i="1">
                            <a:latin typeface="Cambria Math" panose="02040503050406030204" pitchFamily="18" charset="0"/>
                          </a:rPr>
                          <m:t>𝑁</m:t>
                        </m:r>
                        <m:r>
                          <a:rPr lang="en-AU" sz="1000" i="1">
                            <a:latin typeface="Cambria Math" panose="02040503050406030204" pitchFamily="18" charset="0"/>
                          </a:rPr>
                          <m:t>2</m:t>
                        </m:r>
                        <m:r>
                          <a:rPr lang="en-AU" sz="1000" i="1">
                            <a:latin typeface="Cambria Math" panose="02040503050406030204" pitchFamily="18" charset="0"/>
                          </a:rPr>
                          <m:t>𝑂</m:t>
                        </m:r>
                      </m:sub>
                    </m:sSub>
                    <m:r>
                      <a:rPr lang="en-AU" sz="1000" i="1">
                        <a:latin typeface="Cambria Math" panose="02040503050406030204" pitchFamily="18" charset="0"/>
                      </a:rPr>
                      <m:t>×</m:t>
                    </m:r>
                    <m:sSup>
                      <m:sSupPr>
                        <m:ctrlPr>
                          <a:rPr lang="en-AU" sz="1000" i="1">
                            <a:latin typeface="Cambria Math" panose="02040503050406030204" pitchFamily="18" charset="0"/>
                          </a:rPr>
                        </m:ctrlPr>
                      </m:sSupPr>
                      <m:e>
                        <m:r>
                          <a:rPr lang="en-AU" sz="1000" i="1">
                            <a:latin typeface="Cambria Math" panose="02040503050406030204" pitchFamily="18" charset="0"/>
                          </a:rPr>
                          <m:t>10</m:t>
                        </m:r>
                      </m:e>
                      <m:sup>
                        <m:r>
                          <a:rPr lang="en-AU" sz="1000" i="1">
                            <a:latin typeface="Cambria Math" panose="02040503050406030204" pitchFamily="18" charset="0"/>
                          </a:rPr>
                          <m:t>−3</m:t>
                        </m:r>
                      </m:sup>
                    </m:sSup>
                  </m:oMath>
                </m:oMathPara>
              </a14:m>
              <a:endParaRPr lang="en-AU" sz="1000"/>
            </a:p>
          </xdr:txBody>
        </xdr:sp>
      </mc:Choice>
      <mc:Fallback xmlns="">
        <xdr:sp macro="" textlink="">
          <xdr:nvSpPr>
            <xdr:cNvPr id="3" name="TextBox 2">
              <a:extLst>
                <a:ext uri="{FF2B5EF4-FFF2-40B4-BE49-F238E27FC236}">
                  <a16:creationId xmlns:a16="http://schemas.microsoft.com/office/drawing/2014/main" id="{7BBC21CE-6DE6-4371-81D6-D3FA8F8D8872}"/>
                </a:ext>
              </a:extLst>
            </xdr:cNvPr>
            <xdr:cNvSpPr txBox="1"/>
          </xdr:nvSpPr>
          <xdr:spPr>
            <a:xfrm>
              <a:off x="2662237" y="6753225"/>
              <a:ext cx="2731838" cy="1801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𝐸_(𝑁2𝑂,𝑙𝑒𝑎𝑐ℎ)=𝑀_𝑙𝑒𝑎𝑐ℎ×𝐸𝐹_𝑙𝑒𝑎𝑐ℎ×𝐶_𝑁2𝑂×10^(−3)</a:t>
              </a:r>
              <a:endParaRPr lang="en-AU" sz="1000"/>
            </a:p>
          </xdr:txBody>
        </xdr:sp>
      </mc:Fallback>
    </mc:AlternateContent>
    <xdr:clientData/>
  </xdr:oneCellAnchor>
</xdr:wsDr>
</file>

<file path=xl/drawings/drawing8.xml><?xml version="1.0" encoding="utf-8"?>
<xdr:wsDr xmlns:xdr="http://schemas.openxmlformats.org/drawingml/2006/spreadsheetDrawing" xmlns:a="http://schemas.openxmlformats.org/drawingml/2006/main">
  <xdr:oneCellAnchor>
    <xdr:from>
      <xdr:col>3</xdr:col>
      <xdr:colOff>24652</xdr:colOff>
      <xdr:row>7</xdr:row>
      <xdr:rowOff>181536</xdr:rowOff>
    </xdr:from>
    <xdr:ext cx="1792286" cy="182999"/>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5DC01A9A-0476-4130-B6CB-961DE97F06F9}"/>
                </a:ext>
              </a:extLst>
            </xdr:cNvPr>
            <xdr:cNvSpPr txBox="1"/>
          </xdr:nvSpPr>
          <xdr:spPr>
            <a:xfrm>
              <a:off x="2701177" y="2048436"/>
              <a:ext cx="1792286" cy="1829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000" i="1">
                        <a:latin typeface="Cambria Math" panose="02040503050406030204" pitchFamily="18" charset="0"/>
                      </a:rPr>
                      <m:t>𝑀</m:t>
                    </m:r>
                    <m:sSub>
                      <m:sSubPr>
                        <m:ctrlPr>
                          <a:rPr lang="en-AU" sz="1000" i="1">
                            <a:latin typeface="Cambria Math" panose="02040503050406030204" pitchFamily="18" charset="0"/>
                          </a:rPr>
                        </m:ctrlPr>
                      </m:sSubPr>
                      <m:e>
                        <m:r>
                          <a:rPr lang="en-AU" sz="1000" i="1">
                            <a:latin typeface="Cambria Math" panose="02040503050406030204" pitchFamily="18" charset="0"/>
                          </a:rPr>
                          <m:t>𝑁</m:t>
                        </m:r>
                      </m:e>
                      <m:sub>
                        <m:r>
                          <a:rPr lang="en-AU" sz="1000" i="1">
                            <a:latin typeface="Cambria Math" panose="02040503050406030204" pitchFamily="18" charset="0"/>
                          </a:rPr>
                          <m:t>𝑗𝑓</m:t>
                        </m:r>
                      </m:sub>
                    </m:sSub>
                    <m:r>
                      <a:rPr lang="en-AU" sz="1000" i="1">
                        <a:latin typeface="Cambria Math" panose="02040503050406030204" pitchFamily="18" charset="0"/>
                      </a:rPr>
                      <m:t>=</m:t>
                    </m:r>
                    <m:r>
                      <a:rPr lang="en-AU" sz="1000" i="1">
                        <a:latin typeface="Cambria Math" panose="02040503050406030204" pitchFamily="18" charset="0"/>
                      </a:rPr>
                      <m:t>𝑇</m:t>
                    </m:r>
                    <m:sSub>
                      <m:sSubPr>
                        <m:ctrlPr>
                          <a:rPr lang="en-AU" sz="1000" i="1">
                            <a:latin typeface="Cambria Math" panose="02040503050406030204" pitchFamily="18" charset="0"/>
                          </a:rPr>
                        </m:ctrlPr>
                      </m:sSubPr>
                      <m:e>
                        <m:r>
                          <a:rPr lang="en-AU" sz="1000" i="1">
                            <a:latin typeface="Cambria Math" panose="02040503050406030204" pitchFamily="18" charset="0"/>
                          </a:rPr>
                          <m:t>𝑀</m:t>
                        </m:r>
                      </m:e>
                      <m:sub>
                        <m:r>
                          <a:rPr lang="en-AU" sz="1000" i="1">
                            <a:latin typeface="Cambria Math" panose="02040503050406030204" pitchFamily="18" charset="0"/>
                          </a:rPr>
                          <m:t>𝑗𝑓</m:t>
                        </m:r>
                      </m:sub>
                    </m:sSub>
                    <m:r>
                      <a:rPr lang="en-AU" sz="1000" i="1">
                        <a:latin typeface="Cambria Math" panose="02040503050406030204" pitchFamily="18" charset="0"/>
                      </a:rPr>
                      <m:t>×</m:t>
                    </m:r>
                    <m:r>
                      <a:rPr lang="en-AU" sz="1000" i="1">
                        <a:latin typeface="Cambria Math" panose="02040503050406030204" pitchFamily="18" charset="0"/>
                      </a:rPr>
                      <m:t>𝐹</m:t>
                    </m:r>
                    <m:sSub>
                      <m:sSubPr>
                        <m:ctrlPr>
                          <a:rPr lang="en-AU" sz="1000" i="1">
                            <a:latin typeface="Cambria Math" panose="02040503050406030204" pitchFamily="18" charset="0"/>
                          </a:rPr>
                        </m:ctrlPr>
                      </m:sSubPr>
                      <m:e>
                        <m:r>
                          <a:rPr lang="en-AU" sz="1000" i="1">
                            <a:latin typeface="Cambria Math" panose="02040503050406030204" pitchFamily="18" charset="0"/>
                          </a:rPr>
                          <m:t>𝑁</m:t>
                        </m:r>
                      </m:e>
                      <m:sub>
                        <m:r>
                          <a:rPr lang="en-AU" sz="1000" i="1">
                            <a:latin typeface="Cambria Math" panose="02040503050406030204" pitchFamily="18" charset="0"/>
                          </a:rPr>
                          <m:t>𝑖𝑛𝑜𝑟𝑔𝑎𝑛𝑖𝑐</m:t>
                        </m:r>
                        <m:r>
                          <a:rPr lang="en-AU" sz="1000" i="1">
                            <a:latin typeface="Cambria Math" panose="02040503050406030204" pitchFamily="18" charset="0"/>
                          </a:rPr>
                          <m:t>,</m:t>
                        </m:r>
                        <m:r>
                          <a:rPr lang="en-AU" sz="1000" i="1">
                            <a:latin typeface="Cambria Math" panose="02040503050406030204" pitchFamily="18" charset="0"/>
                          </a:rPr>
                          <m:t>𝑓</m:t>
                        </m:r>
                      </m:sub>
                    </m:sSub>
                  </m:oMath>
                </m:oMathPara>
              </a14:m>
              <a:endParaRPr lang="en-AU" sz="1000"/>
            </a:p>
          </xdr:txBody>
        </xdr:sp>
      </mc:Choice>
      <mc:Fallback xmlns="">
        <xdr:sp macro="" textlink="">
          <xdr:nvSpPr>
            <xdr:cNvPr id="2" name="TextBox 1">
              <a:extLst>
                <a:ext uri="{FF2B5EF4-FFF2-40B4-BE49-F238E27FC236}">
                  <a16:creationId xmlns:a16="http://schemas.microsoft.com/office/drawing/2014/main" id="{5DC01A9A-0476-4130-B6CB-961DE97F06F9}"/>
                </a:ext>
              </a:extLst>
            </xdr:cNvPr>
            <xdr:cNvSpPr txBox="1"/>
          </xdr:nvSpPr>
          <xdr:spPr>
            <a:xfrm>
              <a:off x="2701177" y="2048436"/>
              <a:ext cx="1792286" cy="1829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𝑀𝑁_𝑗𝑓=𝑇𝑀_𝑗𝑓×𝐹𝑁_(𝑖𝑛𝑜𝑟𝑔𝑎𝑛𝑖𝑐,𝑓)</a:t>
              </a:r>
              <a:endParaRPr lang="en-AU" sz="1000"/>
            </a:p>
          </xdr:txBody>
        </xdr:sp>
      </mc:Fallback>
    </mc:AlternateContent>
    <xdr:clientData/>
  </xdr:oneCellAnchor>
  <xdr:oneCellAnchor>
    <xdr:from>
      <xdr:col>3</xdr:col>
      <xdr:colOff>24653</xdr:colOff>
      <xdr:row>42</xdr:row>
      <xdr:rowOff>125506</xdr:rowOff>
    </xdr:from>
    <xdr:ext cx="3047693" cy="429926"/>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77427B03-3C55-4C22-A208-282B94988CF0}"/>
                </a:ext>
              </a:extLst>
            </xdr:cNvPr>
            <xdr:cNvSpPr txBox="1"/>
          </xdr:nvSpPr>
          <xdr:spPr>
            <a:xfrm>
              <a:off x="2701178" y="10660156"/>
              <a:ext cx="3047693"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000" i="1">
                            <a:latin typeface="Cambria Math" panose="02040503050406030204" pitchFamily="18" charset="0"/>
                          </a:rPr>
                        </m:ctrlPr>
                      </m:sSubPr>
                      <m:e>
                        <m:r>
                          <a:rPr lang="en-AU" sz="1000" i="1">
                            <a:latin typeface="Cambria Math" panose="02040503050406030204" pitchFamily="18" charset="0"/>
                          </a:rPr>
                          <m:t>𝐸</m:t>
                        </m:r>
                      </m:e>
                      <m:sub>
                        <m:r>
                          <a:rPr lang="en-AU" sz="1000" i="1">
                            <a:latin typeface="Cambria Math" panose="02040503050406030204" pitchFamily="18" charset="0"/>
                          </a:rPr>
                          <m:t>𝑁</m:t>
                        </m:r>
                        <m:r>
                          <a:rPr lang="en-AU" sz="1000" i="1">
                            <a:latin typeface="Cambria Math" panose="02040503050406030204" pitchFamily="18" charset="0"/>
                          </a:rPr>
                          <m:t>2</m:t>
                        </m:r>
                        <m:r>
                          <a:rPr lang="en-AU" sz="1000" i="1">
                            <a:latin typeface="Cambria Math" panose="02040503050406030204" pitchFamily="18" charset="0"/>
                          </a:rPr>
                          <m:t>𝑂</m:t>
                        </m:r>
                      </m:sub>
                    </m:sSub>
                    <m:r>
                      <a:rPr lang="en-AU" sz="1000" i="1">
                        <a:latin typeface="Cambria Math" panose="02040503050406030204" pitchFamily="18" charset="0"/>
                      </a:rPr>
                      <m:t>=</m:t>
                    </m:r>
                    <m:nary>
                      <m:naryPr>
                        <m:chr m:val="∑"/>
                        <m:supHide m:val="on"/>
                        <m:ctrlPr>
                          <a:rPr lang="en-AU" sz="1000" i="1">
                            <a:latin typeface="Cambria Math" panose="02040503050406030204" pitchFamily="18" charset="0"/>
                          </a:rPr>
                        </m:ctrlPr>
                      </m:naryPr>
                      <m:sub>
                        <m:r>
                          <a:rPr lang="en-AU" sz="1000" i="1">
                            <a:latin typeface="Cambria Math" panose="02040503050406030204" pitchFamily="18" charset="0"/>
                          </a:rPr>
                          <m:t>𝑗</m:t>
                        </m:r>
                      </m:sub>
                      <m:sup/>
                      <m:e>
                        <m:nary>
                          <m:naryPr>
                            <m:chr m:val="∑"/>
                            <m:supHide m:val="on"/>
                            <m:ctrlPr>
                              <a:rPr lang="en-AU" sz="1000" i="1">
                                <a:latin typeface="Cambria Math" panose="02040503050406030204" pitchFamily="18" charset="0"/>
                              </a:rPr>
                            </m:ctrlPr>
                          </m:naryPr>
                          <m:sub>
                            <m:r>
                              <a:rPr lang="en-AU" sz="1000" i="1">
                                <a:latin typeface="Cambria Math" panose="02040503050406030204" pitchFamily="18" charset="0"/>
                              </a:rPr>
                              <m:t>𝑓</m:t>
                            </m:r>
                          </m:sub>
                          <m:sup/>
                          <m:e>
                            <m:d>
                              <m:dPr>
                                <m:ctrlPr>
                                  <a:rPr lang="en-AU" sz="1000" i="1">
                                    <a:latin typeface="Cambria Math" panose="02040503050406030204" pitchFamily="18" charset="0"/>
                                  </a:rPr>
                                </m:ctrlPr>
                              </m:dPr>
                              <m:e>
                                <m:d>
                                  <m:dPr>
                                    <m:ctrlPr>
                                      <a:rPr lang="en-AU" sz="1000" i="1">
                                        <a:latin typeface="Cambria Math" panose="02040503050406030204" pitchFamily="18" charset="0"/>
                                      </a:rPr>
                                    </m:ctrlPr>
                                  </m:dPr>
                                  <m:e>
                                    <m:r>
                                      <a:rPr lang="en-AU" sz="1000" i="1">
                                        <a:latin typeface="Cambria Math" panose="02040503050406030204" pitchFamily="18" charset="0"/>
                                      </a:rPr>
                                      <m:t>𝑀</m:t>
                                    </m:r>
                                    <m:sSub>
                                      <m:sSubPr>
                                        <m:ctrlPr>
                                          <a:rPr lang="en-AU" sz="1000" i="1">
                                            <a:latin typeface="Cambria Math" panose="02040503050406030204" pitchFamily="18" charset="0"/>
                                          </a:rPr>
                                        </m:ctrlPr>
                                      </m:sSubPr>
                                      <m:e>
                                        <m:r>
                                          <a:rPr lang="en-AU" sz="1000" i="1">
                                            <a:latin typeface="Cambria Math" panose="02040503050406030204" pitchFamily="18" charset="0"/>
                                          </a:rPr>
                                          <m:t>𝑁</m:t>
                                        </m:r>
                                      </m:e>
                                      <m:sub>
                                        <m:r>
                                          <a:rPr lang="en-AU" sz="1000" i="1">
                                            <a:latin typeface="Cambria Math" panose="02040503050406030204" pitchFamily="18" charset="0"/>
                                          </a:rPr>
                                          <m:t>𝑗𝑓</m:t>
                                        </m:r>
                                      </m:sub>
                                    </m:sSub>
                                    <m:r>
                                      <a:rPr lang="en-AU" sz="1000" i="1">
                                        <a:latin typeface="Cambria Math" panose="02040503050406030204" pitchFamily="18" charset="0"/>
                                      </a:rPr>
                                      <m:t>×</m:t>
                                    </m:r>
                                    <m:r>
                                      <a:rPr lang="en-AU" sz="1000" i="1">
                                        <a:latin typeface="Cambria Math" panose="02040503050406030204" pitchFamily="18" charset="0"/>
                                      </a:rPr>
                                      <m:t>𝐸</m:t>
                                    </m:r>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𝑗</m:t>
                                        </m:r>
                                        <m:r>
                                          <a:rPr lang="en-AU" sz="1000" i="1">
                                            <a:latin typeface="Cambria Math" panose="02040503050406030204" pitchFamily="18" charset="0"/>
                                          </a:rPr>
                                          <m:t>,</m:t>
                                        </m:r>
                                        <m:r>
                                          <a:rPr lang="en-AU" sz="1000" i="1">
                                            <a:latin typeface="Cambria Math" panose="02040503050406030204" pitchFamily="18" charset="0"/>
                                          </a:rPr>
                                          <m:t>𝑁</m:t>
                                        </m:r>
                                        <m:r>
                                          <a:rPr lang="en-AU" sz="1000" i="1">
                                            <a:latin typeface="Cambria Math" panose="02040503050406030204" pitchFamily="18" charset="0"/>
                                          </a:rPr>
                                          <m:t>2</m:t>
                                        </m:r>
                                        <m:r>
                                          <a:rPr lang="en-AU" sz="1000" i="1">
                                            <a:latin typeface="Cambria Math" panose="02040503050406030204" pitchFamily="18" charset="0"/>
                                          </a:rPr>
                                          <m:t>𝑂</m:t>
                                        </m:r>
                                      </m:sub>
                                    </m:sSub>
                                    <m:r>
                                      <a:rPr lang="en-AU" sz="1000" i="1">
                                        <a:latin typeface="Cambria Math" panose="02040503050406030204" pitchFamily="18" charset="0"/>
                                      </a:rPr>
                                      <m:t>×</m:t>
                                    </m:r>
                                    <m:sSub>
                                      <m:sSubPr>
                                        <m:ctrlPr>
                                          <a:rPr lang="en-AU" sz="1000" i="1">
                                            <a:latin typeface="Cambria Math" panose="02040503050406030204" pitchFamily="18" charset="0"/>
                                          </a:rPr>
                                        </m:ctrlPr>
                                      </m:sSubPr>
                                      <m:e>
                                        <m:r>
                                          <a:rPr lang="en-AU" sz="1000" i="1">
                                            <a:latin typeface="Cambria Math" panose="02040503050406030204" pitchFamily="18" charset="0"/>
                                          </a:rPr>
                                          <m:t>𝐶</m:t>
                                        </m:r>
                                      </m:e>
                                      <m:sub>
                                        <m:r>
                                          <a:rPr lang="en-AU" sz="1000" i="1">
                                            <a:latin typeface="Cambria Math" panose="02040503050406030204" pitchFamily="18" charset="0"/>
                                          </a:rPr>
                                          <m:t>𝑁</m:t>
                                        </m:r>
                                        <m:r>
                                          <a:rPr lang="en-AU" sz="1000" i="1">
                                            <a:latin typeface="Cambria Math" panose="02040503050406030204" pitchFamily="18" charset="0"/>
                                          </a:rPr>
                                          <m:t>2</m:t>
                                        </m:r>
                                        <m:r>
                                          <a:rPr lang="en-AU" sz="1000" i="1">
                                            <a:latin typeface="Cambria Math" panose="02040503050406030204" pitchFamily="18" charset="0"/>
                                          </a:rPr>
                                          <m:t>𝑂</m:t>
                                        </m:r>
                                      </m:sub>
                                    </m:sSub>
                                  </m:e>
                                </m:d>
                                <m:r>
                                  <a:rPr lang="en-AU" sz="1000" i="1">
                                    <a:latin typeface="Cambria Math" panose="02040503050406030204" pitchFamily="18" charset="0"/>
                                  </a:rPr>
                                  <m:t>×</m:t>
                                </m:r>
                                <m:sSup>
                                  <m:sSupPr>
                                    <m:ctrlPr>
                                      <a:rPr lang="en-AU" sz="1000" i="1">
                                        <a:latin typeface="Cambria Math" panose="02040503050406030204" pitchFamily="18" charset="0"/>
                                      </a:rPr>
                                    </m:ctrlPr>
                                  </m:sSupPr>
                                  <m:e>
                                    <m:r>
                                      <a:rPr lang="en-AU" sz="1000" i="1">
                                        <a:latin typeface="Cambria Math" panose="02040503050406030204" pitchFamily="18" charset="0"/>
                                      </a:rPr>
                                      <m:t>10</m:t>
                                    </m:r>
                                  </m:e>
                                  <m:sup>
                                    <m:r>
                                      <a:rPr lang="en-AU" sz="1000" i="1">
                                        <a:latin typeface="Cambria Math" panose="02040503050406030204" pitchFamily="18" charset="0"/>
                                      </a:rPr>
                                      <m:t>−3</m:t>
                                    </m:r>
                                  </m:sup>
                                </m:sSup>
                              </m:e>
                            </m:d>
                          </m:e>
                        </m:nary>
                      </m:e>
                    </m:nary>
                  </m:oMath>
                </m:oMathPara>
              </a14:m>
              <a:endParaRPr lang="en-AU" sz="1000"/>
            </a:p>
          </xdr:txBody>
        </xdr:sp>
      </mc:Choice>
      <mc:Fallback xmlns="">
        <xdr:sp macro="" textlink="">
          <xdr:nvSpPr>
            <xdr:cNvPr id="3" name="TextBox 2">
              <a:extLst>
                <a:ext uri="{FF2B5EF4-FFF2-40B4-BE49-F238E27FC236}">
                  <a16:creationId xmlns:a16="http://schemas.microsoft.com/office/drawing/2014/main" id="{77427B03-3C55-4C22-A208-282B94988CF0}"/>
                </a:ext>
              </a:extLst>
            </xdr:cNvPr>
            <xdr:cNvSpPr txBox="1"/>
          </xdr:nvSpPr>
          <xdr:spPr>
            <a:xfrm>
              <a:off x="2701178" y="10660156"/>
              <a:ext cx="3047693"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𝐸_𝑁2𝑂=∑_𝑗▒∑_𝑓▒((𝑀𝑁_𝑗𝑓×𝐸𝐹_(𝑗,𝑁2𝑂)×𝐶_𝑁2𝑂 )×10^(−3) ) </a:t>
              </a:r>
              <a:endParaRPr lang="en-AU" sz="1000"/>
            </a:p>
          </xdr:txBody>
        </xdr:sp>
      </mc:Fallback>
    </mc:AlternateContent>
    <xdr:clientData/>
  </xdr:oneCellAnchor>
  <xdr:oneCellAnchor>
    <xdr:from>
      <xdr:col>12</xdr:col>
      <xdr:colOff>13446</xdr:colOff>
      <xdr:row>40</xdr:row>
      <xdr:rowOff>125506</xdr:rowOff>
    </xdr:from>
    <xdr:ext cx="4661725" cy="253339"/>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16C230AF-F046-4877-8232-F62D8B619640}"/>
                </a:ext>
              </a:extLst>
            </xdr:cNvPr>
            <xdr:cNvSpPr txBox="1"/>
          </xdr:nvSpPr>
          <xdr:spPr>
            <a:xfrm>
              <a:off x="17291796" y="10164856"/>
              <a:ext cx="4661725" cy="2533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000" i="1">
                        <a:latin typeface="Cambria Math" panose="02040503050406030204" pitchFamily="18" charset="0"/>
                      </a:rPr>
                      <m:t>𝐸</m:t>
                    </m:r>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𝑓𝑗</m:t>
                        </m:r>
                        <m:r>
                          <a:rPr lang="en-AU" sz="1000" i="1">
                            <a:latin typeface="Cambria Math" panose="02040503050406030204" pitchFamily="18" charset="0"/>
                          </a:rPr>
                          <m:t>=</m:t>
                        </m:r>
                        <m:r>
                          <a:rPr lang="en-AU" sz="1000" i="1">
                            <a:latin typeface="Cambria Math" panose="02040503050406030204" pitchFamily="18" charset="0"/>
                          </a:rPr>
                          <m:t>𝑖𝑟𝑟𝑖𝑔𝑎𝑡𝑒𝑑𝑚𝑎𝑖𝑧𝑒</m:t>
                        </m:r>
                        <m:r>
                          <a:rPr lang="en-AU" sz="1000" i="1">
                            <a:latin typeface="Cambria Math" panose="02040503050406030204" pitchFamily="18" charset="0"/>
                          </a:rPr>
                          <m:t>,</m:t>
                        </m:r>
                        <m:r>
                          <a:rPr lang="en-AU" sz="1000" i="1">
                            <a:latin typeface="Cambria Math" panose="02040503050406030204" pitchFamily="18" charset="0"/>
                          </a:rPr>
                          <m:t>𝑁</m:t>
                        </m:r>
                        <m:r>
                          <a:rPr lang="en-AU" sz="1000" i="1">
                            <a:latin typeface="Cambria Math" panose="02040503050406030204" pitchFamily="18" charset="0"/>
                          </a:rPr>
                          <m:t>2</m:t>
                        </m:r>
                        <m:r>
                          <a:rPr lang="en-AU" sz="1000" i="1">
                            <a:latin typeface="Cambria Math" panose="02040503050406030204" pitchFamily="18" charset="0"/>
                          </a:rPr>
                          <m:t>𝑂</m:t>
                        </m:r>
                      </m:sub>
                    </m:sSub>
                    <m:r>
                      <a:rPr lang="en-AU" sz="1000" i="1">
                        <a:latin typeface="Cambria Math" panose="02040503050406030204" pitchFamily="18" charset="0"/>
                      </a:rPr>
                      <m:t>=</m:t>
                    </m:r>
                    <m:d>
                      <m:dPr>
                        <m:ctrlPr>
                          <a:rPr lang="en-AU" sz="1000" i="1">
                            <a:latin typeface="Cambria Math" panose="02040503050406030204" pitchFamily="18" charset="0"/>
                          </a:rPr>
                        </m:ctrlPr>
                      </m:dPr>
                      <m:e>
                        <m:r>
                          <a:rPr lang="en-AU" sz="1000" i="1">
                            <a:latin typeface="Cambria Math" panose="02040503050406030204" pitchFamily="18" charset="0"/>
                          </a:rPr>
                          <m:t>−0.1474+</m:t>
                        </m:r>
                        <m:d>
                          <m:dPr>
                            <m:ctrlPr>
                              <a:rPr lang="en-AU" sz="1000" i="1">
                                <a:latin typeface="Cambria Math" panose="02040503050406030204" pitchFamily="18" charset="0"/>
                              </a:rPr>
                            </m:ctrlPr>
                          </m:dPr>
                          <m:e>
                            <m:r>
                              <a:rPr lang="en-AU" sz="1000" i="1">
                                <a:latin typeface="Cambria Math" panose="02040503050406030204" pitchFamily="18" charset="0"/>
                              </a:rPr>
                              <m:t>0.0061×</m:t>
                            </m:r>
                            <m:sSub>
                              <m:sSubPr>
                                <m:ctrlPr>
                                  <a:rPr lang="en-AU" sz="1000" i="1">
                                    <a:latin typeface="Cambria Math" panose="02040503050406030204" pitchFamily="18" charset="0"/>
                                  </a:rPr>
                                </m:ctrlPr>
                              </m:sSubPr>
                              <m:e>
                                <m:r>
                                  <a:rPr lang="en-AU" sz="1000" i="1">
                                    <a:latin typeface="Cambria Math" panose="02040503050406030204" pitchFamily="18" charset="0"/>
                                  </a:rPr>
                                  <m:t>𝑁</m:t>
                                </m:r>
                              </m:e>
                              <m:sub>
                                <m:r>
                                  <a:rPr lang="en-AU" sz="1000" i="1">
                                    <a:latin typeface="Cambria Math" panose="02040503050406030204" pitchFamily="18" charset="0"/>
                                  </a:rPr>
                                  <m:t>𝑓𝑗</m:t>
                                </m:r>
                                <m:r>
                                  <a:rPr lang="en-AU" sz="1000" i="1">
                                    <a:latin typeface="Cambria Math" panose="02040503050406030204" pitchFamily="18" charset="0"/>
                                  </a:rPr>
                                  <m:t>=</m:t>
                                </m:r>
                                <m:r>
                                  <a:rPr lang="en-AU" sz="1000" i="1">
                                    <a:latin typeface="Cambria Math" panose="02040503050406030204" pitchFamily="18" charset="0"/>
                                  </a:rPr>
                                  <m:t>𝑖𝑟𝑟𝑖𝑔𝑎𝑡𝑒𝑑𝑚𝑎𝑖𝑧𝑒</m:t>
                                </m:r>
                              </m:sub>
                            </m:sSub>
                          </m:e>
                        </m:d>
                      </m:e>
                    </m:d>
                    <m:r>
                      <a:rPr lang="en-AU" sz="1000" i="1">
                        <a:latin typeface="Cambria Math" panose="02040503050406030204" pitchFamily="18" charset="0"/>
                      </a:rPr>
                      <m:t>×</m:t>
                    </m:r>
                    <m:sSup>
                      <m:sSupPr>
                        <m:ctrlPr>
                          <a:rPr lang="en-AU" sz="1000" i="1">
                            <a:latin typeface="Cambria Math" panose="02040503050406030204" pitchFamily="18" charset="0"/>
                          </a:rPr>
                        </m:ctrlPr>
                      </m:sSupPr>
                      <m:e>
                        <m:r>
                          <a:rPr lang="en-AU" sz="1000" i="1">
                            <a:latin typeface="Cambria Math" panose="02040503050406030204" pitchFamily="18" charset="0"/>
                          </a:rPr>
                          <m:t>10</m:t>
                        </m:r>
                      </m:e>
                      <m:sup>
                        <m:r>
                          <a:rPr lang="en-AU" sz="1000" i="1">
                            <a:latin typeface="Cambria Math" panose="02040503050406030204" pitchFamily="18" charset="0"/>
                          </a:rPr>
                          <m:t>−2</m:t>
                        </m:r>
                      </m:sup>
                    </m:sSup>
                  </m:oMath>
                </m:oMathPara>
              </a14:m>
              <a:endParaRPr lang="en-AU" sz="1000"/>
            </a:p>
          </xdr:txBody>
        </xdr:sp>
      </mc:Choice>
      <mc:Fallback xmlns="">
        <xdr:sp macro="" textlink="">
          <xdr:nvSpPr>
            <xdr:cNvPr id="4" name="TextBox 3">
              <a:extLst>
                <a:ext uri="{FF2B5EF4-FFF2-40B4-BE49-F238E27FC236}">
                  <a16:creationId xmlns:a16="http://schemas.microsoft.com/office/drawing/2014/main" id="{16C230AF-F046-4877-8232-F62D8B619640}"/>
                </a:ext>
              </a:extLst>
            </xdr:cNvPr>
            <xdr:cNvSpPr txBox="1"/>
          </xdr:nvSpPr>
          <xdr:spPr>
            <a:xfrm>
              <a:off x="17291796" y="10164856"/>
              <a:ext cx="4661725" cy="2533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𝐸𝐹_(𝑓𝑗=𝑖𝑟𝑟𝑖𝑔𝑎𝑡𝑒𝑑𝑚𝑎𝑖𝑧𝑒,𝑁2𝑂)=(−0.1474+(0.0061×𝑁_(𝑓𝑗=𝑖𝑟𝑟𝑖𝑔𝑎𝑡𝑒𝑑𝑚𝑎𝑖𝑧𝑒) ))×10^(−2)</a:t>
              </a:r>
              <a:endParaRPr lang="en-AU" sz="1000"/>
            </a:p>
          </xdr:txBody>
        </xdr:sp>
      </mc:Fallback>
    </mc:AlternateContent>
    <xdr:clientData/>
  </xdr:oneCellAnchor>
  <xdr:oneCellAnchor>
    <xdr:from>
      <xdr:col>11</xdr:col>
      <xdr:colOff>304799</xdr:colOff>
      <xdr:row>54</xdr:row>
      <xdr:rowOff>114300</xdr:rowOff>
    </xdr:from>
    <xdr:ext cx="5008229" cy="253339"/>
    <mc:AlternateContent xmlns:mc="http://schemas.openxmlformats.org/markup-compatibility/2006" xmlns:a14="http://schemas.microsoft.com/office/drawing/2010/main">
      <mc:Choice Requires="a14">
        <xdr:sp macro="" textlink="">
          <xdr:nvSpPr>
            <xdr:cNvPr id="5" name="TextBox 4">
              <a:extLst>
                <a:ext uri="{FF2B5EF4-FFF2-40B4-BE49-F238E27FC236}">
                  <a16:creationId xmlns:a16="http://schemas.microsoft.com/office/drawing/2014/main" id="{BAD3DAE4-0AB8-4D99-8571-FEA95153D08F}"/>
                </a:ext>
              </a:extLst>
            </xdr:cNvPr>
            <xdr:cNvSpPr txBox="1"/>
          </xdr:nvSpPr>
          <xdr:spPr>
            <a:xfrm>
              <a:off x="17268824" y="13620750"/>
              <a:ext cx="5008229" cy="2533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000" i="1">
                        <a:latin typeface="Cambria Math" panose="02040503050406030204" pitchFamily="18" charset="0"/>
                      </a:rPr>
                      <m:t>𝐸</m:t>
                    </m:r>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𝑓𝑗</m:t>
                        </m:r>
                        <m:r>
                          <a:rPr lang="en-AU" sz="1000" i="1">
                            <a:latin typeface="Cambria Math" panose="02040503050406030204" pitchFamily="18" charset="0"/>
                          </a:rPr>
                          <m:t>=</m:t>
                        </m:r>
                        <m:r>
                          <a:rPr lang="en-AU" sz="1000" i="1">
                            <a:latin typeface="Cambria Math" panose="02040503050406030204" pitchFamily="18" charset="0"/>
                          </a:rPr>
                          <m:t>𝑛𝑜𝑛𝑖𝑟𝑟𝑖𝑔𝑎𝑡𝑒𝑑𝑔𝑟𝑎𝑖𝑛𝑠</m:t>
                        </m:r>
                        <m:r>
                          <a:rPr lang="en-AU" sz="1000" i="1">
                            <a:latin typeface="Cambria Math" panose="02040503050406030204" pitchFamily="18" charset="0"/>
                          </a:rPr>
                          <m:t>,</m:t>
                        </m:r>
                        <m:r>
                          <a:rPr lang="en-AU" sz="1000" i="1">
                            <a:latin typeface="Cambria Math" panose="02040503050406030204" pitchFamily="18" charset="0"/>
                          </a:rPr>
                          <m:t>𝑁</m:t>
                        </m:r>
                        <m:r>
                          <a:rPr lang="en-AU" sz="1000" i="1">
                            <a:latin typeface="Cambria Math" panose="02040503050406030204" pitchFamily="18" charset="0"/>
                          </a:rPr>
                          <m:t>2</m:t>
                        </m:r>
                        <m:r>
                          <a:rPr lang="en-AU" sz="1000" i="1">
                            <a:latin typeface="Cambria Math" panose="02040503050406030204" pitchFamily="18" charset="0"/>
                          </a:rPr>
                          <m:t>𝑂</m:t>
                        </m:r>
                      </m:sub>
                    </m:sSub>
                    <m:r>
                      <a:rPr lang="en-AU" sz="1000" i="1">
                        <a:latin typeface="Cambria Math" panose="02040503050406030204" pitchFamily="18" charset="0"/>
                      </a:rPr>
                      <m:t>=</m:t>
                    </m:r>
                    <m:d>
                      <m:dPr>
                        <m:ctrlPr>
                          <a:rPr lang="en-AU" sz="1000" i="1">
                            <a:latin typeface="Cambria Math" panose="02040503050406030204" pitchFamily="18" charset="0"/>
                          </a:rPr>
                        </m:ctrlPr>
                      </m:dPr>
                      <m:e>
                        <m:r>
                          <a:rPr lang="en-AU" sz="1000" i="1">
                            <a:latin typeface="Cambria Math" panose="02040503050406030204" pitchFamily="18" charset="0"/>
                          </a:rPr>
                          <m:t>0.0781+</m:t>
                        </m:r>
                        <m:d>
                          <m:dPr>
                            <m:ctrlPr>
                              <a:rPr lang="en-AU" sz="1000" i="1">
                                <a:latin typeface="Cambria Math" panose="02040503050406030204" pitchFamily="18" charset="0"/>
                              </a:rPr>
                            </m:ctrlPr>
                          </m:dPr>
                          <m:e>
                            <m:r>
                              <a:rPr lang="en-AU" sz="1000" i="1">
                                <a:latin typeface="Cambria Math" panose="02040503050406030204" pitchFamily="18" charset="0"/>
                              </a:rPr>
                              <m:t>0.0075×</m:t>
                            </m:r>
                            <m:sSub>
                              <m:sSubPr>
                                <m:ctrlPr>
                                  <a:rPr lang="en-AU" sz="1000" i="1">
                                    <a:latin typeface="Cambria Math" panose="02040503050406030204" pitchFamily="18" charset="0"/>
                                  </a:rPr>
                                </m:ctrlPr>
                              </m:sSubPr>
                              <m:e>
                                <m:r>
                                  <a:rPr lang="en-AU" sz="1000" i="1">
                                    <a:latin typeface="Cambria Math" panose="02040503050406030204" pitchFamily="18" charset="0"/>
                                  </a:rPr>
                                  <m:t>𝑁</m:t>
                                </m:r>
                              </m:e>
                              <m:sub>
                                <m:r>
                                  <a:rPr lang="en-AU" sz="1000" i="1">
                                    <a:latin typeface="Cambria Math" panose="02040503050406030204" pitchFamily="18" charset="0"/>
                                  </a:rPr>
                                  <m:t>𝑓𝑗</m:t>
                                </m:r>
                                <m:r>
                                  <a:rPr lang="en-AU" sz="1000" i="1">
                                    <a:latin typeface="Cambria Math" panose="02040503050406030204" pitchFamily="18" charset="0"/>
                                  </a:rPr>
                                  <m:t>=</m:t>
                                </m:r>
                                <m:r>
                                  <a:rPr lang="en-AU" sz="1000" i="1">
                                    <a:latin typeface="Cambria Math" panose="02040503050406030204" pitchFamily="18" charset="0"/>
                                  </a:rPr>
                                  <m:t>𝑛𝑜𝑛𝑖𝑟𝑟𝑖𝑔𝑎𝑡𝑒𝑑𝑔𝑟𝑎𝑖𝑛𝑠</m:t>
                                </m:r>
                              </m:sub>
                            </m:sSub>
                          </m:e>
                        </m:d>
                      </m:e>
                    </m:d>
                    <m:r>
                      <a:rPr lang="en-AU" sz="1000" i="1">
                        <a:latin typeface="Cambria Math" panose="02040503050406030204" pitchFamily="18" charset="0"/>
                      </a:rPr>
                      <m:t>×</m:t>
                    </m:r>
                    <m:sSup>
                      <m:sSupPr>
                        <m:ctrlPr>
                          <a:rPr lang="en-AU" sz="1000" i="1">
                            <a:latin typeface="Cambria Math" panose="02040503050406030204" pitchFamily="18" charset="0"/>
                          </a:rPr>
                        </m:ctrlPr>
                      </m:sSupPr>
                      <m:e>
                        <m:r>
                          <a:rPr lang="en-AU" sz="1000" i="1">
                            <a:latin typeface="Cambria Math" panose="02040503050406030204" pitchFamily="18" charset="0"/>
                          </a:rPr>
                          <m:t>10</m:t>
                        </m:r>
                      </m:e>
                      <m:sup>
                        <m:r>
                          <a:rPr lang="en-AU" sz="1000" i="1">
                            <a:latin typeface="Cambria Math" panose="02040503050406030204" pitchFamily="18" charset="0"/>
                          </a:rPr>
                          <m:t>−2</m:t>
                        </m:r>
                      </m:sup>
                    </m:sSup>
                  </m:oMath>
                </m:oMathPara>
              </a14:m>
              <a:endParaRPr lang="en-AU" sz="1000"/>
            </a:p>
          </xdr:txBody>
        </xdr:sp>
      </mc:Choice>
      <mc:Fallback xmlns="">
        <xdr:sp macro="" textlink="">
          <xdr:nvSpPr>
            <xdr:cNvPr id="5" name="TextBox 4">
              <a:extLst>
                <a:ext uri="{FF2B5EF4-FFF2-40B4-BE49-F238E27FC236}">
                  <a16:creationId xmlns:a16="http://schemas.microsoft.com/office/drawing/2014/main" id="{BAD3DAE4-0AB8-4D99-8571-FEA95153D08F}"/>
                </a:ext>
              </a:extLst>
            </xdr:cNvPr>
            <xdr:cNvSpPr txBox="1"/>
          </xdr:nvSpPr>
          <xdr:spPr>
            <a:xfrm>
              <a:off x="17268824" y="13620750"/>
              <a:ext cx="5008229" cy="2533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𝐸𝐹_(𝑓𝑗=𝑛𝑜𝑛𝑖𝑟𝑟𝑖𝑔𝑎𝑡𝑒𝑑𝑔𝑟𝑎𝑖𝑛𝑠,𝑁2𝑂)=(0.0781+(0.0075×𝑁_(𝑓𝑗=𝑛𝑜𝑛𝑖𝑟𝑟𝑖𝑔𝑎𝑡𝑒𝑑𝑔𝑟𝑎𝑖𝑛𝑠) ))×10^(−2)</a:t>
              </a:r>
              <a:endParaRPr lang="en-AU" sz="1000"/>
            </a:p>
          </xdr:txBody>
        </xdr:sp>
      </mc:Fallback>
    </mc:AlternateContent>
    <xdr:clientData/>
  </xdr:oneCellAnchor>
  <xdr:oneCellAnchor>
    <xdr:from>
      <xdr:col>11</xdr:col>
      <xdr:colOff>293593</xdr:colOff>
      <xdr:row>67</xdr:row>
      <xdr:rowOff>79081</xdr:rowOff>
    </xdr:from>
    <xdr:ext cx="3370345" cy="544957"/>
    <mc:AlternateContent xmlns:mc="http://schemas.openxmlformats.org/markup-compatibility/2006" xmlns:a14="http://schemas.microsoft.com/office/drawing/2010/main">
      <mc:Choice Requires="a14">
        <xdr:sp macro="" textlink="">
          <xdr:nvSpPr>
            <xdr:cNvPr id="6" name="TextBox 5">
              <a:extLst>
                <a:ext uri="{FF2B5EF4-FFF2-40B4-BE49-F238E27FC236}">
                  <a16:creationId xmlns:a16="http://schemas.microsoft.com/office/drawing/2014/main" id="{4425E57C-8D6A-4585-927B-20D60DACB664}"/>
                </a:ext>
              </a:extLst>
            </xdr:cNvPr>
            <xdr:cNvSpPr txBox="1"/>
          </xdr:nvSpPr>
          <xdr:spPr>
            <a:xfrm>
              <a:off x="17257618" y="16804981"/>
              <a:ext cx="3370345" cy="5449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d>
                      <m:dPr>
                        <m:ctrlPr>
                          <a:rPr lang="en-AU" sz="1000" i="1">
                            <a:latin typeface="Cambria Math" panose="02040503050406030204" pitchFamily="18" charset="0"/>
                          </a:rPr>
                        </m:ctrlPr>
                      </m:dPr>
                      <m:e>
                        <m:r>
                          <a:rPr lang="en-AU" sz="1000" i="1">
                            <a:latin typeface="Cambria Math" panose="02040503050406030204" pitchFamily="18" charset="0"/>
                          </a:rPr>
                          <m:t>0.01×</m:t>
                        </m:r>
                        <m:d>
                          <m:dPr>
                            <m:ctrlPr>
                              <a:rPr lang="en-AU" sz="1000" i="1">
                                <a:latin typeface="Cambria Math" panose="02040503050406030204" pitchFamily="18" charset="0"/>
                              </a:rPr>
                            </m:ctrlPr>
                          </m:dPr>
                          <m:e>
                            <m:r>
                              <a:rPr lang="en-AU" sz="1000" i="1">
                                <a:latin typeface="Cambria Math" panose="02040503050406030204" pitchFamily="18" charset="0"/>
                              </a:rPr>
                              <m:t>0.29+</m:t>
                            </m:r>
                            <m:f>
                              <m:fPr>
                                <m:ctrlPr>
                                  <a:rPr lang="en-AU" sz="1000" i="1">
                                    <a:latin typeface="Cambria Math" panose="02040503050406030204" pitchFamily="18" charset="0"/>
                                  </a:rPr>
                                </m:ctrlPr>
                              </m:fPr>
                              <m:num>
                                <m:r>
                                  <a:rPr lang="en-AU" sz="1000" i="1">
                                    <a:latin typeface="Cambria Math" panose="02040503050406030204" pitchFamily="18" charset="0"/>
                                  </a:rPr>
                                  <m:t>0.007</m:t>
                                </m:r>
                                <m:d>
                                  <m:dPr>
                                    <m:ctrlPr>
                                      <a:rPr lang="en-AU" sz="1000" i="1">
                                        <a:latin typeface="Cambria Math" panose="02040503050406030204" pitchFamily="18" charset="0"/>
                                      </a:rPr>
                                    </m:ctrlPr>
                                  </m:dPr>
                                  <m:e>
                                    <m:sSup>
                                      <m:sSupPr>
                                        <m:ctrlPr>
                                          <a:rPr lang="en-AU" sz="1000" i="1">
                                            <a:latin typeface="Cambria Math" panose="02040503050406030204" pitchFamily="18" charset="0"/>
                                          </a:rPr>
                                        </m:ctrlPr>
                                      </m:sSupPr>
                                      <m:e>
                                        <m:r>
                                          <a:rPr lang="en-AU" sz="1000" i="1">
                                            <a:latin typeface="Cambria Math" panose="02040503050406030204" pitchFamily="18" charset="0"/>
                                          </a:rPr>
                                          <m:t>𝑒</m:t>
                                        </m:r>
                                      </m:e>
                                      <m:sup>
                                        <m:r>
                                          <a:rPr lang="en-AU" sz="1000" i="1">
                                            <a:latin typeface="Cambria Math" panose="02040503050406030204" pitchFamily="18" charset="0"/>
                                          </a:rPr>
                                          <m:t>0.037×</m:t>
                                        </m:r>
                                        <m:sSub>
                                          <m:sSubPr>
                                            <m:ctrlPr>
                                              <a:rPr lang="en-AU" sz="1000" i="1">
                                                <a:latin typeface="Cambria Math" panose="02040503050406030204" pitchFamily="18" charset="0"/>
                                              </a:rPr>
                                            </m:ctrlPr>
                                          </m:sSubPr>
                                          <m:e>
                                            <m:r>
                                              <a:rPr lang="en-AU" sz="1000" i="1">
                                                <a:latin typeface="Cambria Math" panose="02040503050406030204" pitchFamily="18" charset="0"/>
                                              </a:rPr>
                                              <m:t>𝑁</m:t>
                                            </m:r>
                                          </m:e>
                                          <m:sub>
                                            <m:r>
                                              <a:rPr lang="en-AU" sz="1000" i="1">
                                                <a:latin typeface="Cambria Math" panose="02040503050406030204" pitchFamily="18" charset="0"/>
                                              </a:rPr>
                                              <m:t>𝑓𝑗</m:t>
                                            </m:r>
                                            <m:r>
                                              <a:rPr lang="en-AU" sz="1000" i="1">
                                                <a:latin typeface="Cambria Math" panose="02040503050406030204" pitchFamily="18" charset="0"/>
                                              </a:rPr>
                                              <m:t>=</m:t>
                                            </m:r>
                                            <m:r>
                                              <a:rPr lang="en-AU" sz="1000" i="1">
                                                <a:latin typeface="Cambria Math" panose="02040503050406030204" pitchFamily="18" charset="0"/>
                                              </a:rPr>
                                              <m:t>𝑐𝑜𝑡𝑡𝑜𝑛</m:t>
                                            </m:r>
                                          </m:sub>
                                        </m:sSub>
                                      </m:sup>
                                    </m:sSup>
                                    <m:r>
                                      <a:rPr lang="en-AU" sz="1000" i="1">
                                        <a:latin typeface="Cambria Math" panose="02040503050406030204" pitchFamily="18" charset="0"/>
                                      </a:rPr>
                                      <m:t>−1</m:t>
                                    </m:r>
                                  </m:e>
                                </m:d>
                              </m:num>
                              <m:den>
                                <m:sSub>
                                  <m:sSubPr>
                                    <m:ctrlPr>
                                      <a:rPr lang="en-AU" sz="1000" i="1">
                                        <a:latin typeface="Cambria Math" panose="02040503050406030204" pitchFamily="18" charset="0"/>
                                      </a:rPr>
                                    </m:ctrlPr>
                                  </m:sSubPr>
                                  <m:e>
                                    <m:r>
                                      <a:rPr lang="en-AU" sz="1000" i="1">
                                        <a:latin typeface="Cambria Math" panose="02040503050406030204" pitchFamily="18" charset="0"/>
                                      </a:rPr>
                                      <m:t>𝑁</m:t>
                                    </m:r>
                                  </m:e>
                                  <m:sub>
                                    <m:r>
                                      <a:rPr lang="en-AU" sz="1000" i="1">
                                        <a:latin typeface="Cambria Math" panose="02040503050406030204" pitchFamily="18" charset="0"/>
                                      </a:rPr>
                                      <m:t>𝑓𝑗</m:t>
                                    </m:r>
                                    <m:r>
                                      <a:rPr lang="en-AU" sz="1000" i="1">
                                        <a:latin typeface="Cambria Math" panose="02040503050406030204" pitchFamily="18" charset="0"/>
                                      </a:rPr>
                                      <m:t>=</m:t>
                                    </m:r>
                                    <m:r>
                                      <a:rPr lang="en-AU" sz="1000" i="1">
                                        <a:latin typeface="Cambria Math" panose="02040503050406030204" pitchFamily="18" charset="0"/>
                                      </a:rPr>
                                      <m:t>𝑐𝑜𝑡𝑡𝑜𝑛</m:t>
                                    </m:r>
                                  </m:sub>
                                </m:sSub>
                              </m:den>
                            </m:f>
                          </m:e>
                        </m:d>
                      </m:e>
                    </m:d>
                    <m:r>
                      <a:rPr lang="en-AU" sz="1000" i="1">
                        <a:latin typeface="Cambria Math" panose="02040503050406030204" pitchFamily="18" charset="0"/>
                      </a:rPr>
                      <m:t>×</m:t>
                    </m:r>
                    <m:sSup>
                      <m:sSupPr>
                        <m:ctrlPr>
                          <a:rPr lang="en-AU" sz="1000" i="1">
                            <a:latin typeface="Cambria Math" panose="02040503050406030204" pitchFamily="18" charset="0"/>
                          </a:rPr>
                        </m:ctrlPr>
                      </m:sSupPr>
                      <m:e>
                        <m:r>
                          <a:rPr lang="en-AU" sz="1000" i="1">
                            <a:latin typeface="Cambria Math" panose="02040503050406030204" pitchFamily="18" charset="0"/>
                          </a:rPr>
                          <m:t>10</m:t>
                        </m:r>
                      </m:e>
                      <m:sup>
                        <m:r>
                          <a:rPr lang="en-AU" sz="1000" i="1">
                            <a:latin typeface="Cambria Math" panose="02040503050406030204" pitchFamily="18" charset="0"/>
                          </a:rPr>
                          <m:t>−2</m:t>
                        </m:r>
                      </m:sup>
                    </m:sSup>
                  </m:oMath>
                </m:oMathPara>
              </a14:m>
              <a:endParaRPr lang="en-AU" sz="1000"/>
            </a:p>
          </xdr:txBody>
        </xdr:sp>
      </mc:Choice>
      <mc:Fallback xmlns="">
        <xdr:sp macro="" textlink="">
          <xdr:nvSpPr>
            <xdr:cNvPr id="6" name="TextBox 5">
              <a:extLst>
                <a:ext uri="{FF2B5EF4-FFF2-40B4-BE49-F238E27FC236}">
                  <a16:creationId xmlns:a16="http://schemas.microsoft.com/office/drawing/2014/main" id="{4425E57C-8D6A-4585-927B-20D60DACB664}"/>
                </a:ext>
              </a:extLst>
            </xdr:cNvPr>
            <xdr:cNvSpPr txBox="1"/>
          </xdr:nvSpPr>
          <xdr:spPr>
            <a:xfrm>
              <a:off x="17257618" y="16804981"/>
              <a:ext cx="3370345" cy="5449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(0.01×(0.29+0.007(𝑒^(0.037×𝑁_(𝑓𝑗=𝑐𝑜𝑡𝑡𝑜𝑛) )−1)/𝑁_(𝑓𝑗=𝑐𝑜𝑡𝑡𝑜𝑛) ))×10^(−2)</a:t>
              </a:r>
              <a:endParaRPr lang="en-AU" sz="1000"/>
            </a:p>
          </xdr:txBody>
        </xdr:sp>
      </mc:Fallback>
    </mc:AlternateContent>
    <xdr:clientData/>
  </xdr:oneCellAnchor>
  <xdr:oneCellAnchor>
    <xdr:from>
      <xdr:col>11</xdr:col>
      <xdr:colOff>304800</xdr:colOff>
      <xdr:row>85</xdr:row>
      <xdr:rowOff>133350</xdr:rowOff>
    </xdr:from>
    <xdr:ext cx="3047693" cy="429926"/>
    <mc:AlternateContent xmlns:mc="http://schemas.openxmlformats.org/markup-compatibility/2006" xmlns:a14="http://schemas.microsoft.com/office/drawing/2010/main">
      <mc:Choice Requires="a14">
        <xdr:sp macro="" textlink="">
          <xdr:nvSpPr>
            <xdr:cNvPr id="7" name="TextBox 6">
              <a:extLst>
                <a:ext uri="{FF2B5EF4-FFF2-40B4-BE49-F238E27FC236}">
                  <a16:creationId xmlns:a16="http://schemas.microsoft.com/office/drawing/2014/main" id="{7C2B6464-9421-47D7-BB22-F20850E90A18}"/>
                </a:ext>
              </a:extLst>
            </xdr:cNvPr>
            <xdr:cNvSpPr txBox="1"/>
          </xdr:nvSpPr>
          <xdr:spPr>
            <a:xfrm>
              <a:off x="17268825" y="21316950"/>
              <a:ext cx="3047693"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000" i="1">
                            <a:latin typeface="Cambria Math" panose="02040503050406030204" pitchFamily="18" charset="0"/>
                          </a:rPr>
                        </m:ctrlPr>
                      </m:sSubPr>
                      <m:e>
                        <m:r>
                          <a:rPr lang="en-AU" sz="1000" i="1">
                            <a:latin typeface="Cambria Math" panose="02040503050406030204" pitchFamily="18" charset="0"/>
                          </a:rPr>
                          <m:t>𝐸</m:t>
                        </m:r>
                      </m:e>
                      <m:sub>
                        <m:r>
                          <a:rPr lang="en-AU" sz="1000" i="1">
                            <a:latin typeface="Cambria Math" panose="02040503050406030204" pitchFamily="18" charset="0"/>
                          </a:rPr>
                          <m:t>𝑁</m:t>
                        </m:r>
                        <m:r>
                          <a:rPr lang="en-AU" sz="1000" i="1">
                            <a:latin typeface="Cambria Math" panose="02040503050406030204" pitchFamily="18" charset="0"/>
                          </a:rPr>
                          <m:t>2</m:t>
                        </m:r>
                        <m:r>
                          <a:rPr lang="en-AU" sz="1000" i="1">
                            <a:latin typeface="Cambria Math" panose="02040503050406030204" pitchFamily="18" charset="0"/>
                          </a:rPr>
                          <m:t>𝑂</m:t>
                        </m:r>
                      </m:sub>
                    </m:sSub>
                    <m:r>
                      <a:rPr lang="en-AU" sz="1000" i="1">
                        <a:latin typeface="Cambria Math" panose="02040503050406030204" pitchFamily="18" charset="0"/>
                      </a:rPr>
                      <m:t>=</m:t>
                    </m:r>
                    <m:nary>
                      <m:naryPr>
                        <m:chr m:val="∑"/>
                        <m:supHide m:val="on"/>
                        <m:ctrlPr>
                          <a:rPr lang="en-AU" sz="1000" i="1">
                            <a:latin typeface="Cambria Math" panose="02040503050406030204" pitchFamily="18" charset="0"/>
                          </a:rPr>
                        </m:ctrlPr>
                      </m:naryPr>
                      <m:sub>
                        <m:r>
                          <a:rPr lang="en-AU" sz="1000" i="1">
                            <a:latin typeface="Cambria Math" panose="02040503050406030204" pitchFamily="18" charset="0"/>
                          </a:rPr>
                          <m:t>𝑗</m:t>
                        </m:r>
                      </m:sub>
                      <m:sup/>
                      <m:e>
                        <m:nary>
                          <m:naryPr>
                            <m:chr m:val="∑"/>
                            <m:supHide m:val="on"/>
                            <m:ctrlPr>
                              <a:rPr lang="en-AU" sz="1000" i="1">
                                <a:latin typeface="Cambria Math" panose="02040503050406030204" pitchFamily="18" charset="0"/>
                              </a:rPr>
                            </m:ctrlPr>
                          </m:naryPr>
                          <m:sub>
                            <m:r>
                              <a:rPr lang="en-AU" sz="1000" i="1">
                                <a:latin typeface="Cambria Math" panose="02040503050406030204" pitchFamily="18" charset="0"/>
                              </a:rPr>
                              <m:t>𝑓</m:t>
                            </m:r>
                          </m:sub>
                          <m:sup/>
                          <m:e>
                            <m:d>
                              <m:dPr>
                                <m:ctrlPr>
                                  <a:rPr lang="en-AU" sz="1000" i="1">
                                    <a:latin typeface="Cambria Math" panose="02040503050406030204" pitchFamily="18" charset="0"/>
                                  </a:rPr>
                                </m:ctrlPr>
                              </m:dPr>
                              <m:e>
                                <m:d>
                                  <m:dPr>
                                    <m:ctrlPr>
                                      <a:rPr lang="en-AU" sz="1000" i="1">
                                        <a:latin typeface="Cambria Math" panose="02040503050406030204" pitchFamily="18" charset="0"/>
                                      </a:rPr>
                                    </m:ctrlPr>
                                  </m:dPr>
                                  <m:e>
                                    <m:r>
                                      <a:rPr lang="en-AU" sz="1000" i="1">
                                        <a:latin typeface="Cambria Math" panose="02040503050406030204" pitchFamily="18" charset="0"/>
                                      </a:rPr>
                                      <m:t>𝑀</m:t>
                                    </m:r>
                                    <m:sSub>
                                      <m:sSubPr>
                                        <m:ctrlPr>
                                          <a:rPr lang="en-AU" sz="1000" i="1">
                                            <a:latin typeface="Cambria Math" panose="02040503050406030204" pitchFamily="18" charset="0"/>
                                          </a:rPr>
                                        </m:ctrlPr>
                                      </m:sSubPr>
                                      <m:e>
                                        <m:r>
                                          <a:rPr lang="en-AU" sz="1000" i="1">
                                            <a:latin typeface="Cambria Math" panose="02040503050406030204" pitchFamily="18" charset="0"/>
                                          </a:rPr>
                                          <m:t>𝑁</m:t>
                                        </m:r>
                                      </m:e>
                                      <m:sub>
                                        <m:r>
                                          <a:rPr lang="en-AU" sz="1000" i="1">
                                            <a:latin typeface="Cambria Math" panose="02040503050406030204" pitchFamily="18" charset="0"/>
                                          </a:rPr>
                                          <m:t>𝑗𝑓</m:t>
                                        </m:r>
                                      </m:sub>
                                    </m:sSub>
                                    <m:r>
                                      <a:rPr lang="en-AU" sz="1000" i="1">
                                        <a:latin typeface="Cambria Math" panose="02040503050406030204" pitchFamily="18" charset="0"/>
                                      </a:rPr>
                                      <m:t>×</m:t>
                                    </m:r>
                                    <m:r>
                                      <a:rPr lang="en-AU" sz="1000" i="1">
                                        <a:latin typeface="Cambria Math" panose="02040503050406030204" pitchFamily="18" charset="0"/>
                                      </a:rPr>
                                      <m:t>𝐸</m:t>
                                    </m:r>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𝑗</m:t>
                                        </m:r>
                                        <m:r>
                                          <a:rPr lang="en-AU" sz="1000" i="1">
                                            <a:latin typeface="Cambria Math" panose="02040503050406030204" pitchFamily="18" charset="0"/>
                                          </a:rPr>
                                          <m:t>,</m:t>
                                        </m:r>
                                        <m:r>
                                          <a:rPr lang="en-AU" sz="1000" i="1">
                                            <a:latin typeface="Cambria Math" panose="02040503050406030204" pitchFamily="18" charset="0"/>
                                          </a:rPr>
                                          <m:t>𝑁</m:t>
                                        </m:r>
                                        <m:r>
                                          <a:rPr lang="en-AU" sz="1000" i="1">
                                            <a:latin typeface="Cambria Math" panose="02040503050406030204" pitchFamily="18" charset="0"/>
                                          </a:rPr>
                                          <m:t>2</m:t>
                                        </m:r>
                                        <m:r>
                                          <a:rPr lang="en-AU" sz="1000" i="1">
                                            <a:latin typeface="Cambria Math" panose="02040503050406030204" pitchFamily="18" charset="0"/>
                                          </a:rPr>
                                          <m:t>𝑂</m:t>
                                        </m:r>
                                      </m:sub>
                                    </m:sSub>
                                    <m:r>
                                      <a:rPr lang="en-AU" sz="1000" i="1">
                                        <a:latin typeface="Cambria Math" panose="02040503050406030204" pitchFamily="18" charset="0"/>
                                      </a:rPr>
                                      <m:t>×</m:t>
                                    </m:r>
                                    <m:sSub>
                                      <m:sSubPr>
                                        <m:ctrlPr>
                                          <a:rPr lang="en-AU" sz="1000" i="1">
                                            <a:latin typeface="Cambria Math" panose="02040503050406030204" pitchFamily="18" charset="0"/>
                                          </a:rPr>
                                        </m:ctrlPr>
                                      </m:sSubPr>
                                      <m:e>
                                        <m:r>
                                          <a:rPr lang="en-AU" sz="1000" i="1">
                                            <a:latin typeface="Cambria Math" panose="02040503050406030204" pitchFamily="18" charset="0"/>
                                          </a:rPr>
                                          <m:t>𝐶</m:t>
                                        </m:r>
                                      </m:e>
                                      <m:sub>
                                        <m:r>
                                          <a:rPr lang="en-AU" sz="1000" i="1">
                                            <a:latin typeface="Cambria Math" panose="02040503050406030204" pitchFamily="18" charset="0"/>
                                          </a:rPr>
                                          <m:t>𝑁</m:t>
                                        </m:r>
                                        <m:r>
                                          <a:rPr lang="en-AU" sz="1000" i="1">
                                            <a:latin typeface="Cambria Math" panose="02040503050406030204" pitchFamily="18" charset="0"/>
                                          </a:rPr>
                                          <m:t>2</m:t>
                                        </m:r>
                                        <m:r>
                                          <a:rPr lang="en-AU" sz="1000" i="1">
                                            <a:latin typeface="Cambria Math" panose="02040503050406030204" pitchFamily="18" charset="0"/>
                                          </a:rPr>
                                          <m:t>𝑂</m:t>
                                        </m:r>
                                      </m:sub>
                                    </m:sSub>
                                  </m:e>
                                </m:d>
                                <m:r>
                                  <a:rPr lang="en-AU" sz="1000" i="1">
                                    <a:latin typeface="Cambria Math" panose="02040503050406030204" pitchFamily="18" charset="0"/>
                                  </a:rPr>
                                  <m:t>×</m:t>
                                </m:r>
                                <m:sSup>
                                  <m:sSupPr>
                                    <m:ctrlPr>
                                      <a:rPr lang="en-AU" sz="1000" i="1">
                                        <a:latin typeface="Cambria Math" panose="02040503050406030204" pitchFamily="18" charset="0"/>
                                      </a:rPr>
                                    </m:ctrlPr>
                                  </m:sSupPr>
                                  <m:e>
                                    <m:r>
                                      <a:rPr lang="en-AU" sz="1000" i="1">
                                        <a:latin typeface="Cambria Math" panose="02040503050406030204" pitchFamily="18" charset="0"/>
                                      </a:rPr>
                                      <m:t>10</m:t>
                                    </m:r>
                                  </m:e>
                                  <m:sup>
                                    <m:r>
                                      <a:rPr lang="en-AU" sz="1000" i="1">
                                        <a:latin typeface="Cambria Math" panose="02040503050406030204" pitchFamily="18" charset="0"/>
                                      </a:rPr>
                                      <m:t>−3</m:t>
                                    </m:r>
                                  </m:sup>
                                </m:sSup>
                              </m:e>
                            </m:d>
                          </m:e>
                        </m:nary>
                      </m:e>
                    </m:nary>
                  </m:oMath>
                </m:oMathPara>
              </a14:m>
              <a:endParaRPr lang="en-AU" sz="1000"/>
            </a:p>
          </xdr:txBody>
        </xdr:sp>
      </mc:Choice>
      <mc:Fallback xmlns="">
        <xdr:sp macro="" textlink="">
          <xdr:nvSpPr>
            <xdr:cNvPr id="7" name="TextBox 6">
              <a:extLst>
                <a:ext uri="{FF2B5EF4-FFF2-40B4-BE49-F238E27FC236}">
                  <a16:creationId xmlns:a16="http://schemas.microsoft.com/office/drawing/2014/main" id="{7C2B6464-9421-47D7-BB22-F20850E90A18}"/>
                </a:ext>
              </a:extLst>
            </xdr:cNvPr>
            <xdr:cNvSpPr txBox="1"/>
          </xdr:nvSpPr>
          <xdr:spPr>
            <a:xfrm>
              <a:off x="17268825" y="21316950"/>
              <a:ext cx="3047693"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𝐸_𝑁2𝑂=∑_𝑗▒∑_𝑓▒((𝑀𝑁_𝑗𝑓×𝐸𝐹_(𝑗,𝑁2𝑂)×𝐶_𝑁2𝑂 )×10^(−3) ) </a:t>
              </a:r>
              <a:endParaRPr lang="en-AU" sz="1000"/>
            </a:p>
          </xdr:txBody>
        </xdr:sp>
      </mc:Fallback>
    </mc:AlternateContent>
    <xdr:clientData/>
  </xdr:oneCellAnchor>
</xdr:wsDr>
</file>

<file path=xl/drawings/drawing9.xml><?xml version="1.0" encoding="utf-8"?>
<xdr:wsDr xmlns:xdr="http://schemas.openxmlformats.org/drawingml/2006/spreadsheetDrawing" xmlns:a="http://schemas.openxmlformats.org/drawingml/2006/main">
  <xdr:oneCellAnchor>
    <xdr:from>
      <xdr:col>3</xdr:col>
      <xdr:colOff>4762</xdr:colOff>
      <xdr:row>7</xdr:row>
      <xdr:rowOff>104775</xdr:rowOff>
    </xdr:from>
    <xdr:ext cx="1248098" cy="182871"/>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637DD467-B0F8-486A-BEB3-06ED04137CFF}"/>
                </a:ext>
              </a:extLst>
            </xdr:cNvPr>
            <xdr:cNvSpPr txBox="1"/>
          </xdr:nvSpPr>
          <xdr:spPr>
            <a:xfrm>
              <a:off x="2681287" y="1971675"/>
              <a:ext cx="1248098"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000" i="1">
                        <a:latin typeface="Cambria Math" panose="02040503050406030204" pitchFamily="18" charset="0"/>
                      </a:rPr>
                      <m:t>𝑀</m:t>
                    </m:r>
                    <m:sSub>
                      <m:sSubPr>
                        <m:ctrlPr>
                          <a:rPr lang="en-AU" sz="1000" i="1">
                            <a:latin typeface="Cambria Math" panose="02040503050406030204" pitchFamily="18" charset="0"/>
                          </a:rPr>
                        </m:ctrlPr>
                      </m:sSubPr>
                      <m:e>
                        <m:r>
                          <a:rPr lang="en-AU" sz="1000" i="1">
                            <a:latin typeface="Cambria Math" panose="02040503050406030204" pitchFamily="18" charset="0"/>
                          </a:rPr>
                          <m:t>𝑈</m:t>
                        </m:r>
                      </m:e>
                      <m:sub>
                        <m:r>
                          <a:rPr lang="en-AU" sz="1000" i="1">
                            <a:latin typeface="Cambria Math" panose="02040503050406030204" pitchFamily="18" charset="0"/>
                          </a:rPr>
                          <m:t>𝑗𝑓</m:t>
                        </m:r>
                      </m:sub>
                    </m:sSub>
                    <m:r>
                      <a:rPr lang="en-AU" sz="1000" i="1">
                        <a:latin typeface="Cambria Math" panose="02040503050406030204" pitchFamily="18" charset="0"/>
                      </a:rPr>
                      <m:t>=</m:t>
                    </m:r>
                    <m:r>
                      <a:rPr lang="en-AU" sz="1000" i="1">
                        <a:latin typeface="Cambria Math" panose="02040503050406030204" pitchFamily="18" charset="0"/>
                      </a:rPr>
                      <m:t>𝑇</m:t>
                    </m:r>
                    <m:sSub>
                      <m:sSubPr>
                        <m:ctrlPr>
                          <a:rPr lang="en-AU" sz="1000" i="1">
                            <a:latin typeface="Cambria Math" panose="02040503050406030204" pitchFamily="18" charset="0"/>
                          </a:rPr>
                        </m:ctrlPr>
                      </m:sSubPr>
                      <m:e>
                        <m:r>
                          <a:rPr lang="en-AU" sz="1000" i="1">
                            <a:latin typeface="Cambria Math" panose="02040503050406030204" pitchFamily="18" charset="0"/>
                          </a:rPr>
                          <m:t>𝑀</m:t>
                        </m:r>
                      </m:e>
                      <m:sub>
                        <m:r>
                          <a:rPr lang="en-AU" sz="1000" i="1">
                            <a:latin typeface="Cambria Math" panose="02040503050406030204" pitchFamily="18" charset="0"/>
                          </a:rPr>
                          <m:t>𝑗𝑓</m:t>
                        </m:r>
                      </m:sub>
                    </m:sSub>
                    <m:r>
                      <a:rPr lang="en-AU" sz="1000" i="1">
                        <a:latin typeface="Cambria Math" panose="02040503050406030204" pitchFamily="18" charset="0"/>
                      </a:rPr>
                      <m:t>×</m:t>
                    </m:r>
                    <m:r>
                      <a:rPr lang="en-AU" sz="1000" i="1">
                        <a:latin typeface="Cambria Math" panose="02040503050406030204" pitchFamily="18" charset="0"/>
                      </a:rPr>
                      <m:t>𝐹</m:t>
                    </m:r>
                    <m:sSub>
                      <m:sSubPr>
                        <m:ctrlPr>
                          <a:rPr lang="en-AU" sz="1000" i="1">
                            <a:latin typeface="Cambria Math" panose="02040503050406030204" pitchFamily="18" charset="0"/>
                          </a:rPr>
                        </m:ctrlPr>
                      </m:sSubPr>
                      <m:e>
                        <m:r>
                          <a:rPr lang="en-AU" sz="1000" i="1">
                            <a:latin typeface="Cambria Math" panose="02040503050406030204" pitchFamily="18" charset="0"/>
                          </a:rPr>
                          <m:t>𝑈</m:t>
                        </m:r>
                      </m:e>
                      <m:sub>
                        <m:r>
                          <a:rPr lang="en-AU" sz="1000" i="1">
                            <a:latin typeface="Cambria Math" panose="02040503050406030204" pitchFamily="18" charset="0"/>
                          </a:rPr>
                          <m:t>𝑓</m:t>
                        </m:r>
                      </m:sub>
                    </m:sSub>
                  </m:oMath>
                </m:oMathPara>
              </a14:m>
              <a:endParaRPr lang="en-AU" sz="1000"/>
            </a:p>
          </xdr:txBody>
        </xdr:sp>
      </mc:Choice>
      <mc:Fallback xmlns="">
        <xdr:sp macro="" textlink="">
          <xdr:nvSpPr>
            <xdr:cNvPr id="2" name="TextBox 1">
              <a:extLst>
                <a:ext uri="{FF2B5EF4-FFF2-40B4-BE49-F238E27FC236}">
                  <a16:creationId xmlns:a16="http://schemas.microsoft.com/office/drawing/2014/main" id="{637DD467-B0F8-486A-BEB3-06ED04137CFF}"/>
                </a:ext>
              </a:extLst>
            </xdr:cNvPr>
            <xdr:cNvSpPr txBox="1"/>
          </xdr:nvSpPr>
          <xdr:spPr>
            <a:xfrm>
              <a:off x="2681287" y="1971675"/>
              <a:ext cx="1248098"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𝑀𝑈_𝑗𝑓=𝑇𝑀_𝑗𝑓×𝐹𝑈_𝑓</a:t>
              </a:r>
              <a:endParaRPr lang="en-AU" sz="1000"/>
            </a:p>
          </xdr:txBody>
        </xdr:sp>
      </mc:Fallback>
    </mc:AlternateContent>
    <xdr:clientData/>
  </xdr:oneCellAnchor>
  <xdr:oneCellAnchor>
    <xdr:from>
      <xdr:col>2</xdr:col>
      <xdr:colOff>309562</xdr:colOff>
      <xdr:row>43</xdr:row>
      <xdr:rowOff>19050</xdr:rowOff>
    </xdr:from>
    <xdr:ext cx="3195747" cy="429926"/>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2EB31912-539B-47BA-AD1E-902223785EFE}"/>
                </a:ext>
              </a:extLst>
            </xdr:cNvPr>
            <xdr:cNvSpPr txBox="1"/>
          </xdr:nvSpPr>
          <xdr:spPr>
            <a:xfrm>
              <a:off x="2671762" y="10801350"/>
              <a:ext cx="3195747"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000" i="1">
                            <a:latin typeface="Cambria Math" panose="02040503050406030204" pitchFamily="18" charset="0"/>
                          </a:rPr>
                        </m:ctrlPr>
                      </m:sSubPr>
                      <m:e>
                        <m:r>
                          <a:rPr lang="en-AU" sz="1000" i="1">
                            <a:latin typeface="Cambria Math" panose="02040503050406030204" pitchFamily="18" charset="0"/>
                          </a:rPr>
                          <m:t>𝐸</m:t>
                        </m:r>
                      </m:e>
                      <m:sub>
                        <m:r>
                          <a:rPr lang="en-AU" sz="1000" i="1">
                            <a:latin typeface="Cambria Math" panose="02040503050406030204" pitchFamily="18" charset="0"/>
                          </a:rPr>
                          <m:t>𝐶𝑂</m:t>
                        </m:r>
                        <m:r>
                          <a:rPr lang="en-AU" sz="1000" i="1">
                            <a:latin typeface="Cambria Math" panose="02040503050406030204" pitchFamily="18" charset="0"/>
                          </a:rPr>
                          <m:t>2</m:t>
                        </m:r>
                      </m:sub>
                    </m:sSub>
                    <m:r>
                      <a:rPr lang="en-AU" sz="1000" i="1">
                        <a:latin typeface="Cambria Math" panose="02040503050406030204" pitchFamily="18" charset="0"/>
                      </a:rPr>
                      <m:t>=</m:t>
                    </m:r>
                    <m:nary>
                      <m:naryPr>
                        <m:chr m:val="∑"/>
                        <m:supHide m:val="on"/>
                        <m:ctrlPr>
                          <a:rPr lang="en-AU" sz="1000" i="1">
                            <a:latin typeface="Cambria Math" panose="02040503050406030204" pitchFamily="18" charset="0"/>
                          </a:rPr>
                        </m:ctrlPr>
                      </m:naryPr>
                      <m:sub>
                        <m:r>
                          <a:rPr lang="en-AU" sz="1000" i="1">
                            <a:latin typeface="Cambria Math" panose="02040503050406030204" pitchFamily="18" charset="0"/>
                          </a:rPr>
                          <m:t>𝑗</m:t>
                        </m:r>
                      </m:sub>
                      <m:sup/>
                      <m:e>
                        <m:nary>
                          <m:naryPr>
                            <m:chr m:val="∑"/>
                            <m:supHide m:val="on"/>
                            <m:ctrlPr>
                              <a:rPr lang="en-AU" sz="1000" i="1">
                                <a:latin typeface="Cambria Math" panose="02040503050406030204" pitchFamily="18" charset="0"/>
                              </a:rPr>
                            </m:ctrlPr>
                          </m:naryPr>
                          <m:sub>
                            <m:r>
                              <a:rPr lang="en-AU" sz="1000" i="1">
                                <a:latin typeface="Cambria Math" panose="02040503050406030204" pitchFamily="18" charset="0"/>
                              </a:rPr>
                              <m:t>𝑓</m:t>
                            </m:r>
                          </m:sub>
                          <m:sup/>
                          <m:e>
                            <m:d>
                              <m:dPr>
                                <m:ctrlPr>
                                  <a:rPr lang="en-AU" sz="1000" i="1">
                                    <a:latin typeface="Cambria Math" panose="02040503050406030204" pitchFamily="18" charset="0"/>
                                  </a:rPr>
                                </m:ctrlPr>
                              </m:dPr>
                              <m:e>
                                <m:d>
                                  <m:dPr>
                                    <m:ctrlPr>
                                      <a:rPr lang="en-AU" sz="1000" i="1">
                                        <a:latin typeface="Cambria Math" panose="02040503050406030204" pitchFamily="18" charset="0"/>
                                      </a:rPr>
                                    </m:ctrlPr>
                                  </m:dPr>
                                  <m:e>
                                    <m:r>
                                      <a:rPr lang="en-AU" sz="1000" i="1">
                                        <a:latin typeface="Cambria Math" panose="02040503050406030204" pitchFamily="18" charset="0"/>
                                      </a:rPr>
                                      <m:t>𝑀</m:t>
                                    </m:r>
                                    <m:sSub>
                                      <m:sSubPr>
                                        <m:ctrlPr>
                                          <a:rPr lang="en-AU" sz="1000" i="1">
                                            <a:latin typeface="Cambria Math" panose="02040503050406030204" pitchFamily="18" charset="0"/>
                                          </a:rPr>
                                        </m:ctrlPr>
                                      </m:sSubPr>
                                      <m:e>
                                        <m:r>
                                          <a:rPr lang="en-AU" sz="1000" i="1">
                                            <a:latin typeface="Cambria Math" panose="02040503050406030204" pitchFamily="18" charset="0"/>
                                          </a:rPr>
                                          <m:t>𝑈</m:t>
                                        </m:r>
                                      </m:e>
                                      <m:sub>
                                        <m:r>
                                          <a:rPr lang="en-AU" sz="1000" i="1">
                                            <a:latin typeface="Cambria Math" panose="02040503050406030204" pitchFamily="18" charset="0"/>
                                          </a:rPr>
                                          <m:t>𝑗𝑓</m:t>
                                        </m:r>
                                      </m:sub>
                                    </m:sSub>
                                    <m:r>
                                      <a:rPr lang="en-AU" sz="1000" i="1">
                                        <a:latin typeface="Cambria Math" panose="02040503050406030204" pitchFamily="18" charset="0"/>
                                      </a:rPr>
                                      <m:t>×</m:t>
                                    </m:r>
                                    <m:r>
                                      <a:rPr lang="en-AU" sz="1000" i="1">
                                        <a:latin typeface="Cambria Math" panose="02040503050406030204" pitchFamily="18" charset="0"/>
                                      </a:rPr>
                                      <m:t>𝐸</m:t>
                                    </m:r>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𝑢𝑟𝑒𝑎</m:t>
                                        </m:r>
                                        <m:r>
                                          <a:rPr lang="en-AU" sz="1000" i="1">
                                            <a:latin typeface="Cambria Math" panose="02040503050406030204" pitchFamily="18" charset="0"/>
                                          </a:rPr>
                                          <m:t>,</m:t>
                                        </m:r>
                                        <m:r>
                                          <a:rPr lang="en-AU" sz="1000" i="1">
                                            <a:latin typeface="Cambria Math" panose="02040503050406030204" pitchFamily="18" charset="0"/>
                                          </a:rPr>
                                          <m:t>𝐶𝑂</m:t>
                                        </m:r>
                                        <m:r>
                                          <a:rPr lang="en-AU" sz="1000" i="1">
                                            <a:latin typeface="Cambria Math" panose="02040503050406030204" pitchFamily="18" charset="0"/>
                                          </a:rPr>
                                          <m:t>2</m:t>
                                        </m:r>
                                      </m:sub>
                                    </m:sSub>
                                    <m:r>
                                      <a:rPr lang="en-AU" sz="1000" i="1">
                                        <a:latin typeface="Cambria Math" panose="02040503050406030204" pitchFamily="18" charset="0"/>
                                      </a:rPr>
                                      <m:t>×</m:t>
                                    </m:r>
                                    <m:sSub>
                                      <m:sSubPr>
                                        <m:ctrlPr>
                                          <a:rPr lang="en-AU" sz="1000" i="1">
                                            <a:latin typeface="Cambria Math" panose="02040503050406030204" pitchFamily="18" charset="0"/>
                                          </a:rPr>
                                        </m:ctrlPr>
                                      </m:sSubPr>
                                      <m:e>
                                        <m:r>
                                          <a:rPr lang="en-AU" sz="1000" i="1">
                                            <a:latin typeface="Cambria Math" panose="02040503050406030204" pitchFamily="18" charset="0"/>
                                          </a:rPr>
                                          <m:t>𝐶</m:t>
                                        </m:r>
                                      </m:e>
                                      <m:sub>
                                        <m:r>
                                          <a:rPr lang="en-AU" sz="1000" i="1">
                                            <a:latin typeface="Cambria Math" panose="02040503050406030204" pitchFamily="18" charset="0"/>
                                          </a:rPr>
                                          <m:t>𝐶𝑂</m:t>
                                        </m:r>
                                        <m:r>
                                          <a:rPr lang="en-AU" sz="1000" i="1">
                                            <a:latin typeface="Cambria Math" panose="02040503050406030204" pitchFamily="18" charset="0"/>
                                          </a:rPr>
                                          <m:t>2</m:t>
                                        </m:r>
                                      </m:sub>
                                    </m:sSub>
                                  </m:e>
                                </m:d>
                                <m:r>
                                  <a:rPr lang="en-AU" sz="1000" i="1">
                                    <a:latin typeface="Cambria Math" panose="02040503050406030204" pitchFamily="18" charset="0"/>
                                  </a:rPr>
                                  <m:t>×</m:t>
                                </m:r>
                                <m:sSup>
                                  <m:sSupPr>
                                    <m:ctrlPr>
                                      <a:rPr lang="en-AU" sz="1000" i="1">
                                        <a:latin typeface="Cambria Math" panose="02040503050406030204" pitchFamily="18" charset="0"/>
                                      </a:rPr>
                                    </m:ctrlPr>
                                  </m:sSupPr>
                                  <m:e>
                                    <m:r>
                                      <a:rPr lang="en-AU" sz="1000" i="1">
                                        <a:latin typeface="Cambria Math" panose="02040503050406030204" pitchFamily="18" charset="0"/>
                                      </a:rPr>
                                      <m:t>10</m:t>
                                    </m:r>
                                  </m:e>
                                  <m:sup>
                                    <m:r>
                                      <a:rPr lang="en-AU" sz="1000" i="1">
                                        <a:latin typeface="Cambria Math" panose="02040503050406030204" pitchFamily="18" charset="0"/>
                                      </a:rPr>
                                      <m:t>−3</m:t>
                                    </m:r>
                                  </m:sup>
                                </m:sSup>
                              </m:e>
                            </m:d>
                          </m:e>
                        </m:nary>
                      </m:e>
                    </m:nary>
                  </m:oMath>
                </m:oMathPara>
              </a14:m>
              <a:endParaRPr lang="en-AU" sz="1000"/>
            </a:p>
          </xdr:txBody>
        </xdr:sp>
      </mc:Choice>
      <mc:Fallback xmlns="">
        <xdr:sp macro="" textlink="">
          <xdr:nvSpPr>
            <xdr:cNvPr id="3" name="TextBox 2">
              <a:extLst>
                <a:ext uri="{FF2B5EF4-FFF2-40B4-BE49-F238E27FC236}">
                  <a16:creationId xmlns:a16="http://schemas.microsoft.com/office/drawing/2014/main" id="{2EB31912-539B-47BA-AD1E-902223785EFE}"/>
                </a:ext>
              </a:extLst>
            </xdr:cNvPr>
            <xdr:cNvSpPr txBox="1"/>
          </xdr:nvSpPr>
          <xdr:spPr>
            <a:xfrm>
              <a:off x="2671762" y="10801350"/>
              <a:ext cx="3195747"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𝐸_𝐶𝑂2=∑_𝑗▒∑_𝑓▒((𝑀𝑈_𝑗𝑓×𝐸𝐹_(𝑢𝑟𝑒𝑎,𝐶𝑂2)×𝐶_𝐶𝑂2 )×10^(−3) ) </a:t>
              </a:r>
              <a:endParaRPr lang="en-AU" sz="1000"/>
            </a:p>
          </xdr:txBody>
        </xdr:sp>
      </mc:Fallback>
    </mc:AlternateContent>
    <xdr:clientData/>
  </xdr:oneCellAnchor>
</xdr:wsDr>
</file>

<file path=xl/drawings/drawing10.xml><?xml version="1.0" encoding="utf-8"?>
<xdr:wsDr xmlns:xdr="http://schemas.openxmlformats.org/drawingml/2006/spreadsheetDrawing" xmlns:a="http://schemas.openxmlformats.org/drawingml/2006/main">
  <xdr:oneCellAnchor>
    <xdr:from>
      <xdr:col>3</xdr:col>
      <xdr:colOff>4762</xdr:colOff>
      <xdr:row>7</xdr:row>
      <xdr:rowOff>104775</xdr:rowOff>
    </xdr:from>
    <xdr:ext cx="2293385" cy="182999"/>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807AEB12-D9E8-40B6-AC5F-8AE8C4B8EB4C}"/>
                </a:ext>
              </a:extLst>
            </xdr:cNvPr>
            <xdr:cNvSpPr txBox="1"/>
          </xdr:nvSpPr>
          <xdr:spPr>
            <a:xfrm>
              <a:off x="2681287" y="1971675"/>
              <a:ext cx="2293385" cy="1829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000" i="1">
                        <a:latin typeface="Cambria Math" panose="02040503050406030204" pitchFamily="18" charset="0"/>
                      </a:rPr>
                      <m:t>𝑀𝑁𝑆𝑜𝑖</m:t>
                    </m:r>
                    <m:sSub>
                      <m:sSubPr>
                        <m:ctrlPr>
                          <a:rPr lang="en-AU" sz="1000" i="1">
                            <a:latin typeface="Cambria Math" panose="02040503050406030204" pitchFamily="18" charset="0"/>
                          </a:rPr>
                        </m:ctrlPr>
                      </m:sSubPr>
                      <m:e>
                        <m:r>
                          <a:rPr lang="en-AU" sz="1000" i="1">
                            <a:latin typeface="Cambria Math" panose="02040503050406030204" pitchFamily="18" charset="0"/>
                          </a:rPr>
                          <m:t>𝑙</m:t>
                        </m:r>
                      </m:e>
                      <m:sub>
                        <m:r>
                          <a:rPr lang="en-AU" sz="1000" i="1">
                            <a:latin typeface="Cambria Math" panose="02040503050406030204" pitchFamily="18" charset="0"/>
                          </a:rPr>
                          <m:t>𝑗𝑓</m:t>
                        </m:r>
                      </m:sub>
                    </m:sSub>
                    <m:r>
                      <a:rPr lang="en-AU" sz="1000" i="1">
                        <a:latin typeface="Cambria Math" panose="02040503050406030204" pitchFamily="18" charset="0"/>
                      </a:rPr>
                      <m:t>=</m:t>
                    </m:r>
                    <m:sSub>
                      <m:sSubPr>
                        <m:ctrlPr>
                          <a:rPr lang="en-AU" sz="1000" i="1">
                            <a:latin typeface="Cambria Math" panose="02040503050406030204" pitchFamily="18" charset="0"/>
                          </a:rPr>
                        </m:ctrlPr>
                      </m:sSubPr>
                      <m:e>
                        <m:r>
                          <a:rPr lang="en-AU" sz="1000" i="1">
                            <a:latin typeface="Cambria Math" panose="02040503050406030204" pitchFamily="18" charset="0"/>
                          </a:rPr>
                          <m:t>𝑀</m:t>
                        </m:r>
                      </m:e>
                      <m:sub>
                        <m:r>
                          <a:rPr lang="en-AU" sz="1000" i="1">
                            <a:latin typeface="Cambria Math" panose="02040503050406030204" pitchFamily="18" charset="0"/>
                          </a:rPr>
                          <m:t>𝑜𝑟𝑔𝑎𝑛𝑖𝑐</m:t>
                        </m:r>
                        <m:r>
                          <a:rPr lang="en-AU" sz="1000" i="1">
                            <a:latin typeface="Cambria Math" panose="02040503050406030204" pitchFamily="18" charset="0"/>
                          </a:rPr>
                          <m:t>,</m:t>
                        </m:r>
                        <m:r>
                          <a:rPr lang="en-AU" sz="1000" i="1">
                            <a:latin typeface="Cambria Math" panose="02040503050406030204" pitchFamily="18" charset="0"/>
                          </a:rPr>
                          <m:t>𝑗𝑓</m:t>
                        </m:r>
                      </m:sub>
                    </m:sSub>
                    <m:r>
                      <a:rPr lang="en-AU" sz="1000" i="1">
                        <a:latin typeface="Cambria Math" panose="02040503050406030204" pitchFamily="18" charset="0"/>
                      </a:rPr>
                      <m:t>×</m:t>
                    </m:r>
                    <m:r>
                      <a:rPr lang="en-AU" sz="1000" i="1">
                        <a:latin typeface="Cambria Math" panose="02040503050406030204" pitchFamily="18" charset="0"/>
                      </a:rPr>
                      <m:t>𝐹</m:t>
                    </m:r>
                    <m:sSub>
                      <m:sSubPr>
                        <m:ctrlPr>
                          <a:rPr lang="en-AU" sz="1000" i="1">
                            <a:latin typeface="Cambria Math" panose="02040503050406030204" pitchFamily="18" charset="0"/>
                          </a:rPr>
                        </m:ctrlPr>
                      </m:sSubPr>
                      <m:e>
                        <m:r>
                          <a:rPr lang="en-AU" sz="1000" i="1">
                            <a:latin typeface="Cambria Math" panose="02040503050406030204" pitchFamily="18" charset="0"/>
                          </a:rPr>
                          <m:t>𝑁</m:t>
                        </m:r>
                      </m:e>
                      <m:sub>
                        <m:r>
                          <a:rPr lang="en-AU" sz="1000" i="1">
                            <a:latin typeface="Cambria Math" panose="02040503050406030204" pitchFamily="18" charset="0"/>
                          </a:rPr>
                          <m:t>𝑜𝑟𝑔𝑎𝑛𝑖𝑐</m:t>
                        </m:r>
                        <m:r>
                          <a:rPr lang="en-AU" sz="1000" i="1">
                            <a:latin typeface="Cambria Math" panose="02040503050406030204" pitchFamily="18" charset="0"/>
                          </a:rPr>
                          <m:t>,</m:t>
                        </m:r>
                        <m:r>
                          <a:rPr lang="en-AU" sz="1000" i="1">
                            <a:latin typeface="Cambria Math" panose="02040503050406030204" pitchFamily="18" charset="0"/>
                          </a:rPr>
                          <m:t>𝑓</m:t>
                        </m:r>
                      </m:sub>
                    </m:sSub>
                  </m:oMath>
                </m:oMathPara>
              </a14:m>
              <a:endParaRPr lang="en-AU" sz="1000"/>
            </a:p>
          </xdr:txBody>
        </xdr:sp>
      </mc:Choice>
      <mc:Fallback xmlns="">
        <xdr:sp macro="" textlink="">
          <xdr:nvSpPr>
            <xdr:cNvPr id="2" name="TextBox 1">
              <a:extLst>
                <a:ext uri="{FF2B5EF4-FFF2-40B4-BE49-F238E27FC236}">
                  <a16:creationId xmlns:a16="http://schemas.microsoft.com/office/drawing/2014/main" id="{807AEB12-D9E8-40B6-AC5F-8AE8C4B8EB4C}"/>
                </a:ext>
              </a:extLst>
            </xdr:cNvPr>
            <xdr:cNvSpPr txBox="1"/>
          </xdr:nvSpPr>
          <xdr:spPr>
            <a:xfrm>
              <a:off x="2681287" y="1971675"/>
              <a:ext cx="2293385" cy="1829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𝑀𝑁𝑆𝑜𝑖𝑙_𝑗𝑓=𝑀_(𝑜𝑟𝑔𝑎𝑛𝑖𝑐,𝑗𝑓)×𝐹𝑁_(𝑜𝑟𝑔𝑎𝑛𝑖𝑐,𝑓)</a:t>
              </a:r>
              <a:endParaRPr lang="en-AU" sz="1000"/>
            </a:p>
          </xdr:txBody>
        </xdr:sp>
      </mc:Fallback>
    </mc:AlternateContent>
    <xdr:clientData/>
  </xdr:oneCellAnchor>
  <xdr:oneCellAnchor>
    <xdr:from>
      <xdr:col>3</xdr:col>
      <xdr:colOff>4762</xdr:colOff>
      <xdr:row>38</xdr:row>
      <xdr:rowOff>66675</xdr:rowOff>
    </xdr:from>
    <xdr:ext cx="3299749" cy="429926"/>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62E4E2DC-9469-4C29-B43A-214A7741B3A0}"/>
                </a:ext>
              </a:extLst>
            </xdr:cNvPr>
            <xdr:cNvSpPr txBox="1"/>
          </xdr:nvSpPr>
          <xdr:spPr>
            <a:xfrm>
              <a:off x="2681287" y="9610725"/>
              <a:ext cx="3299749"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000" i="1">
                            <a:latin typeface="Cambria Math" panose="02040503050406030204" pitchFamily="18" charset="0"/>
                          </a:rPr>
                        </m:ctrlPr>
                      </m:sSubPr>
                      <m:e>
                        <m:r>
                          <a:rPr lang="en-AU" sz="1000" i="1">
                            <a:latin typeface="Cambria Math" panose="02040503050406030204" pitchFamily="18" charset="0"/>
                          </a:rPr>
                          <m:t>𝐸</m:t>
                        </m:r>
                      </m:e>
                      <m:sub>
                        <m:r>
                          <a:rPr lang="en-AU" sz="1000" i="1">
                            <a:latin typeface="Cambria Math" panose="02040503050406030204" pitchFamily="18" charset="0"/>
                          </a:rPr>
                          <m:t>𝑁</m:t>
                        </m:r>
                        <m:r>
                          <a:rPr lang="en-AU" sz="1000" i="1">
                            <a:latin typeface="Cambria Math" panose="02040503050406030204" pitchFamily="18" charset="0"/>
                          </a:rPr>
                          <m:t>2</m:t>
                        </m:r>
                        <m:r>
                          <a:rPr lang="en-AU" sz="1000" i="1">
                            <a:latin typeface="Cambria Math" panose="02040503050406030204" pitchFamily="18" charset="0"/>
                          </a:rPr>
                          <m:t>𝑂</m:t>
                        </m:r>
                      </m:sub>
                    </m:sSub>
                    <m:r>
                      <a:rPr lang="en-AU" sz="1000" i="1">
                        <a:latin typeface="Cambria Math" panose="02040503050406030204" pitchFamily="18" charset="0"/>
                      </a:rPr>
                      <m:t>=</m:t>
                    </m:r>
                    <m:nary>
                      <m:naryPr>
                        <m:chr m:val="∑"/>
                        <m:supHide m:val="on"/>
                        <m:ctrlPr>
                          <a:rPr lang="en-AU" sz="1000" i="1">
                            <a:latin typeface="Cambria Math" panose="02040503050406030204" pitchFamily="18" charset="0"/>
                          </a:rPr>
                        </m:ctrlPr>
                      </m:naryPr>
                      <m:sub>
                        <m:r>
                          <a:rPr lang="en-AU" sz="1000" i="1">
                            <a:latin typeface="Cambria Math" panose="02040503050406030204" pitchFamily="18" charset="0"/>
                          </a:rPr>
                          <m:t>𝑗</m:t>
                        </m:r>
                      </m:sub>
                      <m:sup/>
                      <m:e>
                        <m:nary>
                          <m:naryPr>
                            <m:chr m:val="∑"/>
                            <m:supHide m:val="on"/>
                            <m:ctrlPr>
                              <a:rPr lang="en-AU" sz="1000" i="1">
                                <a:latin typeface="Cambria Math" panose="02040503050406030204" pitchFamily="18" charset="0"/>
                              </a:rPr>
                            </m:ctrlPr>
                          </m:naryPr>
                          <m:sub>
                            <m:r>
                              <a:rPr lang="en-AU" sz="1000" i="1">
                                <a:latin typeface="Cambria Math" panose="02040503050406030204" pitchFamily="18" charset="0"/>
                              </a:rPr>
                              <m:t>𝑓</m:t>
                            </m:r>
                          </m:sub>
                          <m:sup/>
                          <m:e>
                            <m:d>
                              <m:dPr>
                                <m:ctrlPr>
                                  <a:rPr lang="en-AU" sz="1000" i="1">
                                    <a:latin typeface="Cambria Math" panose="02040503050406030204" pitchFamily="18" charset="0"/>
                                  </a:rPr>
                                </m:ctrlPr>
                              </m:dPr>
                              <m:e>
                                <m:d>
                                  <m:dPr>
                                    <m:ctrlPr>
                                      <a:rPr lang="en-AU" sz="1000" i="1">
                                        <a:latin typeface="Cambria Math" panose="02040503050406030204" pitchFamily="18" charset="0"/>
                                      </a:rPr>
                                    </m:ctrlPr>
                                  </m:dPr>
                                  <m:e>
                                    <m:r>
                                      <a:rPr lang="en-AU" sz="1000" i="1">
                                        <a:latin typeface="Cambria Math" panose="02040503050406030204" pitchFamily="18" charset="0"/>
                                      </a:rPr>
                                      <m:t>𝑀𝑁𝑆𝑜𝑖</m:t>
                                    </m:r>
                                    <m:sSub>
                                      <m:sSubPr>
                                        <m:ctrlPr>
                                          <a:rPr lang="en-AU" sz="1000" i="1">
                                            <a:latin typeface="Cambria Math" panose="02040503050406030204" pitchFamily="18" charset="0"/>
                                          </a:rPr>
                                        </m:ctrlPr>
                                      </m:sSubPr>
                                      <m:e>
                                        <m:r>
                                          <a:rPr lang="en-AU" sz="1000" i="1">
                                            <a:latin typeface="Cambria Math" panose="02040503050406030204" pitchFamily="18" charset="0"/>
                                          </a:rPr>
                                          <m:t>𝑙</m:t>
                                        </m:r>
                                      </m:e>
                                      <m:sub>
                                        <m:r>
                                          <a:rPr lang="en-AU" sz="1000" i="1">
                                            <a:latin typeface="Cambria Math" panose="02040503050406030204" pitchFamily="18" charset="0"/>
                                          </a:rPr>
                                          <m:t>𝑗𝑓</m:t>
                                        </m:r>
                                      </m:sub>
                                    </m:sSub>
                                    <m:r>
                                      <a:rPr lang="en-AU" sz="1000" i="1">
                                        <a:latin typeface="Cambria Math" panose="02040503050406030204" pitchFamily="18" charset="0"/>
                                      </a:rPr>
                                      <m:t>×</m:t>
                                    </m:r>
                                    <m:r>
                                      <a:rPr lang="en-AU" sz="1000" i="1">
                                        <a:latin typeface="Cambria Math" panose="02040503050406030204" pitchFamily="18" charset="0"/>
                                      </a:rPr>
                                      <m:t>𝐸</m:t>
                                    </m:r>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𝑁</m:t>
                                        </m:r>
                                        <m:r>
                                          <a:rPr lang="en-AU" sz="1000" i="1">
                                            <a:latin typeface="Cambria Math" panose="02040503050406030204" pitchFamily="18" charset="0"/>
                                          </a:rPr>
                                          <m:t>2</m:t>
                                        </m:r>
                                        <m:r>
                                          <a:rPr lang="en-AU" sz="1000" i="1">
                                            <a:latin typeface="Cambria Math" panose="02040503050406030204" pitchFamily="18" charset="0"/>
                                          </a:rPr>
                                          <m:t>𝑂</m:t>
                                        </m:r>
                                        <m:r>
                                          <a:rPr lang="en-AU" sz="1000" i="1">
                                            <a:latin typeface="Cambria Math" panose="02040503050406030204" pitchFamily="18" charset="0"/>
                                          </a:rPr>
                                          <m:t>,</m:t>
                                        </m:r>
                                        <m:r>
                                          <a:rPr lang="en-AU" sz="1000" i="1">
                                            <a:latin typeface="Cambria Math" panose="02040503050406030204" pitchFamily="18" charset="0"/>
                                          </a:rPr>
                                          <m:t>𝑖</m:t>
                                        </m:r>
                                      </m:sub>
                                    </m:sSub>
                                    <m:r>
                                      <a:rPr lang="en-AU" sz="1000" i="1">
                                        <a:latin typeface="Cambria Math" panose="02040503050406030204" pitchFamily="18" charset="0"/>
                                      </a:rPr>
                                      <m:t>×</m:t>
                                    </m:r>
                                    <m:sSub>
                                      <m:sSubPr>
                                        <m:ctrlPr>
                                          <a:rPr lang="en-AU" sz="1000" i="1">
                                            <a:latin typeface="Cambria Math" panose="02040503050406030204" pitchFamily="18" charset="0"/>
                                          </a:rPr>
                                        </m:ctrlPr>
                                      </m:sSubPr>
                                      <m:e>
                                        <m:r>
                                          <a:rPr lang="en-AU" sz="1000" i="1">
                                            <a:latin typeface="Cambria Math" panose="02040503050406030204" pitchFamily="18" charset="0"/>
                                          </a:rPr>
                                          <m:t>𝐶</m:t>
                                        </m:r>
                                      </m:e>
                                      <m:sub>
                                        <m:r>
                                          <a:rPr lang="en-AU" sz="1000" i="1">
                                            <a:latin typeface="Cambria Math" panose="02040503050406030204" pitchFamily="18" charset="0"/>
                                          </a:rPr>
                                          <m:t>𝑁</m:t>
                                        </m:r>
                                        <m:r>
                                          <a:rPr lang="en-AU" sz="1000" i="1">
                                            <a:latin typeface="Cambria Math" panose="02040503050406030204" pitchFamily="18" charset="0"/>
                                          </a:rPr>
                                          <m:t>2</m:t>
                                        </m:r>
                                        <m:r>
                                          <a:rPr lang="en-AU" sz="1000" i="1">
                                            <a:latin typeface="Cambria Math" panose="02040503050406030204" pitchFamily="18" charset="0"/>
                                          </a:rPr>
                                          <m:t>𝑂</m:t>
                                        </m:r>
                                      </m:sub>
                                    </m:sSub>
                                  </m:e>
                                </m:d>
                                <m:r>
                                  <a:rPr lang="en-AU" sz="1000" i="1">
                                    <a:latin typeface="Cambria Math" panose="02040503050406030204" pitchFamily="18" charset="0"/>
                                  </a:rPr>
                                  <m:t>×</m:t>
                                </m:r>
                                <m:sSup>
                                  <m:sSupPr>
                                    <m:ctrlPr>
                                      <a:rPr lang="en-AU" sz="1000" i="1">
                                        <a:latin typeface="Cambria Math" panose="02040503050406030204" pitchFamily="18" charset="0"/>
                                      </a:rPr>
                                    </m:ctrlPr>
                                  </m:sSupPr>
                                  <m:e>
                                    <m:r>
                                      <a:rPr lang="en-AU" sz="1000" i="1">
                                        <a:latin typeface="Cambria Math" panose="02040503050406030204" pitchFamily="18" charset="0"/>
                                      </a:rPr>
                                      <m:t>10</m:t>
                                    </m:r>
                                  </m:e>
                                  <m:sup>
                                    <m:r>
                                      <a:rPr lang="en-AU" sz="1000" i="1">
                                        <a:latin typeface="Cambria Math" panose="02040503050406030204" pitchFamily="18" charset="0"/>
                                      </a:rPr>
                                      <m:t>−3</m:t>
                                    </m:r>
                                  </m:sup>
                                </m:sSup>
                              </m:e>
                            </m:d>
                          </m:e>
                        </m:nary>
                      </m:e>
                    </m:nary>
                  </m:oMath>
                </m:oMathPara>
              </a14:m>
              <a:endParaRPr lang="en-AU" sz="1000"/>
            </a:p>
          </xdr:txBody>
        </xdr:sp>
      </mc:Choice>
      <mc:Fallback xmlns="">
        <xdr:sp macro="" textlink="">
          <xdr:nvSpPr>
            <xdr:cNvPr id="3" name="TextBox 2">
              <a:extLst>
                <a:ext uri="{FF2B5EF4-FFF2-40B4-BE49-F238E27FC236}">
                  <a16:creationId xmlns:a16="http://schemas.microsoft.com/office/drawing/2014/main" id="{62E4E2DC-9469-4C29-B43A-214A7741B3A0}"/>
                </a:ext>
              </a:extLst>
            </xdr:cNvPr>
            <xdr:cNvSpPr txBox="1"/>
          </xdr:nvSpPr>
          <xdr:spPr>
            <a:xfrm>
              <a:off x="2681287" y="9610725"/>
              <a:ext cx="3299749"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𝐸_𝑁2𝑂=∑_𝑗▒∑_𝑓▒((𝑀𝑁𝑆𝑜𝑖𝑙_𝑗𝑓×𝐸𝐹_(𝑁2𝑂,𝑖)×𝐶_𝑁2𝑂 )×10^(−3) ) </a:t>
              </a:r>
              <a:endParaRPr lang="en-AU" sz="1000"/>
            </a:p>
          </xdr:txBody>
        </xdr:sp>
      </mc:Fallback>
    </mc:AlternateContent>
    <xdr:clientData/>
  </xdr:oneCellAnchor>
</xdr:wsDr>
</file>

<file path=xl/drawings/drawing11.xml><?xml version="1.0" encoding="utf-8"?>
<xdr:wsDr xmlns:xdr="http://schemas.openxmlformats.org/drawingml/2006/spreadsheetDrawing" xmlns:a="http://schemas.openxmlformats.org/drawingml/2006/main">
  <xdr:oneCellAnchor>
    <xdr:from>
      <xdr:col>2</xdr:col>
      <xdr:colOff>300037</xdr:colOff>
      <xdr:row>7</xdr:row>
      <xdr:rowOff>142875</xdr:rowOff>
    </xdr:from>
    <xdr:ext cx="6015493" cy="168829"/>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BC8C53ED-7B31-41C1-8389-C8CF09D16008}"/>
                </a:ext>
              </a:extLst>
            </xdr:cNvPr>
            <xdr:cNvSpPr txBox="1"/>
          </xdr:nvSpPr>
          <xdr:spPr>
            <a:xfrm>
              <a:off x="2662237" y="2009775"/>
              <a:ext cx="6015493" cy="16882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000" i="1">
                            <a:latin typeface="Cambria Math" panose="02040503050406030204" pitchFamily="18" charset="0"/>
                          </a:rPr>
                        </m:ctrlPr>
                      </m:sSubPr>
                      <m:e>
                        <m:r>
                          <a:rPr lang="en-AU" sz="1000" i="1">
                            <a:latin typeface="Cambria Math" panose="02040503050406030204" pitchFamily="18" charset="0"/>
                          </a:rPr>
                          <m:t>𝐸</m:t>
                        </m:r>
                      </m:e>
                      <m:sub>
                        <m:r>
                          <a:rPr lang="en-AU" sz="1000" i="1">
                            <a:latin typeface="Cambria Math" panose="02040503050406030204" pitchFamily="18" charset="0"/>
                          </a:rPr>
                          <m:t>𝑙𝑖𝑚𝑒</m:t>
                        </m:r>
                      </m:sub>
                    </m:sSub>
                    <m:r>
                      <a:rPr lang="en-AU" sz="1000" i="1">
                        <a:latin typeface="Cambria Math" panose="02040503050406030204" pitchFamily="18" charset="0"/>
                      </a:rPr>
                      <m:t>=</m:t>
                    </m:r>
                    <m:d>
                      <m:dPr>
                        <m:begChr m:val="["/>
                        <m:endChr m:val="]"/>
                        <m:ctrlPr>
                          <a:rPr lang="en-AU" sz="1000" i="1">
                            <a:latin typeface="Cambria Math" panose="02040503050406030204" pitchFamily="18" charset="0"/>
                          </a:rPr>
                        </m:ctrlPr>
                      </m:dPr>
                      <m:e>
                        <m:d>
                          <m:dPr>
                            <m:ctrlPr>
                              <a:rPr lang="en-AU" sz="1000" i="1">
                                <a:latin typeface="Cambria Math" panose="02040503050406030204" pitchFamily="18" charset="0"/>
                              </a:rPr>
                            </m:ctrlPr>
                          </m:dPr>
                          <m:e>
                            <m:sSub>
                              <m:sSubPr>
                                <m:ctrlPr>
                                  <a:rPr lang="en-AU" sz="1000" i="1">
                                    <a:latin typeface="Cambria Math" panose="02040503050406030204" pitchFamily="18" charset="0"/>
                                  </a:rPr>
                                </m:ctrlPr>
                              </m:sSubPr>
                              <m:e>
                                <m:r>
                                  <a:rPr lang="en-AU" sz="1000" i="1">
                                    <a:latin typeface="Cambria Math" panose="02040503050406030204" pitchFamily="18" charset="0"/>
                                  </a:rPr>
                                  <m:t>𝑀</m:t>
                                </m:r>
                              </m:e>
                              <m:sub>
                                <m:r>
                                  <a:rPr lang="en-AU" sz="1000" i="1">
                                    <a:latin typeface="Cambria Math" panose="02040503050406030204" pitchFamily="18" charset="0"/>
                                  </a:rPr>
                                  <m:t>𝑙𝑖𝑚𝑒</m:t>
                                </m:r>
                              </m:sub>
                            </m:sSub>
                            <m:r>
                              <a:rPr lang="en-AU" sz="1000" i="1">
                                <a:latin typeface="Cambria Math" panose="02040503050406030204" pitchFamily="18" charset="0"/>
                              </a:rPr>
                              <m:t>×</m:t>
                            </m:r>
                            <m:r>
                              <a:rPr lang="en-AU" sz="1000" i="1">
                                <a:latin typeface="Cambria Math" panose="02040503050406030204" pitchFamily="18" charset="0"/>
                              </a:rPr>
                              <m:t>𝐹𝑟𝑎𝑐𝐿𝑖𝑚𝑒</m:t>
                            </m:r>
                            <m:r>
                              <a:rPr lang="en-AU" sz="1000" i="1">
                                <a:latin typeface="Cambria Math" panose="02040503050406030204" pitchFamily="18" charset="0"/>
                              </a:rPr>
                              <m:t>×</m:t>
                            </m:r>
                            <m:sSub>
                              <m:sSubPr>
                                <m:ctrlPr>
                                  <a:rPr lang="en-AU" sz="1000" i="1">
                                    <a:latin typeface="Cambria Math" panose="02040503050406030204" pitchFamily="18" charset="0"/>
                                  </a:rPr>
                                </m:ctrlPr>
                              </m:sSubPr>
                              <m:e>
                                <m:r>
                                  <a:rPr lang="en-AU" sz="1000" i="1">
                                    <a:latin typeface="Cambria Math" panose="02040503050406030204" pitchFamily="18" charset="0"/>
                                  </a:rPr>
                                  <m:t>𝑃</m:t>
                                </m:r>
                              </m:e>
                              <m:sub>
                                <m:r>
                                  <a:rPr lang="en-AU" sz="1000" i="1">
                                    <a:latin typeface="Cambria Math" panose="02040503050406030204" pitchFamily="18" charset="0"/>
                                  </a:rPr>
                                  <m:t>𝑙𝑖𝑚𝑒</m:t>
                                </m:r>
                              </m:sub>
                            </m:sSub>
                            <m:r>
                              <a:rPr lang="en-AU" sz="1000" i="1">
                                <a:latin typeface="Cambria Math" panose="02040503050406030204" pitchFamily="18" charset="0"/>
                              </a:rPr>
                              <m:t>×</m:t>
                            </m:r>
                            <m:r>
                              <a:rPr lang="en-AU" sz="1000" i="1">
                                <a:latin typeface="Cambria Math" panose="02040503050406030204" pitchFamily="18" charset="0"/>
                              </a:rPr>
                              <m:t>𝐸</m:t>
                            </m:r>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𝑙𝑖𝑚𝑒</m:t>
                                </m:r>
                              </m:sub>
                            </m:sSub>
                          </m:e>
                        </m:d>
                        <m:r>
                          <a:rPr lang="en-AU" sz="1000" i="1">
                            <a:latin typeface="Cambria Math" panose="02040503050406030204" pitchFamily="18" charset="0"/>
                          </a:rPr>
                          <m:t>+</m:t>
                        </m:r>
                        <m:d>
                          <m:dPr>
                            <m:ctrlPr>
                              <a:rPr lang="en-AU" sz="1000" i="1">
                                <a:latin typeface="Cambria Math" panose="02040503050406030204" pitchFamily="18" charset="0"/>
                              </a:rPr>
                            </m:ctrlPr>
                          </m:dPr>
                          <m:e>
                            <m:sSub>
                              <m:sSubPr>
                                <m:ctrlPr>
                                  <a:rPr lang="en-AU" sz="1000" i="1">
                                    <a:latin typeface="Cambria Math" panose="02040503050406030204" pitchFamily="18" charset="0"/>
                                  </a:rPr>
                                </m:ctrlPr>
                              </m:sSubPr>
                              <m:e>
                                <m:r>
                                  <a:rPr lang="en-AU" sz="1000" i="1">
                                    <a:latin typeface="Cambria Math" panose="02040503050406030204" pitchFamily="18" charset="0"/>
                                  </a:rPr>
                                  <m:t>𝑀</m:t>
                                </m:r>
                              </m:e>
                              <m:sub>
                                <m:r>
                                  <a:rPr lang="en-AU" sz="1000" i="1">
                                    <a:latin typeface="Cambria Math" panose="02040503050406030204" pitchFamily="18" charset="0"/>
                                  </a:rPr>
                                  <m:t>𝑙𝑖𝑚𝑒</m:t>
                                </m:r>
                              </m:sub>
                            </m:sSub>
                            <m:r>
                              <a:rPr lang="en-AU" sz="1000" i="1">
                                <a:latin typeface="Cambria Math" panose="02040503050406030204" pitchFamily="18" charset="0"/>
                              </a:rPr>
                              <m:t>×</m:t>
                            </m:r>
                            <m:r>
                              <a:rPr lang="en-AU" sz="1000" i="1">
                                <a:latin typeface="Cambria Math" panose="02040503050406030204" pitchFamily="18" charset="0"/>
                              </a:rPr>
                              <m:t>𝐹𝑟𝑎𝑐𝐷𝑜𝑙</m:t>
                            </m:r>
                            <m:r>
                              <a:rPr lang="en-AU" sz="1000" i="1">
                                <a:latin typeface="Cambria Math" panose="02040503050406030204" pitchFamily="18" charset="0"/>
                              </a:rPr>
                              <m:t>×</m:t>
                            </m:r>
                            <m:sSub>
                              <m:sSubPr>
                                <m:ctrlPr>
                                  <a:rPr lang="en-AU" sz="1000" i="1">
                                    <a:latin typeface="Cambria Math" panose="02040503050406030204" pitchFamily="18" charset="0"/>
                                  </a:rPr>
                                </m:ctrlPr>
                              </m:sSubPr>
                              <m:e>
                                <m:r>
                                  <a:rPr lang="en-AU" sz="1000" i="1">
                                    <a:latin typeface="Cambria Math" panose="02040503050406030204" pitchFamily="18" charset="0"/>
                                  </a:rPr>
                                  <m:t>𝑃</m:t>
                                </m:r>
                              </m:e>
                              <m:sub>
                                <m:r>
                                  <a:rPr lang="en-AU" sz="1000" i="1">
                                    <a:latin typeface="Cambria Math" panose="02040503050406030204" pitchFamily="18" charset="0"/>
                                  </a:rPr>
                                  <m:t>𝑑𝑜𝑙</m:t>
                                </m:r>
                              </m:sub>
                            </m:sSub>
                            <m:r>
                              <a:rPr lang="en-AU" sz="1000" i="1">
                                <a:latin typeface="Cambria Math" panose="02040503050406030204" pitchFamily="18" charset="0"/>
                              </a:rPr>
                              <m:t>×</m:t>
                            </m:r>
                            <m:r>
                              <a:rPr lang="en-AU" sz="1000" i="1">
                                <a:latin typeface="Cambria Math" panose="02040503050406030204" pitchFamily="18" charset="0"/>
                              </a:rPr>
                              <m:t>𝐸</m:t>
                            </m:r>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𝑑𝑜𝑙</m:t>
                                </m:r>
                              </m:sub>
                            </m:sSub>
                          </m:e>
                        </m:d>
                      </m:e>
                    </m:d>
                    <m:r>
                      <a:rPr lang="en-AU" sz="1000" i="1">
                        <a:latin typeface="Cambria Math" panose="02040503050406030204" pitchFamily="18" charset="0"/>
                      </a:rPr>
                      <m:t>×</m:t>
                    </m:r>
                    <m:sSub>
                      <m:sSubPr>
                        <m:ctrlPr>
                          <a:rPr lang="en-AU" sz="1000" i="1">
                            <a:latin typeface="Cambria Math" panose="02040503050406030204" pitchFamily="18" charset="0"/>
                          </a:rPr>
                        </m:ctrlPr>
                      </m:sSubPr>
                      <m:e>
                        <m:r>
                          <a:rPr lang="en-AU" sz="1000" i="1">
                            <a:latin typeface="Cambria Math" panose="02040503050406030204" pitchFamily="18" charset="0"/>
                          </a:rPr>
                          <m:t>𝐶</m:t>
                        </m:r>
                      </m:e>
                      <m:sub>
                        <m:r>
                          <a:rPr lang="en-AU" sz="1000" i="1">
                            <a:latin typeface="Cambria Math" panose="02040503050406030204" pitchFamily="18" charset="0"/>
                          </a:rPr>
                          <m:t>𝐶𝑂</m:t>
                        </m:r>
                        <m:r>
                          <a:rPr lang="en-AU" sz="1000" i="1">
                            <a:latin typeface="Cambria Math" panose="02040503050406030204" pitchFamily="18" charset="0"/>
                          </a:rPr>
                          <m:t>2</m:t>
                        </m:r>
                      </m:sub>
                    </m:sSub>
                    <m:r>
                      <a:rPr lang="en-AU" sz="1000" i="1">
                        <a:latin typeface="Cambria Math" panose="02040503050406030204" pitchFamily="18" charset="0"/>
                      </a:rPr>
                      <m:t>×</m:t>
                    </m:r>
                    <m:sSup>
                      <m:sSupPr>
                        <m:ctrlPr>
                          <a:rPr lang="en-AU" sz="1000" i="1">
                            <a:latin typeface="Cambria Math" panose="02040503050406030204" pitchFamily="18" charset="0"/>
                          </a:rPr>
                        </m:ctrlPr>
                      </m:sSupPr>
                      <m:e>
                        <m:r>
                          <a:rPr lang="en-AU" sz="1000" i="1">
                            <a:latin typeface="Cambria Math" panose="02040503050406030204" pitchFamily="18" charset="0"/>
                          </a:rPr>
                          <m:t>10</m:t>
                        </m:r>
                      </m:e>
                      <m:sup>
                        <m:r>
                          <a:rPr lang="en-AU" sz="1000" i="1">
                            <a:latin typeface="Cambria Math" panose="02040503050406030204" pitchFamily="18" charset="0"/>
                          </a:rPr>
                          <m:t>−3</m:t>
                        </m:r>
                      </m:sup>
                    </m:sSup>
                  </m:oMath>
                </m:oMathPara>
              </a14:m>
              <a:endParaRPr lang="en-AU" sz="1000"/>
            </a:p>
          </xdr:txBody>
        </xdr:sp>
      </mc:Choice>
      <mc:Fallback xmlns="">
        <xdr:sp macro="" textlink="">
          <xdr:nvSpPr>
            <xdr:cNvPr id="2" name="TextBox 1">
              <a:extLst>
                <a:ext uri="{FF2B5EF4-FFF2-40B4-BE49-F238E27FC236}">
                  <a16:creationId xmlns:a16="http://schemas.microsoft.com/office/drawing/2014/main" id="{BC8C53ED-7B31-41C1-8389-C8CF09D16008}"/>
                </a:ext>
              </a:extLst>
            </xdr:cNvPr>
            <xdr:cNvSpPr txBox="1"/>
          </xdr:nvSpPr>
          <xdr:spPr>
            <a:xfrm>
              <a:off x="2662237" y="2009775"/>
              <a:ext cx="6015493" cy="16882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𝐸_𝑙𝑖𝑚𝑒=[(𝑀_𝑙𝑖𝑚𝑒×𝐹𝑟𝑎𝑐𝐿𝑖𝑚𝑒×𝑃_𝑙𝑖𝑚𝑒×𝐸𝐹_𝑙𝑖𝑚𝑒 )+(𝑀_𝑙𝑖𝑚𝑒×𝐹𝑟𝑎𝑐𝐷𝑜𝑙×𝑃_𝑑𝑜𝑙×𝐸𝐹_𝑑𝑜𝑙 )]×𝐶_𝐶𝑂2×10^(−3)</a:t>
              </a:r>
              <a:endParaRPr lang="en-AU" sz="1000"/>
            </a:p>
          </xdr:txBody>
        </xdr:sp>
      </mc:Fallback>
    </mc:AlternateContent>
    <xdr:clientData/>
  </xdr:oneCellAnchor>
</xdr:wsDr>
</file>

<file path=xl/drawings/drawing12.xml><?xml version="1.0" encoding="utf-8"?>
<xdr:wsDr xmlns:xdr="http://schemas.openxmlformats.org/drawingml/2006/spreadsheetDrawing" xmlns:a="http://schemas.openxmlformats.org/drawingml/2006/main">
  <xdr:oneCellAnchor>
    <xdr:from>
      <xdr:col>3</xdr:col>
      <xdr:colOff>4762</xdr:colOff>
      <xdr:row>7</xdr:row>
      <xdr:rowOff>114300</xdr:rowOff>
    </xdr:from>
    <xdr:ext cx="2328843" cy="182999"/>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7E0BDCBE-0350-4BDB-92CC-758F63FFDCE5}"/>
                </a:ext>
              </a:extLst>
            </xdr:cNvPr>
            <xdr:cNvSpPr txBox="1"/>
          </xdr:nvSpPr>
          <xdr:spPr>
            <a:xfrm>
              <a:off x="2681287" y="1981200"/>
              <a:ext cx="2328843" cy="1829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000" i="1">
                            <a:latin typeface="Cambria Math" panose="02040503050406030204" pitchFamily="18" charset="0"/>
                          </a:rPr>
                        </m:ctrlPr>
                      </m:sSubPr>
                      <m:e>
                        <m:r>
                          <a:rPr lang="en-AU" sz="1000" i="1">
                            <a:latin typeface="Cambria Math" panose="02040503050406030204" pitchFamily="18" charset="0"/>
                          </a:rPr>
                          <m:t>𝑀</m:t>
                        </m:r>
                      </m:e>
                      <m:sub>
                        <m:r>
                          <a:rPr lang="en-AU" sz="1000" i="1">
                            <a:latin typeface="Cambria Math" panose="02040503050406030204" pitchFamily="18" charset="0"/>
                          </a:rPr>
                          <m:t>𝑣𝑜𝑙</m:t>
                        </m:r>
                        <m:r>
                          <a:rPr lang="en-AU" sz="1000" i="1">
                            <a:latin typeface="Cambria Math" panose="02040503050406030204" pitchFamily="18" charset="0"/>
                          </a:rPr>
                          <m:t>,</m:t>
                        </m:r>
                        <m:r>
                          <a:rPr lang="en-AU" sz="1000" i="1">
                            <a:latin typeface="Cambria Math" panose="02040503050406030204" pitchFamily="18" charset="0"/>
                          </a:rPr>
                          <m:t>𝑖𝑛𝑜𝑟𝑔𝑎𝑛𝑖𝑐</m:t>
                        </m:r>
                        <m:r>
                          <a:rPr lang="en-AU" sz="1000" i="1">
                            <a:latin typeface="Cambria Math" panose="02040503050406030204" pitchFamily="18" charset="0"/>
                          </a:rPr>
                          <m:t>,</m:t>
                        </m:r>
                        <m:r>
                          <a:rPr lang="en-AU" sz="1000" i="1">
                            <a:latin typeface="Cambria Math" panose="02040503050406030204" pitchFamily="18" charset="0"/>
                          </a:rPr>
                          <m:t>𝑗𝑓</m:t>
                        </m:r>
                      </m:sub>
                    </m:sSub>
                    <m:r>
                      <a:rPr lang="en-AU" sz="1000" i="1">
                        <a:latin typeface="Cambria Math" panose="02040503050406030204" pitchFamily="18" charset="0"/>
                      </a:rPr>
                      <m:t>=</m:t>
                    </m:r>
                    <m:r>
                      <a:rPr lang="en-AU" sz="1000" i="1">
                        <a:latin typeface="Cambria Math" panose="02040503050406030204" pitchFamily="18" charset="0"/>
                      </a:rPr>
                      <m:t>𝑀</m:t>
                    </m:r>
                    <m:sSub>
                      <m:sSubPr>
                        <m:ctrlPr>
                          <a:rPr lang="en-AU" sz="1000" i="1">
                            <a:latin typeface="Cambria Math" panose="02040503050406030204" pitchFamily="18" charset="0"/>
                          </a:rPr>
                        </m:ctrlPr>
                      </m:sSubPr>
                      <m:e>
                        <m:r>
                          <a:rPr lang="en-AU" sz="1000" i="1">
                            <a:latin typeface="Cambria Math" panose="02040503050406030204" pitchFamily="18" charset="0"/>
                          </a:rPr>
                          <m:t>𝑁</m:t>
                        </m:r>
                      </m:e>
                      <m:sub>
                        <m:r>
                          <a:rPr lang="en-AU" sz="1000" i="1">
                            <a:latin typeface="Cambria Math" panose="02040503050406030204" pitchFamily="18" charset="0"/>
                          </a:rPr>
                          <m:t>𝑗𝑓</m:t>
                        </m:r>
                      </m:sub>
                    </m:sSub>
                    <m:r>
                      <a:rPr lang="en-AU" sz="1000" i="1">
                        <a:latin typeface="Cambria Math" panose="02040503050406030204" pitchFamily="18" charset="0"/>
                      </a:rPr>
                      <m:t>×</m:t>
                    </m:r>
                    <m:r>
                      <a:rPr lang="en-AU" sz="1000" i="1">
                        <a:latin typeface="Cambria Math" panose="02040503050406030204" pitchFamily="18" charset="0"/>
                      </a:rPr>
                      <m:t>𝐹𝑟𝑎𝑐𝐺𝐴𝑆</m:t>
                    </m:r>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𝑓</m:t>
                        </m:r>
                      </m:sub>
                    </m:sSub>
                  </m:oMath>
                </m:oMathPara>
              </a14:m>
              <a:endParaRPr lang="en-AU" sz="1000"/>
            </a:p>
          </xdr:txBody>
        </xdr:sp>
      </mc:Choice>
      <mc:Fallback xmlns="">
        <xdr:sp macro="" textlink="">
          <xdr:nvSpPr>
            <xdr:cNvPr id="2" name="TextBox 1">
              <a:extLst>
                <a:ext uri="{FF2B5EF4-FFF2-40B4-BE49-F238E27FC236}">
                  <a16:creationId xmlns:a16="http://schemas.microsoft.com/office/drawing/2014/main" id="{7E0BDCBE-0350-4BDB-92CC-758F63FFDCE5}"/>
                </a:ext>
              </a:extLst>
            </xdr:cNvPr>
            <xdr:cNvSpPr txBox="1"/>
          </xdr:nvSpPr>
          <xdr:spPr>
            <a:xfrm>
              <a:off x="2681287" y="1981200"/>
              <a:ext cx="2328843" cy="1829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𝑀_(𝑣𝑜𝑙,𝑖𝑛𝑜𝑟𝑔𝑎𝑛𝑖𝑐,𝑗𝑓)=𝑀𝑁_𝑗𝑓×𝐹𝑟𝑎𝑐𝐺𝐴𝑆𝐹_𝑓</a:t>
              </a:r>
              <a:endParaRPr lang="en-AU" sz="1000"/>
            </a:p>
          </xdr:txBody>
        </xdr:sp>
      </mc:Fallback>
    </mc:AlternateContent>
    <xdr:clientData/>
  </xdr:oneCellAnchor>
  <xdr:oneCellAnchor>
    <xdr:from>
      <xdr:col>3</xdr:col>
      <xdr:colOff>4762</xdr:colOff>
      <xdr:row>43</xdr:row>
      <xdr:rowOff>57150</xdr:rowOff>
    </xdr:from>
    <xdr:ext cx="4246740" cy="332079"/>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90733D1B-7EEF-4452-B28B-916F7C37F642}"/>
                </a:ext>
              </a:extLst>
            </xdr:cNvPr>
            <xdr:cNvSpPr txBox="1"/>
          </xdr:nvSpPr>
          <xdr:spPr>
            <a:xfrm>
              <a:off x="2681287" y="10839450"/>
              <a:ext cx="4246740"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000" i="1">
                            <a:latin typeface="Cambria Math" panose="02040503050406030204" pitchFamily="18" charset="0"/>
                          </a:rPr>
                        </m:ctrlPr>
                      </m:sSubPr>
                      <m:e>
                        <m:r>
                          <a:rPr lang="en-AU" sz="1000" i="1">
                            <a:latin typeface="Cambria Math" panose="02040503050406030204" pitchFamily="18" charset="0"/>
                          </a:rPr>
                          <m:t>𝐸</m:t>
                        </m:r>
                      </m:e>
                      <m:sub>
                        <m:r>
                          <a:rPr lang="en-AU" sz="1000" i="1">
                            <a:latin typeface="Cambria Math" panose="02040503050406030204" pitchFamily="18" charset="0"/>
                          </a:rPr>
                          <m:t>𝑎𝑑</m:t>
                        </m:r>
                        <m:r>
                          <a:rPr lang="en-AU" sz="1000" i="1">
                            <a:latin typeface="Cambria Math" panose="02040503050406030204" pitchFamily="18" charset="0"/>
                          </a:rPr>
                          <m:t>,</m:t>
                        </m:r>
                        <m:r>
                          <a:rPr lang="en-AU" sz="1000" i="1">
                            <a:latin typeface="Cambria Math" panose="02040503050406030204" pitchFamily="18" charset="0"/>
                          </a:rPr>
                          <m:t>𝑖𝑛𝑜𝑟𝑔𝑎𝑛𝑖𝑐</m:t>
                        </m:r>
                      </m:sub>
                    </m:sSub>
                    <m:r>
                      <a:rPr lang="en-AU" sz="1000" i="1">
                        <a:latin typeface="Cambria Math" panose="02040503050406030204" pitchFamily="18" charset="0"/>
                      </a:rPr>
                      <m:t>=</m:t>
                    </m:r>
                    <m:nary>
                      <m:naryPr>
                        <m:chr m:val="∑"/>
                        <m:limLoc m:val="subSup"/>
                        <m:supHide m:val="on"/>
                        <m:ctrlPr>
                          <a:rPr lang="en-AU" sz="1000" i="1">
                            <a:latin typeface="Cambria Math" panose="02040503050406030204" pitchFamily="18" charset="0"/>
                          </a:rPr>
                        </m:ctrlPr>
                      </m:naryPr>
                      <m:sub>
                        <m:r>
                          <a:rPr lang="en-AU" sz="1000" i="1">
                            <a:latin typeface="Cambria Math" panose="02040503050406030204" pitchFamily="18" charset="0"/>
                          </a:rPr>
                          <m:t>𝑗</m:t>
                        </m:r>
                      </m:sub>
                      <m:sup/>
                      <m:e>
                        <m:nary>
                          <m:naryPr>
                            <m:chr m:val="∑"/>
                            <m:limLoc m:val="subSup"/>
                            <m:supHide m:val="on"/>
                            <m:ctrlPr>
                              <a:rPr lang="en-AU" sz="1000" i="1">
                                <a:latin typeface="Cambria Math" panose="02040503050406030204" pitchFamily="18" charset="0"/>
                              </a:rPr>
                            </m:ctrlPr>
                          </m:naryPr>
                          <m:sub>
                            <m:r>
                              <a:rPr lang="en-AU" sz="1000" i="1">
                                <a:latin typeface="Cambria Math" panose="02040503050406030204" pitchFamily="18" charset="0"/>
                              </a:rPr>
                              <m:t>𝑓</m:t>
                            </m:r>
                          </m:sub>
                          <m:sup/>
                          <m:e>
                            <m:d>
                              <m:dPr>
                                <m:ctrlPr>
                                  <a:rPr lang="en-AU" sz="1000" i="1">
                                    <a:latin typeface="Cambria Math" panose="02040503050406030204" pitchFamily="18" charset="0"/>
                                  </a:rPr>
                                </m:ctrlPr>
                              </m:dPr>
                              <m:e>
                                <m:d>
                                  <m:dPr>
                                    <m:ctrlPr>
                                      <a:rPr lang="en-AU" sz="1000" i="1">
                                        <a:latin typeface="Cambria Math" panose="02040503050406030204" pitchFamily="18" charset="0"/>
                                      </a:rPr>
                                    </m:ctrlPr>
                                  </m:dPr>
                                  <m:e>
                                    <m:sSub>
                                      <m:sSubPr>
                                        <m:ctrlPr>
                                          <a:rPr lang="en-AU" sz="1000" i="1">
                                            <a:latin typeface="Cambria Math" panose="02040503050406030204" pitchFamily="18" charset="0"/>
                                          </a:rPr>
                                        </m:ctrlPr>
                                      </m:sSubPr>
                                      <m:e>
                                        <m:r>
                                          <a:rPr lang="en-AU" sz="1000" i="1">
                                            <a:latin typeface="Cambria Math" panose="02040503050406030204" pitchFamily="18" charset="0"/>
                                          </a:rPr>
                                          <m:t>𝑀</m:t>
                                        </m:r>
                                      </m:e>
                                      <m:sub>
                                        <m:r>
                                          <a:rPr lang="en-AU" sz="1000" i="1">
                                            <a:latin typeface="Cambria Math" panose="02040503050406030204" pitchFamily="18" charset="0"/>
                                          </a:rPr>
                                          <m:t>𝑣𝑜𝑙</m:t>
                                        </m:r>
                                        <m:r>
                                          <a:rPr lang="en-AU" sz="1000" i="1">
                                            <a:latin typeface="Cambria Math" panose="02040503050406030204" pitchFamily="18" charset="0"/>
                                          </a:rPr>
                                          <m:t>,</m:t>
                                        </m:r>
                                        <m:r>
                                          <a:rPr lang="en-AU" sz="1000" i="1">
                                            <a:latin typeface="Cambria Math" panose="02040503050406030204" pitchFamily="18" charset="0"/>
                                          </a:rPr>
                                          <m:t>𝑖𝑛𝑜𝑟𝑔𝑎𝑛𝑖𝑐</m:t>
                                        </m:r>
                                        <m:r>
                                          <a:rPr lang="en-AU" sz="1000" i="1">
                                            <a:latin typeface="Cambria Math" panose="02040503050406030204" pitchFamily="18" charset="0"/>
                                          </a:rPr>
                                          <m:t>,</m:t>
                                        </m:r>
                                        <m:r>
                                          <a:rPr lang="en-AU" sz="1000" i="1">
                                            <a:latin typeface="Cambria Math" panose="02040503050406030204" pitchFamily="18" charset="0"/>
                                          </a:rPr>
                                          <m:t>𝑗𝑓</m:t>
                                        </m:r>
                                      </m:sub>
                                    </m:sSub>
                                    <m:r>
                                      <a:rPr lang="en-AU" sz="1000" i="1">
                                        <a:latin typeface="Cambria Math" panose="02040503050406030204" pitchFamily="18" charset="0"/>
                                      </a:rPr>
                                      <m:t>×</m:t>
                                    </m:r>
                                    <m:r>
                                      <a:rPr lang="en-AU" sz="1000" i="1">
                                        <a:latin typeface="Cambria Math" panose="02040503050406030204" pitchFamily="18" charset="0"/>
                                      </a:rPr>
                                      <m:t>𝐸</m:t>
                                    </m:r>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𝑁</m:t>
                                        </m:r>
                                        <m:r>
                                          <a:rPr lang="en-AU" sz="1000" i="1">
                                            <a:latin typeface="Cambria Math" panose="02040503050406030204" pitchFamily="18" charset="0"/>
                                          </a:rPr>
                                          <m:t>2</m:t>
                                        </m:r>
                                        <m:r>
                                          <a:rPr lang="en-AU" sz="1000" i="1">
                                            <a:latin typeface="Cambria Math" panose="02040503050406030204" pitchFamily="18" charset="0"/>
                                          </a:rPr>
                                          <m:t>𝑂</m:t>
                                        </m:r>
                                        <m:r>
                                          <a:rPr lang="en-AU" sz="1000" i="1">
                                            <a:latin typeface="Cambria Math" panose="02040503050406030204" pitchFamily="18" charset="0"/>
                                          </a:rPr>
                                          <m:t>,</m:t>
                                        </m:r>
                                        <m:r>
                                          <a:rPr lang="en-AU" sz="1000" i="1">
                                            <a:latin typeface="Cambria Math" panose="02040503050406030204" pitchFamily="18" charset="0"/>
                                          </a:rPr>
                                          <m:t>𝑗</m:t>
                                        </m:r>
                                      </m:sub>
                                    </m:sSub>
                                  </m:e>
                                </m:d>
                                <m:r>
                                  <a:rPr lang="en-AU" sz="1000" i="1">
                                    <a:latin typeface="Cambria Math" panose="02040503050406030204" pitchFamily="18" charset="0"/>
                                  </a:rPr>
                                  <m:t>×</m:t>
                                </m:r>
                                <m:sSub>
                                  <m:sSubPr>
                                    <m:ctrlPr>
                                      <a:rPr lang="en-AU" sz="1000" i="1">
                                        <a:latin typeface="Cambria Math" panose="02040503050406030204" pitchFamily="18" charset="0"/>
                                      </a:rPr>
                                    </m:ctrlPr>
                                  </m:sSubPr>
                                  <m:e>
                                    <m:r>
                                      <a:rPr lang="en-AU" sz="1000" i="1">
                                        <a:latin typeface="Cambria Math" panose="02040503050406030204" pitchFamily="18" charset="0"/>
                                      </a:rPr>
                                      <m:t>𝐶</m:t>
                                    </m:r>
                                  </m:e>
                                  <m:sub>
                                    <m:r>
                                      <a:rPr lang="en-AU" sz="1000" i="1">
                                        <a:latin typeface="Cambria Math" panose="02040503050406030204" pitchFamily="18" charset="0"/>
                                      </a:rPr>
                                      <m:t>𝑁</m:t>
                                    </m:r>
                                    <m:r>
                                      <a:rPr lang="en-AU" sz="1000" i="1">
                                        <a:latin typeface="Cambria Math" panose="02040503050406030204" pitchFamily="18" charset="0"/>
                                      </a:rPr>
                                      <m:t>2</m:t>
                                    </m:r>
                                    <m:r>
                                      <a:rPr lang="en-AU" sz="1000" i="1">
                                        <a:latin typeface="Cambria Math" panose="02040503050406030204" pitchFamily="18" charset="0"/>
                                      </a:rPr>
                                      <m:t>𝑂</m:t>
                                    </m:r>
                                  </m:sub>
                                </m:sSub>
                                <m:r>
                                  <a:rPr lang="en-AU" sz="1000" i="1">
                                    <a:latin typeface="Cambria Math" panose="02040503050406030204" pitchFamily="18" charset="0"/>
                                  </a:rPr>
                                  <m:t>×</m:t>
                                </m:r>
                                <m:sSup>
                                  <m:sSupPr>
                                    <m:ctrlPr>
                                      <a:rPr lang="en-AU" sz="1000" i="1">
                                        <a:latin typeface="Cambria Math" panose="02040503050406030204" pitchFamily="18" charset="0"/>
                                      </a:rPr>
                                    </m:ctrlPr>
                                  </m:sSupPr>
                                  <m:e>
                                    <m:r>
                                      <a:rPr lang="en-AU" sz="1000" i="1">
                                        <a:latin typeface="Cambria Math" panose="02040503050406030204" pitchFamily="18" charset="0"/>
                                      </a:rPr>
                                      <m:t>10</m:t>
                                    </m:r>
                                  </m:e>
                                  <m:sup>
                                    <m:r>
                                      <a:rPr lang="en-AU" sz="1000" i="1">
                                        <a:latin typeface="Cambria Math" panose="02040503050406030204" pitchFamily="18" charset="0"/>
                                      </a:rPr>
                                      <m:t>−3</m:t>
                                    </m:r>
                                  </m:sup>
                                </m:sSup>
                              </m:e>
                            </m:d>
                          </m:e>
                        </m:nary>
                      </m:e>
                    </m:nary>
                  </m:oMath>
                </m:oMathPara>
              </a14:m>
              <a:endParaRPr lang="en-AU" sz="1000"/>
            </a:p>
          </xdr:txBody>
        </xdr:sp>
      </mc:Choice>
      <mc:Fallback xmlns="">
        <xdr:sp macro="" textlink="">
          <xdr:nvSpPr>
            <xdr:cNvPr id="3" name="TextBox 2">
              <a:extLst>
                <a:ext uri="{FF2B5EF4-FFF2-40B4-BE49-F238E27FC236}">
                  <a16:creationId xmlns:a16="http://schemas.microsoft.com/office/drawing/2014/main" id="{90733D1B-7EEF-4452-B28B-916F7C37F642}"/>
                </a:ext>
              </a:extLst>
            </xdr:cNvPr>
            <xdr:cNvSpPr txBox="1"/>
          </xdr:nvSpPr>
          <xdr:spPr>
            <a:xfrm>
              <a:off x="2681287" y="10839450"/>
              <a:ext cx="4246740"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𝐸_(𝑎𝑑,𝑖𝑛𝑜𝑟𝑔𝑎𝑛𝑖𝑐)=∑2_𝑗▒∑2_𝑓▒((𝑀_(𝑣𝑜𝑙,𝑖𝑛𝑜𝑟𝑔𝑎𝑛𝑖𝑐,𝑗𝑓)×𝐸𝐹_(𝑁2𝑂,𝑗) )×𝐶_𝑁2𝑂×10^(−3) ) </a:t>
              </a:r>
              <a:endParaRPr lang="en-AU" sz="1000"/>
            </a:p>
          </xdr:txBody>
        </xdr:sp>
      </mc:Fallback>
    </mc:AlternateContent>
    <xdr:clientData/>
  </xdr:oneCellAnchor>
  <xdr:oneCellAnchor>
    <xdr:from>
      <xdr:col>3</xdr:col>
      <xdr:colOff>4762</xdr:colOff>
      <xdr:row>90</xdr:row>
      <xdr:rowOff>66675</xdr:rowOff>
    </xdr:from>
    <xdr:ext cx="2649059" cy="182999"/>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BCBB460D-AC63-4354-AA55-76844C629575}"/>
                </a:ext>
              </a:extLst>
            </xdr:cNvPr>
            <xdr:cNvSpPr txBox="1"/>
          </xdr:nvSpPr>
          <xdr:spPr>
            <a:xfrm>
              <a:off x="2681287" y="22488525"/>
              <a:ext cx="2649059" cy="1829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000" i="1">
                            <a:latin typeface="Cambria Math" panose="02040503050406030204" pitchFamily="18" charset="0"/>
                          </a:rPr>
                        </m:ctrlPr>
                      </m:sSubPr>
                      <m:e>
                        <m:r>
                          <a:rPr lang="en-AU" sz="1000" i="1">
                            <a:latin typeface="Cambria Math" panose="02040503050406030204" pitchFamily="18" charset="0"/>
                          </a:rPr>
                          <m:t>𝑀</m:t>
                        </m:r>
                      </m:e>
                      <m:sub>
                        <m:r>
                          <a:rPr lang="en-AU" sz="1000" i="1">
                            <a:latin typeface="Cambria Math" panose="02040503050406030204" pitchFamily="18" charset="0"/>
                          </a:rPr>
                          <m:t>𝑣𝑜𝑙</m:t>
                        </m:r>
                        <m:r>
                          <a:rPr lang="en-AU" sz="1000" i="1">
                            <a:latin typeface="Cambria Math" panose="02040503050406030204" pitchFamily="18" charset="0"/>
                          </a:rPr>
                          <m:t>,</m:t>
                        </m:r>
                        <m:r>
                          <a:rPr lang="en-AU" sz="1000" i="1">
                            <a:latin typeface="Cambria Math" panose="02040503050406030204" pitchFamily="18" charset="0"/>
                          </a:rPr>
                          <m:t>𝑜𝑟𝑔𝑎𝑛𝑖𝑐</m:t>
                        </m:r>
                        <m:r>
                          <a:rPr lang="en-AU" sz="1000" i="1">
                            <a:latin typeface="Cambria Math" panose="02040503050406030204" pitchFamily="18" charset="0"/>
                          </a:rPr>
                          <m:t>,</m:t>
                        </m:r>
                        <m:r>
                          <a:rPr lang="en-AU" sz="1000" i="1">
                            <a:latin typeface="Cambria Math" panose="02040503050406030204" pitchFamily="18" charset="0"/>
                          </a:rPr>
                          <m:t>𝑗𝑓</m:t>
                        </m:r>
                      </m:sub>
                    </m:sSub>
                    <m:r>
                      <a:rPr lang="en-AU" sz="1000" i="1">
                        <a:latin typeface="Cambria Math" panose="02040503050406030204" pitchFamily="18" charset="0"/>
                      </a:rPr>
                      <m:t>=</m:t>
                    </m:r>
                    <m:r>
                      <a:rPr lang="en-AU" sz="1000" i="1">
                        <a:latin typeface="Cambria Math" panose="02040503050406030204" pitchFamily="18" charset="0"/>
                      </a:rPr>
                      <m:t>𝑀𝑁𝑆𝑜𝑖</m:t>
                    </m:r>
                    <m:sSub>
                      <m:sSubPr>
                        <m:ctrlPr>
                          <a:rPr lang="en-AU" sz="1000" i="1">
                            <a:latin typeface="Cambria Math" panose="02040503050406030204" pitchFamily="18" charset="0"/>
                          </a:rPr>
                        </m:ctrlPr>
                      </m:sSubPr>
                      <m:e>
                        <m:r>
                          <a:rPr lang="en-AU" sz="1000" i="1">
                            <a:latin typeface="Cambria Math" panose="02040503050406030204" pitchFamily="18" charset="0"/>
                          </a:rPr>
                          <m:t>𝑙</m:t>
                        </m:r>
                      </m:e>
                      <m:sub>
                        <m:r>
                          <a:rPr lang="en-AU" sz="1000" i="1">
                            <a:latin typeface="Cambria Math" panose="02040503050406030204" pitchFamily="18" charset="0"/>
                          </a:rPr>
                          <m:t>𝑗𝑓</m:t>
                        </m:r>
                      </m:sub>
                    </m:sSub>
                    <m:r>
                      <a:rPr lang="en-AU" sz="1000" i="1">
                        <a:latin typeface="Cambria Math" panose="02040503050406030204" pitchFamily="18" charset="0"/>
                      </a:rPr>
                      <m:t>×</m:t>
                    </m:r>
                    <m:r>
                      <a:rPr lang="en-AU" sz="1000" i="1">
                        <a:latin typeface="Cambria Math" panose="02040503050406030204" pitchFamily="18" charset="0"/>
                      </a:rPr>
                      <m:t>𝐹𝑟𝑎𝑐𝐺𝐴𝑆</m:t>
                    </m:r>
                    <m:sSub>
                      <m:sSubPr>
                        <m:ctrlPr>
                          <a:rPr lang="en-AU" sz="1000" i="1">
                            <a:latin typeface="Cambria Math" panose="02040503050406030204" pitchFamily="18" charset="0"/>
                          </a:rPr>
                        </m:ctrlPr>
                      </m:sSubPr>
                      <m:e>
                        <m:r>
                          <a:rPr lang="en-AU" sz="1000" i="1">
                            <a:latin typeface="Cambria Math" panose="02040503050406030204" pitchFamily="18" charset="0"/>
                          </a:rPr>
                          <m:t>𝑀</m:t>
                        </m:r>
                      </m:e>
                      <m:sub>
                        <m:r>
                          <a:rPr lang="en-AU" sz="1000" i="1">
                            <a:latin typeface="Cambria Math" panose="02040503050406030204" pitchFamily="18" charset="0"/>
                          </a:rPr>
                          <m:t>𝑠𝑜𝑖𝑙</m:t>
                        </m:r>
                      </m:sub>
                    </m:sSub>
                  </m:oMath>
                </m:oMathPara>
              </a14:m>
              <a:endParaRPr lang="en-AU" sz="1000"/>
            </a:p>
          </xdr:txBody>
        </xdr:sp>
      </mc:Choice>
      <mc:Fallback xmlns="">
        <xdr:sp macro="" textlink="">
          <xdr:nvSpPr>
            <xdr:cNvPr id="4" name="TextBox 3">
              <a:extLst>
                <a:ext uri="{FF2B5EF4-FFF2-40B4-BE49-F238E27FC236}">
                  <a16:creationId xmlns:a16="http://schemas.microsoft.com/office/drawing/2014/main" id="{BCBB460D-AC63-4354-AA55-76844C629575}"/>
                </a:ext>
              </a:extLst>
            </xdr:cNvPr>
            <xdr:cNvSpPr txBox="1"/>
          </xdr:nvSpPr>
          <xdr:spPr>
            <a:xfrm>
              <a:off x="2681287" y="22488525"/>
              <a:ext cx="2649059" cy="1829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𝑀_(𝑣𝑜𝑙,𝑜𝑟𝑔𝑎𝑛𝑖𝑐,𝑗𝑓)=𝑀𝑁𝑆𝑜𝑖𝑙_𝑗𝑓×𝐹𝑟𝑎𝑐𝐺𝐴𝑆𝑀_𝑠𝑜𝑖𝑙</a:t>
              </a:r>
              <a:endParaRPr lang="en-AU" sz="1000"/>
            </a:p>
          </xdr:txBody>
        </xdr:sp>
      </mc:Fallback>
    </mc:AlternateContent>
    <xdr:clientData/>
  </xdr:oneCellAnchor>
  <xdr:oneCellAnchor>
    <xdr:from>
      <xdr:col>3</xdr:col>
      <xdr:colOff>14287</xdr:colOff>
      <xdr:row>118</xdr:row>
      <xdr:rowOff>57150</xdr:rowOff>
    </xdr:from>
    <xdr:ext cx="4040786" cy="332079"/>
    <mc:AlternateContent xmlns:mc="http://schemas.openxmlformats.org/markup-compatibility/2006" xmlns:a14="http://schemas.microsoft.com/office/drawing/2010/main">
      <mc:Choice Requires="a14">
        <xdr:sp macro="" textlink="">
          <xdr:nvSpPr>
            <xdr:cNvPr id="5" name="TextBox 4">
              <a:extLst>
                <a:ext uri="{FF2B5EF4-FFF2-40B4-BE49-F238E27FC236}">
                  <a16:creationId xmlns:a16="http://schemas.microsoft.com/office/drawing/2014/main" id="{45C81429-23C1-4F5E-854A-804F57E420BC}"/>
                </a:ext>
              </a:extLst>
            </xdr:cNvPr>
            <xdr:cNvSpPr txBox="1"/>
          </xdr:nvSpPr>
          <xdr:spPr>
            <a:xfrm>
              <a:off x="2690812" y="29413200"/>
              <a:ext cx="4040786"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000" i="1">
                            <a:latin typeface="Cambria Math" panose="02040503050406030204" pitchFamily="18" charset="0"/>
                          </a:rPr>
                        </m:ctrlPr>
                      </m:sSubPr>
                      <m:e>
                        <m:r>
                          <a:rPr lang="en-AU" sz="1000" i="1">
                            <a:latin typeface="Cambria Math" panose="02040503050406030204" pitchFamily="18" charset="0"/>
                          </a:rPr>
                          <m:t>𝐸</m:t>
                        </m:r>
                      </m:e>
                      <m:sub>
                        <m:r>
                          <a:rPr lang="en-AU" sz="1000" i="1">
                            <a:latin typeface="Cambria Math" panose="02040503050406030204" pitchFamily="18" charset="0"/>
                          </a:rPr>
                          <m:t>𝑎𝑑</m:t>
                        </m:r>
                        <m:r>
                          <a:rPr lang="en-AU" sz="1000" i="1">
                            <a:latin typeface="Cambria Math" panose="02040503050406030204" pitchFamily="18" charset="0"/>
                          </a:rPr>
                          <m:t>,</m:t>
                        </m:r>
                        <m:r>
                          <a:rPr lang="en-AU" sz="1000" i="1">
                            <a:latin typeface="Cambria Math" panose="02040503050406030204" pitchFamily="18" charset="0"/>
                          </a:rPr>
                          <m:t>𝑜𝑟𝑔𝑎𝑛𝑖𝑐</m:t>
                        </m:r>
                      </m:sub>
                    </m:sSub>
                    <m:r>
                      <a:rPr lang="en-AU" sz="1000" i="1">
                        <a:latin typeface="Cambria Math" panose="02040503050406030204" pitchFamily="18" charset="0"/>
                      </a:rPr>
                      <m:t>=</m:t>
                    </m:r>
                    <m:nary>
                      <m:naryPr>
                        <m:chr m:val="∑"/>
                        <m:limLoc m:val="subSup"/>
                        <m:supHide m:val="on"/>
                        <m:ctrlPr>
                          <a:rPr lang="en-AU" sz="1000" i="1">
                            <a:latin typeface="Cambria Math" panose="02040503050406030204" pitchFamily="18" charset="0"/>
                          </a:rPr>
                        </m:ctrlPr>
                      </m:naryPr>
                      <m:sub>
                        <m:r>
                          <a:rPr lang="en-AU" sz="1000" i="1">
                            <a:latin typeface="Cambria Math" panose="02040503050406030204" pitchFamily="18" charset="0"/>
                          </a:rPr>
                          <m:t>𝑗</m:t>
                        </m:r>
                      </m:sub>
                      <m:sup/>
                      <m:e>
                        <m:nary>
                          <m:naryPr>
                            <m:chr m:val="∑"/>
                            <m:limLoc m:val="subSup"/>
                            <m:supHide m:val="on"/>
                            <m:ctrlPr>
                              <a:rPr lang="en-AU" sz="1000" i="1">
                                <a:latin typeface="Cambria Math" panose="02040503050406030204" pitchFamily="18" charset="0"/>
                              </a:rPr>
                            </m:ctrlPr>
                          </m:naryPr>
                          <m:sub>
                            <m:r>
                              <a:rPr lang="en-AU" sz="1000" i="1">
                                <a:latin typeface="Cambria Math" panose="02040503050406030204" pitchFamily="18" charset="0"/>
                              </a:rPr>
                              <m:t>𝑓</m:t>
                            </m:r>
                          </m:sub>
                          <m:sup/>
                          <m:e>
                            <m:d>
                              <m:dPr>
                                <m:ctrlPr>
                                  <a:rPr lang="en-AU" sz="1000" i="1">
                                    <a:latin typeface="Cambria Math" panose="02040503050406030204" pitchFamily="18" charset="0"/>
                                  </a:rPr>
                                </m:ctrlPr>
                              </m:dPr>
                              <m:e>
                                <m:d>
                                  <m:dPr>
                                    <m:ctrlPr>
                                      <a:rPr lang="en-AU" sz="1000" i="1">
                                        <a:latin typeface="Cambria Math" panose="02040503050406030204" pitchFamily="18" charset="0"/>
                                      </a:rPr>
                                    </m:ctrlPr>
                                  </m:dPr>
                                  <m:e>
                                    <m:sSub>
                                      <m:sSubPr>
                                        <m:ctrlPr>
                                          <a:rPr lang="en-AU" sz="1000" i="1">
                                            <a:latin typeface="Cambria Math" panose="02040503050406030204" pitchFamily="18" charset="0"/>
                                          </a:rPr>
                                        </m:ctrlPr>
                                      </m:sSubPr>
                                      <m:e>
                                        <m:r>
                                          <a:rPr lang="en-AU" sz="1000" i="1">
                                            <a:latin typeface="Cambria Math" panose="02040503050406030204" pitchFamily="18" charset="0"/>
                                          </a:rPr>
                                          <m:t>𝑀</m:t>
                                        </m:r>
                                      </m:e>
                                      <m:sub>
                                        <m:r>
                                          <a:rPr lang="en-AU" sz="1000" i="1">
                                            <a:latin typeface="Cambria Math" panose="02040503050406030204" pitchFamily="18" charset="0"/>
                                          </a:rPr>
                                          <m:t>𝑣𝑜𝑙</m:t>
                                        </m:r>
                                        <m:r>
                                          <a:rPr lang="en-AU" sz="1000" i="1">
                                            <a:latin typeface="Cambria Math" panose="02040503050406030204" pitchFamily="18" charset="0"/>
                                          </a:rPr>
                                          <m:t>,</m:t>
                                        </m:r>
                                        <m:r>
                                          <a:rPr lang="en-AU" sz="1000" i="1">
                                            <a:latin typeface="Cambria Math" panose="02040503050406030204" pitchFamily="18" charset="0"/>
                                          </a:rPr>
                                          <m:t>𝑜𝑟𝑔𝑎𝑛𝑖𝑐</m:t>
                                        </m:r>
                                        <m:r>
                                          <a:rPr lang="en-AU" sz="1000" i="1">
                                            <a:latin typeface="Cambria Math" panose="02040503050406030204" pitchFamily="18" charset="0"/>
                                          </a:rPr>
                                          <m:t>,</m:t>
                                        </m:r>
                                        <m:r>
                                          <a:rPr lang="en-AU" sz="1000" i="1">
                                            <a:latin typeface="Cambria Math" panose="02040503050406030204" pitchFamily="18" charset="0"/>
                                          </a:rPr>
                                          <m:t>𝑗𝑓</m:t>
                                        </m:r>
                                      </m:sub>
                                    </m:sSub>
                                    <m:r>
                                      <a:rPr lang="en-AU" sz="1000" i="1">
                                        <a:latin typeface="Cambria Math" panose="02040503050406030204" pitchFamily="18" charset="0"/>
                                      </a:rPr>
                                      <m:t>×</m:t>
                                    </m:r>
                                    <m:r>
                                      <a:rPr lang="en-AU" sz="1000" i="1">
                                        <a:latin typeface="Cambria Math" panose="02040503050406030204" pitchFamily="18" charset="0"/>
                                      </a:rPr>
                                      <m:t>𝐸</m:t>
                                    </m:r>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𝑁</m:t>
                                        </m:r>
                                        <m:r>
                                          <a:rPr lang="en-AU" sz="1000" i="1">
                                            <a:latin typeface="Cambria Math" panose="02040503050406030204" pitchFamily="18" charset="0"/>
                                          </a:rPr>
                                          <m:t>2</m:t>
                                        </m:r>
                                        <m:r>
                                          <a:rPr lang="en-AU" sz="1000" i="1">
                                            <a:latin typeface="Cambria Math" panose="02040503050406030204" pitchFamily="18" charset="0"/>
                                          </a:rPr>
                                          <m:t>𝑂</m:t>
                                        </m:r>
                                        <m:r>
                                          <a:rPr lang="en-AU" sz="1000" i="1">
                                            <a:latin typeface="Cambria Math" panose="02040503050406030204" pitchFamily="18" charset="0"/>
                                          </a:rPr>
                                          <m:t>,</m:t>
                                        </m:r>
                                        <m:r>
                                          <a:rPr lang="en-AU" sz="1000" i="1">
                                            <a:latin typeface="Cambria Math" panose="02040503050406030204" pitchFamily="18" charset="0"/>
                                          </a:rPr>
                                          <m:t>𝑗</m:t>
                                        </m:r>
                                      </m:sub>
                                    </m:sSub>
                                  </m:e>
                                </m:d>
                                <m:r>
                                  <a:rPr lang="en-AU" sz="1000" i="1">
                                    <a:latin typeface="Cambria Math" panose="02040503050406030204" pitchFamily="18" charset="0"/>
                                  </a:rPr>
                                  <m:t>×</m:t>
                                </m:r>
                                <m:sSub>
                                  <m:sSubPr>
                                    <m:ctrlPr>
                                      <a:rPr lang="en-AU" sz="1000" i="1">
                                        <a:latin typeface="Cambria Math" panose="02040503050406030204" pitchFamily="18" charset="0"/>
                                      </a:rPr>
                                    </m:ctrlPr>
                                  </m:sSubPr>
                                  <m:e>
                                    <m:r>
                                      <a:rPr lang="en-AU" sz="1000" i="1">
                                        <a:latin typeface="Cambria Math" panose="02040503050406030204" pitchFamily="18" charset="0"/>
                                      </a:rPr>
                                      <m:t>𝐶</m:t>
                                    </m:r>
                                  </m:e>
                                  <m:sub>
                                    <m:r>
                                      <a:rPr lang="en-AU" sz="1000" i="1">
                                        <a:latin typeface="Cambria Math" panose="02040503050406030204" pitchFamily="18" charset="0"/>
                                      </a:rPr>
                                      <m:t>𝑁</m:t>
                                    </m:r>
                                    <m:r>
                                      <a:rPr lang="en-AU" sz="1000" i="1">
                                        <a:latin typeface="Cambria Math" panose="02040503050406030204" pitchFamily="18" charset="0"/>
                                      </a:rPr>
                                      <m:t>2</m:t>
                                    </m:r>
                                    <m:r>
                                      <a:rPr lang="en-AU" sz="1000" i="1">
                                        <a:latin typeface="Cambria Math" panose="02040503050406030204" pitchFamily="18" charset="0"/>
                                      </a:rPr>
                                      <m:t>𝑂</m:t>
                                    </m:r>
                                  </m:sub>
                                </m:sSub>
                                <m:r>
                                  <a:rPr lang="en-AU" sz="1000" i="1">
                                    <a:latin typeface="Cambria Math" panose="02040503050406030204" pitchFamily="18" charset="0"/>
                                  </a:rPr>
                                  <m:t>×</m:t>
                                </m:r>
                                <m:sSup>
                                  <m:sSupPr>
                                    <m:ctrlPr>
                                      <a:rPr lang="en-AU" sz="1000" i="1">
                                        <a:latin typeface="Cambria Math" panose="02040503050406030204" pitchFamily="18" charset="0"/>
                                      </a:rPr>
                                    </m:ctrlPr>
                                  </m:sSupPr>
                                  <m:e>
                                    <m:r>
                                      <a:rPr lang="en-AU" sz="1000" i="1">
                                        <a:latin typeface="Cambria Math" panose="02040503050406030204" pitchFamily="18" charset="0"/>
                                      </a:rPr>
                                      <m:t>10</m:t>
                                    </m:r>
                                  </m:e>
                                  <m:sup>
                                    <m:r>
                                      <a:rPr lang="en-AU" sz="1000" i="1">
                                        <a:latin typeface="Cambria Math" panose="02040503050406030204" pitchFamily="18" charset="0"/>
                                      </a:rPr>
                                      <m:t>−3</m:t>
                                    </m:r>
                                  </m:sup>
                                </m:sSup>
                              </m:e>
                            </m:d>
                          </m:e>
                        </m:nary>
                      </m:e>
                    </m:nary>
                  </m:oMath>
                </m:oMathPara>
              </a14:m>
              <a:endParaRPr lang="en-AU" sz="1000"/>
            </a:p>
          </xdr:txBody>
        </xdr:sp>
      </mc:Choice>
      <mc:Fallback xmlns="">
        <xdr:sp macro="" textlink="">
          <xdr:nvSpPr>
            <xdr:cNvPr id="5" name="TextBox 4">
              <a:extLst>
                <a:ext uri="{FF2B5EF4-FFF2-40B4-BE49-F238E27FC236}">
                  <a16:creationId xmlns:a16="http://schemas.microsoft.com/office/drawing/2014/main" id="{45C81429-23C1-4F5E-854A-804F57E420BC}"/>
                </a:ext>
              </a:extLst>
            </xdr:cNvPr>
            <xdr:cNvSpPr txBox="1"/>
          </xdr:nvSpPr>
          <xdr:spPr>
            <a:xfrm>
              <a:off x="2690812" y="29413200"/>
              <a:ext cx="4040786"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𝐸_(𝑎𝑑,𝑜𝑟𝑔𝑎𝑛𝑖𝑐)=∑2_𝑗▒∑2_𝑓▒((𝑀_(𝑣𝑜𝑙,𝑜𝑟𝑔𝑎𝑛𝑖𝑐,𝑗𝑓)×𝐸𝐹_(𝑁2𝑂,𝑗) )×𝐶_𝑁2𝑂×10^(−3) ) </a:t>
              </a:r>
              <a:endParaRPr lang="en-AU" sz="1000"/>
            </a:p>
          </xdr:txBody>
        </xdr:sp>
      </mc:Fallback>
    </mc:AlternateContent>
    <xdr:clientData/>
  </xdr:oneCellAnchor>
</xdr:wsDr>
</file>

<file path=xl/drawings/drawing13.xml><?xml version="1.0" encoding="utf-8"?>
<xdr:wsDr xmlns:xdr="http://schemas.openxmlformats.org/drawingml/2006/spreadsheetDrawing" xmlns:a="http://schemas.openxmlformats.org/drawingml/2006/main">
  <xdr:oneCellAnchor>
    <xdr:from>
      <xdr:col>3</xdr:col>
      <xdr:colOff>23812</xdr:colOff>
      <xdr:row>7</xdr:row>
      <xdr:rowOff>100012</xdr:rowOff>
    </xdr:from>
    <xdr:ext cx="3485120" cy="332014"/>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E87CB686-AF2C-4770-8CB5-F6171AC3FEEB}"/>
                </a:ext>
              </a:extLst>
            </xdr:cNvPr>
            <xdr:cNvSpPr txBox="1"/>
          </xdr:nvSpPr>
          <xdr:spPr>
            <a:xfrm>
              <a:off x="2700337" y="1966912"/>
              <a:ext cx="3485120" cy="3320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000" i="1">
                            <a:latin typeface="Cambria Math" panose="02040503050406030204" pitchFamily="18" charset="0"/>
                          </a:rPr>
                        </m:ctrlPr>
                      </m:sSubPr>
                      <m:e>
                        <m:r>
                          <a:rPr lang="en-AU" sz="1000" i="1">
                            <a:latin typeface="Cambria Math" panose="02040503050406030204" pitchFamily="18" charset="0"/>
                          </a:rPr>
                          <m:t>𝑀</m:t>
                        </m:r>
                      </m:e>
                      <m:sub>
                        <m:r>
                          <a:rPr lang="en-AU" sz="1000" i="1">
                            <a:latin typeface="Cambria Math" panose="02040503050406030204" pitchFamily="18" charset="0"/>
                          </a:rPr>
                          <m:t>𝑙𝑒𝑎𝑐ℎ</m:t>
                        </m:r>
                        <m:r>
                          <a:rPr lang="en-AU" sz="1000" i="1">
                            <a:latin typeface="Cambria Math" panose="02040503050406030204" pitchFamily="18" charset="0"/>
                          </a:rPr>
                          <m:t>,</m:t>
                        </m:r>
                        <m:r>
                          <a:rPr lang="en-AU" sz="1000" i="1">
                            <a:latin typeface="Cambria Math" panose="02040503050406030204" pitchFamily="18" charset="0"/>
                          </a:rPr>
                          <m:t>𝑖𝑛𝑜𝑟𝑔𝑎𝑛𝑖𝑐</m:t>
                        </m:r>
                        <m:r>
                          <a:rPr lang="en-AU" sz="1000" i="1">
                            <a:latin typeface="Cambria Math" panose="02040503050406030204" pitchFamily="18" charset="0"/>
                          </a:rPr>
                          <m:t>,</m:t>
                        </m:r>
                        <m:r>
                          <a:rPr lang="en-AU" sz="1000" i="1">
                            <a:latin typeface="Cambria Math" panose="02040503050406030204" pitchFamily="18" charset="0"/>
                          </a:rPr>
                          <m:t>𝑗</m:t>
                        </m:r>
                      </m:sub>
                    </m:sSub>
                    <m:r>
                      <a:rPr lang="en-AU" sz="1000" i="1">
                        <a:latin typeface="Cambria Math" panose="02040503050406030204" pitchFamily="18" charset="0"/>
                      </a:rPr>
                      <m:t>=</m:t>
                    </m:r>
                    <m:nary>
                      <m:naryPr>
                        <m:chr m:val="∑"/>
                        <m:limLoc m:val="subSup"/>
                        <m:supHide m:val="on"/>
                        <m:ctrlPr>
                          <a:rPr lang="en-AU" sz="1000" i="1">
                            <a:latin typeface="Cambria Math" panose="02040503050406030204" pitchFamily="18" charset="0"/>
                          </a:rPr>
                        </m:ctrlPr>
                      </m:naryPr>
                      <m:sub>
                        <m:r>
                          <a:rPr lang="en-AU" sz="1000" i="1">
                            <a:latin typeface="Cambria Math" panose="02040503050406030204" pitchFamily="18" charset="0"/>
                          </a:rPr>
                          <m:t>𝑓</m:t>
                        </m:r>
                      </m:sub>
                      <m:sup/>
                      <m:e>
                        <m:d>
                          <m:dPr>
                            <m:ctrlPr>
                              <a:rPr lang="en-AU" sz="1000" i="1">
                                <a:latin typeface="Cambria Math" panose="02040503050406030204" pitchFamily="18" charset="0"/>
                              </a:rPr>
                            </m:ctrlPr>
                          </m:dPr>
                          <m:e>
                            <m:r>
                              <a:rPr lang="en-AU" sz="1000" i="1">
                                <a:latin typeface="Cambria Math" panose="02040503050406030204" pitchFamily="18" charset="0"/>
                              </a:rPr>
                              <m:t>𝑀</m:t>
                            </m:r>
                            <m:sSub>
                              <m:sSubPr>
                                <m:ctrlPr>
                                  <a:rPr lang="en-AU" sz="1000" i="1">
                                    <a:latin typeface="Cambria Math" panose="02040503050406030204" pitchFamily="18" charset="0"/>
                                  </a:rPr>
                                </m:ctrlPr>
                              </m:sSubPr>
                              <m:e>
                                <m:r>
                                  <a:rPr lang="en-AU" sz="1000" i="1">
                                    <a:latin typeface="Cambria Math" panose="02040503050406030204" pitchFamily="18" charset="0"/>
                                  </a:rPr>
                                  <m:t>𝑁</m:t>
                                </m:r>
                              </m:e>
                              <m:sub>
                                <m:r>
                                  <a:rPr lang="en-AU" sz="1000" i="1">
                                    <a:latin typeface="Cambria Math" panose="02040503050406030204" pitchFamily="18" charset="0"/>
                                  </a:rPr>
                                  <m:t>𝑗𝑓</m:t>
                                </m:r>
                              </m:sub>
                            </m:sSub>
                            <m:r>
                              <a:rPr lang="en-AU" sz="1000" i="1">
                                <a:latin typeface="Cambria Math" panose="02040503050406030204" pitchFamily="18" charset="0"/>
                              </a:rPr>
                              <m:t>×</m:t>
                            </m:r>
                            <m:r>
                              <a:rPr lang="en-AU" sz="1000" i="1">
                                <a:latin typeface="Cambria Math" panose="02040503050406030204" pitchFamily="18" charset="0"/>
                              </a:rPr>
                              <m:t>𝐹𝑟𝑎</m:t>
                            </m:r>
                            <m:sSub>
                              <m:sSubPr>
                                <m:ctrlPr>
                                  <a:rPr lang="en-AU" sz="1000" i="1">
                                    <a:latin typeface="Cambria Math" panose="02040503050406030204" pitchFamily="18" charset="0"/>
                                  </a:rPr>
                                </m:ctrlPr>
                              </m:sSubPr>
                              <m:e>
                                <m:r>
                                  <a:rPr lang="en-AU" sz="1000" i="1">
                                    <a:latin typeface="Cambria Math" panose="02040503050406030204" pitchFamily="18" charset="0"/>
                                  </a:rPr>
                                  <m:t>𝑐</m:t>
                                </m:r>
                              </m:e>
                              <m:sub>
                                <m:r>
                                  <a:rPr lang="en-AU" sz="1000" i="1">
                                    <a:latin typeface="Cambria Math" panose="02040503050406030204" pitchFamily="18" charset="0"/>
                                  </a:rPr>
                                  <m:t>𝑊𝐸𝑇</m:t>
                                </m:r>
                                <m:r>
                                  <a:rPr lang="en-AU" sz="1000" i="1">
                                    <a:latin typeface="Cambria Math" panose="02040503050406030204" pitchFamily="18" charset="0"/>
                                  </a:rPr>
                                  <m:t>,</m:t>
                                </m:r>
                                <m:r>
                                  <a:rPr lang="en-AU" sz="1000" i="1">
                                    <a:latin typeface="Cambria Math" panose="02040503050406030204" pitchFamily="18" charset="0"/>
                                  </a:rPr>
                                  <m:t>𝑗</m:t>
                                </m:r>
                              </m:sub>
                            </m:sSub>
                            <m:r>
                              <a:rPr lang="en-AU" sz="1000" i="1">
                                <a:latin typeface="Cambria Math" panose="02040503050406030204" pitchFamily="18" charset="0"/>
                              </a:rPr>
                              <m:t>×</m:t>
                            </m:r>
                            <m:r>
                              <a:rPr lang="en-AU" sz="1000" i="1">
                                <a:latin typeface="Cambria Math" panose="02040503050406030204" pitchFamily="18" charset="0"/>
                              </a:rPr>
                              <m:t>𝐹𝑟𝑎</m:t>
                            </m:r>
                            <m:sSub>
                              <m:sSubPr>
                                <m:ctrlPr>
                                  <a:rPr lang="en-AU" sz="1000" i="1">
                                    <a:latin typeface="Cambria Math" panose="02040503050406030204" pitchFamily="18" charset="0"/>
                                  </a:rPr>
                                </m:ctrlPr>
                              </m:sSubPr>
                              <m:e>
                                <m:r>
                                  <a:rPr lang="en-AU" sz="1000" i="1">
                                    <a:latin typeface="Cambria Math" panose="02040503050406030204" pitchFamily="18" charset="0"/>
                                  </a:rPr>
                                  <m:t>𝑐</m:t>
                                </m:r>
                              </m:e>
                              <m:sub>
                                <m:r>
                                  <a:rPr lang="en-AU" sz="1000" i="1">
                                    <a:latin typeface="Cambria Math" panose="02040503050406030204" pitchFamily="18" charset="0"/>
                                  </a:rPr>
                                  <m:t>𝐿𝐸𝐴𝐶𝐻</m:t>
                                </m:r>
                              </m:sub>
                            </m:sSub>
                          </m:e>
                        </m:d>
                      </m:e>
                    </m:nary>
                  </m:oMath>
                </m:oMathPara>
              </a14:m>
              <a:endParaRPr lang="en-AU" sz="1000"/>
            </a:p>
          </xdr:txBody>
        </xdr:sp>
      </mc:Choice>
      <mc:Fallback xmlns="">
        <xdr:sp macro="" textlink="">
          <xdr:nvSpPr>
            <xdr:cNvPr id="2" name="TextBox 1">
              <a:extLst>
                <a:ext uri="{FF2B5EF4-FFF2-40B4-BE49-F238E27FC236}">
                  <a16:creationId xmlns:a16="http://schemas.microsoft.com/office/drawing/2014/main" id="{E87CB686-AF2C-4770-8CB5-F6171AC3FEEB}"/>
                </a:ext>
              </a:extLst>
            </xdr:cNvPr>
            <xdr:cNvSpPr txBox="1"/>
          </xdr:nvSpPr>
          <xdr:spPr>
            <a:xfrm>
              <a:off x="2700337" y="1966912"/>
              <a:ext cx="3485120" cy="3320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𝑀_(𝑙𝑒𝑎𝑐ℎ,𝑖𝑛𝑜𝑟𝑔𝑎𝑛𝑖𝑐,𝑗)=∑2_𝑓▒(𝑀𝑁_𝑗𝑓×𝐹𝑟𝑎𝑐_(𝑊𝐸𝑇,𝑗)×𝐹𝑟𝑎𝑐_𝐿𝐸𝐴𝐶𝐻 ) </a:t>
              </a:r>
              <a:endParaRPr lang="en-AU" sz="1000"/>
            </a:p>
          </xdr:txBody>
        </xdr:sp>
      </mc:Fallback>
    </mc:AlternateContent>
    <xdr:clientData/>
  </xdr:oneCellAnchor>
  <xdr:oneCellAnchor>
    <xdr:from>
      <xdr:col>2</xdr:col>
      <xdr:colOff>252412</xdr:colOff>
      <xdr:row>49</xdr:row>
      <xdr:rowOff>71437</xdr:rowOff>
    </xdr:from>
    <xdr:ext cx="3633944" cy="332014"/>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438AA953-D041-4149-9D8D-97D3A2D8CDB7}"/>
                </a:ext>
              </a:extLst>
            </xdr:cNvPr>
            <xdr:cNvSpPr txBox="1"/>
          </xdr:nvSpPr>
          <xdr:spPr>
            <a:xfrm>
              <a:off x="2614612" y="12339637"/>
              <a:ext cx="3633944" cy="3320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000" i="1">
                            <a:latin typeface="Cambria Math" panose="02040503050406030204" pitchFamily="18" charset="0"/>
                          </a:rPr>
                        </m:ctrlPr>
                      </m:sSubPr>
                      <m:e>
                        <m:r>
                          <a:rPr lang="en-AU" sz="1000" i="1">
                            <a:latin typeface="Cambria Math" panose="02040503050406030204" pitchFamily="18" charset="0"/>
                          </a:rPr>
                          <m:t>𝑀</m:t>
                        </m:r>
                      </m:e>
                      <m:sub>
                        <m:r>
                          <a:rPr lang="en-AU" sz="1000" i="1">
                            <a:latin typeface="Cambria Math" panose="02040503050406030204" pitchFamily="18" charset="0"/>
                          </a:rPr>
                          <m:t>𝑙𝑒𝑎𝑐ℎ</m:t>
                        </m:r>
                        <m:r>
                          <a:rPr lang="en-AU" sz="1000" i="1">
                            <a:latin typeface="Cambria Math" panose="02040503050406030204" pitchFamily="18" charset="0"/>
                          </a:rPr>
                          <m:t>,</m:t>
                        </m:r>
                        <m:r>
                          <a:rPr lang="en-AU" sz="1000" i="1">
                            <a:latin typeface="Cambria Math" panose="02040503050406030204" pitchFamily="18" charset="0"/>
                          </a:rPr>
                          <m:t>𝑜𝑟𝑔𝑎𝑛𝑖𝑐</m:t>
                        </m:r>
                        <m:r>
                          <a:rPr lang="en-AU" sz="1000" i="1">
                            <a:latin typeface="Cambria Math" panose="02040503050406030204" pitchFamily="18" charset="0"/>
                          </a:rPr>
                          <m:t>,</m:t>
                        </m:r>
                        <m:r>
                          <a:rPr lang="en-AU" sz="1000" i="1">
                            <a:latin typeface="Cambria Math" panose="02040503050406030204" pitchFamily="18" charset="0"/>
                          </a:rPr>
                          <m:t>𝑗</m:t>
                        </m:r>
                      </m:sub>
                    </m:sSub>
                    <m:r>
                      <a:rPr lang="en-AU" sz="1000" i="1">
                        <a:latin typeface="Cambria Math" panose="02040503050406030204" pitchFamily="18" charset="0"/>
                      </a:rPr>
                      <m:t>=</m:t>
                    </m:r>
                    <m:nary>
                      <m:naryPr>
                        <m:chr m:val="∑"/>
                        <m:limLoc m:val="subSup"/>
                        <m:supHide m:val="on"/>
                        <m:ctrlPr>
                          <a:rPr lang="en-AU" sz="1000" i="1">
                            <a:latin typeface="Cambria Math" panose="02040503050406030204" pitchFamily="18" charset="0"/>
                          </a:rPr>
                        </m:ctrlPr>
                      </m:naryPr>
                      <m:sub>
                        <m:r>
                          <a:rPr lang="en-AU" sz="1000" i="1">
                            <a:latin typeface="Cambria Math" panose="02040503050406030204" pitchFamily="18" charset="0"/>
                          </a:rPr>
                          <m:t>𝑓</m:t>
                        </m:r>
                      </m:sub>
                      <m:sup/>
                      <m:e>
                        <m:d>
                          <m:dPr>
                            <m:ctrlPr>
                              <a:rPr lang="en-AU" sz="1000" i="1">
                                <a:latin typeface="Cambria Math" panose="02040503050406030204" pitchFamily="18" charset="0"/>
                              </a:rPr>
                            </m:ctrlPr>
                          </m:dPr>
                          <m:e>
                            <m:r>
                              <a:rPr lang="en-AU" sz="1000" i="1">
                                <a:latin typeface="Cambria Math" panose="02040503050406030204" pitchFamily="18" charset="0"/>
                              </a:rPr>
                              <m:t>𝑀𝑁𝑆𝑜𝑖</m:t>
                            </m:r>
                            <m:sSub>
                              <m:sSubPr>
                                <m:ctrlPr>
                                  <a:rPr lang="en-AU" sz="1000" i="1">
                                    <a:latin typeface="Cambria Math" panose="02040503050406030204" pitchFamily="18" charset="0"/>
                                  </a:rPr>
                                </m:ctrlPr>
                              </m:sSubPr>
                              <m:e>
                                <m:r>
                                  <a:rPr lang="en-AU" sz="1000" i="1">
                                    <a:latin typeface="Cambria Math" panose="02040503050406030204" pitchFamily="18" charset="0"/>
                                  </a:rPr>
                                  <m:t>𝑙</m:t>
                                </m:r>
                              </m:e>
                              <m:sub>
                                <m:r>
                                  <a:rPr lang="en-AU" sz="1000" i="1">
                                    <a:latin typeface="Cambria Math" panose="02040503050406030204" pitchFamily="18" charset="0"/>
                                  </a:rPr>
                                  <m:t>𝑗𝑓</m:t>
                                </m:r>
                              </m:sub>
                            </m:sSub>
                            <m:r>
                              <a:rPr lang="en-AU" sz="1000" i="1">
                                <a:latin typeface="Cambria Math" panose="02040503050406030204" pitchFamily="18" charset="0"/>
                              </a:rPr>
                              <m:t>×</m:t>
                            </m:r>
                            <m:r>
                              <a:rPr lang="en-AU" sz="1000" i="1">
                                <a:latin typeface="Cambria Math" panose="02040503050406030204" pitchFamily="18" charset="0"/>
                              </a:rPr>
                              <m:t>𝐹𝑟𝑎</m:t>
                            </m:r>
                            <m:sSub>
                              <m:sSubPr>
                                <m:ctrlPr>
                                  <a:rPr lang="en-AU" sz="1000" i="1">
                                    <a:latin typeface="Cambria Math" panose="02040503050406030204" pitchFamily="18" charset="0"/>
                                  </a:rPr>
                                </m:ctrlPr>
                              </m:sSubPr>
                              <m:e>
                                <m:r>
                                  <a:rPr lang="en-AU" sz="1000" i="1">
                                    <a:latin typeface="Cambria Math" panose="02040503050406030204" pitchFamily="18" charset="0"/>
                                  </a:rPr>
                                  <m:t>𝑐</m:t>
                                </m:r>
                              </m:e>
                              <m:sub>
                                <m:r>
                                  <a:rPr lang="en-AU" sz="1000" i="1">
                                    <a:latin typeface="Cambria Math" panose="02040503050406030204" pitchFamily="18" charset="0"/>
                                  </a:rPr>
                                  <m:t>𝑊𝐸𝑇</m:t>
                                </m:r>
                                <m:r>
                                  <a:rPr lang="en-AU" sz="1000" i="1">
                                    <a:latin typeface="Cambria Math" panose="02040503050406030204" pitchFamily="18" charset="0"/>
                                  </a:rPr>
                                  <m:t>,</m:t>
                                </m:r>
                                <m:r>
                                  <a:rPr lang="en-AU" sz="1000" i="1">
                                    <a:latin typeface="Cambria Math" panose="02040503050406030204" pitchFamily="18" charset="0"/>
                                  </a:rPr>
                                  <m:t>𝑗</m:t>
                                </m:r>
                              </m:sub>
                            </m:sSub>
                            <m:r>
                              <a:rPr lang="en-AU" sz="1000" i="1">
                                <a:latin typeface="Cambria Math" panose="02040503050406030204" pitchFamily="18" charset="0"/>
                              </a:rPr>
                              <m:t>×</m:t>
                            </m:r>
                            <m:r>
                              <a:rPr lang="en-AU" sz="1000" i="1">
                                <a:latin typeface="Cambria Math" panose="02040503050406030204" pitchFamily="18" charset="0"/>
                              </a:rPr>
                              <m:t>𝐹𝑟𝑎</m:t>
                            </m:r>
                            <m:sSub>
                              <m:sSubPr>
                                <m:ctrlPr>
                                  <a:rPr lang="en-AU" sz="1000" i="1">
                                    <a:latin typeface="Cambria Math" panose="02040503050406030204" pitchFamily="18" charset="0"/>
                                  </a:rPr>
                                </m:ctrlPr>
                              </m:sSubPr>
                              <m:e>
                                <m:r>
                                  <a:rPr lang="en-AU" sz="1000" i="1">
                                    <a:latin typeface="Cambria Math" panose="02040503050406030204" pitchFamily="18" charset="0"/>
                                  </a:rPr>
                                  <m:t>𝑐</m:t>
                                </m:r>
                              </m:e>
                              <m:sub>
                                <m:r>
                                  <a:rPr lang="en-AU" sz="1000" i="1">
                                    <a:latin typeface="Cambria Math" panose="02040503050406030204" pitchFamily="18" charset="0"/>
                                  </a:rPr>
                                  <m:t>𝐿𝐸𝐴𝐶𝐻</m:t>
                                </m:r>
                              </m:sub>
                            </m:sSub>
                          </m:e>
                        </m:d>
                      </m:e>
                    </m:nary>
                  </m:oMath>
                </m:oMathPara>
              </a14:m>
              <a:endParaRPr lang="en-AU" sz="1000"/>
            </a:p>
          </xdr:txBody>
        </xdr:sp>
      </mc:Choice>
      <mc:Fallback xmlns="">
        <xdr:sp macro="" textlink="">
          <xdr:nvSpPr>
            <xdr:cNvPr id="3" name="TextBox 2">
              <a:extLst>
                <a:ext uri="{FF2B5EF4-FFF2-40B4-BE49-F238E27FC236}">
                  <a16:creationId xmlns:a16="http://schemas.microsoft.com/office/drawing/2014/main" id="{438AA953-D041-4149-9D8D-97D3A2D8CDB7}"/>
                </a:ext>
              </a:extLst>
            </xdr:cNvPr>
            <xdr:cNvSpPr txBox="1"/>
          </xdr:nvSpPr>
          <xdr:spPr>
            <a:xfrm>
              <a:off x="2614612" y="12339637"/>
              <a:ext cx="3633944" cy="3320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𝑀_(𝑙𝑒𝑎𝑐ℎ,𝑜𝑟𝑔𝑎𝑛𝑖𝑐,𝑗)=∑2_𝑓▒(𝑀𝑁𝑆𝑜𝑖𝑙_𝑗𝑓×𝐹𝑟𝑎𝑐_(𝑊𝐸𝑇,𝑗)×𝐹𝑟𝑎𝑐_𝐿𝐸𝐴𝐶𝐻 ) </a:t>
              </a:r>
              <a:endParaRPr lang="en-AU" sz="1000"/>
            </a:p>
          </xdr:txBody>
        </xdr:sp>
      </mc:Fallback>
    </mc:AlternateContent>
    <xdr:clientData/>
  </xdr:oneCellAnchor>
  <xdr:oneCellAnchor>
    <xdr:from>
      <xdr:col>3</xdr:col>
      <xdr:colOff>14287</xdr:colOff>
      <xdr:row>83</xdr:row>
      <xdr:rowOff>61912</xdr:rowOff>
    </xdr:from>
    <xdr:ext cx="4870692" cy="429926"/>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820D8A00-61BF-4385-A30A-345588658A49}"/>
                </a:ext>
              </a:extLst>
            </xdr:cNvPr>
            <xdr:cNvSpPr txBox="1"/>
          </xdr:nvSpPr>
          <xdr:spPr>
            <a:xfrm>
              <a:off x="2690812" y="20750212"/>
              <a:ext cx="4870692"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000" i="1">
                            <a:latin typeface="Cambria Math" panose="02040503050406030204" pitchFamily="18" charset="0"/>
                          </a:rPr>
                        </m:ctrlPr>
                      </m:sSubPr>
                      <m:e>
                        <m:r>
                          <a:rPr lang="en-AU" sz="1000" i="1">
                            <a:latin typeface="Cambria Math" panose="02040503050406030204" pitchFamily="18" charset="0"/>
                          </a:rPr>
                          <m:t>𝐸</m:t>
                        </m:r>
                      </m:e>
                      <m:sub>
                        <m:r>
                          <a:rPr lang="en-AU" sz="1000" i="1">
                            <a:latin typeface="Cambria Math" panose="02040503050406030204" pitchFamily="18" charset="0"/>
                          </a:rPr>
                          <m:t>𝑓𝑒𝑟𝑡</m:t>
                        </m:r>
                        <m:r>
                          <a:rPr lang="en-AU" sz="1000" i="1">
                            <a:latin typeface="Cambria Math" panose="02040503050406030204" pitchFamily="18" charset="0"/>
                          </a:rPr>
                          <m:t>,</m:t>
                        </m:r>
                        <m:r>
                          <a:rPr lang="en-AU" sz="1000" i="1">
                            <a:latin typeface="Cambria Math" panose="02040503050406030204" pitchFamily="18" charset="0"/>
                          </a:rPr>
                          <m:t>𝑙𝑒𝑎𝑐ℎ</m:t>
                        </m:r>
                      </m:sub>
                    </m:sSub>
                    <m:r>
                      <a:rPr lang="en-AU" sz="1000" i="1">
                        <a:latin typeface="Cambria Math" panose="02040503050406030204" pitchFamily="18" charset="0"/>
                      </a:rPr>
                      <m:t>=</m:t>
                    </m:r>
                    <m:nary>
                      <m:naryPr>
                        <m:chr m:val="∑"/>
                        <m:supHide m:val="on"/>
                        <m:ctrlPr>
                          <a:rPr lang="en-AU" sz="1000" i="1">
                            <a:latin typeface="Cambria Math" panose="02040503050406030204" pitchFamily="18" charset="0"/>
                          </a:rPr>
                        </m:ctrlPr>
                      </m:naryPr>
                      <m:sub>
                        <m:r>
                          <a:rPr lang="en-AU" sz="1000" i="1">
                            <a:latin typeface="Cambria Math" panose="02040503050406030204" pitchFamily="18" charset="0"/>
                          </a:rPr>
                          <m:t>𝑗</m:t>
                        </m:r>
                      </m:sub>
                      <m:sup/>
                      <m:e>
                        <m:d>
                          <m:dPr>
                            <m:ctrlPr>
                              <a:rPr lang="en-AU" sz="1000" i="1">
                                <a:latin typeface="Cambria Math" panose="02040503050406030204" pitchFamily="18" charset="0"/>
                              </a:rPr>
                            </m:ctrlPr>
                          </m:dPr>
                          <m:e>
                            <m:d>
                              <m:dPr>
                                <m:ctrlPr>
                                  <a:rPr lang="en-AU" sz="1000" i="1">
                                    <a:latin typeface="Cambria Math" panose="02040503050406030204" pitchFamily="18" charset="0"/>
                                  </a:rPr>
                                </m:ctrlPr>
                              </m:dPr>
                              <m:e>
                                <m:sSub>
                                  <m:sSubPr>
                                    <m:ctrlPr>
                                      <a:rPr lang="en-AU" sz="1000" i="1">
                                        <a:latin typeface="Cambria Math" panose="02040503050406030204" pitchFamily="18" charset="0"/>
                                      </a:rPr>
                                    </m:ctrlPr>
                                  </m:sSubPr>
                                  <m:e>
                                    <m:r>
                                      <a:rPr lang="en-AU" sz="1000" i="1">
                                        <a:latin typeface="Cambria Math" panose="02040503050406030204" pitchFamily="18" charset="0"/>
                                      </a:rPr>
                                      <m:t>𝑀</m:t>
                                    </m:r>
                                  </m:e>
                                  <m:sub>
                                    <m:r>
                                      <a:rPr lang="en-AU" sz="1000" i="1">
                                        <a:latin typeface="Cambria Math" panose="02040503050406030204" pitchFamily="18" charset="0"/>
                                      </a:rPr>
                                      <m:t>𝑙𝑒𝑎𝑐ℎ</m:t>
                                    </m:r>
                                    <m:r>
                                      <a:rPr lang="en-AU" sz="1000" i="1">
                                        <a:latin typeface="Cambria Math" panose="02040503050406030204" pitchFamily="18" charset="0"/>
                                      </a:rPr>
                                      <m:t>,</m:t>
                                    </m:r>
                                    <m:r>
                                      <a:rPr lang="en-AU" sz="1000" i="1">
                                        <a:latin typeface="Cambria Math" panose="02040503050406030204" pitchFamily="18" charset="0"/>
                                      </a:rPr>
                                      <m:t>𝑖𝑛𝑜𝑟𝑔𝑎𝑛𝑖𝑐</m:t>
                                    </m:r>
                                    <m:r>
                                      <a:rPr lang="en-AU" sz="1000" i="1">
                                        <a:latin typeface="Cambria Math" panose="02040503050406030204" pitchFamily="18" charset="0"/>
                                      </a:rPr>
                                      <m:t>,</m:t>
                                    </m:r>
                                    <m:r>
                                      <a:rPr lang="en-AU" sz="1000" i="1">
                                        <a:latin typeface="Cambria Math" panose="02040503050406030204" pitchFamily="18" charset="0"/>
                                      </a:rPr>
                                      <m:t>𝑗</m:t>
                                    </m:r>
                                  </m:sub>
                                </m:sSub>
                                <m:r>
                                  <a:rPr lang="en-AU" sz="1000" i="1">
                                    <a:latin typeface="Cambria Math" panose="02040503050406030204" pitchFamily="18" charset="0"/>
                                  </a:rPr>
                                  <m:t>+</m:t>
                                </m:r>
                                <m:sSub>
                                  <m:sSubPr>
                                    <m:ctrlPr>
                                      <a:rPr lang="en-AU" sz="1000" i="1">
                                        <a:latin typeface="Cambria Math" panose="02040503050406030204" pitchFamily="18" charset="0"/>
                                      </a:rPr>
                                    </m:ctrlPr>
                                  </m:sSubPr>
                                  <m:e>
                                    <m:r>
                                      <a:rPr lang="en-AU" sz="1000" i="1">
                                        <a:latin typeface="Cambria Math" panose="02040503050406030204" pitchFamily="18" charset="0"/>
                                      </a:rPr>
                                      <m:t>𝑀</m:t>
                                    </m:r>
                                  </m:e>
                                  <m:sub>
                                    <m:r>
                                      <a:rPr lang="en-AU" sz="1000" i="1">
                                        <a:latin typeface="Cambria Math" panose="02040503050406030204" pitchFamily="18" charset="0"/>
                                      </a:rPr>
                                      <m:t>𝑙𝑒𝑎𝑐ℎ</m:t>
                                    </m:r>
                                    <m:r>
                                      <a:rPr lang="en-AU" sz="1000" i="1">
                                        <a:latin typeface="Cambria Math" panose="02040503050406030204" pitchFamily="18" charset="0"/>
                                      </a:rPr>
                                      <m:t>,</m:t>
                                    </m:r>
                                    <m:r>
                                      <a:rPr lang="en-AU" sz="1000" i="1">
                                        <a:latin typeface="Cambria Math" panose="02040503050406030204" pitchFamily="18" charset="0"/>
                                      </a:rPr>
                                      <m:t>𝑜𝑟𝑔𝑎𝑛𝑖𝑐</m:t>
                                    </m:r>
                                    <m:r>
                                      <a:rPr lang="en-AU" sz="1000" i="1">
                                        <a:latin typeface="Cambria Math" panose="02040503050406030204" pitchFamily="18" charset="0"/>
                                      </a:rPr>
                                      <m:t>,</m:t>
                                    </m:r>
                                    <m:r>
                                      <a:rPr lang="en-AU" sz="1000" i="1">
                                        <a:latin typeface="Cambria Math" panose="02040503050406030204" pitchFamily="18" charset="0"/>
                                      </a:rPr>
                                      <m:t>𝑗</m:t>
                                    </m:r>
                                  </m:sub>
                                </m:sSub>
                              </m:e>
                            </m:d>
                            <m:r>
                              <a:rPr lang="en-AU" sz="1000" i="1">
                                <a:latin typeface="Cambria Math" panose="02040503050406030204" pitchFamily="18" charset="0"/>
                              </a:rPr>
                              <m:t>×</m:t>
                            </m:r>
                            <m:r>
                              <a:rPr lang="en-AU" sz="1000" i="1">
                                <a:latin typeface="Cambria Math" panose="02040503050406030204" pitchFamily="18" charset="0"/>
                              </a:rPr>
                              <m:t>𝐸</m:t>
                            </m:r>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𝑙𝑒𝑎𝑐ℎ</m:t>
                                </m:r>
                              </m:sub>
                            </m:sSub>
                            <m:r>
                              <a:rPr lang="en-AU" sz="1000" i="1">
                                <a:latin typeface="Cambria Math" panose="02040503050406030204" pitchFamily="18" charset="0"/>
                              </a:rPr>
                              <m:t>×</m:t>
                            </m:r>
                            <m:sSub>
                              <m:sSubPr>
                                <m:ctrlPr>
                                  <a:rPr lang="en-AU" sz="1000" i="1">
                                    <a:latin typeface="Cambria Math" panose="02040503050406030204" pitchFamily="18" charset="0"/>
                                  </a:rPr>
                                </m:ctrlPr>
                              </m:sSubPr>
                              <m:e>
                                <m:r>
                                  <a:rPr lang="en-AU" sz="1000" i="1">
                                    <a:latin typeface="Cambria Math" panose="02040503050406030204" pitchFamily="18" charset="0"/>
                                  </a:rPr>
                                  <m:t>𝐶</m:t>
                                </m:r>
                              </m:e>
                              <m:sub>
                                <m:r>
                                  <a:rPr lang="en-AU" sz="1000" i="1">
                                    <a:latin typeface="Cambria Math" panose="02040503050406030204" pitchFamily="18" charset="0"/>
                                  </a:rPr>
                                  <m:t>𝑁</m:t>
                                </m:r>
                                <m:r>
                                  <a:rPr lang="en-AU" sz="1000" i="1">
                                    <a:latin typeface="Cambria Math" panose="02040503050406030204" pitchFamily="18" charset="0"/>
                                  </a:rPr>
                                  <m:t>2</m:t>
                                </m:r>
                                <m:r>
                                  <a:rPr lang="en-AU" sz="1000" i="1">
                                    <a:latin typeface="Cambria Math" panose="02040503050406030204" pitchFamily="18" charset="0"/>
                                  </a:rPr>
                                  <m:t>𝑂</m:t>
                                </m:r>
                              </m:sub>
                            </m:sSub>
                            <m:r>
                              <a:rPr lang="en-AU" sz="1000" i="1">
                                <a:latin typeface="Cambria Math" panose="02040503050406030204" pitchFamily="18" charset="0"/>
                              </a:rPr>
                              <m:t>×</m:t>
                            </m:r>
                            <m:sSup>
                              <m:sSupPr>
                                <m:ctrlPr>
                                  <a:rPr lang="en-AU" sz="1000" i="1">
                                    <a:latin typeface="Cambria Math" panose="02040503050406030204" pitchFamily="18" charset="0"/>
                                  </a:rPr>
                                </m:ctrlPr>
                              </m:sSupPr>
                              <m:e>
                                <m:r>
                                  <a:rPr lang="en-AU" sz="1000" i="1">
                                    <a:latin typeface="Cambria Math" panose="02040503050406030204" pitchFamily="18" charset="0"/>
                                  </a:rPr>
                                  <m:t>10</m:t>
                                </m:r>
                              </m:e>
                              <m:sup>
                                <m:r>
                                  <a:rPr lang="en-AU" sz="1000" i="1">
                                    <a:latin typeface="Cambria Math" panose="02040503050406030204" pitchFamily="18" charset="0"/>
                                  </a:rPr>
                                  <m:t>−3</m:t>
                                </m:r>
                              </m:sup>
                            </m:sSup>
                          </m:e>
                        </m:d>
                      </m:e>
                    </m:nary>
                  </m:oMath>
                </m:oMathPara>
              </a14:m>
              <a:endParaRPr lang="en-AU" sz="1000"/>
            </a:p>
          </xdr:txBody>
        </xdr:sp>
      </mc:Choice>
      <mc:Fallback xmlns="">
        <xdr:sp macro="" textlink="">
          <xdr:nvSpPr>
            <xdr:cNvPr id="4" name="TextBox 3">
              <a:extLst>
                <a:ext uri="{FF2B5EF4-FFF2-40B4-BE49-F238E27FC236}">
                  <a16:creationId xmlns:a16="http://schemas.microsoft.com/office/drawing/2014/main" id="{820D8A00-61BF-4385-A30A-345588658A49}"/>
                </a:ext>
              </a:extLst>
            </xdr:cNvPr>
            <xdr:cNvSpPr txBox="1"/>
          </xdr:nvSpPr>
          <xdr:spPr>
            <a:xfrm>
              <a:off x="2690812" y="20750212"/>
              <a:ext cx="4870692"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𝐸_(𝑓𝑒𝑟𝑡,𝑙𝑒𝑎𝑐ℎ)=∑_𝑗▒((𝑀_(𝑙𝑒𝑎𝑐ℎ,𝑖𝑛𝑜𝑟𝑔𝑎𝑛𝑖𝑐,𝑗)+𝑀_(𝑙𝑒𝑎𝑐ℎ,𝑜𝑟𝑔𝑎𝑛𝑖𝑐,𝑗) )×𝐸𝐹_𝑙𝑒𝑎𝑐ℎ×𝐶_𝑁2𝑂×10^(−3) ) </a:t>
              </a:r>
              <a:endParaRPr lang="en-AU" sz="1000"/>
            </a:p>
          </xdr:txBody>
        </xdr:sp>
      </mc:Fallback>
    </mc:AlternateContent>
    <xdr:clientData/>
  </xdr:oneCellAnchor>
</xdr:wsDr>
</file>

<file path=xl/drawings/drawing14.xml><?xml version="1.0" encoding="utf-8"?>
<xdr:wsDr xmlns:xdr="http://schemas.openxmlformats.org/drawingml/2006/spreadsheetDrawing" xmlns:a="http://schemas.openxmlformats.org/drawingml/2006/main">
  <xdr:oneCellAnchor>
    <xdr:from>
      <xdr:col>2</xdr:col>
      <xdr:colOff>238125</xdr:colOff>
      <xdr:row>27</xdr:row>
      <xdr:rowOff>9525</xdr:rowOff>
    </xdr:from>
    <xdr:ext cx="2609850" cy="331116"/>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A3215D7D-7611-40C3-88E3-E2AD8D043FE6}"/>
                </a:ext>
              </a:extLst>
            </xdr:cNvPr>
            <xdr:cNvSpPr txBox="1"/>
          </xdr:nvSpPr>
          <xdr:spPr>
            <a:xfrm>
              <a:off x="2600325" y="6829425"/>
              <a:ext cx="2609850" cy="33111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14:m>
                <m:oMathPara xmlns:m="http://schemas.openxmlformats.org/officeDocument/2006/math">
                  <m:oMath>
                    <m:sSub>
                      <m:sSubPr>
                        <m:ctrlPr>
                          <a:rPr lang="en-AU" sz="1000" b="0" i="1">
                            <a:latin typeface="Cambria Math" panose="02040503050406030204" pitchFamily="18" charset="0"/>
                          </a:rPr>
                        </m:ctrlPr>
                      </m:sSubPr>
                      <m:e>
                        <m:r>
                          <a:rPr lang="en-AU" sz="1000" b="0" i="1">
                            <a:latin typeface="Cambria Math" panose="02040503050406030204" pitchFamily="18" charset="0"/>
                          </a:rPr>
                          <m:t>𝐸</m:t>
                        </m:r>
                      </m:e>
                      <m:sub>
                        <m:r>
                          <a:rPr lang="en-AU" sz="1000" b="0" i="1">
                            <a:latin typeface="Cambria Math" panose="02040503050406030204" pitchFamily="18" charset="0"/>
                          </a:rPr>
                          <m:t>𝑁</m:t>
                        </m:r>
                        <m:r>
                          <a:rPr lang="en-AU" sz="1000" b="0" i="1">
                            <a:latin typeface="Cambria Math" panose="02040503050406030204" pitchFamily="18" charset="0"/>
                          </a:rPr>
                          <m:t>2</m:t>
                        </m:r>
                        <m:r>
                          <a:rPr lang="en-AU" sz="1000" b="0" i="1">
                            <a:latin typeface="Cambria Math" panose="02040503050406030204" pitchFamily="18" charset="0"/>
                          </a:rPr>
                          <m:t>𝑂</m:t>
                        </m:r>
                      </m:sub>
                    </m:sSub>
                    <m:r>
                      <a:rPr lang="en-AU" sz="1000" b="0" i="1">
                        <a:latin typeface="Cambria Math" panose="02040503050406030204" pitchFamily="18" charset="0"/>
                      </a:rPr>
                      <m:t>=</m:t>
                    </m:r>
                    <m:nary>
                      <m:naryPr>
                        <m:chr m:val="∑"/>
                        <m:limLoc m:val="subSup"/>
                        <m:supHide m:val="on"/>
                        <m:ctrlPr>
                          <a:rPr lang="en-AU" sz="1000" b="0" i="1">
                            <a:latin typeface="Cambria Math" panose="02040503050406030204" pitchFamily="18" charset="0"/>
                          </a:rPr>
                        </m:ctrlPr>
                      </m:naryPr>
                      <m:sub>
                        <m:r>
                          <a:rPr lang="en-AU" sz="1000" b="0" i="1">
                            <a:latin typeface="Cambria Math" panose="02040503050406030204" pitchFamily="18" charset="0"/>
                          </a:rPr>
                          <m:t>𝑝</m:t>
                        </m:r>
                      </m:sub>
                      <m:sup/>
                      <m:e>
                        <m:d>
                          <m:dPr>
                            <m:ctrlPr>
                              <a:rPr lang="en-AU" sz="1000" b="0" i="1">
                                <a:latin typeface="Cambria Math" panose="02040503050406030204" pitchFamily="18" charset="0"/>
                              </a:rPr>
                            </m:ctrlPr>
                          </m:dPr>
                          <m:e>
                            <m:sSub>
                              <m:sSubPr>
                                <m:ctrlPr>
                                  <a:rPr lang="en-AU" sz="1000" b="0" i="1">
                                    <a:latin typeface="Cambria Math" panose="02040503050406030204" pitchFamily="18" charset="0"/>
                                  </a:rPr>
                                </m:ctrlPr>
                              </m:sSubPr>
                              <m:e>
                                <m:r>
                                  <a:rPr lang="en-AU" sz="1000" b="0" i="1">
                                    <a:latin typeface="Cambria Math" panose="02040503050406030204" pitchFamily="18" charset="0"/>
                                  </a:rPr>
                                  <m:t>𝑀</m:t>
                                </m:r>
                              </m:e>
                              <m:sub>
                                <m:r>
                                  <a:rPr lang="en-AU" sz="1000" b="0" i="1">
                                    <a:latin typeface="Cambria Math" panose="02040503050406030204" pitchFamily="18" charset="0"/>
                                  </a:rPr>
                                  <m:t>𝑝</m:t>
                                </m:r>
                              </m:sub>
                            </m:sSub>
                            <m:r>
                              <a:rPr lang="en-AU" sz="1000" b="0" i="1">
                                <a:latin typeface="Cambria Math" panose="02040503050406030204" pitchFamily="18" charset="0"/>
                              </a:rPr>
                              <m:t>×</m:t>
                            </m:r>
                            <m:r>
                              <a:rPr lang="en-AU" sz="1000" b="0" i="1">
                                <a:latin typeface="Cambria Math" panose="02040503050406030204" pitchFamily="18" charset="0"/>
                              </a:rPr>
                              <m:t>𝐸</m:t>
                            </m:r>
                            <m:sSub>
                              <m:sSubPr>
                                <m:ctrlPr>
                                  <a:rPr lang="en-AU" sz="1000" b="0" i="1">
                                    <a:latin typeface="Cambria Math" panose="02040503050406030204" pitchFamily="18" charset="0"/>
                                  </a:rPr>
                                </m:ctrlPr>
                              </m:sSubPr>
                              <m:e>
                                <m:r>
                                  <a:rPr lang="en-AU" sz="1000" b="0" i="1">
                                    <a:latin typeface="Cambria Math" panose="02040503050406030204" pitchFamily="18" charset="0"/>
                                  </a:rPr>
                                  <m:t>𝐹</m:t>
                                </m:r>
                              </m:e>
                              <m:sub>
                                <m:r>
                                  <a:rPr lang="en-AU" sz="1000" b="0" i="1">
                                    <a:latin typeface="Cambria Math" panose="02040503050406030204" pitchFamily="18" charset="0"/>
                                  </a:rPr>
                                  <m:t>𝑁𝑖</m:t>
                                </m:r>
                              </m:sub>
                            </m:sSub>
                          </m:e>
                        </m:d>
                      </m:e>
                    </m:nary>
                    <m:r>
                      <a:rPr lang="en-AU" sz="1000" b="0" i="1">
                        <a:latin typeface="Cambria Math" panose="02040503050406030204" pitchFamily="18" charset="0"/>
                      </a:rPr>
                      <m:t>×</m:t>
                    </m:r>
                    <m:sSub>
                      <m:sSubPr>
                        <m:ctrlPr>
                          <a:rPr lang="en-AU" sz="1000" b="0" i="1">
                            <a:latin typeface="Cambria Math" panose="02040503050406030204" pitchFamily="18" charset="0"/>
                          </a:rPr>
                        </m:ctrlPr>
                      </m:sSubPr>
                      <m:e>
                        <m:r>
                          <a:rPr lang="en-AU" sz="1000" b="0" i="1">
                            <a:latin typeface="Cambria Math" panose="02040503050406030204" pitchFamily="18" charset="0"/>
                          </a:rPr>
                          <m:t>𝐶</m:t>
                        </m:r>
                      </m:e>
                      <m:sub>
                        <m:r>
                          <a:rPr lang="en-AU" sz="1000" b="0" i="1">
                            <a:latin typeface="Cambria Math" panose="02040503050406030204" pitchFamily="18" charset="0"/>
                          </a:rPr>
                          <m:t>𝑁</m:t>
                        </m:r>
                        <m:r>
                          <a:rPr lang="en-AU" sz="1000" b="0" i="1">
                            <a:latin typeface="Cambria Math" panose="02040503050406030204" pitchFamily="18" charset="0"/>
                          </a:rPr>
                          <m:t>2</m:t>
                        </m:r>
                        <m:r>
                          <a:rPr lang="en-AU" sz="1000" b="0" i="1">
                            <a:latin typeface="Cambria Math" panose="02040503050406030204" pitchFamily="18" charset="0"/>
                          </a:rPr>
                          <m:t>𝑂</m:t>
                        </m:r>
                      </m:sub>
                    </m:sSub>
                    <m:r>
                      <a:rPr lang="en-AU" sz="1000" b="0" i="1">
                        <a:latin typeface="Cambria Math" panose="02040503050406030204" pitchFamily="18" charset="0"/>
                      </a:rPr>
                      <m:t>×</m:t>
                    </m:r>
                    <m:sSup>
                      <m:sSupPr>
                        <m:ctrlPr>
                          <a:rPr lang="en-AU" sz="1000" b="0" i="1">
                            <a:latin typeface="Cambria Math" panose="02040503050406030204" pitchFamily="18" charset="0"/>
                          </a:rPr>
                        </m:ctrlPr>
                      </m:sSupPr>
                      <m:e>
                        <m:r>
                          <a:rPr lang="en-AU" sz="1000" b="0" i="1">
                            <a:latin typeface="Cambria Math" panose="02040503050406030204" pitchFamily="18" charset="0"/>
                          </a:rPr>
                          <m:t>10</m:t>
                        </m:r>
                      </m:e>
                      <m:sup>
                        <m:r>
                          <a:rPr lang="en-AU" sz="1000" b="0" i="1">
                            <a:latin typeface="Cambria Math" panose="02040503050406030204" pitchFamily="18" charset="0"/>
                          </a:rPr>
                          <m:t>−3</m:t>
                        </m:r>
                      </m:sup>
                    </m:sSup>
                  </m:oMath>
                </m:oMathPara>
              </a14:m>
              <a:endParaRPr lang="en-AU" sz="1000"/>
            </a:p>
          </xdr:txBody>
        </xdr:sp>
      </mc:Choice>
      <mc:Fallback xmlns="">
        <xdr:sp macro="" textlink="">
          <xdr:nvSpPr>
            <xdr:cNvPr id="2" name="TextBox 1">
              <a:extLst>
                <a:ext uri="{FF2B5EF4-FFF2-40B4-BE49-F238E27FC236}">
                  <a16:creationId xmlns:a16="http://schemas.microsoft.com/office/drawing/2014/main" id="{A3215D7D-7611-40C3-88E3-E2AD8D043FE6}"/>
                </a:ext>
              </a:extLst>
            </xdr:cNvPr>
            <xdr:cNvSpPr txBox="1"/>
          </xdr:nvSpPr>
          <xdr:spPr>
            <a:xfrm>
              <a:off x="2600325" y="6829425"/>
              <a:ext cx="2609850" cy="33111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r>
                <a:rPr lang="en-AU" sz="1000" b="0" i="0">
                  <a:latin typeface="Cambria Math" panose="02040503050406030204" pitchFamily="18" charset="0"/>
                </a:rPr>
                <a:t>𝐸_𝑁2𝑂=∑2_𝑝▒(𝑀_𝑝×𝐸𝐹_𝑁𝑖 ) ×𝐶_𝑁2𝑂×10^(−3)</a:t>
              </a:r>
              <a:endParaRPr lang="en-AU" sz="1000"/>
            </a:p>
          </xdr:txBody>
        </xdr:sp>
      </mc:Fallback>
    </mc:AlternateContent>
    <xdr:clientData/>
  </xdr:oneCellAnchor>
  <xdr:oneCellAnchor>
    <xdr:from>
      <xdr:col>3</xdr:col>
      <xdr:colOff>19050</xdr:colOff>
      <xdr:row>7</xdr:row>
      <xdr:rowOff>104775</xdr:rowOff>
    </xdr:from>
    <xdr:ext cx="5445786" cy="194412"/>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AEAE49CB-36C2-47A4-97C0-42438D74C559}"/>
                </a:ext>
              </a:extLst>
            </xdr:cNvPr>
            <xdr:cNvSpPr txBox="1"/>
          </xdr:nvSpPr>
          <xdr:spPr>
            <a:xfrm>
              <a:off x="2695575" y="1971675"/>
              <a:ext cx="5445786" cy="19441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000" b="0" i="1">
                            <a:latin typeface="Cambria Math" panose="02040503050406030204" pitchFamily="18" charset="0"/>
                          </a:rPr>
                        </m:ctrlPr>
                      </m:sSubPr>
                      <m:e>
                        <m:r>
                          <a:rPr lang="en-AU" sz="1000" b="0" i="1">
                            <a:latin typeface="Cambria Math" panose="02040503050406030204" pitchFamily="18" charset="0"/>
                          </a:rPr>
                          <m:t>𝑀</m:t>
                        </m:r>
                      </m:e>
                      <m:sub>
                        <m:r>
                          <a:rPr lang="en-AU" sz="1000" b="0" i="1">
                            <a:latin typeface="Cambria Math" panose="02040503050406030204" pitchFamily="18" charset="0"/>
                          </a:rPr>
                          <m:t>𝑝</m:t>
                        </m:r>
                      </m:sub>
                    </m:sSub>
                    <m:r>
                      <a:rPr lang="en-AU" sz="1000" b="0" i="1">
                        <a:latin typeface="Cambria Math" panose="02040503050406030204" pitchFamily="18" charset="0"/>
                      </a:rPr>
                      <m:t>=</m:t>
                    </m:r>
                    <m:d>
                      <m:dPr>
                        <m:ctrlPr>
                          <a:rPr lang="en-AU" sz="1000" b="0" i="1">
                            <a:latin typeface="Cambria Math" panose="02040503050406030204" pitchFamily="18" charset="0"/>
                          </a:rPr>
                        </m:ctrlPr>
                      </m:dPr>
                      <m:e>
                        <m:sSub>
                          <m:sSubPr>
                            <m:ctrlPr>
                              <a:rPr lang="en-AU" sz="1000" b="0" i="1">
                                <a:latin typeface="Cambria Math" panose="02040503050406030204" pitchFamily="18" charset="0"/>
                              </a:rPr>
                            </m:ctrlPr>
                          </m:sSubPr>
                          <m:e>
                            <m:r>
                              <a:rPr lang="en-AU" sz="1000" b="0" i="1">
                                <a:latin typeface="Cambria Math" panose="02040503050406030204" pitchFamily="18" charset="0"/>
                              </a:rPr>
                              <m:t>𝐴</m:t>
                            </m:r>
                          </m:e>
                          <m:sub>
                            <m:r>
                              <a:rPr lang="en-AU" sz="1000" b="0" i="1">
                                <a:latin typeface="Cambria Math" panose="02040503050406030204" pitchFamily="18" charset="0"/>
                              </a:rPr>
                              <m:t>𝑝</m:t>
                            </m:r>
                          </m:sub>
                        </m:sSub>
                        <m:r>
                          <a:rPr lang="en-AU" sz="1000" b="0" i="1">
                            <a:latin typeface="Cambria Math" panose="02040503050406030204" pitchFamily="18" charset="0"/>
                          </a:rPr>
                          <m:t>×</m:t>
                        </m:r>
                        <m:d>
                          <m:dPr>
                            <m:ctrlPr>
                              <a:rPr lang="en-AU" sz="1000" b="0" i="1">
                                <a:latin typeface="Cambria Math" panose="02040503050406030204" pitchFamily="18" charset="0"/>
                              </a:rPr>
                            </m:ctrlPr>
                          </m:dPr>
                          <m:e>
                            <m:sSub>
                              <m:sSubPr>
                                <m:ctrlPr>
                                  <a:rPr lang="en-AU" sz="1000" b="0" i="1">
                                    <a:latin typeface="Cambria Math" panose="02040503050406030204" pitchFamily="18" charset="0"/>
                                  </a:rPr>
                                </m:ctrlPr>
                              </m:sSubPr>
                              <m:e>
                                <m:r>
                                  <a:rPr lang="en-AU" sz="1000" b="0" i="1">
                                    <a:latin typeface="Cambria Math" panose="02040503050406030204" pitchFamily="18" charset="0"/>
                                  </a:rPr>
                                  <m:t>𝑌</m:t>
                                </m:r>
                              </m:e>
                              <m:sub>
                                <m:r>
                                  <a:rPr lang="en-AU" sz="1000" b="0" i="1">
                                    <a:latin typeface="Cambria Math" panose="02040503050406030204" pitchFamily="18" charset="0"/>
                                  </a:rPr>
                                  <m:t>𝑝</m:t>
                                </m:r>
                              </m:sub>
                            </m:sSub>
                            <m:r>
                              <a:rPr lang="en-AU" sz="1000" b="0" i="1">
                                <a:latin typeface="Cambria Math" panose="02040503050406030204" pitchFamily="18" charset="0"/>
                              </a:rPr>
                              <m:t>×</m:t>
                            </m:r>
                            <m:sSup>
                              <m:sSupPr>
                                <m:ctrlPr>
                                  <a:rPr lang="en-AU" sz="1000" b="0" i="1">
                                    <a:latin typeface="Cambria Math" panose="02040503050406030204" pitchFamily="18" charset="0"/>
                                  </a:rPr>
                                </m:ctrlPr>
                              </m:sSupPr>
                              <m:e>
                                <m:r>
                                  <a:rPr lang="en-AU" sz="1000" b="0" i="1">
                                    <a:latin typeface="Cambria Math" panose="02040503050406030204" pitchFamily="18" charset="0"/>
                                  </a:rPr>
                                  <m:t>10</m:t>
                                </m:r>
                              </m:e>
                              <m:sup>
                                <m:r>
                                  <a:rPr lang="en-AU" sz="1000" b="0" i="1">
                                    <a:latin typeface="Cambria Math" panose="02040503050406030204" pitchFamily="18" charset="0"/>
                                  </a:rPr>
                                  <m:t>−3</m:t>
                                </m:r>
                              </m:sup>
                            </m:sSup>
                          </m:e>
                        </m:d>
                        <m:r>
                          <a:rPr lang="en-AU" sz="1000" b="0" i="1">
                            <a:latin typeface="Cambria Math" panose="02040503050406030204" pitchFamily="18" charset="0"/>
                          </a:rPr>
                          <m:t>×</m:t>
                        </m:r>
                        <m:d>
                          <m:dPr>
                            <m:ctrlPr>
                              <a:rPr lang="en-AU" sz="1000" b="0" i="1">
                                <a:latin typeface="Cambria Math" panose="02040503050406030204" pitchFamily="18" charset="0"/>
                              </a:rPr>
                            </m:ctrlPr>
                          </m:dPr>
                          <m:e>
                            <m:r>
                              <a:rPr lang="en-AU" sz="1000" b="0" i="1">
                                <a:latin typeface="Cambria Math" panose="02040503050406030204" pitchFamily="18" charset="0"/>
                              </a:rPr>
                              <m:t>1−</m:t>
                            </m:r>
                            <m:r>
                              <a:rPr lang="en-AU" sz="1000" b="0" i="1">
                                <a:latin typeface="Cambria Math" panose="02040503050406030204" pitchFamily="18" charset="0"/>
                              </a:rPr>
                              <m:t>𝐹𝐹𝑂</m:t>
                            </m:r>
                            <m:sSub>
                              <m:sSubPr>
                                <m:ctrlPr>
                                  <a:rPr lang="en-AU" sz="1000" b="0" i="1">
                                    <a:latin typeface="Cambria Math" panose="02040503050406030204" pitchFamily="18" charset="0"/>
                                  </a:rPr>
                                </m:ctrlPr>
                              </m:sSubPr>
                              <m:e>
                                <m:r>
                                  <a:rPr lang="en-AU" sz="1000" b="0" i="1">
                                    <a:latin typeface="Cambria Math" panose="02040503050406030204" pitchFamily="18" charset="0"/>
                                  </a:rPr>
                                  <m:t>𝐷</m:t>
                                </m:r>
                              </m:e>
                              <m:sub>
                                <m:r>
                                  <a:rPr lang="en-AU" sz="1000" b="0" i="1">
                                    <a:latin typeface="Cambria Math" panose="02040503050406030204" pitchFamily="18" charset="0"/>
                                  </a:rPr>
                                  <m:t>𝑝</m:t>
                                </m:r>
                              </m:sub>
                            </m:sSub>
                          </m:e>
                        </m:d>
                        <m:r>
                          <a:rPr lang="en-AU" sz="1000" b="0" i="1">
                            <a:latin typeface="Cambria Math" panose="02040503050406030204" pitchFamily="18" charset="0"/>
                          </a:rPr>
                          <m:t>×</m:t>
                        </m:r>
                        <m:r>
                          <a:rPr lang="en-AU" sz="1000" b="0" i="1">
                            <a:latin typeface="Cambria Math" panose="02040503050406030204" pitchFamily="18" charset="0"/>
                          </a:rPr>
                          <m:t>𝑁</m:t>
                        </m:r>
                        <m:sSub>
                          <m:sSubPr>
                            <m:ctrlPr>
                              <a:rPr lang="en-AU" sz="1000" b="0" i="1">
                                <a:latin typeface="Cambria Math" panose="02040503050406030204" pitchFamily="18" charset="0"/>
                              </a:rPr>
                            </m:ctrlPr>
                          </m:sSubPr>
                          <m:e>
                            <m:r>
                              <a:rPr lang="en-AU" sz="1000" b="0" i="1">
                                <a:latin typeface="Cambria Math" panose="02040503050406030204" pitchFamily="18" charset="0"/>
                              </a:rPr>
                              <m:t>𝐶</m:t>
                            </m:r>
                          </m:e>
                          <m:sub>
                            <m:r>
                              <a:rPr lang="en-AU" sz="1000" b="0" i="1">
                                <a:latin typeface="Cambria Math" panose="02040503050406030204" pitchFamily="18" charset="0"/>
                              </a:rPr>
                              <m:t>𝐴𝐺𝑝</m:t>
                            </m:r>
                          </m:sub>
                        </m:sSub>
                      </m:e>
                    </m:d>
                    <m:r>
                      <a:rPr lang="en-AU" sz="1000" b="0" i="1">
                        <a:latin typeface="Cambria Math" panose="02040503050406030204" pitchFamily="18" charset="0"/>
                      </a:rPr>
                      <m:t>+</m:t>
                    </m:r>
                    <m:d>
                      <m:dPr>
                        <m:ctrlPr>
                          <a:rPr lang="en-AU" sz="1000" b="0" i="1">
                            <a:latin typeface="Cambria Math" panose="02040503050406030204" pitchFamily="18" charset="0"/>
                          </a:rPr>
                        </m:ctrlPr>
                      </m:dPr>
                      <m:e>
                        <m:sSub>
                          <m:sSubPr>
                            <m:ctrlPr>
                              <a:rPr lang="en-AU" sz="1000" b="0" i="1">
                                <a:latin typeface="Cambria Math" panose="02040503050406030204" pitchFamily="18" charset="0"/>
                              </a:rPr>
                            </m:ctrlPr>
                          </m:sSubPr>
                          <m:e>
                            <m:r>
                              <a:rPr lang="en-AU" sz="1000" b="0" i="1">
                                <a:latin typeface="Cambria Math" panose="02040503050406030204" pitchFamily="18" charset="0"/>
                              </a:rPr>
                              <m:t>𝐴</m:t>
                            </m:r>
                          </m:e>
                          <m:sub>
                            <m:r>
                              <a:rPr lang="en-AU" sz="1000" b="0" i="1">
                                <a:latin typeface="Cambria Math" panose="02040503050406030204" pitchFamily="18" charset="0"/>
                              </a:rPr>
                              <m:t>𝑝</m:t>
                            </m:r>
                          </m:sub>
                        </m:sSub>
                        <m:r>
                          <a:rPr lang="en-AU" sz="1000" b="0" i="1">
                            <a:latin typeface="Cambria Math" panose="02040503050406030204" pitchFamily="18" charset="0"/>
                          </a:rPr>
                          <m:t>×</m:t>
                        </m:r>
                        <m:d>
                          <m:dPr>
                            <m:ctrlPr>
                              <a:rPr lang="en-AU" sz="1000" b="0" i="1">
                                <a:latin typeface="Cambria Math" panose="02040503050406030204" pitchFamily="18" charset="0"/>
                              </a:rPr>
                            </m:ctrlPr>
                          </m:dPr>
                          <m:e>
                            <m:sSub>
                              <m:sSubPr>
                                <m:ctrlPr>
                                  <a:rPr lang="en-AU" sz="1000" b="0" i="1">
                                    <a:latin typeface="Cambria Math" panose="02040503050406030204" pitchFamily="18" charset="0"/>
                                  </a:rPr>
                                </m:ctrlPr>
                              </m:sSubPr>
                              <m:e>
                                <m:r>
                                  <a:rPr lang="en-AU" sz="1000" b="0" i="1">
                                    <a:latin typeface="Cambria Math" panose="02040503050406030204" pitchFamily="18" charset="0"/>
                                  </a:rPr>
                                  <m:t>𝑌</m:t>
                                </m:r>
                              </m:e>
                              <m:sub>
                                <m:r>
                                  <a:rPr lang="en-AU" sz="1000" b="0" i="1">
                                    <a:latin typeface="Cambria Math" panose="02040503050406030204" pitchFamily="18" charset="0"/>
                                  </a:rPr>
                                  <m:t>𝑝</m:t>
                                </m:r>
                              </m:sub>
                            </m:sSub>
                            <m:r>
                              <a:rPr lang="en-AU" sz="1000" b="0" i="1">
                                <a:latin typeface="Cambria Math" panose="02040503050406030204" pitchFamily="18" charset="0"/>
                              </a:rPr>
                              <m:t>×</m:t>
                            </m:r>
                            <m:sSup>
                              <m:sSupPr>
                                <m:ctrlPr>
                                  <a:rPr lang="en-AU" sz="1000" b="0" i="1">
                                    <a:latin typeface="Cambria Math" panose="02040503050406030204" pitchFamily="18" charset="0"/>
                                  </a:rPr>
                                </m:ctrlPr>
                              </m:sSupPr>
                              <m:e>
                                <m:r>
                                  <a:rPr lang="en-AU" sz="1000" b="0" i="1">
                                    <a:latin typeface="Cambria Math" panose="02040503050406030204" pitchFamily="18" charset="0"/>
                                  </a:rPr>
                                  <m:t>10</m:t>
                                </m:r>
                              </m:e>
                              <m:sup>
                                <m:r>
                                  <a:rPr lang="en-AU" sz="1000" b="0" i="1">
                                    <a:latin typeface="Cambria Math" panose="02040503050406030204" pitchFamily="18" charset="0"/>
                                  </a:rPr>
                                  <m:t>−3</m:t>
                                </m:r>
                              </m:sup>
                            </m:sSup>
                          </m:e>
                        </m:d>
                        <m:r>
                          <a:rPr lang="en-AU" sz="1000" b="0" i="1">
                            <a:latin typeface="Cambria Math" panose="02040503050406030204" pitchFamily="18" charset="0"/>
                          </a:rPr>
                          <m:t>×</m:t>
                        </m:r>
                        <m:sSub>
                          <m:sSubPr>
                            <m:ctrlPr>
                              <a:rPr lang="en-AU" sz="1000" b="0" i="1">
                                <a:latin typeface="Cambria Math" panose="02040503050406030204" pitchFamily="18" charset="0"/>
                              </a:rPr>
                            </m:ctrlPr>
                          </m:sSubPr>
                          <m:e>
                            <m:r>
                              <a:rPr lang="en-AU" sz="1000" b="0" i="1">
                                <a:latin typeface="Cambria Math" panose="02040503050406030204" pitchFamily="18" charset="0"/>
                              </a:rPr>
                              <m:t>𝑅</m:t>
                            </m:r>
                          </m:e>
                          <m:sub>
                            <m:r>
                              <a:rPr lang="en-AU" sz="1000" b="0" i="1">
                                <a:latin typeface="Cambria Math" panose="02040503050406030204" pitchFamily="18" charset="0"/>
                              </a:rPr>
                              <m:t>𝐵𝐺𝑝</m:t>
                            </m:r>
                          </m:sub>
                        </m:sSub>
                        <m:r>
                          <a:rPr lang="en-AU" sz="1000" b="0" i="1">
                            <a:latin typeface="Cambria Math" panose="02040503050406030204" pitchFamily="18" charset="0"/>
                          </a:rPr>
                          <m:t>×</m:t>
                        </m:r>
                        <m:r>
                          <a:rPr lang="en-AU" sz="1000" b="0" i="1">
                            <a:latin typeface="Cambria Math" panose="02040503050406030204" pitchFamily="18" charset="0"/>
                          </a:rPr>
                          <m:t>𝑁</m:t>
                        </m:r>
                        <m:sSub>
                          <m:sSubPr>
                            <m:ctrlPr>
                              <a:rPr lang="en-AU" sz="1000" b="0" i="1">
                                <a:latin typeface="Cambria Math" panose="02040503050406030204" pitchFamily="18" charset="0"/>
                              </a:rPr>
                            </m:ctrlPr>
                          </m:sSubPr>
                          <m:e>
                            <m:r>
                              <a:rPr lang="en-AU" sz="1000" b="0" i="1">
                                <a:latin typeface="Cambria Math" panose="02040503050406030204" pitchFamily="18" charset="0"/>
                              </a:rPr>
                              <m:t>𝐶</m:t>
                            </m:r>
                          </m:e>
                          <m:sub>
                            <m:r>
                              <a:rPr lang="en-AU" sz="1000" b="0" i="1">
                                <a:latin typeface="Cambria Math" panose="02040503050406030204" pitchFamily="18" charset="0"/>
                              </a:rPr>
                              <m:t>𝐵𝐺𝑝</m:t>
                            </m:r>
                          </m:sub>
                        </m:sSub>
                      </m:e>
                    </m:d>
                  </m:oMath>
                </m:oMathPara>
              </a14:m>
              <a:endParaRPr lang="en-AU" sz="1000"/>
            </a:p>
          </xdr:txBody>
        </xdr:sp>
      </mc:Choice>
      <mc:Fallback xmlns="">
        <xdr:sp macro="" textlink="">
          <xdr:nvSpPr>
            <xdr:cNvPr id="3" name="TextBox 2">
              <a:extLst>
                <a:ext uri="{FF2B5EF4-FFF2-40B4-BE49-F238E27FC236}">
                  <a16:creationId xmlns:a16="http://schemas.microsoft.com/office/drawing/2014/main" id="{AEAE49CB-36C2-47A4-97C0-42438D74C559}"/>
                </a:ext>
              </a:extLst>
            </xdr:cNvPr>
            <xdr:cNvSpPr txBox="1"/>
          </xdr:nvSpPr>
          <xdr:spPr>
            <a:xfrm>
              <a:off x="2695575" y="1971675"/>
              <a:ext cx="5445786" cy="19441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b="0" i="0">
                  <a:latin typeface="Cambria Math" panose="02040503050406030204" pitchFamily="18" charset="0"/>
                </a:rPr>
                <a:t>𝑀_𝑝=(𝐴_𝑝×(𝑌_𝑝×10^(−3) )×(1−𝐹𝐹𝑂𝐷_𝑝 )×𝑁𝐶_𝐴𝐺𝑝 )+(𝐴_𝑝×(𝑌_𝑝×10^(−3) )×𝑅_𝐵𝐺𝑝×𝑁𝐶_𝐵𝐺𝑝 )</a:t>
              </a:r>
              <a:endParaRPr lang="en-AU" sz="1000"/>
            </a:p>
          </xdr:txBody>
        </xdr:sp>
      </mc:Fallback>
    </mc:AlternateContent>
    <xdr:clientData/>
  </xdr:oneCellAnchor>
  <xdr:oneCellAnchor>
    <xdr:from>
      <xdr:col>12</xdr:col>
      <xdr:colOff>238125</xdr:colOff>
      <xdr:row>27</xdr:row>
      <xdr:rowOff>9525</xdr:rowOff>
    </xdr:from>
    <xdr:ext cx="2609850" cy="429348"/>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C9507678-7198-44DF-B18D-93B3AAF4A398}"/>
                </a:ext>
              </a:extLst>
            </xdr:cNvPr>
            <xdr:cNvSpPr txBox="1"/>
          </xdr:nvSpPr>
          <xdr:spPr>
            <a:xfrm>
              <a:off x="17878425" y="6829425"/>
              <a:ext cx="2609850" cy="42934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14:m>
                <m:oMathPara xmlns:m="http://schemas.openxmlformats.org/officeDocument/2006/math">
                  <m:oMath>
                    <m:sSub>
                      <m:sSubPr>
                        <m:ctrlPr>
                          <a:rPr lang="en-AU" sz="1000" b="0" i="1">
                            <a:latin typeface="Cambria Math" panose="02040503050406030204" pitchFamily="18" charset="0"/>
                          </a:rPr>
                        </m:ctrlPr>
                      </m:sSubPr>
                      <m:e>
                        <m:r>
                          <a:rPr lang="en-AU" sz="1000" b="0" i="1">
                            <a:latin typeface="Cambria Math" panose="02040503050406030204" pitchFamily="18" charset="0"/>
                          </a:rPr>
                          <m:t>𝐸</m:t>
                        </m:r>
                      </m:e>
                      <m:sub>
                        <m:r>
                          <a:rPr lang="en-AU" sz="1000" b="0" i="1">
                            <a:latin typeface="Cambria Math" panose="02040503050406030204" pitchFamily="18" charset="0"/>
                          </a:rPr>
                          <m:t>𝑁</m:t>
                        </m:r>
                        <m:r>
                          <a:rPr lang="en-AU" sz="1000" b="0" i="1">
                            <a:latin typeface="Cambria Math" panose="02040503050406030204" pitchFamily="18" charset="0"/>
                          </a:rPr>
                          <m:t>2</m:t>
                        </m:r>
                        <m:r>
                          <m:rPr>
                            <m:sty m:val="p"/>
                          </m:rPr>
                          <a:rPr lang="en-AU" sz="1000" b="0" i="1">
                            <a:latin typeface="Cambria Math" panose="02040503050406030204" pitchFamily="18" charset="0"/>
                          </a:rPr>
                          <m:t>O</m:t>
                        </m:r>
                      </m:sub>
                    </m:sSub>
                    <m:r>
                      <a:rPr lang="en-AU" sz="1000" b="0" i="1">
                        <a:latin typeface="Cambria Math" panose="02040503050406030204" pitchFamily="18" charset="0"/>
                      </a:rPr>
                      <m:t>=</m:t>
                    </m:r>
                    <m:nary>
                      <m:naryPr>
                        <m:chr m:val="∑"/>
                        <m:supHide m:val="on"/>
                        <m:ctrlPr>
                          <a:rPr lang="en-AU" sz="1000" b="0" i="1">
                            <a:latin typeface="Cambria Math" panose="02040503050406030204" pitchFamily="18" charset="0"/>
                          </a:rPr>
                        </m:ctrlPr>
                      </m:naryPr>
                      <m:sub>
                        <m:r>
                          <a:rPr lang="en-AU" sz="1000" b="0" i="1">
                            <a:latin typeface="Cambria Math" panose="02040503050406030204" pitchFamily="18" charset="0"/>
                          </a:rPr>
                          <m:t>𝑝</m:t>
                        </m:r>
                      </m:sub>
                      <m:sup/>
                      <m:e>
                        <m:d>
                          <m:dPr>
                            <m:ctrlPr>
                              <a:rPr lang="en-AU" sz="1000" b="0" i="1">
                                <a:latin typeface="Cambria Math" panose="02040503050406030204" pitchFamily="18" charset="0"/>
                              </a:rPr>
                            </m:ctrlPr>
                          </m:dPr>
                          <m:e>
                            <m:sSub>
                              <m:sSubPr>
                                <m:ctrlPr>
                                  <a:rPr lang="en-AU" sz="1000" b="0" i="1">
                                    <a:latin typeface="Cambria Math" panose="02040503050406030204" pitchFamily="18" charset="0"/>
                                  </a:rPr>
                                </m:ctrlPr>
                              </m:sSubPr>
                              <m:e>
                                <m:r>
                                  <a:rPr lang="en-AU" sz="1000" b="0" i="1">
                                    <a:latin typeface="Cambria Math" panose="02040503050406030204" pitchFamily="18" charset="0"/>
                                  </a:rPr>
                                  <m:t>𝑀</m:t>
                                </m:r>
                              </m:e>
                              <m:sub>
                                <m:r>
                                  <a:rPr lang="en-AU" sz="1000" b="0" i="1">
                                    <a:latin typeface="Cambria Math" panose="02040503050406030204" pitchFamily="18" charset="0"/>
                                  </a:rPr>
                                  <m:t>𝑝</m:t>
                                </m:r>
                              </m:sub>
                            </m:sSub>
                            <m:r>
                              <a:rPr lang="en-AU" sz="1000" b="0" i="1">
                                <a:latin typeface="Cambria Math" panose="02040503050406030204" pitchFamily="18" charset="0"/>
                              </a:rPr>
                              <m:t>×</m:t>
                            </m:r>
                            <m:r>
                              <a:rPr lang="en-AU" sz="1000" b="0" i="1">
                                <a:latin typeface="Cambria Math" panose="02040503050406030204" pitchFamily="18" charset="0"/>
                              </a:rPr>
                              <m:t>𝐸</m:t>
                            </m:r>
                            <m:sSub>
                              <m:sSubPr>
                                <m:ctrlPr>
                                  <a:rPr lang="en-AU" sz="1000" b="0" i="1">
                                    <a:latin typeface="Cambria Math" panose="02040503050406030204" pitchFamily="18" charset="0"/>
                                  </a:rPr>
                                </m:ctrlPr>
                              </m:sSubPr>
                              <m:e>
                                <m:r>
                                  <a:rPr lang="en-AU" sz="1000" b="0" i="1">
                                    <a:latin typeface="Cambria Math" panose="02040503050406030204" pitchFamily="18" charset="0"/>
                                  </a:rPr>
                                  <m:t>𝐹</m:t>
                                </m:r>
                              </m:e>
                              <m:sub>
                                <m:r>
                                  <a:rPr lang="en-AU" sz="1000" b="0" i="1">
                                    <a:latin typeface="Cambria Math" panose="02040503050406030204" pitchFamily="18" charset="0"/>
                                  </a:rPr>
                                  <m:t>𝑁𝑖</m:t>
                                </m:r>
                              </m:sub>
                            </m:sSub>
                            <m:r>
                              <a:rPr lang="en-AU" sz="1000" b="0" i="1">
                                <a:latin typeface="Cambria Math" panose="02040503050406030204" pitchFamily="18" charset="0"/>
                              </a:rPr>
                              <m:t>×</m:t>
                            </m:r>
                            <m:sSub>
                              <m:sSubPr>
                                <m:ctrlPr>
                                  <a:rPr lang="en-AU" sz="1000" b="0" i="1">
                                    <a:latin typeface="Cambria Math" panose="02040503050406030204" pitchFamily="18" charset="0"/>
                                  </a:rPr>
                                </m:ctrlPr>
                              </m:sSubPr>
                              <m:e>
                                <m:r>
                                  <a:rPr lang="en-AU" sz="1000" b="0" i="1">
                                    <a:latin typeface="Cambria Math" panose="02040503050406030204" pitchFamily="18" charset="0"/>
                                  </a:rPr>
                                  <m:t>𝐶</m:t>
                                </m:r>
                              </m:e>
                              <m:sub>
                                <m:r>
                                  <a:rPr lang="en-AU" sz="1000" b="0" i="1">
                                    <a:latin typeface="Cambria Math" panose="02040503050406030204" pitchFamily="18" charset="0"/>
                                  </a:rPr>
                                  <m:t>𝑁</m:t>
                                </m:r>
                                <m:r>
                                  <a:rPr lang="en-AU" sz="1000" b="0" i="1">
                                    <a:latin typeface="Cambria Math" panose="02040503050406030204" pitchFamily="18" charset="0"/>
                                  </a:rPr>
                                  <m:t>2</m:t>
                                </m:r>
                                <m:r>
                                  <a:rPr lang="en-AU" sz="1000" b="0" i="1">
                                    <a:latin typeface="Cambria Math" panose="02040503050406030204" pitchFamily="18" charset="0"/>
                                  </a:rPr>
                                  <m:t>𝑂</m:t>
                                </m:r>
                              </m:sub>
                            </m:sSub>
                            <m:r>
                              <a:rPr lang="en-AU" sz="1000" b="0" i="1">
                                <a:latin typeface="Cambria Math" panose="02040503050406030204" pitchFamily="18" charset="0"/>
                              </a:rPr>
                              <m:t>×</m:t>
                            </m:r>
                            <m:sSup>
                              <m:sSupPr>
                                <m:ctrlPr>
                                  <a:rPr lang="en-AU" sz="1000" b="0" i="1">
                                    <a:latin typeface="Cambria Math" panose="02040503050406030204" pitchFamily="18" charset="0"/>
                                  </a:rPr>
                                </m:ctrlPr>
                              </m:sSupPr>
                              <m:e>
                                <m:r>
                                  <a:rPr lang="en-AU" sz="1000" b="0" i="1">
                                    <a:latin typeface="Cambria Math" panose="02040503050406030204" pitchFamily="18" charset="0"/>
                                  </a:rPr>
                                  <m:t>10</m:t>
                                </m:r>
                              </m:e>
                              <m:sup>
                                <m:r>
                                  <a:rPr lang="en-AU" sz="1000" b="0" i="1">
                                    <a:latin typeface="Cambria Math" panose="02040503050406030204" pitchFamily="18" charset="0"/>
                                  </a:rPr>
                                  <m:t>−3</m:t>
                                </m:r>
                              </m:sup>
                            </m:sSup>
                          </m:e>
                        </m:d>
                      </m:e>
                    </m:nary>
                  </m:oMath>
                </m:oMathPara>
              </a14:m>
              <a:endParaRPr lang="en-AU" sz="1000"/>
            </a:p>
          </xdr:txBody>
        </xdr:sp>
      </mc:Choice>
      <mc:Fallback xmlns="">
        <xdr:sp macro="" textlink="">
          <xdr:nvSpPr>
            <xdr:cNvPr id="4" name="TextBox 3">
              <a:extLst>
                <a:ext uri="{FF2B5EF4-FFF2-40B4-BE49-F238E27FC236}">
                  <a16:creationId xmlns:a16="http://schemas.microsoft.com/office/drawing/2014/main" id="{C9507678-7198-44DF-B18D-93B3AAF4A398}"/>
                </a:ext>
              </a:extLst>
            </xdr:cNvPr>
            <xdr:cNvSpPr txBox="1"/>
          </xdr:nvSpPr>
          <xdr:spPr>
            <a:xfrm>
              <a:off x="17878425" y="6829425"/>
              <a:ext cx="2609850" cy="42934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r>
                <a:rPr lang="en-AU" sz="1000" b="0" i="0">
                  <a:latin typeface="Cambria Math" panose="02040503050406030204" pitchFamily="18" charset="0"/>
                </a:rPr>
                <a:t>𝐸_𝑁2O=∑_𝑝▒(𝑀_𝑝×𝐸𝐹_𝑁𝑖×𝐶_𝑁2𝑂×10^(−3) ) </a:t>
              </a:r>
              <a:endParaRPr lang="en-AU" sz="1000"/>
            </a:p>
          </xdr:txBody>
        </xdr:sp>
      </mc:Fallback>
    </mc:AlternateContent>
    <xdr:clientData/>
  </xdr:oneCellAnchor>
</xdr:wsDr>
</file>

<file path=xl/drawings/drawing15.xml><?xml version="1.0" encoding="utf-8"?>
<xdr:wsDr xmlns:xdr="http://schemas.openxmlformats.org/drawingml/2006/spreadsheetDrawing" xmlns:a="http://schemas.openxmlformats.org/drawingml/2006/main">
  <xdr:oneCellAnchor>
    <xdr:from>
      <xdr:col>3</xdr:col>
      <xdr:colOff>9525</xdr:colOff>
      <xdr:row>7</xdr:row>
      <xdr:rowOff>161925</xdr:rowOff>
    </xdr:from>
    <xdr:ext cx="2692147" cy="182871"/>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F70312E8-39B9-48C1-AE70-9C3E8F03F340}"/>
                </a:ext>
              </a:extLst>
            </xdr:cNvPr>
            <xdr:cNvSpPr txBox="1"/>
          </xdr:nvSpPr>
          <xdr:spPr>
            <a:xfrm>
              <a:off x="2686050" y="2028825"/>
              <a:ext cx="2692147"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000" b="0" i="1" u="none" strike="noStrike">
                            <a:solidFill>
                              <a:schemeClr val="tx1"/>
                            </a:solidFill>
                            <a:effectLst/>
                            <a:latin typeface="Cambria Math" panose="02040503050406030204" pitchFamily="18" charset="0"/>
                            <a:ea typeface="+mn-ea"/>
                            <a:cs typeface="+mn-cs"/>
                          </a:rPr>
                        </m:ctrlPr>
                      </m:sSubPr>
                      <m:e>
                        <m:r>
                          <a:rPr lang="en-AU" sz="1000" b="0" i="1" u="none" strike="noStrike">
                            <a:solidFill>
                              <a:schemeClr val="tx1"/>
                            </a:solidFill>
                            <a:effectLst/>
                            <a:latin typeface="Cambria Math" panose="02040503050406030204" pitchFamily="18" charset="0"/>
                            <a:ea typeface="+mn-ea"/>
                            <a:cs typeface="+mn-cs"/>
                          </a:rPr>
                          <m:t>𝑀</m:t>
                        </m:r>
                      </m:e>
                      <m:sub>
                        <m:r>
                          <a:rPr lang="en-AU" sz="1000" b="0" i="1" u="none" strike="noStrike">
                            <a:solidFill>
                              <a:schemeClr val="tx1"/>
                            </a:solidFill>
                            <a:effectLst/>
                            <a:latin typeface="Cambria Math" panose="02040503050406030204" pitchFamily="18" charset="0"/>
                            <a:ea typeface="+mn-ea"/>
                            <a:cs typeface="+mn-cs"/>
                          </a:rPr>
                          <m:t>𝑙𝑒𝑎𝑐ℎ</m:t>
                        </m:r>
                        <m:r>
                          <a:rPr lang="en-AU" sz="1000" b="0" i="1" u="none" strike="noStrike">
                            <a:solidFill>
                              <a:schemeClr val="tx1"/>
                            </a:solidFill>
                            <a:effectLst/>
                            <a:latin typeface="Cambria Math" panose="02040503050406030204" pitchFamily="18" charset="0"/>
                            <a:ea typeface="+mn-ea"/>
                            <a:cs typeface="+mn-cs"/>
                          </a:rPr>
                          <m:t>,</m:t>
                        </m:r>
                        <m:r>
                          <a:rPr lang="en-AU" sz="1000" b="0" i="1" u="none" strike="noStrike">
                            <a:solidFill>
                              <a:schemeClr val="tx1"/>
                            </a:solidFill>
                            <a:effectLst/>
                            <a:latin typeface="Cambria Math" panose="02040503050406030204" pitchFamily="18" charset="0"/>
                            <a:ea typeface="+mn-ea"/>
                            <a:cs typeface="+mn-cs"/>
                          </a:rPr>
                          <m:t>𝑐𝑝</m:t>
                        </m:r>
                      </m:sub>
                    </m:sSub>
                    <m:r>
                      <a:rPr lang="en-AU" sz="1000" b="0" i="1" u="none" strike="noStrike">
                        <a:solidFill>
                          <a:schemeClr val="tx1"/>
                        </a:solidFill>
                        <a:effectLst/>
                        <a:latin typeface="Cambria Math" panose="02040503050406030204" pitchFamily="18" charset="0"/>
                        <a:ea typeface="+mn-ea"/>
                        <a:cs typeface="+mn-cs"/>
                      </a:rPr>
                      <m:t>=</m:t>
                    </m:r>
                    <m:sSub>
                      <m:sSubPr>
                        <m:ctrlPr>
                          <a:rPr lang="en-AU" sz="1000" b="0" i="1" u="none" strike="noStrike">
                            <a:solidFill>
                              <a:schemeClr val="tx1"/>
                            </a:solidFill>
                            <a:effectLst/>
                            <a:latin typeface="Cambria Math" panose="02040503050406030204" pitchFamily="18" charset="0"/>
                            <a:ea typeface="+mn-ea"/>
                            <a:cs typeface="+mn-cs"/>
                          </a:rPr>
                        </m:ctrlPr>
                      </m:sSubPr>
                      <m:e>
                        <m:r>
                          <a:rPr lang="en-AU" sz="1000" b="0" i="1" u="none" strike="noStrike">
                            <a:solidFill>
                              <a:schemeClr val="tx1"/>
                            </a:solidFill>
                            <a:effectLst/>
                            <a:latin typeface="Cambria Math" panose="02040503050406030204" pitchFamily="18" charset="0"/>
                            <a:ea typeface="+mn-ea"/>
                            <a:cs typeface="+mn-cs"/>
                          </a:rPr>
                          <m:t>𝑀</m:t>
                        </m:r>
                      </m:e>
                      <m:sub>
                        <m:r>
                          <a:rPr lang="en-AU" sz="1000" b="0" i="1" u="none" strike="noStrike">
                            <a:solidFill>
                              <a:schemeClr val="tx1"/>
                            </a:solidFill>
                            <a:effectLst/>
                            <a:latin typeface="Cambria Math" panose="02040503050406030204" pitchFamily="18" charset="0"/>
                            <a:ea typeface="+mn-ea"/>
                            <a:cs typeface="+mn-cs"/>
                          </a:rPr>
                          <m:t>𝑐𝑝</m:t>
                        </m:r>
                      </m:sub>
                    </m:sSub>
                    <m:r>
                      <a:rPr lang="en-AU" sz="1000" b="0" i="1" u="none" strike="noStrike">
                        <a:solidFill>
                          <a:schemeClr val="tx1"/>
                        </a:solidFill>
                        <a:effectLst/>
                        <a:latin typeface="Cambria Math" panose="02040503050406030204" pitchFamily="18" charset="0"/>
                        <a:ea typeface="+mn-ea"/>
                        <a:cs typeface="+mn-cs"/>
                      </a:rPr>
                      <m:t>×</m:t>
                    </m:r>
                    <m:r>
                      <a:rPr lang="en-AU" sz="1000" b="0" i="1" u="none" strike="noStrike">
                        <a:solidFill>
                          <a:schemeClr val="tx1"/>
                        </a:solidFill>
                        <a:effectLst/>
                        <a:latin typeface="Cambria Math" panose="02040503050406030204" pitchFamily="18" charset="0"/>
                        <a:ea typeface="+mn-ea"/>
                        <a:cs typeface="+mn-cs"/>
                      </a:rPr>
                      <m:t>𝐹𝑟𝑎𝑐𝑊𝐸</m:t>
                    </m:r>
                    <m:sSub>
                      <m:sSubPr>
                        <m:ctrlPr>
                          <a:rPr lang="en-AU" sz="1000" b="0" i="1" u="none" strike="noStrike">
                            <a:solidFill>
                              <a:schemeClr val="tx1"/>
                            </a:solidFill>
                            <a:effectLst/>
                            <a:latin typeface="Cambria Math" panose="02040503050406030204" pitchFamily="18" charset="0"/>
                            <a:ea typeface="+mn-ea"/>
                            <a:cs typeface="+mn-cs"/>
                          </a:rPr>
                        </m:ctrlPr>
                      </m:sSubPr>
                      <m:e>
                        <m:r>
                          <a:rPr lang="en-AU" sz="1000" b="0" i="1" u="none" strike="noStrike">
                            <a:solidFill>
                              <a:schemeClr val="tx1"/>
                            </a:solidFill>
                            <a:effectLst/>
                            <a:latin typeface="Cambria Math" panose="02040503050406030204" pitchFamily="18" charset="0"/>
                            <a:ea typeface="+mn-ea"/>
                            <a:cs typeface="+mn-cs"/>
                          </a:rPr>
                          <m:t>𝑇</m:t>
                        </m:r>
                      </m:e>
                      <m:sub>
                        <m:r>
                          <a:rPr lang="en-AU" sz="1000" b="0" i="1" u="none" strike="noStrike">
                            <a:solidFill>
                              <a:schemeClr val="tx1"/>
                            </a:solidFill>
                            <a:effectLst/>
                            <a:latin typeface="Cambria Math" panose="02040503050406030204" pitchFamily="18" charset="0"/>
                            <a:ea typeface="+mn-ea"/>
                            <a:cs typeface="+mn-cs"/>
                          </a:rPr>
                          <m:t>𝑗</m:t>
                        </m:r>
                      </m:sub>
                    </m:sSub>
                    <m:r>
                      <a:rPr lang="en-AU" sz="1000" b="0" i="1" u="none" strike="noStrike">
                        <a:solidFill>
                          <a:schemeClr val="tx1"/>
                        </a:solidFill>
                        <a:effectLst/>
                        <a:latin typeface="Cambria Math" panose="02040503050406030204" pitchFamily="18" charset="0"/>
                        <a:ea typeface="+mn-ea"/>
                        <a:cs typeface="+mn-cs"/>
                      </a:rPr>
                      <m:t>×</m:t>
                    </m:r>
                    <m:r>
                      <a:rPr lang="en-AU" sz="1000" b="0" i="1" u="none" strike="noStrike">
                        <a:solidFill>
                          <a:schemeClr val="tx1"/>
                        </a:solidFill>
                        <a:effectLst/>
                        <a:latin typeface="Cambria Math" panose="02040503050406030204" pitchFamily="18" charset="0"/>
                        <a:ea typeface="+mn-ea"/>
                        <a:cs typeface="+mn-cs"/>
                      </a:rPr>
                      <m:t>𝐹𝑟𝑎𝑐𝐿𝐸𝐴𝐶𝐻</m:t>
                    </m:r>
                  </m:oMath>
                </m:oMathPara>
              </a14:m>
              <a:endParaRPr lang="en-AU" sz="1000"/>
            </a:p>
          </xdr:txBody>
        </xdr:sp>
      </mc:Choice>
      <mc:Fallback xmlns="">
        <xdr:sp macro="" textlink="">
          <xdr:nvSpPr>
            <xdr:cNvPr id="2" name="TextBox 1">
              <a:extLst>
                <a:ext uri="{FF2B5EF4-FFF2-40B4-BE49-F238E27FC236}">
                  <a16:creationId xmlns:a16="http://schemas.microsoft.com/office/drawing/2014/main" id="{F70312E8-39B9-48C1-AE70-9C3E8F03F340}"/>
                </a:ext>
              </a:extLst>
            </xdr:cNvPr>
            <xdr:cNvSpPr txBox="1"/>
          </xdr:nvSpPr>
          <xdr:spPr>
            <a:xfrm>
              <a:off x="2686050" y="2028825"/>
              <a:ext cx="2692147"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b="0" i="0" u="none" strike="noStrike">
                  <a:solidFill>
                    <a:schemeClr val="tx1"/>
                  </a:solidFill>
                  <a:effectLst/>
                  <a:latin typeface="Cambria Math" panose="02040503050406030204" pitchFamily="18" charset="0"/>
                  <a:ea typeface="+mn-ea"/>
                  <a:cs typeface="+mn-cs"/>
                </a:rPr>
                <a:t>𝑀_(𝑙𝑒𝑎𝑐ℎ,𝑐𝑝)=𝑀_𝑐𝑝×𝐹𝑟𝑎𝑐𝑊𝐸𝑇_𝑗×𝐹𝑟𝑎𝑐𝐿𝐸𝐴𝐶𝐻</a:t>
              </a:r>
              <a:endParaRPr lang="en-AU" sz="1000"/>
            </a:p>
          </xdr:txBody>
        </xdr:sp>
      </mc:Fallback>
    </mc:AlternateContent>
    <xdr:clientData/>
  </xdr:oneCellAnchor>
  <xdr:oneCellAnchor>
    <xdr:from>
      <xdr:col>2</xdr:col>
      <xdr:colOff>300037</xdr:colOff>
      <xdr:row>30</xdr:row>
      <xdr:rowOff>38100</xdr:rowOff>
    </xdr:from>
    <xdr:ext cx="3220561" cy="331501"/>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AC7C4B36-7074-49D6-BBC2-8872CC74C162}"/>
                </a:ext>
              </a:extLst>
            </xdr:cNvPr>
            <xdr:cNvSpPr txBox="1"/>
          </xdr:nvSpPr>
          <xdr:spPr>
            <a:xfrm>
              <a:off x="2662237" y="7600950"/>
              <a:ext cx="3220561" cy="33150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000" i="1">
                            <a:latin typeface="Cambria Math" panose="02040503050406030204" pitchFamily="18" charset="0"/>
                          </a:rPr>
                        </m:ctrlPr>
                      </m:sSubPr>
                      <m:e>
                        <m:r>
                          <a:rPr lang="en-AU" sz="1000" i="1">
                            <a:latin typeface="Cambria Math" panose="02040503050406030204" pitchFamily="18" charset="0"/>
                          </a:rPr>
                          <m:t>𝐸</m:t>
                        </m:r>
                      </m:e>
                      <m:sub>
                        <m:r>
                          <a:rPr lang="en-AU" sz="1000" i="1">
                            <a:latin typeface="Cambria Math" panose="02040503050406030204" pitchFamily="18" charset="0"/>
                          </a:rPr>
                          <m:t>𝑁</m:t>
                        </m:r>
                        <m:r>
                          <a:rPr lang="en-AU" sz="1000" i="1">
                            <a:latin typeface="Cambria Math" panose="02040503050406030204" pitchFamily="18" charset="0"/>
                          </a:rPr>
                          <m:t>2</m:t>
                        </m:r>
                        <m:r>
                          <a:rPr lang="en-AU" sz="1000" i="1">
                            <a:latin typeface="Cambria Math" panose="02040503050406030204" pitchFamily="18" charset="0"/>
                          </a:rPr>
                          <m:t>𝑂</m:t>
                        </m:r>
                      </m:sub>
                    </m:sSub>
                    <m:r>
                      <a:rPr lang="en-AU" sz="1000" i="1">
                        <a:latin typeface="Cambria Math" panose="02040503050406030204" pitchFamily="18" charset="0"/>
                      </a:rPr>
                      <m:t>=</m:t>
                    </m:r>
                    <m:nary>
                      <m:naryPr>
                        <m:chr m:val="∑"/>
                        <m:limLoc m:val="subSup"/>
                        <m:supHide m:val="on"/>
                        <m:ctrlPr>
                          <a:rPr lang="en-AU" sz="1000" i="1">
                            <a:latin typeface="Cambria Math" panose="02040503050406030204" pitchFamily="18" charset="0"/>
                          </a:rPr>
                        </m:ctrlPr>
                      </m:naryPr>
                      <m:sub>
                        <m:r>
                          <a:rPr lang="en-AU" sz="1000" i="1">
                            <a:latin typeface="Cambria Math" panose="02040503050406030204" pitchFamily="18" charset="0"/>
                          </a:rPr>
                          <m:t>𝑐</m:t>
                        </m:r>
                      </m:sub>
                      <m:sup/>
                      <m:e>
                        <m:nary>
                          <m:naryPr>
                            <m:chr m:val="∑"/>
                            <m:limLoc m:val="subSup"/>
                            <m:supHide m:val="on"/>
                            <m:ctrlPr>
                              <a:rPr lang="en-AU" sz="1000" i="1">
                                <a:latin typeface="Cambria Math" panose="02040503050406030204" pitchFamily="18" charset="0"/>
                              </a:rPr>
                            </m:ctrlPr>
                          </m:naryPr>
                          <m:sub>
                            <m:r>
                              <a:rPr lang="en-AU" sz="1000" i="1">
                                <a:latin typeface="Cambria Math" panose="02040503050406030204" pitchFamily="18" charset="0"/>
                              </a:rPr>
                              <m:t>𝑝</m:t>
                            </m:r>
                          </m:sub>
                          <m:sup/>
                          <m:e>
                            <m:d>
                              <m:dPr>
                                <m:ctrlPr>
                                  <a:rPr lang="en-AU" sz="1000" i="1">
                                    <a:latin typeface="Cambria Math" panose="02040503050406030204" pitchFamily="18" charset="0"/>
                                  </a:rPr>
                                </m:ctrlPr>
                              </m:dPr>
                              <m:e>
                                <m:sSub>
                                  <m:sSubPr>
                                    <m:ctrlPr>
                                      <a:rPr lang="en-AU" sz="1000" i="1">
                                        <a:latin typeface="Cambria Math" panose="02040503050406030204" pitchFamily="18" charset="0"/>
                                      </a:rPr>
                                    </m:ctrlPr>
                                  </m:sSubPr>
                                  <m:e>
                                    <m:r>
                                      <a:rPr lang="en-AU" sz="1000" i="1">
                                        <a:latin typeface="Cambria Math" panose="02040503050406030204" pitchFamily="18" charset="0"/>
                                      </a:rPr>
                                      <m:t>𝑀</m:t>
                                    </m:r>
                                  </m:e>
                                  <m:sub>
                                    <m:r>
                                      <a:rPr lang="en-AU" sz="1000" i="1">
                                        <a:latin typeface="Cambria Math" panose="02040503050406030204" pitchFamily="18" charset="0"/>
                                      </a:rPr>
                                      <m:t>𝑙𝑒𝑎𝑐ℎ</m:t>
                                    </m:r>
                                    <m:r>
                                      <a:rPr lang="en-AU" sz="1000" i="1">
                                        <a:latin typeface="Cambria Math" panose="02040503050406030204" pitchFamily="18" charset="0"/>
                                      </a:rPr>
                                      <m:t>,</m:t>
                                    </m:r>
                                    <m:r>
                                      <a:rPr lang="en-AU" sz="1000" i="1">
                                        <a:latin typeface="Cambria Math" panose="02040503050406030204" pitchFamily="18" charset="0"/>
                                      </a:rPr>
                                      <m:t>𝑐𝑝</m:t>
                                    </m:r>
                                  </m:sub>
                                </m:sSub>
                                <m:r>
                                  <a:rPr lang="en-AU" sz="1000" i="1">
                                    <a:latin typeface="Cambria Math" panose="02040503050406030204" pitchFamily="18" charset="0"/>
                                  </a:rPr>
                                  <m:t>×</m:t>
                                </m:r>
                                <m:r>
                                  <a:rPr lang="en-AU" sz="1000" i="1">
                                    <a:latin typeface="Cambria Math" panose="02040503050406030204" pitchFamily="18" charset="0"/>
                                  </a:rPr>
                                  <m:t>𝐸</m:t>
                                </m:r>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𝑙𝑒𝑎𝑐ℎ</m:t>
                                    </m:r>
                                  </m:sub>
                                </m:sSub>
                                <m:r>
                                  <a:rPr lang="en-AU" sz="1000" i="1">
                                    <a:latin typeface="Cambria Math" panose="02040503050406030204" pitchFamily="18" charset="0"/>
                                  </a:rPr>
                                  <m:t>×</m:t>
                                </m:r>
                                <m:sSub>
                                  <m:sSubPr>
                                    <m:ctrlPr>
                                      <a:rPr lang="en-AU" sz="1000" i="1">
                                        <a:latin typeface="Cambria Math" panose="02040503050406030204" pitchFamily="18" charset="0"/>
                                      </a:rPr>
                                    </m:ctrlPr>
                                  </m:sSubPr>
                                  <m:e>
                                    <m:r>
                                      <a:rPr lang="en-AU" sz="1000" i="1">
                                        <a:latin typeface="Cambria Math" panose="02040503050406030204" pitchFamily="18" charset="0"/>
                                      </a:rPr>
                                      <m:t>𝐶</m:t>
                                    </m:r>
                                  </m:e>
                                  <m:sub>
                                    <m:r>
                                      <a:rPr lang="en-AU" sz="1000" i="1">
                                        <a:latin typeface="Cambria Math" panose="02040503050406030204" pitchFamily="18" charset="0"/>
                                      </a:rPr>
                                      <m:t>𝑁</m:t>
                                    </m:r>
                                    <m:r>
                                      <a:rPr lang="en-AU" sz="1000" i="1">
                                        <a:latin typeface="Cambria Math" panose="02040503050406030204" pitchFamily="18" charset="0"/>
                                      </a:rPr>
                                      <m:t>2</m:t>
                                    </m:r>
                                    <m:r>
                                      <a:rPr lang="en-AU" sz="1000" i="1">
                                        <a:latin typeface="Cambria Math" panose="02040503050406030204" pitchFamily="18" charset="0"/>
                                      </a:rPr>
                                      <m:t>𝑂</m:t>
                                    </m:r>
                                  </m:sub>
                                </m:sSub>
                                <m:r>
                                  <a:rPr lang="en-AU" sz="1000" i="1">
                                    <a:latin typeface="Cambria Math" panose="02040503050406030204" pitchFamily="18" charset="0"/>
                                  </a:rPr>
                                  <m:t>×</m:t>
                                </m:r>
                                <m:sSup>
                                  <m:sSupPr>
                                    <m:ctrlPr>
                                      <a:rPr lang="en-AU" sz="1000" i="1">
                                        <a:latin typeface="Cambria Math" panose="02040503050406030204" pitchFamily="18" charset="0"/>
                                      </a:rPr>
                                    </m:ctrlPr>
                                  </m:sSupPr>
                                  <m:e>
                                    <m:r>
                                      <a:rPr lang="en-AU" sz="1000" i="1">
                                        <a:latin typeface="Cambria Math" panose="02040503050406030204" pitchFamily="18" charset="0"/>
                                      </a:rPr>
                                      <m:t>10</m:t>
                                    </m:r>
                                  </m:e>
                                  <m:sup>
                                    <m:r>
                                      <a:rPr lang="en-AU" sz="1000" i="1">
                                        <a:latin typeface="Cambria Math" panose="02040503050406030204" pitchFamily="18" charset="0"/>
                                      </a:rPr>
                                      <m:t>−3</m:t>
                                    </m:r>
                                  </m:sup>
                                </m:sSup>
                              </m:e>
                            </m:d>
                          </m:e>
                        </m:nary>
                      </m:e>
                    </m:nary>
                  </m:oMath>
                </m:oMathPara>
              </a14:m>
              <a:endParaRPr lang="en-AU" sz="1000"/>
            </a:p>
          </xdr:txBody>
        </xdr:sp>
      </mc:Choice>
      <mc:Fallback xmlns="">
        <xdr:sp macro="" textlink="">
          <xdr:nvSpPr>
            <xdr:cNvPr id="3" name="TextBox 2">
              <a:extLst>
                <a:ext uri="{FF2B5EF4-FFF2-40B4-BE49-F238E27FC236}">
                  <a16:creationId xmlns:a16="http://schemas.microsoft.com/office/drawing/2014/main" id="{AC7C4B36-7074-49D6-BBC2-8872CC74C162}"/>
                </a:ext>
              </a:extLst>
            </xdr:cNvPr>
            <xdr:cNvSpPr txBox="1"/>
          </xdr:nvSpPr>
          <xdr:spPr>
            <a:xfrm>
              <a:off x="2662237" y="7600950"/>
              <a:ext cx="3220561" cy="33150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𝐸_𝑁2𝑂=∑2_𝑐▒∑2_𝑝▒(𝑀_(𝑙𝑒𝑎𝑐ℎ,𝑐𝑝)×𝐸𝐹_𝑙𝑒𝑎𝑐ℎ×𝐶_𝑁2𝑂×10^(−3) ) </a:t>
              </a:r>
              <a:endParaRPr lang="en-AU" sz="1000"/>
            </a:p>
          </xdr:txBody>
        </xdr:sp>
      </mc:Fallback>
    </mc:AlternateContent>
    <xdr:clientData/>
  </xdr:oneCellAnchor>
</xdr:wsDr>
</file>

<file path=xl/drawings/drawing16.xml><?xml version="1.0" encoding="utf-8"?>
<xdr:wsDr xmlns:xdr="http://schemas.openxmlformats.org/drawingml/2006/spreadsheetDrawing" xmlns:a="http://schemas.openxmlformats.org/drawingml/2006/main">
  <xdr:oneCellAnchor>
    <xdr:from>
      <xdr:col>3</xdr:col>
      <xdr:colOff>4762</xdr:colOff>
      <xdr:row>169</xdr:row>
      <xdr:rowOff>76200</xdr:rowOff>
    </xdr:from>
    <xdr:ext cx="3010631" cy="429926"/>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50DEA25A-77A0-4C73-B5BB-BBFA99160065}"/>
                </a:ext>
              </a:extLst>
            </xdr:cNvPr>
            <xdr:cNvSpPr txBox="1"/>
          </xdr:nvSpPr>
          <xdr:spPr>
            <a:xfrm>
              <a:off x="2681287" y="42062400"/>
              <a:ext cx="3010631"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000" i="1">
                            <a:latin typeface="Cambria Math" panose="02040503050406030204" pitchFamily="18" charset="0"/>
                          </a:rPr>
                        </m:ctrlPr>
                      </m:sSubPr>
                      <m:e>
                        <m:r>
                          <a:rPr lang="en-AU" sz="1000" i="1">
                            <a:latin typeface="Cambria Math" panose="02040503050406030204" pitchFamily="18" charset="0"/>
                          </a:rPr>
                          <m:t>𝐸</m:t>
                        </m:r>
                      </m:e>
                      <m:sub>
                        <m:r>
                          <a:rPr lang="en-AU" sz="1000" i="1">
                            <a:latin typeface="Cambria Math" panose="02040503050406030204" pitchFamily="18" charset="0"/>
                          </a:rPr>
                          <m:t>𝐶𝐻</m:t>
                        </m:r>
                        <m:r>
                          <a:rPr lang="en-AU" sz="1000" i="1">
                            <a:latin typeface="Cambria Math" panose="02040503050406030204" pitchFamily="18" charset="0"/>
                          </a:rPr>
                          <m:t>4</m:t>
                        </m:r>
                      </m:sub>
                    </m:sSub>
                    <m:r>
                      <a:rPr lang="en-AU" sz="1000" i="1">
                        <a:latin typeface="Cambria Math" panose="02040503050406030204" pitchFamily="18" charset="0"/>
                      </a:rPr>
                      <m:t>=</m:t>
                    </m:r>
                    <m:nary>
                      <m:naryPr>
                        <m:chr m:val="∑"/>
                        <m:supHide m:val="on"/>
                        <m:ctrlPr>
                          <a:rPr lang="en-AU" sz="1000" i="1">
                            <a:latin typeface="Cambria Math" panose="02040503050406030204" pitchFamily="18" charset="0"/>
                          </a:rPr>
                        </m:ctrlPr>
                      </m:naryPr>
                      <m:sub>
                        <m:r>
                          <a:rPr lang="en-AU" sz="1000" i="1">
                            <a:latin typeface="Cambria Math" panose="02040503050406030204" pitchFamily="18" charset="0"/>
                          </a:rPr>
                          <m:t>𝑗</m:t>
                        </m:r>
                      </m:sub>
                      <m:sup/>
                      <m:e>
                        <m:nary>
                          <m:naryPr>
                            <m:chr m:val="∑"/>
                            <m:supHide m:val="on"/>
                            <m:ctrlPr>
                              <a:rPr lang="en-AU" sz="1000" i="1">
                                <a:latin typeface="Cambria Math" panose="02040503050406030204" pitchFamily="18" charset="0"/>
                              </a:rPr>
                            </m:ctrlPr>
                          </m:naryPr>
                          <m:sub>
                            <m:r>
                              <a:rPr lang="en-AU" sz="1000" i="1">
                                <a:latin typeface="Cambria Math" panose="02040503050406030204" pitchFamily="18" charset="0"/>
                              </a:rPr>
                              <m:t>𝑘</m:t>
                            </m:r>
                          </m:sub>
                          <m:sup/>
                          <m:e>
                            <m:nary>
                              <m:naryPr>
                                <m:chr m:val="∑"/>
                                <m:supHide m:val="on"/>
                                <m:ctrlPr>
                                  <a:rPr lang="en-AU" sz="1000" i="1">
                                    <a:latin typeface="Cambria Math" panose="02040503050406030204" pitchFamily="18" charset="0"/>
                                  </a:rPr>
                                </m:ctrlPr>
                              </m:naryPr>
                              <m:sub>
                                <m:r>
                                  <a:rPr lang="en-AU" sz="1000" i="1">
                                    <a:latin typeface="Cambria Math" panose="02040503050406030204" pitchFamily="18" charset="0"/>
                                  </a:rPr>
                                  <m:t>𝑚</m:t>
                                </m:r>
                              </m:sub>
                              <m:sup/>
                              <m:e>
                                <m:nary>
                                  <m:naryPr>
                                    <m:chr m:val="∑"/>
                                    <m:supHide m:val="on"/>
                                    <m:ctrlPr>
                                      <a:rPr lang="en-AU" sz="1000" i="1">
                                        <a:latin typeface="Cambria Math" panose="02040503050406030204" pitchFamily="18" charset="0"/>
                                      </a:rPr>
                                    </m:ctrlPr>
                                  </m:naryPr>
                                  <m:sub>
                                    <m:r>
                                      <a:rPr lang="en-AU" sz="1000" i="1">
                                        <a:latin typeface="Cambria Math" panose="02040503050406030204" pitchFamily="18" charset="0"/>
                                      </a:rPr>
                                      <m:t>𝑇</m:t>
                                    </m:r>
                                  </m:sub>
                                  <m:sup/>
                                  <m:e>
                                    <m:d>
                                      <m:dPr>
                                        <m:ctrlPr>
                                          <a:rPr lang="en-AU" sz="1000" i="1">
                                            <a:latin typeface="Cambria Math" panose="02040503050406030204" pitchFamily="18" charset="0"/>
                                          </a:rPr>
                                        </m:ctrlPr>
                                      </m:dPr>
                                      <m:e>
                                        <m:sSub>
                                          <m:sSubPr>
                                            <m:ctrlPr>
                                              <a:rPr lang="en-AU" sz="1000" i="1">
                                                <a:latin typeface="Cambria Math" panose="02040503050406030204" pitchFamily="18" charset="0"/>
                                              </a:rPr>
                                            </m:ctrlPr>
                                          </m:sSubPr>
                                          <m:e>
                                            <m:r>
                                              <a:rPr lang="en-AU" sz="1000" i="1">
                                                <a:latin typeface="Cambria Math" panose="02040503050406030204" pitchFamily="18" charset="0"/>
                                              </a:rPr>
                                              <m:t>𝐷</m:t>
                                            </m:r>
                                          </m:e>
                                          <m:sub>
                                            <m:r>
                                              <a:rPr lang="en-AU" sz="1000" i="1">
                                                <a:latin typeface="Cambria Math" panose="02040503050406030204" pitchFamily="18" charset="0"/>
                                              </a:rPr>
                                              <m:t>𝑗𝑘</m:t>
                                            </m:r>
                                          </m:sub>
                                        </m:sSub>
                                        <m:r>
                                          <a:rPr lang="en-AU" sz="1000" i="1">
                                            <a:latin typeface="Cambria Math" panose="02040503050406030204" pitchFamily="18" charset="0"/>
                                          </a:rPr>
                                          <m:t>×</m:t>
                                        </m:r>
                                        <m:sSub>
                                          <m:sSubPr>
                                            <m:ctrlPr>
                                              <a:rPr lang="en-AU" sz="1000" i="1">
                                                <a:latin typeface="Cambria Math" panose="02040503050406030204" pitchFamily="18" charset="0"/>
                                              </a:rPr>
                                            </m:ctrlPr>
                                          </m:sSubPr>
                                          <m:e>
                                            <m:r>
                                              <a:rPr lang="en-AU" sz="1000" i="1">
                                                <a:latin typeface="Cambria Math" panose="02040503050406030204" pitchFamily="18" charset="0"/>
                                              </a:rPr>
                                              <m:t>𝑀</m:t>
                                            </m:r>
                                          </m:e>
                                          <m:sub>
                                            <m:r>
                                              <a:rPr lang="en-AU" sz="1000" i="1">
                                                <a:latin typeface="Cambria Math" panose="02040503050406030204" pitchFamily="18" charset="0"/>
                                              </a:rPr>
                                              <m:t>𝑗𝑘𝑚𝑇</m:t>
                                            </m:r>
                                          </m:sub>
                                        </m:sSub>
                                        <m:r>
                                          <a:rPr lang="en-AU" sz="1000" i="1">
                                            <a:latin typeface="Cambria Math" panose="02040503050406030204" pitchFamily="18" charset="0"/>
                                          </a:rPr>
                                          <m:t>×</m:t>
                                        </m:r>
                                        <m:sSub>
                                          <m:sSubPr>
                                            <m:ctrlPr>
                                              <a:rPr lang="en-AU" sz="1000" i="1">
                                                <a:latin typeface="Cambria Math" panose="02040503050406030204" pitchFamily="18" charset="0"/>
                                              </a:rPr>
                                            </m:ctrlPr>
                                          </m:sSubPr>
                                          <m:e>
                                            <m:r>
                                              <a:rPr lang="en-AU" sz="1000" i="1">
                                                <a:latin typeface="Cambria Math" panose="02040503050406030204" pitchFamily="18" charset="0"/>
                                              </a:rPr>
                                              <m:t>𝑁</m:t>
                                            </m:r>
                                          </m:e>
                                          <m:sub>
                                            <m:r>
                                              <a:rPr lang="en-AU" sz="1000" i="1">
                                                <a:latin typeface="Cambria Math" panose="02040503050406030204" pitchFamily="18" charset="0"/>
                                              </a:rPr>
                                              <m:t>𝑗𝑘</m:t>
                                            </m:r>
                                          </m:sub>
                                        </m:sSub>
                                      </m:e>
                                    </m:d>
                                  </m:e>
                                </m:nary>
                              </m:e>
                            </m:nary>
                          </m:e>
                        </m:nary>
                      </m:e>
                    </m:nary>
                    <m:r>
                      <a:rPr lang="en-AU" sz="1000" i="1">
                        <a:latin typeface="Cambria Math" panose="02040503050406030204" pitchFamily="18" charset="0"/>
                      </a:rPr>
                      <m:t>×</m:t>
                    </m:r>
                    <m:sSup>
                      <m:sSupPr>
                        <m:ctrlPr>
                          <a:rPr lang="en-AU" sz="1000" i="1">
                            <a:latin typeface="Cambria Math" panose="02040503050406030204" pitchFamily="18" charset="0"/>
                          </a:rPr>
                        </m:ctrlPr>
                      </m:sSupPr>
                      <m:e>
                        <m:r>
                          <a:rPr lang="en-AU" sz="1000" i="1">
                            <a:latin typeface="Cambria Math" panose="02040503050406030204" pitchFamily="18" charset="0"/>
                          </a:rPr>
                          <m:t>10</m:t>
                        </m:r>
                      </m:e>
                      <m:sup>
                        <m:r>
                          <a:rPr lang="en-AU" sz="1000" i="1">
                            <a:latin typeface="Cambria Math" panose="02040503050406030204" pitchFamily="18" charset="0"/>
                          </a:rPr>
                          <m:t>−3</m:t>
                        </m:r>
                      </m:sup>
                    </m:sSup>
                  </m:oMath>
                </m:oMathPara>
              </a14:m>
              <a:endParaRPr lang="en-AU" sz="1000"/>
            </a:p>
          </xdr:txBody>
        </xdr:sp>
      </mc:Choice>
      <mc:Fallback xmlns="">
        <xdr:sp macro="" textlink="">
          <xdr:nvSpPr>
            <xdr:cNvPr id="2" name="TextBox 1">
              <a:extLst>
                <a:ext uri="{FF2B5EF4-FFF2-40B4-BE49-F238E27FC236}">
                  <a16:creationId xmlns:a16="http://schemas.microsoft.com/office/drawing/2014/main" id="{50DEA25A-77A0-4C73-B5BB-BBFA99160065}"/>
                </a:ext>
              </a:extLst>
            </xdr:cNvPr>
            <xdr:cNvSpPr txBox="1"/>
          </xdr:nvSpPr>
          <xdr:spPr>
            <a:xfrm>
              <a:off x="2681287" y="42062400"/>
              <a:ext cx="3010631"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𝐸_𝐶𝐻4=∑_𝑗▒∑_𝑘▒∑_𝑚▒∑_𝑇▒(𝐷_𝑗𝑘×𝑀_𝑗𝑘𝑚𝑇×𝑁_𝑗𝑘 ) ×10^(−3)</a:t>
              </a:r>
              <a:endParaRPr lang="en-AU" sz="1000"/>
            </a:p>
          </xdr:txBody>
        </xdr:sp>
      </mc:Fallback>
    </mc:AlternateContent>
    <xdr:clientData/>
  </xdr:oneCellAnchor>
  <xdr:oneCellAnchor>
    <xdr:from>
      <xdr:col>3</xdr:col>
      <xdr:colOff>10549</xdr:colOff>
      <xdr:row>7</xdr:row>
      <xdr:rowOff>192157</xdr:rowOff>
    </xdr:from>
    <xdr:ext cx="3734164" cy="331501"/>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01650705-1BB3-4E43-B417-CBD848FC7A2E}"/>
                </a:ext>
              </a:extLst>
            </xdr:cNvPr>
            <xdr:cNvSpPr txBox="1"/>
          </xdr:nvSpPr>
          <xdr:spPr>
            <a:xfrm>
              <a:off x="2687074" y="2059057"/>
              <a:ext cx="3734164" cy="33150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14:m>
                <m:oMathPara xmlns:m="http://schemas.openxmlformats.org/officeDocument/2006/math">
                  <m:oMath>
                    <m:sSub>
                      <m:sSubPr>
                        <m:ctrlPr>
                          <a:rPr lang="en-AU" sz="1000" i="1">
                            <a:solidFill>
                              <a:schemeClr val="tx1"/>
                            </a:solidFill>
                            <a:effectLst/>
                            <a:latin typeface="Cambria Math" panose="02040503050406030204" pitchFamily="18" charset="0"/>
                            <a:ea typeface="+mn-ea"/>
                            <a:cs typeface="+mn-cs"/>
                          </a:rPr>
                        </m:ctrlPr>
                      </m:sSubPr>
                      <m:e>
                        <m:r>
                          <a:rPr lang="en-AU" sz="1000" i="1">
                            <a:solidFill>
                              <a:schemeClr val="tx1"/>
                            </a:solidFill>
                            <a:effectLst/>
                            <a:latin typeface="Cambria Math" panose="02040503050406030204" pitchFamily="18" charset="0"/>
                            <a:ea typeface="+mn-ea"/>
                            <a:cs typeface="+mn-cs"/>
                          </a:rPr>
                          <m:t>𝐸</m:t>
                        </m:r>
                      </m:e>
                      <m:sub>
                        <m:r>
                          <a:rPr lang="en-AU" sz="1000" i="1">
                            <a:solidFill>
                              <a:schemeClr val="tx1"/>
                            </a:solidFill>
                            <a:effectLst/>
                            <a:latin typeface="Cambria Math" panose="02040503050406030204" pitchFamily="18" charset="0"/>
                            <a:ea typeface="+mn-ea"/>
                            <a:cs typeface="+mn-cs"/>
                          </a:rPr>
                          <m:t>𝑔</m:t>
                        </m:r>
                      </m:sub>
                    </m:sSub>
                    <m:r>
                      <a:rPr lang="en-AU" sz="1000" i="1">
                        <a:solidFill>
                          <a:schemeClr val="tx1"/>
                        </a:solidFill>
                        <a:effectLst/>
                        <a:latin typeface="Cambria Math" panose="02040503050406030204" pitchFamily="18" charset="0"/>
                        <a:ea typeface="+mn-ea"/>
                        <a:cs typeface="+mn-cs"/>
                      </a:rPr>
                      <m:t>=</m:t>
                    </m:r>
                    <m:nary>
                      <m:naryPr>
                        <m:chr m:val="∑"/>
                        <m:limLoc m:val="subSup"/>
                        <m:supHide m:val="on"/>
                        <m:ctrlPr>
                          <a:rPr lang="en-AU" sz="1000" i="1">
                            <a:solidFill>
                              <a:schemeClr val="tx1"/>
                            </a:solidFill>
                            <a:effectLst/>
                            <a:latin typeface="Cambria Math" panose="02040503050406030204" pitchFamily="18" charset="0"/>
                            <a:ea typeface="+mn-ea"/>
                            <a:cs typeface="+mn-cs"/>
                          </a:rPr>
                        </m:ctrlPr>
                      </m:naryPr>
                      <m:sub>
                        <m:r>
                          <a:rPr lang="en-AU" sz="1000" i="1">
                            <a:solidFill>
                              <a:schemeClr val="tx1"/>
                            </a:solidFill>
                            <a:effectLst/>
                            <a:latin typeface="Cambria Math" panose="02040503050406030204" pitchFamily="18" charset="0"/>
                            <a:ea typeface="+mn-ea"/>
                            <a:cs typeface="+mn-cs"/>
                          </a:rPr>
                          <m:t>𝑡</m:t>
                        </m:r>
                      </m:sub>
                      <m:sup/>
                      <m:e>
                        <m:nary>
                          <m:naryPr>
                            <m:chr m:val="∑"/>
                            <m:limLoc m:val="subSup"/>
                            <m:supHide m:val="on"/>
                            <m:ctrlPr>
                              <a:rPr lang="en-AU" sz="1000" i="1">
                                <a:solidFill>
                                  <a:schemeClr val="tx1"/>
                                </a:solidFill>
                                <a:effectLst/>
                                <a:latin typeface="Cambria Math" panose="02040503050406030204" pitchFamily="18" charset="0"/>
                                <a:ea typeface="+mn-ea"/>
                                <a:cs typeface="+mn-cs"/>
                              </a:rPr>
                            </m:ctrlPr>
                          </m:naryPr>
                          <m:sub>
                            <m:r>
                              <a:rPr lang="en-AU" sz="1000" i="1">
                                <a:solidFill>
                                  <a:schemeClr val="tx1"/>
                                </a:solidFill>
                                <a:effectLst/>
                                <a:latin typeface="Cambria Math" panose="02040503050406030204" pitchFamily="18" charset="0"/>
                                <a:ea typeface="+mn-ea"/>
                                <a:cs typeface="+mn-cs"/>
                              </a:rPr>
                              <m:t>𝑞</m:t>
                            </m:r>
                          </m:sub>
                          <m:sup/>
                          <m:e>
                            <m:d>
                              <m:dPr>
                                <m:ctrlPr>
                                  <a:rPr lang="en-AU" sz="1000" i="1">
                                    <a:solidFill>
                                      <a:schemeClr val="tx1"/>
                                    </a:solidFill>
                                    <a:effectLst/>
                                    <a:latin typeface="Cambria Math" panose="02040503050406030204" pitchFamily="18" charset="0"/>
                                    <a:ea typeface="+mn-ea"/>
                                    <a:cs typeface="+mn-cs"/>
                                  </a:rPr>
                                </m:ctrlPr>
                              </m:dPr>
                              <m:e>
                                <m:sSub>
                                  <m:sSubPr>
                                    <m:ctrlPr>
                                      <a:rPr lang="en-AU" sz="1000" i="1">
                                        <a:solidFill>
                                          <a:schemeClr val="tx1"/>
                                        </a:solidFill>
                                        <a:effectLst/>
                                        <a:latin typeface="Cambria Math" panose="02040503050406030204" pitchFamily="18" charset="0"/>
                                        <a:ea typeface="+mn-ea"/>
                                        <a:cs typeface="+mn-cs"/>
                                      </a:rPr>
                                    </m:ctrlPr>
                                  </m:sSubPr>
                                  <m:e>
                                    <m:r>
                                      <a:rPr lang="en-AU" sz="1000" i="1">
                                        <a:solidFill>
                                          <a:schemeClr val="tx1"/>
                                        </a:solidFill>
                                        <a:effectLst/>
                                        <a:latin typeface="Cambria Math" panose="02040503050406030204" pitchFamily="18" charset="0"/>
                                        <a:ea typeface="+mn-ea"/>
                                        <a:cs typeface="+mn-cs"/>
                                      </a:rPr>
                                      <m:t>𝑄</m:t>
                                    </m:r>
                                  </m:e>
                                  <m:sub>
                                    <m:r>
                                      <a:rPr lang="en-AU" sz="1000" i="1">
                                        <a:solidFill>
                                          <a:schemeClr val="tx1"/>
                                        </a:solidFill>
                                        <a:effectLst/>
                                        <a:latin typeface="Cambria Math" panose="02040503050406030204" pitchFamily="18" charset="0"/>
                                        <a:ea typeface="+mn-ea"/>
                                        <a:cs typeface="+mn-cs"/>
                                      </a:rPr>
                                      <m:t>𝑇𝑟𝑎𝑛𝑠</m:t>
                                    </m:r>
                                    <m:r>
                                      <a:rPr lang="en-AU" sz="1000" i="1">
                                        <a:solidFill>
                                          <a:schemeClr val="tx1"/>
                                        </a:solidFill>
                                        <a:effectLst/>
                                        <a:latin typeface="Cambria Math" panose="02040503050406030204" pitchFamily="18" charset="0"/>
                                        <a:ea typeface="+mn-ea"/>
                                        <a:cs typeface="+mn-cs"/>
                                      </a:rPr>
                                      <m:t>,</m:t>
                                    </m:r>
                                    <m:r>
                                      <a:rPr lang="en-AU" sz="1000" i="1">
                                        <a:solidFill>
                                          <a:schemeClr val="tx1"/>
                                        </a:solidFill>
                                        <a:effectLst/>
                                        <a:latin typeface="Cambria Math" panose="02040503050406030204" pitchFamily="18" charset="0"/>
                                        <a:ea typeface="+mn-ea"/>
                                        <a:cs typeface="+mn-cs"/>
                                      </a:rPr>
                                      <m:t>𝑡𝑞</m:t>
                                    </m:r>
                                  </m:sub>
                                </m:sSub>
                                <m:r>
                                  <a:rPr lang="en-AU" sz="1000" i="1">
                                    <a:solidFill>
                                      <a:schemeClr val="tx1"/>
                                    </a:solidFill>
                                    <a:effectLst/>
                                    <a:latin typeface="Cambria Math" panose="02040503050406030204" pitchFamily="18" charset="0"/>
                                    <a:ea typeface="+mn-ea"/>
                                    <a:cs typeface="+mn-cs"/>
                                  </a:rPr>
                                  <m:t>×</m:t>
                                </m:r>
                                <m:r>
                                  <a:rPr lang="en-AU" sz="1000" i="1">
                                    <a:solidFill>
                                      <a:schemeClr val="tx1"/>
                                    </a:solidFill>
                                    <a:effectLst/>
                                    <a:latin typeface="Cambria Math" panose="02040503050406030204" pitchFamily="18" charset="0"/>
                                    <a:ea typeface="+mn-ea"/>
                                    <a:cs typeface="+mn-cs"/>
                                  </a:rPr>
                                  <m:t>𝐸</m:t>
                                </m:r>
                                <m:sSub>
                                  <m:sSubPr>
                                    <m:ctrlPr>
                                      <a:rPr lang="en-AU" sz="1000" i="1">
                                        <a:solidFill>
                                          <a:schemeClr val="tx1"/>
                                        </a:solidFill>
                                        <a:effectLst/>
                                        <a:latin typeface="Cambria Math" panose="02040503050406030204" pitchFamily="18" charset="0"/>
                                        <a:ea typeface="+mn-ea"/>
                                        <a:cs typeface="+mn-cs"/>
                                      </a:rPr>
                                    </m:ctrlPr>
                                  </m:sSubPr>
                                  <m:e>
                                    <m:r>
                                      <a:rPr lang="en-AU" sz="1000" i="1">
                                        <a:solidFill>
                                          <a:schemeClr val="tx1"/>
                                        </a:solidFill>
                                        <a:effectLst/>
                                        <a:latin typeface="Cambria Math" panose="02040503050406030204" pitchFamily="18" charset="0"/>
                                        <a:ea typeface="+mn-ea"/>
                                        <a:cs typeface="+mn-cs"/>
                                      </a:rPr>
                                      <m:t>𝐶</m:t>
                                    </m:r>
                                  </m:e>
                                  <m:sub>
                                    <m:r>
                                      <a:rPr lang="en-AU" sz="1000" i="1">
                                        <a:solidFill>
                                          <a:schemeClr val="tx1"/>
                                        </a:solidFill>
                                        <a:effectLst/>
                                        <a:latin typeface="Cambria Math" panose="02040503050406030204" pitchFamily="18" charset="0"/>
                                        <a:ea typeface="+mn-ea"/>
                                        <a:cs typeface="+mn-cs"/>
                                      </a:rPr>
                                      <m:t>𝑇𝑟𝑎𝑛𝑠</m:t>
                                    </m:r>
                                    <m:r>
                                      <a:rPr lang="en-AU" sz="1000" i="1">
                                        <a:solidFill>
                                          <a:schemeClr val="tx1"/>
                                        </a:solidFill>
                                        <a:effectLst/>
                                        <a:latin typeface="Cambria Math" panose="02040503050406030204" pitchFamily="18" charset="0"/>
                                        <a:ea typeface="+mn-ea"/>
                                        <a:cs typeface="+mn-cs"/>
                                      </a:rPr>
                                      <m:t>,</m:t>
                                    </m:r>
                                    <m:r>
                                      <a:rPr lang="en-AU" sz="1000" i="1">
                                        <a:solidFill>
                                          <a:schemeClr val="tx1"/>
                                        </a:solidFill>
                                        <a:effectLst/>
                                        <a:latin typeface="Cambria Math" panose="02040503050406030204" pitchFamily="18" charset="0"/>
                                        <a:ea typeface="+mn-ea"/>
                                        <a:cs typeface="+mn-cs"/>
                                      </a:rPr>
                                      <m:t>𝑞</m:t>
                                    </m:r>
                                  </m:sub>
                                </m:sSub>
                                <m:r>
                                  <a:rPr lang="en-AU" sz="1000" i="1">
                                    <a:solidFill>
                                      <a:schemeClr val="tx1"/>
                                    </a:solidFill>
                                    <a:effectLst/>
                                    <a:latin typeface="Cambria Math" panose="02040503050406030204" pitchFamily="18" charset="0"/>
                                    <a:ea typeface="+mn-ea"/>
                                    <a:cs typeface="+mn-cs"/>
                                  </a:rPr>
                                  <m:t>×</m:t>
                                </m:r>
                                <m:r>
                                  <a:rPr lang="en-AU" sz="1000" i="1">
                                    <a:solidFill>
                                      <a:schemeClr val="tx1"/>
                                    </a:solidFill>
                                    <a:effectLst/>
                                    <a:latin typeface="Cambria Math" panose="02040503050406030204" pitchFamily="18" charset="0"/>
                                    <a:ea typeface="+mn-ea"/>
                                    <a:cs typeface="+mn-cs"/>
                                  </a:rPr>
                                  <m:t>𝐸</m:t>
                                </m:r>
                                <m:sSub>
                                  <m:sSubPr>
                                    <m:ctrlPr>
                                      <a:rPr lang="en-AU" sz="1000" i="1">
                                        <a:solidFill>
                                          <a:schemeClr val="tx1"/>
                                        </a:solidFill>
                                        <a:effectLst/>
                                        <a:latin typeface="Cambria Math" panose="02040503050406030204" pitchFamily="18" charset="0"/>
                                        <a:ea typeface="+mn-ea"/>
                                        <a:cs typeface="+mn-cs"/>
                                      </a:rPr>
                                    </m:ctrlPr>
                                  </m:sSubPr>
                                  <m:e>
                                    <m:r>
                                      <a:rPr lang="en-AU" sz="1000" i="1">
                                        <a:solidFill>
                                          <a:schemeClr val="tx1"/>
                                        </a:solidFill>
                                        <a:effectLst/>
                                        <a:latin typeface="Cambria Math" panose="02040503050406030204" pitchFamily="18" charset="0"/>
                                        <a:ea typeface="+mn-ea"/>
                                        <a:cs typeface="+mn-cs"/>
                                      </a:rPr>
                                      <m:t>𝐹</m:t>
                                    </m:r>
                                  </m:e>
                                  <m:sub>
                                    <m:r>
                                      <a:rPr lang="en-AU" sz="1000" i="1">
                                        <a:solidFill>
                                          <a:schemeClr val="tx1"/>
                                        </a:solidFill>
                                        <a:effectLst/>
                                        <a:latin typeface="Cambria Math" panose="02040503050406030204" pitchFamily="18" charset="0"/>
                                        <a:ea typeface="+mn-ea"/>
                                        <a:cs typeface="+mn-cs"/>
                                      </a:rPr>
                                      <m:t>𝑇𝑟𝑎𝑛𝑠</m:t>
                                    </m:r>
                                    <m:r>
                                      <a:rPr lang="en-AU" sz="1000" i="1">
                                        <a:solidFill>
                                          <a:schemeClr val="tx1"/>
                                        </a:solidFill>
                                        <a:effectLst/>
                                        <a:latin typeface="Cambria Math" panose="02040503050406030204" pitchFamily="18" charset="0"/>
                                        <a:ea typeface="+mn-ea"/>
                                        <a:cs typeface="+mn-cs"/>
                                      </a:rPr>
                                      <m:t>,</m:t>
                                    </m:r>
                                    <m:r>
                                      <a:rPr lang="en-AU" sz="1000" i="1">
                                        <a:solidFill>
                                          <a:schemeClr val="tx1"/>
                                        </a:solidFill>
                                        <a:effectLst/>
                                        <a:latin typeface="Cambria Math" panose="02040503050406030204" pitchFamily="18" charset="0"/>
                                        <a:ea typeface="+mn-ea"/>
                                        <a:cs typeface="+mn-cs"/>
                                      </a:rPr>
                                      <m:t>𝑞</m:t>
                                    </m:r>
                                    <m:r>
                                      <a:rPr lang="en-AU" sz="1000" i="1">
                                        <a:solidFill>
                                          <a:schemeClr val="tx1"/>
                                        </a:solidFill>
                                        <a:effectLst/>
                                        <a:latin typeface="Cambria Math" panose="02040503050406030204" pitchFamily="18" charset="0"/>
                                        <a:ea typeface="+mn-ea"/>
                                        <a:cs typeface="+mn-cs"/>
                                      </a:rPr>
                                      <m:t>,1,</m:t>
                                    </m:r>
                                    <m:r>
                                      <a:rPr lang="en-AU" sz="1000" i="1">
                                        <a:solidFill>
                                          <a:schemeClr val="tx1"/>
                                        </a:solidFill>
                                        <a:effectLst/>
                                        <a:latin typeface="Cambria Math" panose="02040503050406030204" pitchFamily="18" charset="0"/>
                                        <a:ea typeface="+mn-ea"/>
                                        <a:cs typeface="+mn-cs"/>
                                      </a:rPr>
                                      <m:t>𝑡𝑞𝑔</m:t>
                                    </m:r>
                                  </m:sub>
                                </m:sSub>
                              </m:e>
                            </m:d>
                          </m:e>
                        </m:nary>
                      </m:e>
                    </m:nary>
                    <m:r>
                      <a:rPr lang="en-AU" sz="1000" i="1">
                        <a:solidFill>
                          <a:schemeClr val="tx1"/>
                        </a:solidFill>
                        <a:effectLst/>
                        <a:latin typeface="Cambria Math" panose="02040503050406030204" pitchFamily="18" charset="0"/>
                        <a:ea typeface="+mn-ea"/>
                        <a:cs typeface="+mn-cs"/>
                      </a:rPr>
                      <m:t>×</m:t>
                    </m:r>
                    <m:sSup>
                      <m:sSupPr>
                        <m:ctrlPr>
                          <a:rPr lang="en-AU" sz="1000" i="1">
                            <a:solidFill>
                              <a:schemeClr val="tx1"/>
                            </a:solidFill>
                            <a:effectLst/>
                            <a:latin typeface="Cambria Math" panose="02040503050406030204" pitchFamily="18" charset="0"/>
                            <a:ea typeface="+mn-ea"/>
                            <a:cs typeface="+mn-cs"/>
                          </a:rPr>
                        </m:ctrlPr>
                      </m:sSupPr>
                      <m:e>
                        <m:r>
                          <a:rPr lang="en-AU" sz="1000" i="1">
                            <a:solidFill>
                              <a:schemeClr val="tx1"/>
                            </a:solidFill>
                            <a:effectLst/>
                            <a:latin typeface="Cambria Math" panose="02040503050406030204" pitchFamily="18" charset="0"/>
                            <a:ea typeface="+mn-ea"/>
                            <a:cs typeface="+mn-cs"/>
                          </a:rPr>
                          <m:t>10</m:t>
                        </m:r>
                      </m:e>
                      <m:sup>
                        <m:r>
                          <a:rPr lang="en-AU" sz="1000" i="1">
                            <a:solidFill>
                              <a:schemeClr val="tx1"/>
                            </a:solidFill>
                            <a:effectLst/>
                            <a:latin typeface="Cambria Math" panose="02040503050406030204" pitchFamily="18" charset="0"/>
                            <a:ea typeface="+mn-ea"/>
                            <a:cs typeface="+mn-cs"/>
                          </a:rPr>
                          <m:t>−3</m:t>
                        </m:r>
                      </m:sup>
                    </m:sSup>
                  </m:oMath>
                </m:oMathPara>
              </a14:m>
              <a:endParaRPr lang="en-AU" sz="1000"/>
            </a:p>
          </xdr:txBody>
        </xdr:sp>
      </mc:Choice>
      <mc:Fallback xmlns="">
        <xdr:sp macro="" textlink="">
          <xdr:nvSpPr>
            <xdr:cNvPr id="3" name="TextBox 2">
              <a:extLst>
                <a:ext uri="{FF2B5EF4-FFF2-40B4-BE49-F238E27FC236}">
                  <a16:creationId xmlns:a16="http://schemas.microsoft.com/office/drawing/2014/main" id="{01650705-1BB3-4E43-B417-CBD848FC7A2E}"/>
                </a:ext>
              </a:extLst>
            </xdr:cNvPr>
            <xdr:cNvSpPr txBox="1"/>
          </xdr:nvSpPr>
          <xdr:spPr>
            <a:xfrm>
              <a:off x="2687074" y="2059057"/>
              <a:ext cx="3734164" cy="33150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AU" sz="1000" i="0">
                  <a:solidFill>
                    <a:schemeClr val="tx1"/>
                  </a:solidFill>
                  <a:effectLst/>
                  <a:latin typeface="Cambria Math" panose="02040503050406030204" pitchFamily="18" charset="0"/>
                  <a:ea typeface="+mn-ea"/>
                  <a:cs typeface="+mn-cs"/>
                </a:rPr>
                <a:t>𝐸_𝑔=∑2_𝑡▒∑2_𝑞▒(𝑄_(𝑇𝑟𝑎𝑛𝑠,𝑡𝑞)×𝐸𝐶_(𝑇𝑟𝑎𝑛𝑠,𝑞)×𝐸𝐹_(𝑇𝑟𝑎𝑛𝑠,𝑞,1,𝑡𝑞𝑔) ) ×10^(−3)</a:t>
              </a:r>
              <a:endParaRPr lang="en-AU" sz="1000"/>
            </a:p>
          </xdr:txBody>
        </xdr:sp>
      </mc:Fallback>
    </mc:AlternateContent>
    <xdr:clientData/>
  </xdr:oneCellAnchor>
  <xdr:oneCellAnchor>
    <xdr:from>
      <xdr:col>10</xdr:col>
      <xdr:colOff>10549</xdr:colOff>
      <xdr:row>7</xdr:row>
      <xdr:rowOff>192157</xdr:rowOff>
    </xdr:from>
    <xdr:ext cx="3410677" cy="185756"/>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ECEBA672-02E5-4CB9-B33A-335B0514F350}"/>
                </a:ext>
              </a:extLst>
            </xdr:cNvPr>
            <xdr:cNvSpPr txBox="1"/>
          </xdr:nvSpPr>
          <xdr:spPr>
            <a:xfrm>
              <a:off x="18060424" y="2059057"/>
              <a:ext cx="3410677" cy="18575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14:m>
                <m:oMathPara xmlns:m="http://schemas.openxmlformats.org/officeDocument/2006/math">
                  <m:oMath>
                    <m:sSub>
                      <m:sSubPr>
                        <m:ctrlPr>
                          <a:rPr lang="en-AU" sz="1000" i="1">
                            <a:solidFill>
                              <a:schemeClr val="tx1"/>
                            </a:solidFill>
                            <a:effectLst/>
                            <a:latin typeface="Cambria Math" panose="02040503050406030204" pitchFamily="18" charset="0"/>
                            <a:ea typeface="+mn-ea"/>
                            <a:cs typeface="+mn-cs"/>
                          </a:rPr>
                        </m:ctrlPr>
                      </m:sSubPr>
                      <m:e>
                        <m:r>
                          <a:rPr lang="en-AU" sz="1000" i="1">
                            <a:solidFill>
                              <a:schemeClr val="tx1"/>
                            </a:solidFill>
                            <a:effectLst/>
                            <a:latin typeface="Cambria Math" panose="02040503050406030204" pitchFamily="18" charset="0"/>
                            <a:ea typeface="+mn-ea"/>
                            <a:cs typeface="+mn-cs"/>
                          </a:rPr>
                          <m:t>𝐸</m:t>
                        </m:r>
                      </m:e>
                      <m:sub>
                        <m:r>
                          <a:rPr lang="en-AU" sz="1000" i="1">
                            <a:solidFill>
                              <a:schemeClr val="tx1"/>
                            </a:solidFill>
                            <a:effectLst/>
                            <a:latin typeface="Cambria Math" panose="02040503050406030204" pitchFamily="18" charset="0"/>
                            <a:ea typeface="+mn-ea"/>
                            <a:cs typeface="+mn-cs"/>
                          </a:rPr>
                          <m:t>𝑊𝑇𝑇</m:t>
                        </m:r>
                        <m:r>
                          <a:rPr lang="en-AU" sz="1000" i="1">
                            <a:solidFill>
                              <a:schemeClr val="tx1"/>
                            </a:solidFill>
                            <a:effectLst/>
                            <a:latin typeface="Cambria Math" panose="02040503050406030204" pitchFamily="18" charset="0"/>
                            <a:ea typeface="+mn-ea"/>
                            <a:cs typeface="+mn-cs"/>
                          </a:rPr>
                          <m:t>,</m:t>
                        </m:r>
                        <m:r>
                          <a:rPr lang="en-AU" sz="1000" i="1">
                            <a:solidFill>
                              <a:schemeClr val="tx1"/>
                            </a:solidFill>
                            <a:effectLst/>
                            <a:latin typeface="Cambria Math" panose="02040503050406030204" pitchFamily="18" charset="0"/>
                            <a:ea typeface="+mn-ea"/>
                            <a:cs typeface="+mn-cs"/>
                          </a:rPr>
                          <m:t>𝑡𝑟𝑎𝑛𝑠</m:t>
                        </m:r>
                        <m:r>
                          <a:rPr lang="en-AU" sz="1000" i="1">
                            <a:solidFill>
                              <a:schemeClr val="tx1"/>
                            </a:solidFill>
                            <a:effectLst/>
                            <a:latin typeface="Cambria Math" panose="02040503050406030204" pitchFamily="18" charset="0"/>
                            <a:ea typeface="+mn-ea"/>
                            <a:cs typeface="+mn-cs"/>
                          </a:rPr>
                          <m:t>,</m:t>
                        </m:r>
                        <m:r>
                          <a:rPr lang="en-AU" sz="1000" i="1">
                            <a:solidFill>
                              <a:schemeClr val="tx1"/>
                            </a:solidFill>
                            <a:effectLst/>
                            <a:latin typeface="Cambria Math" panose="02040503050406030204" pitchFamily="18" charset="0"/>
                            <a:ea typeface="+mn-ea"/>
                            <a:cs typeface="+mn-cs"/>
                          </a:rPr>
                          <m:t>𝑞</m:t>
                        </m:r>
                      </m:sub>
                    </m:sSub>
                    <m:r>
                      <a:rPr lang="en-AU" sz="1000" i="1">
                        <a:solidFill>
                          <a:schemeClr val="tx1"/>
                        </a:solidFill>
                        <a:effectLst/>
                        <a:latin typeface="Cambria Math" panose="02040503050406030204" pitchFamily="18" charset="0"/>
                        <a:ea typeface="+mn-ea"/>
                        <a:cs typeface="+mn-cs"/>
                      </a:rPr>
                      <m:t>=</m:t>
                    </m:r>
                    <m:sSub>
                      <m:sSubPr>
                        <m:ctrlPr>
                          <a:rPr lang="en-AU" sz="1000" i="1">
                            <a:solidFill>
                              <a:schemeClr val="tx1"/>
                            </a:solidFill>
                            <a:effectLst/>
                            <a:latin typeface="Cambria Math" panose="02040503050406030204" pitchFamily="18" charset="0"/>
                            <a:ea typeface="+mn-ea"/>
                            <a:cs typeface="+mn-cs"/>
                          </a:rPr>
                        </m:ctrlPr>
                      </m:sSubPr>
                      <m:e>
                        <m:r>
                          <a:rPr lang="en-AU" sz="1000" i="1">
                            <a:solidFill>
                              <a:schemeClr val="tx1"/>
                            </a:solidFill>
                            <a:effectLst/>
                            <a:latin typeface="Cambria Math" panose="02040503050406030204" pitchFamily="18" charset="0"/>
                            <a:ea typeface="+mn-ea"/>
                            <a:cs typeface="+mn-cs"/>
                          </a:rPr>
                          <m:t>𝑄</m:t>
                        </m:r>
                      </m:e>
                      <m:sub>
                        <m:r>
                          <a:rPr lang="en-AU" sz="1000" i="1">
                            <a:solidFill>
                              <a:schemeClr val="tx1"/>
                            </a:solidFill>
                            <a:effectLst/>
                            <a:latin typeface="Cambria Math" panose="02040503050406030204" pitchFamily="18" charset="0"/>
                            <a:ea typeface="+mn-ea"/>
                            <a:cs typeface="+mn-cs"/>
                          </a:rPr>
                          <m:t>𝑇𝑟𝑎𝑛𝑠</m:t>
                        </m:r>
                        <m:r>
                          <a:rPr lang="en-AU" sz="1000" i="1">
                            <a:solidFill>
                              <a:schemeClr val="tx1"/>
                            </a:solidFill>
                            <a:effectLst/>
                            <a:latin typeface="Cambria Math" panose="02040503050406030204" pitchFamily="18" charset="0"/>
                            <a:ea typeface="+mn-ea"/>
                            <a:cs typeface="+mn-cs"/>
                          </a:rPr>
                          <m:t>,</m:t>
                        </m:r>
                        <m:r>
                          <a:rPr lang="en-AU" sz="1000" i="1">
                            <a:solidFill>
                              <a:schemeClr val="tx1"/>
                            </a:solidFill>
                            <a:effectLst/>
                            <a:latin typeface="Cambria Math" panose="02040503050406030204" pitchFamily="18" charset="0"/>
                            <a:ea typeface="+mn-ea"/>
                            <a:cs typeface="+mn-cs"/>
                          </a:rPr>
                          <m:t>𝑞</m:t>
                        </m:r>
                      </m:sub>
                    </m:sSub>
                    <m:r>
                      <a:rPr lang="en-AU" sz="1000" i="1">
                        <a:solidFill>
                          <a:schemeClr val="tx1"/>
                        </a:solidFill>
                        <a:effectLst/>
                        <a:latin typeface="Cambria Math" panose="02040503050406030204" pitchFamily="18" charset="0"/>
                        <a:ea typeface="+mn-ea"/>
                        <a:cs typeface="+mn-cs"/>
                      </a:rPr>
                      <m:t>×</m:t>
                    </m:r>
                    <m:r>
                      <a:rPr lang="en-AU" sz="1000" i="1">
                        <a:solidFill>
                          <a:schemeClr val="tx1"/>
                        </a:solidFill>
                        <a:effectLst/>
                        <a:latin typeface="Cambria Math" panose="02040503050406030204" pitchFamily="18" charset="0"/>
                        <a:ea typeface="+mn-ea"/>
                        <a:cs typeface="+mn-cs"/>
                      </a:rPr>
                      <m:t>𝐸</m:t>
                    </m:r>
                    <m:sSub>
                      <m:sSubPr>
                        <m:ctrlPr>
                          <a:rPr lang="en-AU" sz="1000" i="1">
                            <a:solidFill>
                              <a:schemeClr val="tx1"/>
                            </a:solidFill>
                            <a:effectLst/>
                            <a:latin typeface="Cambria Math" panose="02040503050406030204" pitchFamily="18" charset="0"/>
                            <a:ea typeface="+mn-ea"/>
                            <a:cs typeface="+mn-cs"/>
                          </a:rPr>
                        </m:ctrlPr>
                      </m:sSubPr>
                      <m:e>
                        <m:r>
                          <a:rPr lang="en-AU" sz="1000" i="1">
                            <a:solidFill>
                              <a:schemeClr val="tx1"/>
                            </a:solidFill>
                            <a:effectLst/>
                            <a:latin typeface="Cambria Math" panose="02040503050406030204" pitchFamily="18" charset="0"/>
                            <a:ea typeface="+mn-ea"/>
                            <a:cs typeface="+mn-cs"/>
                          </a:rPr>
                          <m:t>𝐶</m:t>
                        </m:r>
                      </m:e>
                      <m:sub>
                        <m:r>
                          <a:rPr lang="en-AU" sz="1000" i="1">
                            <a:solidFill>
                              <a:schemeClr val="tx1"/>
                            </a:solidFill>
                            <a:effectLst/>
                            <a:latin typeface="Cambria Math" panose="02040503050406030204" pitchFamily="18" charset="0"/>
                            <a:ea typeface="+mn-ea"/>
                            <a:cs typeface="+mn-cs"/>
                          </a:rPr>
                          <m:t>𝑇𝑟𝑎𝑛𝑠</m:t>
                        </m:r>
                        <m:r>
                          <a:rPr lang="en-AU" sz="1000" i="1">
                            <a:solidFill>
                              <a:schemeClr val="tx1"/>
                            </a:solidFill>
                            <a:effectLst/>
                            <a:latin typeface="Cambria Math" panose="02040503050406030204" pitchFamily="18" charset="0"/>
                            <a:ea typeface="+mn-ea"/>
                            <a:cs typeface="+mn-cs"/>
                          </a:rPr>
                          <m:t>,</m:t>
                        </m:r>
                        <m:r>
                          <a:rPr lang="en-AU" sz="1000" i="1">
                            <a:solidFill>
                              <a:schemeClr val="tx1"/>
                            </a:solidFill>
                            <a:effectLst/>
                            <a:latin typeface="Cambria Math" panose="02040503050406030204" pitchFamily="18" charset="0"/>
                            <a:ea typeface="+mn-ea"/>
                            <a:cs typeface="+mn-cs"/>
                          </a:rPr>
                          <m:t>𝑞</m:t>
                        </m:r>
                      </m:sub>
                    </m:sSub>
                    <m:r>
                      <a:rPr lang="en-AU" sz="1000" i="1">
                        <a:solidFill>
                          <a:schemeClr val="tx1"/>
                        </a:solidFill>
                        <a:effectLst/>
                        <a:latin typeface="Cambria Math" panose="02040503050406030204" pitchFamily="18" charset="0"/>
                        <a:ea typeface="+mn-ea"/>
                        <a:cs typeface="+mn-cs"/>
                      </a:rPr>
                      <m:t>×</m:t>
                    </m:r>
                    <m:r>
                      <a:rPr lang="en-AU" sz="1000" i="1">
                        <a:solidFill>
                          <a:schemeClr val="tx1"/>
                        </a:solidFill>
                        <a:effectLst/>
                        <a:latin typeface="Cambria Math" panose="02040503050406030204" pitchFamily="18" charset="0"/>
                        <a:ea typeface="+mn-ea"/>
                        <a:cs typeface="+mn-cs"/>
                      </a:rPr>
                      <m:t>𝐸</m:t>
                    </m:r>
                    <m:sSub>
                      <m:sSubPr>
                        <m:ctrlPr>
                          <a:rPr lang="en-AU" sz="1000" i="1">
                            <a:solidFill>
                              <a:schemeClr val="tx1"/>
                            </a:solidFill>
                            <a:effectLst/>
                            <a:latin typeface="Cambria Math" panose="02040503050406030204" pitchFamily="18" charset="0"/>
                            <a:ea typeface="+mn-ea"/>
                            <a:cs typeface="+mn-cs"/>
                          </a:rPr>
                        </m:ctrlPr>
                      </m:sSubPr>
                      <m:e>
                        <m:r>
                          <a:rPr lang="en-AU" sz="1000" i="1">
                            <a:solidFill>
                              <a:schemeClr val="tx1"/>
                            </a:solidFill>
                            <a:effectLst/>
                            <a:latin typeface="Cambria Math" panose="02040503050406030204" pitchFamily="18" charset="0"/>
                            <a:ea typeface="+mn-ea"/>
                            <a:cs typeface="+mn-cs"/>
                          </a:rPr>
                          <m:t>𝐹</m:t>
                        </m:r>
                      </m:e>
                      <m:sub>
                        <m:r>
                          <a:rPr lang="en-AU" sz="1000" i="1">
                            <a:solidFill>
                              <a:schemeClr val="tx1"/>
                            </a:solidFill>
                            <a:effectLst/>
                            <a:latin typeface="Cambria Math" panose="02040503050406030204" pitchFamily="18" charset="0"/>
                            <a:ea typeface="+mn-ea"/>
                            <a:cs typeface="+mn-cs"/>
                          </a:rPr>
                          <m:t>𝑇𝑟𝑎𝑛𝑠</m:t>
                        </m:r>
                        <m:r>
                          <a:rPr lang="en-AU" sz="1000" i="1">
                            <a:solidFill>
                              <a:schemeClr val="tx1"/>
                            </a:solidFill>
                            <a:effectLst/>
                            <a:latin typeface="Cambria Math" panose="02040503050406030204" pitchFamily="18" charset="0"/>
                            <a:ea typeface="+mn-ea"/>
                            <a:cs typeface="+mn-cs"/>
                          </a:rPr>
                          <m:t>,3,</m:t>
                        </m:r>
                        <m:r>
                          <a:rPr lang="en-AU" sz="1000" i="1">
                            <a:solidFill>
                              <a:schemeClr val="tx1"/>
                            </a:solidFill>
                            <a:effectLst/>
                            <a:latin typeface="Cambria Math" panose="02040503050406030204" pitchFamily="18" charset="0"/>
                            <a:ea typeface="+mn-ea"/>
                            <a:cs typeface="+mn-cs"/>
                          </a:rPr>
                          <m:t>𝑞</m:t>
                        </m:r>
                      </m:sub>
                    </m:sSub>
                    <m:r>
                      <a:rPr lang="en-AU" sz="1000" i="1">
                        <a:solidFill>
                          <a:schemeClr val="tx1"/>
                        </a:solidFill>
                        <a:effectLst/>
                        <a:latin typeface="Cambria Math" panose="02040503050406030204" pitchFamily="18" charset="0"/>
                        <a:ea typeface="+mn-ea"/>
                        <a:cs typeface="+mn-cs"/>
                      </a:rPr>
                      <m:t>×</m:t>
                    </m:r>
                    <m:sSup>
                      <m:sSupPr>
                        <m:ctrlPr>
                          <a:rPr lang="en-AU" sz="1000" i="1">
                            <a:solidFill>
                              <a:schemeClr val="tx1"/>
                            </a:solidFill>
                            <a:effectLst/>
                            <a:latin typeface="Cambria Math" panose="02040503050406030204" pitchFamily="18" charset="0"/>
                            <a:ea typeface="+mn-ea"/>
                            <a:cs typeface="+mn-cs"/>
                          </a:rPr>
                        </m:ctrlPr>
                      </m:sSupPr>
                      <m:e>
                        <m:r>
                          <a:rPr lang="en-AU" sz="1000" i="1">
                            <a:solidFill>
                              <a:schemeClr val="tx1"/>
                            </a:solidFill>
                            <a:effectLst/>
                            <a:latin typeface="Cambria Math" panose="02040503050406030204" pitchFamily="18" charset="0"/>
                            <a:ea typeface="+mn-ea"/>
                            <a:cs typeface="+mn-cs"/>
                          </a:rPr>
                          <m:t>10</m:t>
                        </m:r>
                      </m:e>
                      <m:sup>
                        <m:r>
                          <a:rPr lang="en-AU" sz="1000" i="1">
                            <a:solidFill>
                              <a:schemeClr val="tx1"/>
                            </a:solidFill>
                            <a:effectLst/>
                            <a:latin typeface="Cambria Math" panose="02040503050406030204" pitchFamily="18" charset="0"/>
                            <a:ea typeface="+mn-ea"/>
                            <a:cs typeface="+mn-cs"/>
                          </a:rPr>
                          <m:t>−3</m:t>
                        </m:r>
                      </m:sup>
                    </m:sSup>
                  </m:oMath>
                </m:oMathPara>
              </a14:m>
              <a:endParaRPr lang="en-AU" sz="1000"/>
            </a:p>
          </xdr:txBody>
        </xdr:sp>
      </mc:Choice>
      <mc:Fallback xmlns="">
        <xdr:sp macro="" textlink="">
          <xdr:nvSpPr>
            <xdr:cNvPr id="4" name="TextBox 3">
              <a:extLst>
                <a:ext uri="{FF2B5EF4-FFF2-40B4-BE49-F238E27FC236}">
                  <a16:creationId xmlns:a16="http://schemas.microsoft.com/office/drawing/2014/main" id="{ECEBA672-02E5-4CB9-B33A-335B0514F350}"/>
                </a:ext>
              </a:extLst>
            </xdr:cNvPr>
            <xdr:cNvSpPr txBox="1"/>
          </xdr:nvSpPr>
          <xdr:spPr>
            <a:xfrm>
              <a:off x="18060424" y="2059057"/>
              <a:ext cx="3410677" cy="18575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AU" sz="1000" i="0">
                  <a:solidFill>
                    <a:schemeClr val="tx1"/>
                  </a:solidFill>
                  <a:effectLst/>
                  <a:latin typeface="Cambria Math" panose="02040503050406030204" pitchFamily="18" charset="0"/>
                  <a:ea typeface="+mn-ea"/>
                  <a:cs typeface="+mn-cs"/>
                </a:rPr>
                <a:t>𝐸_(𝑊𝑇𝑇,𝑡𝑟𝑎𝑛𝑠,𝑞)=𝑄_(𝑇𝑟𝑎𝑛𝑠,𝑞)×𝐸𝐶_(𝑇𝑟𝑎𝑛𝑠,𝑞)×𝐸𝐹_(𝑇𝑟𝑎𝑛𝑠,3,𝑞)×10^(−3)</a:t>
              </a:r>
              <a:endParaRPr lang="en-AU" sz="1000"/>
            </a:p>
          </xdr:txBody>
        </xdr:sp>
      </mc:Fallback>
    </mc:AlternateContent>
    <xdr:clientData/>
  </xdr:oneCellAnchor>
</xdr:wsDr>
</file>

<file path=xl/drawings/drawing17.xml><?xml version="1.0" encoding="utf-8"?>
<xdr:wsDr xmlns:xdr="http://schemas.openxmlformats.org/drawingml/2006/spreadsheetDrawing" xmlns:a="http://schemas.openxmlformats.org/drawingml/2006/main">
  <xdr:oneCellAnchor>
    <xdr:from>
      <xdr:col>2</xdr:col>
      <xdr:colOff>301902</xdr:colOff>
      <xdr:row>7</xdr:row>
      <xdr:rowOff>192157</xdr:rowOff>
    </xdr:from>
    <xdr:ext cx="3003836" cy="331501"/>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C06AD350-19DE-479F-90B4-63F09B8B3D82}"/>
                </a:ext>
              </a:extLst>
            </xdr:cNvPr>
            <xdr:cNvSpPr txBox="1"/>
          </xdr:nvSpPr>
          <xdr:spPr>
            <a:xfrm>
              <a:off x="2664102" y="2059057"/>
              <a:ext cx="3003836" cy="33150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14:m>
                <m:oMathPara xmlns:m="http://schemas.openxmlformats.org/officeDocument/2006/math">
                  <m:oMath>
                    <m:sSub>
                      <m:sSubPr>
                        <m:ctrlPr>
                          <a:rPr lang="en-AU" sz="1000" i="1">
                            <a:solidFill>
                              <a:schemeClr val="tx1"/>
                            </a:solidFill>
                            <a:effectLst/>
                            <a:latin typeface="Cambria Math" panose="02040503050406030204" pitchFamily="18" charset="0"/>
                            <a:ea typeface="+mn-ea"/>
                            <a:cs typeface="+mn-cs"/>
                          </a:rPr>
                        </m:ctrlPr>
                      </m:sSubPr>
                      <m:e>
                        <m:r>
                          <a:rPr lang="en-AU" sz="1000" i="1">
                            <a:solidFill>
                              <a:schemeClr val="tx1"/>
                            </a:solidFill>
                            <a:effectLst/>
                            <a:latin typeface="Cambria Math" panose="02040503050406030204" pitchFamily="18" charset="0"/>
                            <a:ea typeface="+mn-ea"/>
                            <a:cs typeface="+mn-cs"/>
                          </a:rPr>
                          <m:t>𝐸</m:t>
                        </m:r>
                      </m:e>
                      <m:sub>
                        <m:r>
                          <a:rPr lang="en-AU" sz="1000" i="1">
                            <a:solidFill>
                              <a:schemeClr val="tx1"/>
                            </a:solidFill>
                            <a:effectLst/>
                            <a:latin typeface="Cambria Math" panose="02040503050406030204" pitchFamily="18" charset="0"/>
                            <a:ea typeface="+mn-ea"/>
                            <a:cs typeface="+mn-cs"/>
                          </a:rPr>
                          <m:t>𝑔</m:t>
                        </m:r>
                      </m:sub>
                    </m:sSub>
                    <m:r>
                      <a:rPr lang="en-AU" sz="1000" i="1">
                        <a:solidFill>
                          <a:schemeClr val="tx1"/>
                        </a:solidFill>
                        <a:effectLst/>
                        <a:latin typeface="Cambria Math" panose="02040503050406030204" pitchFamily="18" charset="0"/>
                        <a:ea typeface="+mn-ea"/>
                        <a:cs typeface="+mn-cs"/>
                      </a:rPr>
                      <m:t>=</m:t>
                    </m:r>
                    <m:nary>
                      <m:naryPr>
                        <m:chr m:val="∑"/>
                        <m:limLoc m:val="subSup"/>
                        <m:supHide m:val="on"/>
                        <m:ctrlPr>
                          <a:rPr lang="en-AU" sz="1000" i="1">
                            <a:solidFill>
                              <a:schemeClr val="tx1"/>
                            </a:solidFill>
                            <a:effectLst/>
                            <a:latin typeface="Cambria Math" panose="02040503050406030204" pitchFamily="18" charset="0"/>
                            <a:ea typeface="+mn-ea"/>
                            <a:cs typeface="+mn-cs"/>
                          </a:rPr>
                        </m:ctrlPr>
                      </m:naryPr>
                      <m:sub>
                        <m:r>
                          <a:rPr lang="en-AU" sz="1000" i="1">
                            <a:solidFill>
                              <a:schemeClr val="tx1"/>
                            </a:solidFill>
                            <a:effectLst/>
                            <a:latin typeface="Cambria Math" panose="02040503050406030204" pitchFamily="18" charset="0"/>
                            <a:ea typeface="+mn-ea"/>
                            <a:cs typeface="+mn-cs"/>
                          </a:rPr>
                          <m:t>𝑡</m:t>
                        </m:r>
                      </m:sub>
                      <m:sup/>
                      <m:e>
                        <m:nary>
                          <m:naryPr>
                            <m:chr m:val="∑"/>
                            <m:limLoc m:val="subSup"/>
                            <m:supHide m:val="on"/>
                            <m:ctrlPr>
                              <a:rPr lang="en-AU" sz="1000" i="1">
                                <a:solidFill>
                                  <a:schemeClr val="tx1"/>
                                </a:solidFill>
                                <a:effectLst/>
                                <a:latin typeface="Cambria Math" panose="02040503050406030204" pitchFamily="18" charset="0"/>
                                <a:ea typeface="+mn-ea"/>
                                <a:cs typeface="+mn-cs"/>
                              </a:rPr>
                            </m:ctrlPr>
                          </m:naryPr>
                          <m:sub>
                            <m:r>
                              <a:rPr lang="en-AU" sz="1000" i="1">
                                <a:solidFill>
                                  <a:schemeClr val="tx1"/>
                                </a:solidFill>
                                <a:effectLst/>
                                <a:latin typeface="Cambria Math" panose="02040503050406030204" pitchFamily="18" charset="0"/>
                                <a:ea typeface="+mn-ea"/>
                                <a:cs typeface="+mn-cs"/>
                              </a:rPr>
                              <m:t>𝑞</m:t>
                            </m:r>
                          </m:sub>
                          <m:sup/>
                          <m:e>
                            <m:d>
                              <m:dPr>
                                <m:ctrlPr>
                                  <a:rPr lang="en-AU" sz="1000" i="1">
                                    <a:solidFill>
                                      <a:schemeClr val="tx1"/>
                                    </a:solidFill>
                                    <a:effectLst/>
                                    <a:latin typeface="Cambria Math" panose="02040503050406030204" pitchFamily="18" charset="0"/>
                                    <a:ea typeface="+mn-ea"/>
                                    <a:cs typeface="+mn-cs"/>
                                  </a:rPr>
                                </m:ctrlPr>
                              </m:dPr>
                              <m:e>
                                <m:sSub>
                                  <m:sSubPr>
                                    <m:ctrlPr>
                                      <a:rPr lang="en-AU" sz="1000" i="1">
                                        <a:solidFill>
                                          <a:schemeClr val="tx1"/>
                                        </a:solidFill>
                                        <a:effectLst/>
                                        <a:latin typeface="Cambria Math" panose="02040503050406030204" pitchFamily="18" charset="0"/>
                                        <a:ea typeface="+mn-ea"/>
                                        <a:cs typeface="+mn-cs"/>
                                      </a:rPr>
                                    </m:ctrlPr>
                                  </m:sSubPr>
                                  <m:e>
                                    <m:r>
                                      <a:rPr lang="en-AU" sz="1000" i="1">
                                        <a:solidFill>
                                          <a:schemeClr val="tx1"/>
                                        </a:solidFill>
                                        <a:effectLst/>
                                        <a:latin typeface="Cambria Math" panose="02040503050406030204" pitchFamily="18" charset="0"/>
                                        <a:ea typeface="+mn-ea"/>
                                        <a:cs typeface="+mn-cs"/>
                                      </a:rPr>
                                      <m:t>𝑄</m:t>
                                    </m:r>
                                  </m:e>
                                  <m:sub>
                                    <m:r>
                                      <a:rPr lang="en-AU" sz="1000" i="1">
                                        <a:solidFill>
                                          <a:schemeClr val="tx1"/>
                                        </a:solidFill>
                                        <a:effectLst/>
                                        <a:latin typeface="Cambria Math" panose="02040503050406030204" pitchFamily="18" charset="0"/>
                                        <a:ea typeface="+mn-ea"/>
                                        <a:cs typeface="+mn-cs"/>
                                      </a:rPr>
                                      <m:t>𝑆𝐶</m:t>
                                    </m:r>
                                    <m:r>
                                      <a:rPr lang="en-AU" sz="1000" i="1">
                                        <a:solidFill>
                                          <a:schemeClr val="tx1"/>
                                        </a:solidFill>
                                        <a:effectLst/>
                                        <a:latin typeface="Cambria Math" panose="02040503050406030204" pitchFamily="18" charset="0"/>
                                        <a:ea typeface="+mn-ea"/>
                                        <a:cs typeface="+mn-cs"/>
                                      </a:rPr>
                                      <m:t>,</m:t>
                                    </m:r>
                                    <m:r>
                                      <a:rPr lang="en-AU" sz="1000" i="1">
                                        <a:solidFill>
                                          <a:schemeClr val="tx1"/>
                                        </a:solidFill>
                                        <a:effectLst/>
                                        <a:latin typeface="Cambria Math" panose="02040503050406030204" pitchFamily="18" charset="0"/>
                                        <a:ea typeface="+mn-ea"/>
                                        <a:cs typeface="+mn-cs"/>
                                      </a:rPr>
                                      <m:t>𝑞</m:t>
                                    </m:r>
                                  </m:sub>
                                </m:sSub>
                                <m:r>
                                  <a:rPr lang="en-AU" sz="1000" i="1">
                                    <a:solidFill>
                                      <a:schemeClr val="tx1"/>
                                    </a:solidFill>
                                    <a:effectLst/>
                                    <a:latin typeface="Cambria Math" panose="02040503050406030204" pitchFamily="18" charset="0"/>
                                    <a:ea typeface="+mn-ea"/>
                                    <a:cs typeface="+mn-cs"/>
                                  </a:rPr>
                                  <m:t>×</m:t>
                                </m:r>
                                <m:r>
                                  <a:rPr lang="en-AU" sz="1000" i="1">
                                    <a:solidFill>
                                      <a:schemeClr val="tx1"/>
                                    </a:solidFill>
                                    <a:effectLst/>
                                    <a:latin typeface="Cambria Math" panose="02040503050406030204" pitchFamily="18" charset="0"/>
                                    <a:ea typeface="+mn-ea"/>
                                    <a:cs typeface="+mn-cs"/>
                                  </a:rPr>
                                  <m:t>𝐸</m:t>
                                </m:r>
                                <m:sSub>
                                  <m:sSubPr>
                                    <m:ctrlPr>
                                      <a:rPr lang="en-AU" sz="1000" i="1">
                                        <a:solidFill>
                                          <a:schemeClr val="tx1"/>
                                        </a:solidFill>
                                        <a:effectLst/>
                                        <a:latin typeface="Cambria Math" panose="02040503050406030204" pitchFamily="18" charset="0"/>
                                        <a:ea typeface="+mn-ea"/>
                                        <a:cs typeface="+mn-cs"/>
                                      </a:rPr>
                                    </m:ctrlPr>
                                  </m:sSubPr>
                                  <m:e>
                                    <m:r>
                                      <a:rPr lang="en-AU" sz="1000" i="1">
                                        <a:solidFill>
                                          <a:schemeClr val="tx1"/>
                                        </a:solidFill>
                                        <a:effectLst/>
                                        <a:latin typeface="Cambria Math" panose="02040503050406030204" pitchFamily="18" charset="0"/>
                                        <a:ea typeface="+mn-ea"/>
                                        <a:cs typeface="+mn-cs"/>
                                      </a:rPr>
                                      <m:t>𝐶</m:t>
                                    </m:r>
                                  </m:e>
                                  <m:sub>
                                    <m:r>
                                      <a:rPr lang="en-AU" sz="1000" i="1">
                                        <a:solidFill>
                                          <a:schemeClr val="tx1"/>
                                        </a:solidFill>
                                        <a:effectLst/>
                                        <a:latin typeface="Cambria Math" panose="02040503050406030204" pitchFamily="18" charset="0"/>
                                        <a:ea typeface="+mn-ea"/>
                                        <a:cs typeface="+mn-cs"/>
                                      </a:rPr>
                                      <m:t>𝑆𝐶</m:t>
                                    </m:r>
                                    <m:r>
                                      <a:rPr lang="en-AU" sz="1000" i="1">
                                        <a:solidFill>
                                          <a:schemeClr val="tx1"/>
                                        </a:solidFill>
                                        <a:effectLst/>
                                        <a:latin typeface="Cambria Math" panose="02040503050406030204" pitchFamily="18" charset="0"/>
                                        <a:ea typeface="+mn-ea"/>
                                        <a:cs typeface="+mn-cs"/>
                                      </a:rPr>
                                      <m:t>,</m:t>
                                    </m:r>
                                    <m:r>
                                      <a:rPr lang="en-AU" sz="1000" i="1">
                                        <a:solidFill>
                                          <a:schemeClr val="tx1"/>
                                        </a:solidFill>
                                        <a:effectLst/>
                                        <a:latin typeface="Cambria Math" panose="02040503050406030204" pitchFamily="18" charset="0"/>
                                        <a:ea typeface="+mn-ea"/>
                                        <a:cs typeface="+mn-cs"/>
                                      </a:rPr>
                                      <m:t>𝑞</m:t>
                                    </m:r>
                                  </m:sub>
                                </m:sSub>
                                <m:r>
                                  <a:rPr lang="en-AU" sz="1000" i="1">
                                    <a:solidFill>
                                      <a:schemeClr val="tx1"/>
                                    </a:solidFill>
                                    <a:effectLst/>
                                    <a:latin typeface="Cambria Math" panose="02040503050406030204" pitchFamily="18" charset="0"/>
                                    <a:ea typeface="+mn-ea"/>
                                    <a:cs typeface="+mn-cs"/>
                                  </a:rPr>
                                  <m:t>×</m:t>
                                </m:r>
                                <m:r>
                                  <a:rPr lang="en-AU" sz="1000" i="1">
                                    <a:solidFill>
                                      <a:schemeClr val="tx1"/>
                                    </a:solidFill>
                                    <a:effectLst/>
                                    <a:latin typeface="Cambria Math" panose="02040503050406030204" pitchFamily="18" charset="0"/>
                                    <a:ea typeface="+mn-ea"/>
                                    <a:cs typeface="+mn-cs"/>
                                  </a:rPr>
                                  <m:t>𝐸</m:t>
                                </m:r>
                                <m:sSub>
                                  <m:sSubPr>
                                    <m:ctrlPr>
                                      <a:rPr lang="en-AU" sz="1000" i="1">
                                        <a:solidFill>
                                          <a:schemeClr val="tx1"/>
                                        </a:solidFill>
                                        <a:effectLst/>
                                        <a:latin typeface="Cambria Math" panose="02040503050406030204" pitchFamily="18" charset="0"/>
                                        <a:ea typeface="+mn-ea"/>
                                        <a:cs typeface="+mn-cs"/>
                                      </a:rPr>
                                    </m:ctrlPr>
                                  </m:sSubPr>
                                  <m:e>
                                    <m:r>
                                      <a:rPr lang="en-AU" sz="1000" i="1">
                                        <a:solidFill>
                                          <a:schemeClr val="tx1"/>
                                        </a:solidFill>
                                        <a:effectLst/>
                                        <a:latin typeface="Cambria Math" panose="02040503050406030204" pitchFamily="18" charset="0"/>
                                        <a:ea typeface="+mn-ea"/>
                                        <a:cs typeface="+mn-cs"/>
                                      </a:rPr>
                                      <m:t>𝐹</m:t>
                                    </m:r>
                                  </m:e>
                                  <m:sub>
                                    <m:r>
                                      <a:rPr lang="en-AU" sz="1000" i="1">
                                        <a:solidFill>
                                          <a:schemeClr val="tx1"/>
                                        </a:solidFill>
                                        <a:effectLst/>
                                        <a:latin typeface="Cambria Math" panose="02040503050406030204" pitchFamily="18" charset="0"/>
                                        <a:ea typeface="+mn-ea"/>
                                        <a:cs typeface="+mn-cs"/>
                                      </a:rPr>
                                      <m:t>𝑆𝐶</m:t>
                                    </m:r>
                                    <m:r>
                                      <a:rPr lang="en-AU" sz="1000" i="1">
                                        <a:solidFill>
                                          <a:schemeClr val="tx1"/>
                                        </a:solidFill>
                                        <a:effectLst/>
                                        <a:latin typeface="Cambria Math" panose="02040503050406030204" pitchFamily="18" charset="0"/>
                                        <a:ea typeface="+mn-ea"/>
                                        <a:cs typeface="+mn-cs"/>
                                      </a:rPr>
                                      <m:t>,1,</m:t>
                                    </m:r>
                                    <m:r>
                                      <a:rPr lang="en-AU" sz="1000" i="1">
                                        <a:solidFill>
                                          <a:schemeClr val="tx1"/>
                                        </a:solidFill>
                                        <a:effectLst/>
                                        <a:latin typeface="Cambria Math" panose="02040503050406030204" pitchFamily="18" charset="0"/>
                                        <a:ea typeface="+mn-ea"/>
                                        <a:cs typeface="+mn-cs"/>
                                      </a:rPr>
                                      <m:t>𝑞𝑔</m:t>
                                    </m:r>
                                  </m:sub>
                                </m:sSub>
                              </m:e>
                            </m:d>
                          </m:e>
                        </m:nary>
                      </m:e>
                    </m:nary>
                    <m:r>
                      <a:rPr lang="en-AU" sz="1000" i="1">
                        <a:solidFill>
                          <a:schemeClr val="tx1"/>
                        </a:solidFill>
                        <a:effectLst/>
                        <a:latin typeface="Cambria Math" panose="02040503050406030204" pitchFamily="18" charset="0"/>
                        <a:ea typeface="+mn-ea"/>
                        <a:cs typeface="+mn-cs"/>
                      </a:rPr>
                      <m:t>×</m:t>
                    </m:r>
                    <m:sSup>
                      <m:sSupPr>
                        <m:ctrlPr>
                          <a:rPr lang="en-AU" sz="1000" i="1">
                            <a:solidFill>
                              <a:schemeClr val="tx1"/>
                            </a:solidFill>
                            <a:effectLst/>
                            <a:latin typeface="Cambria Math" panose="02040503050406030204" pitchFamily="18" charset="0"/>
                            <a:ea typeface="+mn-ea"/>
                            <a:cs typeface="+mn-cs"/>
                          </a:rPr>
                        </m:ctrlPr>
                      </m:sSupPr>
                      <m:e>
                        <m:r>
                          <a:rPr lang="en-AU" sz="1000" i="1">
                            <a:solidFill>
                              <a:schemeClr val="tx1"/>
                            </a:solidFill>
                            <a:effectLst/>
                            <a:latin typeface="Cambria Math" panose="02040503050406030204" pitchFamily="18" charset="0"/>
                            <a:ea typeface="+mn-ea"/>
                            <a:cs typeface="+mn-cs"/>
                          </a:rPr>
                          <m:t>10</m:t>
                        </m:r>
                      </m:e>
                      <m:sup>
                        <m:r>
                          <a:rPr lang="en-AU" sz="1000" i="1">
                            <a:solidFill>
                              <a:schemeClr val="tx1"/>
                            </a:solidFill>
                            <a:effectLst/>
                            <a:latin typeface="Cambria Math" panose="02040503050406030204" pitchFamily="18" charset="0"/>
                            <a:ea typeface="+mn-ea"/>
                            <a:cs typeface="+mn-cs"/>
                          </a:rPr>
                          <m:t>−3</m:t>
                        </m:r>
                      </m:sup>
                    </m:sSup>
                  </m:oMath>
                </m:oMathPara>
              </a14:m>
              <a:endParaRPr lang="en-AU" sz="1000"/>
            </a:p>
          </xdr:txBody>
        </xdr:sp>
      </mc:Choice>
      <mc:Fallback xmlns="">
        <xdr:sp macro="" textlink="">
          <xdr:nvSpPr>
            <xdr:cNvPr id="2" name="TextBox 1">
              <a:extLst>
                <a:ext uri="{FF2B5EF4-FFF2-40B4-BE49-F238E27FC236}">
                  <a16:creationId xmlns:a16="http://schemas.microsoft.com/office/drawing/2014/main" id="{C06AD350-19DE-479F-90B4-63F09B8B3D82}"/>
                </a:ext>
              </a:extLst>
            </xdr:cNvPr>
            <xdr:cNvSpPr txBox="1"/>
          </xdr:nvSpPr>
          <xdr:spPr>
            <a:xfrm>
              <a:off x="2664102" y="2059057"/>
              <a:ext cx="3003836" cy="33150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AU" sz="1000" i="0">
                  <a:solidFill>
                    <a:schemeClr val="tx1"/>
                  </a:solidFill>
                  <a:effectLst/>
                  <a:latin typeface="Cambria Math" panose="02040503050406030204" pitchFamily="18" charset="0"/>
                  <a:ea typeface="+mn-ea"/>
                  <a:cs typeface="+mn-cs"/>
                </a:rPr>
                <a:t>𝐸_𝑔=∑2_𝑡▒∑2_𝑞▒(𝑄_(𝑆𝐶,𝑞)×𝐸𝐶_(𝑆𝐶,𝑞)×𝐸𝐹_(𝑆𝐶,1,𝑞𝑔) ) ×10^(−3)</a:t>
              </a:r>
              <a:endParaRPr lang="en-AU" sz="1000"/>
            </a:p>
          </xdr:txBody>
        </xdr:sp>
      </mc:Fallback>
    </mc:AlternateContent>
    <xdr:clientData/>
  </xdr:oneCellAnchor>
  <xdr:oneCellAnchor>
    <xdr:from>
      <xdr:col>9</xdr:col>
      <xdr:colOff>2029849</xdr:colOff>
      <xdr:row>8</xdr:row>
      <xdr:rowOff>106432</xdr:rowOff>
    </xdr:from>
    <xdr:ext cx="2697726" cy="185756"/>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7F5F66EB-F3F0-435C-BE77-906B5AEC1B76}"/>
                </a:ext>
              </a:extLst>
            </xdr:cNvPr>
            <xdr:cNvSpPr txBox="1"/>
          </xdr:nvSpPr>
          <xdr:spPr>
            <a:xfrm>
              <a:off x="17641324" y="2220982"/>
              <a:ext cx="2697726" cy="18575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14:m>
                <m:oMathPara xmlns:m="http://schemas.openxmlformats.org/officeDocument/2006/math">
                  <m:oMath>
                    <m:sSub>
                      <m:sSubPr>
                        <m:ctrlPr>
                          <a:rPr lang="en-AU" sz="1000" i="1">
                            <a:solidFill>
                              <a:schemeClr val="tx1"/>
                            </a:solidFill>
                            <a:effectLst/>
                            <a:latin typeface="Cambria Math" panose="02040503050406030204" pitchFamily="18" charset="0"/>
                            <a:ea typeface="+mn-ea"/>
                            <a:cs typeface="+mn-cs"/>
                          </a:rPr>
                        </m:ctrlPr>
                      </m:sSubPr>
                      <m:e>
                        <m:r>
                          <a:rPr lang="en-AU" sz="1000" i="1">
                            <a:solidFill>
                              <a:schemeClr val="tx1"/>
                            </a:solidFill>
                            <a:effectLst/>
                            <a:latin typeface="Cambria Math" panose="02040503050406030204" pitchFamily="18" charset="0"/>
                            <a:ea typeface="+mn-ea"/>
                            <a:cs typeface="+mn-cs"/>
                          </a:rPr>
                          <m:t>𝐸</m:t>
                        </m:r>
                      </m:e>
                      <m:sub>
                        <m:r>
                          <a:rPr lang="en-AU" sz="1000" i="1">
                            <a:solidFill>
                              <a:schemeClr val="tx1"/>
                            </a:solidFill>
                            <a:effectLst/>
                            <a:latin typeface="Cambria Math" panose="02040503050406030204" pitchFamily="18" charset="0"/>
                            <a:ea typeface="+mn-ea"/>
                            <a:cs typeface="+mn-cs"/>
                          </a:rPr>
                          <m:t>𝑊𝑇𝑇</m:t>
                        </m:r>
                        <m:r>
                          <a:rPr lang="en-AU" sz="1000" i="1">
                            <a:solidFill>
                              <a:schemeClr val="tx1"/>
                            </a:solidFill>
                            <a:effectLst/>
                            <a:latin typeface="Cambria Math" panose="02040503050406030204" pitchFamily="18" charset="0"/>
                            <a:ea typeface="+mn-ea"/>
                            <a:cs typeface="+mn-cs"/>
                          </a:rPr>
                          <m:t>,</m:t>
                        </m:r>
                        <m:r>
                          <a:rPr lang="en-AU" sz="1000" i="1">
                            <a:solidFill>
                              <a:schemeClr val="tx1"/>
                            </a:solidFill>
                            <a:effectLst/>
                            <a:latin typeface="Cambria Math" panose="02040503050406030204" pitchFamily="18" charset="0"/>
                            <a:ea typeface="+mn-ea"/>
                            <a:cs typeface="+mn-cs"/>
                          </a:rPr>
                          <m:t>𝑆𝐶</m:t>
                        </m:r>
                        <m:r>
                          <a:rPr lang="en-AU" sz="1000" i="1">
                            <a:solidFill>
                              <a:schemeClr val="tx1"/>
                            </a:solidFill>
                            <a:effectLst/>
                            <a:latin typeface="Cambria Math" panose="02040503050406030204" pitchFamily="18" charset="0"/>
                            <a:ea typeface="+mn-ea"/>
                            <a:cs typeface="+mn-cs"/>
                          </a:rPr>
                          <m:t>,</m:t>
                        </m:r>
                        <m:r>
                          <a:rPr lang="en-AU" sz="1000" i="1">
                            <a:solidFill>
                              <a:schemeClr val="tx1"/>
                            </a:solidFill>
                            <a:effectLst/>
                            <a:latin typeface="Cambria Math" panose="02040503050406030204" pitchFamily="18" charset="0"/>
                            <a:ea typeface="+mn-ea"/>
                            <a:cs typeface="+mn-cs"/>
                          </a:rPr>
                          <m:t>𝑞</m:t>
                        </m:r>
                      </m:sub>
                    </m:sSub>
                    <m:r>
                      <a:rPr lang="en-AU" sz="1000" i="1">
                        <a:solidFill>
                          <a:schemeClr val="tx1"/>
                        </a:solidFill>
                        <a:effectLst/>
                        <a:latin typeface="Cambria Math" panose="02040503050406030204" pitchFamily="18" charset="0"/>
                        <a:ea typeface="+mn-ea"/>
                        <a:cs typeface="+mn-cs"/>
                      </a:rPr>
                      <m:t>=</m:t>
                    </m:r>
                    <m:sSub>
                      <m:sSubPr>
                        <m:ctrlPr>
                          <a:rPr lang="en-AU" sz="1000" i="1">
                            <a:solidFill>
                              <a:schemeClr val="tx1"/>
                            </a:solidFill>
                            <a:effectLst/>
                            <a:latin typeface="Cambria Math" panose="02040503050406030204" pitchFamily="18" charset="0"/>
                            <a:ea typeface="+mn-ea"/>
                            <a:cs typeface="+mn-cs"/>
                          </a:rPr>
                        </m:ctrlPr>
                      </m:sSubPr>
                      <m:e>
                        <m:r>
                          <a:rPr lang="en-AU" sz="1000" i="1">
                            <a:solidFill>
                              <a:schemeClr val="tx1"/>
                            </a:solidFill>
                            <a:effectLst/>
                            <a:latin typeface="Cambria Math" panose="02040503050406030204" pitchFamily="18" charset="0"/>
                            <a:ea typeface="+mn-ea"/>
                            <a:cs typeface="+mn-cs"/>
                          </a:rPr>
                          <m:t>𝑄</m:t>
                        </m:r>
                      </m:e>
                      <m:sub>
                        <m:r>
                          <a:rPr lang="en-AU" sz="1000" i="1">
                            <a:solidFill>
                              <a:schemeClr val="tx1"/>
                            </a:solidFill>
                            <a:effectLst/>
                            <a:latin typeface="Cambria Math" panose="02040503050406030204" pitchFamily="18" charset="0"/>
                            <a:ea typeface="+mn-ea"/>
                            <a:cs typeface="+mn-cs"/>
                          </a:rPr>
                          <m:t>𝑆𝐶</m:t>
                        </m:r>
                        <m:r>
                          <a:rPr lang="en-AU" sz="1000" i="1">
                            <a:solidFill>
                              <a:schemeClr val="tx1"/>
                            </a:solidFill>
                            <a:effectLst/>
                            <a:latin typeface="Cambria Math" panose="02040503050406030204" pitchFamily="18" charset="0"/>
                            <a:ea typeface="+mn-ea"/>
                            <a:cs typeface="+mn-cs"/>
                          </a:rPr>
                          <m:t>,</m:t>
                        </m:r>
                        <m:r>
                          <a:rPr lang="en-AU" sz="1000" i="1">
                            <a:solidFill>
                              <a:schemeClr val="tx1"/>
                            </a:solidFill>
                            <a:effectLst/>
                            <a:latin typeface="Cambria Math" panose="02040503050406030204" pitchFamily="18" charset="0"/>
                            <a:ea typeface="+mn-ea"/>
                            <a:cs typeface="+mn-cs"/>
                          </a:rPr>
                          <m:t>𝑞</m:t>
                        </m:r>
                      </m:sub>
                    </m:sSub>
                    <m:r>
                      <a:rPr lang="en-AU" sz="1000" i="1">
                        <a:solidFill>
                          <a:schemeClr val="tx1"/>
                        </a:solidFill>
                        <a:effectLst/>
                        <a:latin typeface="Cambria Math" panose="02040503050406030204" pitchFamily="18" charset="0"/>
                        <a:ea typeface="+mn-ea"/>
                        <a:cs typeface="+mn-cs"/>
                      </a:rPr>
                      <m:t>×</m:t>
                    </m:r>
                    <m:r>
                      <a:rPr lang="en-AU" sz="1000" i="1">
                        <a:solidFill>
                          <a:schemeClr val="tx1"/>
                        </a:solidFill>
                        <a:effectLst/>
                        <a:latin typeface="Cambria Math" panose="02040503050406030204" pitchFamily="18" charset="0"/>
                        <a:ea typeface="+mn-ea"/>
                        <a:cs typeface="+mn-cs"/>
                      </a:rPr>
                      <m:t>𝐸</m:t>
                    </m:r>
                    <m:sSub>
                      <m:sSubPr>
                        <m:ctrlPr>
                          <a:rPr lang="en-AU" sz="1000" i="1">
                            <a:solidFill>
                              <a:schemeClr val="tx1"/>
                            </a:solidFill>
                            <a:effectLst/>
                            <a:latin typeface="Cambria Math" panose="02040503050406030204" pitchFamily="18" charset="0"/>
                            <a:ea typeface="+mn-ea"/>
                            <a:cs typeface="+mn-cs"/>
                          </a:rPr>
                        </m:ctrlPr>
                      </m:sSubPr>
                      <m:e>
                        <m:r>
                          <a:rPr lang="en-AU" sz="1000" i="1">
                            <a:solidFill>
                              <a:schemeClr val="tx1"/>
                            </a:solidFill>
                            <a:effectLst/>
                            <a:latin typeface="Cambria Math" panose="02040503050406030204" pitchFamily="18" charset="0"/>
                            <a:ea typeface="+mn-ea"/>
                            <a:cs typeface="+mn-cs"/>
                          </a:rPr>
                          <m:t>𝐶</m:t>
                        </m:r>
                      </m:e>
                      <m:sub>
                        <m:r>
                          <a:rPr lang="en-AU" sz="1000" i="1">
                            <a:solidFill>
                              <a:schemeClr val="tx1"/>
                            </a:solidFill>
                            <a:effectLst/>
                            <a:latin typeface="Cambria Math" panose="02040503050406030204" pitchFamily="18" charset="0"/>
                            <a:ea typeface="+mn-ea"/>
                            <a:cs typeface="+mn-cs"/>
                          </a:rPr>
                          <m:t>𝑆𝐶</m:t>
                        </m:r>
                        <m:r>
                          <a:rPr lang="en-AU" sz="1000" i="1">
                            <a:solidFill>
                              <a:schemeClr val="tx1"/>
                            </a:solidFill>
                            <a:effectLst/>
                            <a:latin typeface="Cambria Math" panose="02040503050406030204" pitchFamily="18" charset="0"/>
                            <a:ea typeface="+mn-ea"/>
                            <a:cs typeface="+mn-cs"/>
                          </a:rPr>
                          <m:t>,</m:t>
                        </m:r>
                        <m:r>
                          <a:rPr lang="en-AU" sz="1000" i="1">
                            <a:solidFill>
                              <a:schemeClr val="tx1"/>
                            </a:solidFill>
                            <a:effectLst/>
                            <a:latin typeface="Cambria Math" panose="02040503050406030204" pitchFamily="18" charset="0"/>
                            <a:ea typeface="+mn-ea"/>
                            <a:cs typeface="+mn-cs"/>
                          </a:rPr>
                          <m:t>𝑞</m:t>
                        </m:r>
                      </m:sub>
                    </m:sSub>
                    <m:r>
                      <a:rPr lang="en-AU" sz="1000" i="1">
                        <a:solidFill>
                          <a:schemeClr val="tx1"/>
                        </a:solidFill>
                        <a:effectLst/>
                        <a:latin typeface="Cambria Math" panose="02040503050406030204" pitchFamily="18" charset="0"/>
                        <a:ea typeface="+mn-ea"/>
                        <a:cs typeface="+mn-cs"/>
                      </a:rPr>
                      <m:t>×</m:t>
                    </m:r>
                    <m:r>
                      <a:rPr lang="en-AU" sz="1000" i="1">
                        <a:solidFill>
                          <a:schemeClr val="tx1"/>
                        </a:solidFill>
                        <a:effectLst/>
                        <a:latin typeface="Cambria Math" panose="02040503050406030204" pitchFamily="18" charset="0"/>
                        <a:ea typeface="+mn-ea"/>
                        <a:cs typeface="+mn-cs"/>
                      </a:rPr>
                      <m:t>𝐸</m:t>
                    </m:r>
                    <m:sSub>
                      <m:sSubPr>
                        <m:ctrlPr>
                          <a:rPr lang="en-AU" sz="1000" i="1">
                            <a:solidFill>
                              <a:schemeClr val="tx1"/>
                            </a:solidFill>
                            <a:effectLst/>
                            <a:latin typeface="Cambria Math" panose="02040503050406030204" pitchFamily="18" charset="0"/>
                            <a:ea typeface="+mn-ea"/>
                            <a:cs typeface="+mn-cs"/>
                          </a:rPr>
                        </m:ctrlPr>
                      </m:sSubPr>
                      <m:e>
                        <m:r>
                          <a:rPr lang="en-AU" sz="1000" i="1">
                            <a:solidFill>
                              <a:schemeClr val="tx1"/>
                            </a:solidFill>
                            <a:effectLst/>
                            <a:latin typeface="Cambria Math" panose="02040503050406030204" pitchFamily="18" charset="0"/>
                            <a:ea typeface="+mn-ea"/>
                            <a:cs typeface="+mn-cs"/>
                          </a:rPr>
                          <m:t>𝐹</m:t>
                        </m:r>
                      </m:e>
                      <m:sub>
                        <m:r>
                          <a:rPr lang="en-AU" sz="1000" i="1">
                            <a:solidFill>
                              <a:schemeClr val="tx1"/>
                            </a:solidFill>
                            <a:effectLst/>
                            <a:latin typeface="Cambria Math" panose="02040503050406030204" pitchFamily="18" charset="0"/>
                            <a:ea typeface="+mn-ea"/>
                            <a:cs typeface="+mn-cs"/>
                          </a:rPr>
                          <m:t>𝑆𝐶</m:t>
                        </m:r>
                        <m:r>
                          <a:rPr lang="en-AU" sz="1000" i="1">
                            <a:solidFill>
                              <a:schemeClr val="tx1"/>
                            </a:solidFill>
                            <a:effectLst/>
                            <a:latin typeface="Cambria Math" panose="02040503050406030204" pitchFamily="18" charset="0"/>
                            <a:ea typeface="+mn-ea"/>
                            <a:cs typeface="+mn-cs"/>
                          </a:rPr>
                          <m:t>,3,</m:t>
                        </m:r>
                        <m:r>
                          <a:rPr lang="en-AU" sz="1000" i="1">
                            <a:solidFill>
                              <a:schemeClr val="tx1"/>
                            </a:solidFill>
                            <a:effectLst/>
                            <a:latin typeface="Cambria Math" panose="02040503050406030204" pitchFamily="18" charset="0"/>
                            <a:ea typeface="+mn-ea"/>
                            <a:cs typeface="+mn-cs"/>
                          </a:rPr>
                          <m:t>𝑞</m:t>
                        </m:r>
                      </m:sub>
                    </m:sSub>
                    <m:r>
                      <a:rPr lang="en-AU" sz="1000" i="1">
                        <a:solidFill>
                          <a:schemeClr val="tx1"/>
                        </a:solidFill>
                        <a:effectLst/>
                        <a:latin typeface="Cambria Math" panose="02040503050406030204" pitchFamily="18" charset="0"/>
                        <a:ea typeface="+mn-ea"/>
                        <a:cs typeface="+mn-cs"/>
                      </a:rPr>
                      <m:t>×</m:t>
                    </m:r>
                    <m:sSup>
                      <m:sSupPr>
                        <m:ctrlPr>
                          <a:rPr lang="en-AU" sz="1000" i="1">
                            <a:solidFill>
                              <a:schemeClr val="tx1"/>
                            </a:solidFill>
                            <a:effectLst/>
                            <a:latin typeface="Cambria Math" panose="02040503050406030204" pitchFamily="18" charset="0"/>
                            <a:ea typeface="+mn-ea"/>
                            <a:cs typeface="+mn-cs"/>
                          </a:rPr>
                        </m:ctrlPr>
                      </m:sSupPr>
                      <m:e>
                        <m:r>
                          <a:rPr lang="en-AU" sz="1000" i="1">
                            <a:solidFill>
                              <a:schemeClr val="tx1"/>
                            </a:solidFill>
                            <a:effectLst/>
                            <a:latin typeface="Cambria Math" panose="02040503050406030204" pitchFamily="18" charset="0"/>
                            <a:ea typeface="+mn-ea"/>
                            <a:cs typeface="+mn-cs"/>
                          </a:rPr>
                          <m:t>10</m:t>
                        </m:r>
                      </m:e>
                      <m:sup>
                        <m:r>
                          <a:rPr lang="en-AU" sz="1000" i="1">
                            <a:solidFill>
                              <a:schemeClr val="tx1"/>
                            </a:solidFill>
                            <a:effectLst/>
                            <a:latin typeface="Cambria Math" panose="02040503050406030204" pitchFamily="18" charset="0"/>
                            <a:ea typeface="+mn-ea"/>
                            <a:cs typeface="+mn-cs"/>
                          </a:rPr>
                          <m:t>−3</m:t>
                        </m:r>
                      </m:sup>
                    </m:sSup>
                  </m:oMath>
                </m:oMathPara>
              </a14:m>
              <a:endParaRPr lang="en-AU" sz="1000"/>
            </a:p>
          </xdr:txBody>
        </xdr:sp>
      </mc:Choice>
      <mc:Fallback xmlns="">
        <xdr:sp macro="" textlink="">
          <xdr:nvSpPr>
            <xdr:cNvPr id="3" name="TextBox 2">
              <a:extLst>
                <a:ext uri="{FF2B5EF4-FFF2-40B4-BE49-F238E27FC236}">
                  <a16:creationId xmlns:a16="http://schemas.microsoft.com/office/drawing/2014/main" id="{7F5F66EB-F3F0-435C-BE77-906B5AEC1B76}"/>
                </a:ext>
              </a:extLst>
            </xdr:cNvPr>
            <xdr:cNvSpPr txBox="1"/>
          </xdr:nvSpPr>
          <xdr:spPr>
            <a:xfrm>
              <a:off x="17641324" y="2220982"/>
              <a:ext cx="2697726" cy="18575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AU" sz="1000" i="0">
                  <a:solidFill>
                    <a:schemeClr val="tx1"/>
                  </a:solidFill>
                  <a:effectLst/>
                  <a:latin typeface="Cambria Math" panose="02040503050406030204" pitchFamily="18" charset="0"/>
                  <a:ea typeface="+mn-ea"/>
                  <a:cs typeface="+mn-cs"/>
                </a:rPr>
                <a:t>𝐸_(𝑊𝑇𝑇,𝑆𝐶,𝑞)=𝑄_(𝑆𝐶,𝑞)×𝐸𝐶_(𝑆𝐶,𝑞)×𝐸𝐹_(𝑆𝐶,3,𝑞)×10^(−3)</a:t>
              </a:r>
              <a:endParaRPr lang="en-AU" sz="1000"/>
            </a:p>
          </xdr:txBody>
        </xdr:sp>
      </mc:Fallback>
    </mc:AlternateContent>
    <xdr:clientData/>
  </xdr:oneCellAnchor>
</xdr:wsDr>
</file>

<file path=xl/drawings/drawing18.xml><?xml version="1.0" encoding="utf-8"?>
<xdr:wsDr xmlns:xdr="http://schemas.openxmlformats.org/drawingml/2006/spreadsheetDrawing" xmlns:a="http://schemas.openxmlformats.org/drawingml/2006/main">
  <xdr:oneCellAnchor>
    <xdr:from>
      <xdr:col>3</xdr:col>
      <xdr:colOff>13447</xdr:colOff>
      <xdr:row>7</xdr:row>
      <xdr:rowOff>109818</xdr:rowOff>
    </xdr:from>
    <xdr:ext cx="1199046" cy="165366"/>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0C55429C-DCC5-441D-BAC3-98ECAFCAA85E}"/>
                </a:ext>
              </a:extLst>
            </xdr:cNvPr>
            <xdr:cNvSpPr txBox="1"/>
          </xdr:nvSpPr>
          <xdr:spPr>
            <a:xfrm>
              <a:off x="2689972" y="1976718"/>
              <a:ext cx="1199046" cy="1653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000" i="1">
                            <a:latin typeface="Cambria Math" panose="02040503050406030204" pitchFamily="18" charset="0"/>
                          </a:rPr>
                        </m:ctrlPr>
                      </m:sSubPr>
                      <m:e>
                        <m:r>
                          <a:rPr lang="en-AU" sz="1000" i="1">
                            <a:latin typeface="Cambria Math" panose="02040503050406030204" pitchFamily="18" charset="0"/>
                          </a:rPr>
                          <m:t>𝑄</m:t>
                        </m:r>
                      </m:e>
                      <m:sub>
                        <m:r>
                          <a:rPr lang="en-AU" sz="1000" i="1">
                            <a:latin typeface="Cambria Math" panose="02040503050406030204" pitchFamily="18" charset="0"/>
                          </a:rPr>
                          <m:t>𝑤𝑡</m:t>
                        </m:r>
                      </m:sub>
                    </m:sSub>
                    <m:r>
                      <a:rPr lang="en-AU" sz="1000" i="1">
                        <a:latin typeface="Cambria Math" panose="02040503050406030204" pitchFamily="18" charset="0"/>
                      </a:rPr>
                      <m:t>=</m:t>
                    </m:r>
                    <m:sSub>
                      <m:sSubPr>
                        <m:ctrlPr>
                          <a:rPr lang="en-AU" sz="1000" i="1">
                            <a:latin typeface="Cambria Math" panose="02040503050406030204" pitchFamily="18" charset="0"/>
                          </a:rPr>
                        </m:ctrlPr>
                      </m:sSubPr>
                      <m:e>
                        <m:r>
                          <a:rPr lang="en-AU" sz="1000" i="1">
                            <a:latin typeface="Cambria Math" panose="02040503050406030204" pitchFamily="18" charset="0"/>
                          </a:rPr>
                          <m:t>𝑉</m:t>
                        </m:r>
                      </m:e>
                      <m:sub>
                        <m:r>
                          <a:rPr lang="en-AU" sz="1000" i="1">
                            <a:latin typeface="Cambria Math" panose="02040503050406030204" pitchFamily="18" charset="0"/>
                          </a:rPr>
                          <m:t>𝑤𝑡</m:t>
                        </m:r>
                      </m:sub>
                    </m:sSub>
                    <m:r>
                      <a:rPr lang="en-AU" sz="1000" i="1">
                        <a:latin typeface="Cambria Math" panose="02040503050406030204" pitchFamily="18" charset="0"/>
                      </a:rPr>
                      <m:t>×</m:t>
                    </m:r>
                    <m:r>
                      <a:rPr lang="en-AU" sz="1000" i="1">
                        <a:latin typeface="Cambria Math" panose="02040503050406030204" pitchFamily="18" charset="0"/>
                      </a:rPr>
                      <m:t>𝑉𝑇</m:t>
                    </m:r>
                    <m:sSub>
                      <m:sSubPr>
                        <m:ctrlPr>
                          <a:rPr lang="en-AU" sz="1000" i="1">
                            <a:latin typeface="Cambria Math" panose="02040503050406030204" pitchFamily="18" charset="0"/>
                          </a:rPr>
                        </m:ctrlPr>
                      </m:sSubPr>
                      <m:e>
                        <m:r>
                          <a:rPr lang="en-AU" sz="1000" i="1">
                            <a:latin typeface="Cambria Math" panose="02040503050406030204" pitchFamily="18" charset="0"/>
                          </a:rPr>
                          <m:t>𝑀</m:t>
                        </m:r>
                      </m:e>
                      <m:sub>
                        <m:r>
                          <a:rPr lang="en-AU" sz="1000" i="1">
                            <a:latin typeface="Cambria Math" panose="02040503050406030204" pitchFamily="18" charset="0"/>
                          </a:rPr>
                          <m:t>𝑤</m:t>
                        </m:r>
                      </m:sub>
                    </m:sSub>
                  </m:oMath>
                </m:oMathPara>
              </a14:m>
              <a:endParaRPr lang="en-AU" sz="1000"/>
            </a:p>
          </xdr:txBody>
        </xdr:sp>
      </mc:Choice>
      <mc:Fallback xmlns="">
        <xdr:sp macro="" textlink="">
          <xdr:nvSpPr>
            <xdr:cNvPr id="2" name="TextBox 1">
              <a:extLst>
                <a:ext uri="{FF2B5EF4-FFF2-40B4-BE49-F238E27FC236}">
                  <a16:creationId xmlns:a16="http://schemas.microsoft.com/office/drawing/2014/main" id="{0C55429C-DCC5-441D-BAC3-98ECAFCAA85E}"/>
                </a:ext>
              </a:extLst>
            </xdr:cNvPr>
            <xdr:cNvSpPr txBox="1"/>
          </xdr:nvSpPr>
          <xdr:spPr>
            <a:xfrm>
              <a:off x="2689972" y="1976718"/>
              <a:ext cx="1199046" cy="1653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𝑄_𝑤𝑡=𝑉_𝑤𝑡×𝑉𝑇𝑀_𝑤</a:t>
              </a:r>
              <a:endParaRPr lang="en-AU" sz="1000"/>
            </a:p>
          </xdr:txBody>
        </xdr:sp>
      </mc:Fallback>
    </mc:AlternateContent>
    <xdr:clientData/>
  </xdr:oneCellAnchor>
  <xdr:oneCellAnchor>
    <xdr:from>
      <xdr:col>3</xdr:col>
      <xdr:colOff>4762</xdr:colOff>
      <xdr:row>99</xdr:row>
      <xdr:rowOff>114300</xdr:rowOff>
    </xdr:from>
    <xdr:ext cx="1790426" cy="312906"/>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E83C39B8-0553-4E20-8625-7633C1DD57BB}"/>
                </a:ext>
              </a:extLst>
            </xdr:cNvPr>
            <xdr:cNvSpPr txBox="1"/>
          </xdr:nvSpPr>
          <xdr:spPr>
            <a:xfrm>
              <a:off x="2681287" y="24765000"/>
              <a:ext cx="1790426" cy="31290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000" i="1">
                            <a:latin typeface="Cambria Math" panose="02040503050406030204" pitchFamily="18" charset="0"/>
                          </a:rPr>
                        </m:ctrlPr>
                      </m:sSubPr>
                      <m:e>
                        <m:r>
                          <a:rPr lang="en-AU" sz="1000" i="1">
                            <a:latin typeface="Cambria Math" panose="02040503050406030204" pitchFamily="18" charset="0"/>
                          </a:rPr>
                          <m:t>𝐸</m:t>
                        </m:r>
                      </m:e>
                      <m:sub>
                        <m:r>
                          <a:rPr lang="en-AU" sz="1000" i="1">
                            <a:latin typeface="Cambria Math" panose="02040503050406030204" pitchFamily="18" charset="0"/>
                          </a:rPr>
                          <m:t>𝑔</m:t>
                        </m:r>
                      </m:sub>
                    </m:sSub>
                    <m:r>
                      <a:rPr lang="en-AU" sz="1000" i="1">
                        <a:latin typeface="Cambria Math" panose="02040503050406030204" pitchFamily="18" charset="0"/>
                      </a:rPr>
                      <m:t>=</m:t>
                    </m:r>
                    <m:nary>
                      <m:naryPr>
                        <m:chr m:val="∑"/>
                        <m:limLoc m:val="subSup"/>
                        <m:supHide m:val="on"/>
                        <m:ctrlPr>
                          <a:rPr lang="en-AU" sz="1000" i="1">
                            <a:latin typeface="Cambria Math" panose="02040503050406030204" pitchFamily="18" charset="0"/>
                          </a:rPr>
                        </m:ctrlPr>
                      </m:naryPr>
                      <m:sub>
                        <m:r>
                          <a:rPr lang="en-AU" sz="1000" i="1">
                            <a:latin typeface="Cambria Math" panose="02040503050406030204" pitchFamily="18" charset="0"/>
                          </a:rPr>
                          <m:t>𝑡</m:t>
                        </m:r>
                      </m:sub>
                      <m:sup/>
                      <m:e>
                        <m:nary>
                          <m:naryPr>
                            <m:chr m:val="∑"/>
                            <m:limLoc m:val="subSup"/>
                            <m:supHide m:val="on"/>
                            <m:ctrlPr>
                              <a:rPr lang="en-AU" sz="1000" i="1">
                                <a:latin typeface="Cambria Math" panose="02040503050406030204" pitchFamily="18" charset="0"/>
                              </a:rPr>
                            </m:ctrlPr>
                          </m:naryPr>
                          <m:sub>
                            <m:r>
                              <a:rPr lang="en-AU" sz="1000" i="1">
                                <a:latin typeface="Cambria Math" panose="02040503050406030204" pitchFamily="18" charset="0"/>
                              </a:rPr>
                              <m:t>𝑤</m:t>
                            </m:r>
                          </m:sub>
                          <m:sup/>
                          <m:e>
                            <m:d>
                              <m:dPr>
                                <m:ctrlPr>
                                  <a:rPr lang="en-AU" sz="1000" i="1">
                                    <a:latin typeface="Cambria Math" panose="02040503050406030204" pitchFamily="18" charset="0"/>
                                  </a:rPr>
                                </m:ctrlPr>
                              </m:dPr>
                              <m:e>
                                <m:sSub>
                                  <m:sSubPr>
                                    <m:ctrlPr>
                                      <a:rPr lang="en-AU" sz="1000" i="1">
                                        <a:latin typeface="Cambria Math" panose="02040503050406030204" pitchFamily="18" charset="0"/>
                                      </a:rPr>
                                    </m:ctrlPr>
                                  </m:sSubPr>
                                  <m:e>
                                    <m:r>
                                      <a:rPr lang="en-AU" sz="1000" i="1">
                                        <a:latin typeface="Cambria Math" panose="02040503050406030204" pitchFamily="18" charset="0"/>
                                      </a:rPr>
                                      <m:t>𝑄</m:t>
                                    </m:r>
                                  </m:e>
                                  <m:sub>
                                    <m:r>
                                      <a:rPr lang="en-AU" sz="1000" i="1">
                                        <a:latin typeface="Cambria Math" panose="02040503050406030204" pitchFamily="18" charset="0"/>
                                      </a:rPr>
                                      <m:t>𝑤𝑡</m:t>
                                    </m:r>
                                  </m:sub>
                                </m:sSub>
                                <m:r>
                                  <a:rPr lang="en-AU" sz="1000" i="1">
                                    <a:latin typeface="Cambria Math" panose="02040503050406030204" pitchFamily="18" charset="0"/>
                                  </a:rPr>
                                  <m:t>×</m:t>
                                </m:r>
                                <m:r>
                                  <a:rPr lang="en-AU" sz="1000" i="1">
                                    <a:latin typeface="Cambria Math" panose="02040503050406030204" pitchFamily="18" charset="0"/>
                                  </a:rPr>
                                  <m:t>𝐸</m:t>
                                </m:r>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𝑤𝑡𝑔</m:t>
                                    </m:r>
                                  </m:sub>
                                </m:sSub>
                              </m:e>
                            </m:d>
                          </m:e>
                        </m:nary>
                      </m:e>
                    </m:nary>
                  </m:oMath>
                </m:oMathPara>
              </a14:m>
              <a:endParaRPr lang="en-AU" sz="1000"/>
            </a:p>
          </xdr:txBody>
        </xdr:sp>
      </mc:Choice>
      <mc:Fallback xmlns="">
        <xdr:sp macro="" textlink="">
          <xdr:nvSpPr>
            <xdr:cNvPr id="3" name="TextBox 2">
              <a:extLst>
                <a:ext uri="{FF2B5EF4-FFF2-40B4-BE49-F238E27FC236}">
                  <a16:creationId xmlns:a16="http://schemas.microsoft.com/office/drawing/2014/main" id="{E83C39B8-0553-4E20-8625-7633C1DD57BB}"/>
                </a:ext>
              </a:extLst>
            </xdr:cNvPr>
            <xdr:cNvSpPr txBox="1"/>
          </xdr:nvSpPr>
          <xdr:spPr>
            <a:xfrm>
              <a:off x="2681287" y="24765000"/>
              <a:ext cx="1790426" cy="31290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𝐸_𝑔=∑2_𝑡▒∑2_𝑤▒(𝑄_𝑤𝑡×𝐸𝐹_𝑤𝑡𝑔 ) </a:t>
              </a:r>
              <a:endParaRPr lang="en-AU" sz="1000"/>
            </a:p>
          </xdr:txBody>
        </xdr:sp>
      </mc:Fallback>
    </mc:AlternateContent>
    <xdr:clientData/>
  </xdr:oneCellAnchor>
</xdr:wsDr>
</file>

<file path=xl/drawings/drawing19.xml><?xml version="1.0" encoding="utf-8"?>
<xdr:wsDr xmlns:xdr="http://schemas.openxmlformats.org/drawingml/2006/spreadsheetDrawing" xmlns:a="http://schemas.openxmlformats.org/drawingml/2006/main">
  <xdr:oneCellAnchor>
    <xdr:from>
      <xdr:col>3</xdr:col>
      <xdr:colOff>4762</xdr:colOff>
      <xdr:row>169</xdr:row>
      <xdr:rowOff>76200</xdr:rowOff>
    </xdr:from>
    <xdr:ext cx="3010631" cy="429926"/>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84B10DA0-D2C2-45AF-A6F7-DBCF22DD527F}"/>
                </a:ext>
              </a:extLst>
            </xdr:cNvPr>
            <xdr:cNvSpPr txBox="1"/>
          </xdr:nvSpPr>
          <xdr:spPr>
            <a:xfrm>
              <a:off x="2681287" y="42062400"/>
              <a:ext cx="3010631"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000" i="1">
                            <a:latin typeface="Cambria Math" panose="02040503050406030204" pitchFamily="18" charset="0"/>
                          </a:rPr>
                        </m:ctrlPr>
                      </m:sSubPr>
                      <m:e>
                        <m:r>
                          <a:rPr lang="en-AU" sz="1000" i="1">
                            <a:latin typeface="Cambria Math" panose="02040503050406030204" pitchFamily="18" charset="0"/>
                          </a:rPr>
                          <m:t>𝐸</m:t>
                        </m:r>
                      </m:e>
                      <m:sub>
                        <m:r>
                          <a:rPr lang="en-AU" sz="1000" i="1">
                            <a:latin typeface="Cambria Math" panose="02040503050406030204" pitchFamily="18" charset="0"/>
                          </a:rPr>
                          <m:t>𝐶𝐻</m:t>
                        </m:r>
                        <m:r>
                          <a:rPr lang="en-AU" sz="1000" i="1">
                            <a:latin typeface="Cambria Math" panose="02040503050406030204" pitchFamily="18" charset="0"/>
                          </a:rPr>
                          <m:t>4</m:t>
                        </m:r>
                      </m:sub>
                    </m:sSub>
                    <m:r>
                      <a:rPr lang="en-AU" sz="1000" i="1">
                        <a:latin typeface="Cambria Math" panose="02040503050406030204" pitchFamily="18" charset="0"/>
                      </a:rPr>
                      <m:t>=</m:t>
                    </m:r>
                    <m:nary>
                      <m:naryPr>
                        <m:chr m:val="∑"/>
                        <m:supHide m:val="on"/>
                        <m:ctrlPr>
                          <a:rPr lang="en-AU" sz="1000" i="1">
                            <a:latin typeface="Cambria Math" panose="02040503050406030204" pitchFamily="18" charset="0"/>
                          </a:rPr>
                        </m:ctrlPr>
                      </m:naryPr>
                      <m:sub>
                        <m:r>
                          <a:rPr lang="en-AU" sz="1000" i="1">
                            <a:latin typeface="Cambria Math" panose="02040503050406030204" pitchFamily="18" charset="0"/>
                          </a:rPr>
                          <m:t>𝑗</m:t>
                        </m:r>
                      </m:sub>
                      <m:sup/>
                      <m:e>
                        <m:nary>
                          <m:naryPr>
                            <m:chr m:val="∑"/>
                            <m:supHide m:val="on"/>
                            <m:ctrlPr>
                              <a:rPr lang="en-AU" sz="1000" i="1">
                                <a:latin typeface="Cambria Math" panose="02040503050406030204" pitchFamily="18" charset="0"/>
                              </a:rPr>
                            </m:ctrlPr>
                          </m:naryPr>
                          <m:sub>
                            <m:r>
                              <a:rPr lang="en-AU" sz="1000" i="1">
                                <a:latin typeface="Cambria Math" panose="02040503050406030204" pitchFamily="18" charset="0"/>
                              </a:rPr>
                              <m:t>𝑘</m:t>
                            </m:r>
                          </m:sub>
                          <m:sup/>
                          <m:e>
                            <m:nary>
                              <m:naryPr>
                                <m:chr m:val="∑"/>
                                <m:supHide m:val="on"/>
                                <m:ctrlPr>
                                  <a:rPr lang="en-AU" sz="1000" i="1">
                                    <a:latin typeface="Cambria Math" panose="02040503050406030204" pitchFamily="18" charset="0"/>
                                  </a:rPr>
                                </m:ctrlPr>
                              </m:naryPr>
                              <m:sub>
                                <m:r>
                                  <a:rPr lang="en-AU" sz="1000" i="1">
                                    <a:latin typeface="Cambria Math" panose="02040503050406030204" pitchFamily="18" charset="0"/>
                                  </a:rPr>
                                  <m:t>𝑚</m:t>
                                </m:r>
                              </m:sub>
                              <m:sup/>
                              <m:e>
                                <m:nary>
                                  <m:naryPr>
                                    <m:chr m:val="∑"/>
                                    <m:supHide m:val="on"/>
                                    <m:ctrlPr>
                                      <a:rPr lang="en-AU" sz="1000" i="1">
                                        <a:latin typeface="Cambria Math" panose="02040503050406030204" pitchFamily="18" charset="0"/>
                                      </a:rPr>
                                    </m:ctrlPr>
                                  </m:naryPr>
                                  <m:sub>
                                    <m:r>
                                      <a:rPr lang="en-AU" sz="1000" i="1">
                                        <a:latin typeface="Cambria Math" panose="02040503050406030204" pitchFamily="18" charset="0"/>
                                      </a:rPr>
                                      <m:t>𝑇</m:t>
                                    </m:r>
                                  </m:sub>
                                  <m:sup/>
                                  <m:e>
                                    <m:d>
                                      <m:dPr>
                                        <m:ctrlPr>
                                          <a:rPr lang="en-AU" sz="1000" i="1">
                                            <a:latin typeface="Cambria Math" panose="02040503050406030204" pitchFamily="18" charset="0"/>
                                          </a:rPr>
                                        </m:ctrlPr>
                                      </m:dPr>
                                      <m:e>
                                        <m:sSub>
                                          <m:sSubPr>
                                            <m:ctrlPr>
                                              <a:rPr lang="en-AU" sz="1000" i="1">
                                                <a:latin typeface="Cambria Math" panose="02040503050406030204" pitchFamily="18" charset="0"/>
                                              </a:rPr>
                                            </m:ctrlPr>
                                          </m:sSubPr>
                                          <m:e>
                                            <m:r>
                                              <a:rPr lang="en-AU" sz="1000" i="1">
                                                <a:latin typeface="Cambria Math" panose="02040503050406030204" pitchFamily="18" charset="0"/>
                                              </a:rPr>
                                              <m:t>𝐷</m:t>
                                            </m:r>
                                          </m:e>
                                          <m:sub>
                                            <m:r>
                                              <a:rPr lang="en-AU" sz="1000" i="1">
                                                <a:latin typeface="Cambria Math" panose="02040503050406030204" pitchFamily="18" charset="0"/>
                                              </a:rPr>
                                              <m:t>𝑗𝑘</m:t>
                                            </m:r>
                                          </m:sub>
                                        </m:sSub>
                                        <m:r>
                                          <a:rPr lang="en-AU" sz="1000" i="1">
                                            <a:latin typeface="Cambria Math" panose="02040503050406030204" pitchFamily="18" charset="0"/>
                                          </a:rPr>
                                          <m:t>×</m:t>
                                        </m:r>
                                        <m:sSub>
                                          <m:sSubPr>
                                            <m:ctrlPr>
                                              <a:rPr lang="en-AU" sz="1000" i="1">
                                                <a:latin typeface="Cambria Math" panose="02040503050406030204" pitchFamily="18" charset="0"/>
                                              </a:rPr>
                                            </m:ctrlPr>
                                          </m:sSubPr>
                                          <m:e>
                                            <m:r>
                                              <a:rPr lang="en-AU" sz="1000" i="1">
                                                <a:latin typeface="Cambria Math" panose="02040503050406030204" pitchFamily="18" charset="0"/>
                                              </a:rPr>
                                              <m:t>𝑀</m:t>
                                            </m:r>
                                          </m:e>
                                          <m:sub>
                                            <m:r>
                                              <a:rPr lang="en-AU" sz="1000" i="1">
                                                <a:latin typeface="Cambria Math" panose="02040503050406030204" pitchFamily="18" charset="0"/>
                                              </a:rPr>
                                              <m:t>𝑗𝑘𝑚𝑇</m:t>
                                            </m:r>
                                          </m:sub>
                                        </m:sSub>
                                        <m:r>
                                          <a:rPr lang="en-AU" sz="1000" i="1">
                                            <a:latin typeface="Cambria Math" panose="02040503050406030204" pitchFamily="18" charset="0"/>
                                          </a:rPr>
                                          <m:t>×</m:t>
                                        </m:r>
                                        <m:sSub>
                                          <m:sSubPr>
                                            <m:ctrlPr>
                                              <a:rPr lang="en-AU" sz="1000" i="1">
                                                <a:latin typeface="Cambria Math" panose="02040503050406030204" pitchFamily="18" charset="0"/>
                                              </a:rPr>
                                            </m:ctrlPr>
                                          </m:sSubPr>
                                          <m:e>
                                            <m:r>
                                              <a:rPr lang="en-AU" sz="1000" i="1">
                                                <a:latin typeface="Cambria Math" panose="02040503050406030204" pitchFamily="18" charset="0"/>
                                              </a:rPr>
                                              <m:t>𝑁</m:t>
                                            </m:r>
                                          </m:e>
                                          <m:sub>
                                            <m:r>
                                              <a:rPr lang="en-AU" sz="1000" i="1">
                                                <a:latin typeface="Cambria Math" panose="02040503050406030204" pitchFamily="18" charset="0"/>
                                              </a:rPr>
                                              <m:t>𝑗𝑘</m:t>
                                            </m:r>
                                          </m:sub>
                                        </m:sSub>
                                      </m:e>
                                    </m:d>
                                  </m:e>
                                </m:nary>
                              </m:e>
                            </m:nary>
                          </m:e>
                        </m:nary>
                      </m:e>
                    </m:nary>
                    <m:r>
                      <a:rPr lang="en-AU" sz="1000" i="1">
                        <a:latin typeface="Cambria Math" panose="02040503050406030204" pitchFamily="18" charset="0"/>
                      </a:rPr>
                      <m:t>×</m:t>
                    </m:r>
                    <m:sSup>
                      <m:sSupPr>
                        <m:ctrlPr>
                          <a:rPr lang="en-AU" sz="1000" i="1">
                            <a:latin typeface="Cambria Math" panose="02040503050406030204" pitchFamily="18" charset="0"/>
                          </a:rPr>
                        </m:ctrlPr>
                      </m:sSupPr>
                      <m:e>
                        <m:r>
                          <a:rPr lang="en-AU" sz="1000" i="1">
                            <a:latin typeface="Cambria Math" panose="02040503050406030204" pitchFamily="18" charset="0"/>
                          </a:rPr>
                          <m:t>10</m:t>
                        </m:r>
                      </m:e>
                      <m:sup>
                        <m:r>
                          <a:rPr lang="en-AU" sz="1000" i="1">
                            <a:latin typeface="Cambria Math" panose="02040503050406030204" pitchFamily="18" charset="0"/>
                          </a:rPr>
                          <m:t>−3</m:t>
                        </m:r>
                      </m:sup>
                    </m:sSup>
                  </m:oMath>
                </m:oMathPara>
              </a14:m>
              <a:endParaRPr lang="en-AU" sz="1000"/>
            </a:p>
          </xdr:txBody>
        </xdr:sp>
      </mc:Choice>
      <mc:Fallback xmlns="">
        <xdr:sp macro="" textlink="">
          <xdr:nvSpPr>
            <xdr:cNvPr id="2" name="TextBox 1">
              <a:extLst>
                <a:ext uri="{FF2B5EF4-FFF2-40B4-BE49-F238E27FC236}">
                  <a16:creationId xmlns:a16="http://schemas.microsoft.com/office/drawing/2014/main" id="{84B10DA0-D2C2-45AF-A6F7-DBCF22DD527F}"/>
                </a:ext>
              </a:extLst>
            </xdr:cNvPr>
            <xdr:cNvSpPr txBox="1"/>
          </xdr:nvSpPr>
          <xdr:spPr>
            <a:xfrm>
              <a:off x="2681287" y="42062400"/>
              <a:ext cx="3010631"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𝐸_𝐶𝐻4=∑_𝑗▒∑_𝑘▒∑_𝑚▒∑_𝑇▒(𝐷_𝑗𝑘×𝑀_𝑗𝑘𝑚𝑇×𝑁_𝑗𝑘 ) ×10^(−3)</a:t>
              </a:r>
              <a:endParaRPr lang="en-AU" sz="1000"/>
            </a:p>
          </xdr:txBody>
        </xdr:sp>
      </mc:Fallback>
    </mc:AlternateContent>
    <xdr:clientData/>
  </xdr:oneCellAnchor>
  <xdr:oneCellAnchor>
    <xdr:from>
      <xdr:col>3</xdr:col>
      <xdr:colOff>22972</xdr:colOff>
      <xdr:row>8</xdr:row>
      <xdr:rowOff>147918</xdr:rowOff>
    </xdr:from>
    <xdr:ext cx="1966949" cy="180114"/>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645A9F8F-F0DC-4D13-A05C-EFFA5CB72929}"/>
                </a:ext>
              </a:extLst>
            </xdr:cNvPr>
            <xdr:cNvSpPr txBox="1"/>
          </xdr:nvSpPr>
          <xdr:spPr>
            <a:xfrm>
              <a:off x="2699497" y="2262468"/>
              <a:ext cx="1966949" cy="1801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000" i="1">
                            <a:latin typeface="Cambria Math" panose="02040503050406030204" pitchFamily="18" charset="0"/>
                          </a:rPr>
                        </m:ctrlPr>
                      </m:sSubPr>
                      <m:e>
                        <m:r>
                          <a:rPr lang="en-AU" sz="1000" i="1">
                            <a:latin typeface="Cambria Math" panose="02040503050406030204" pitchFamily="18" charset="0"/>
                          </a:rPr>
                          <m:t>𝐸</m:t>
                        </m:r>
                      </m:e>
                      <m:sub>
                        <m:r>
                          <a:rPr lang="en-AU" sz="1000" i="1">
                            <a:latin typeface="Cambria Math" panose="02040503050406030204" pitchFamily="18" charset="0"/>
                          </a:rPr>
                          <m:t>2,</m:t>
                        </m:r>
                        <m:r>
                          <a:rPr lang="en-AU" sz="1000" i="1">
                            <a:latin typeface="Cambria Math" panose="02040503050406030204" pitchFamily="18" charset="0"/>
                          </a:rPr>
                          <m:t>𝑒𝑙𝑒𝑐</m:t>
                        </m:r>
                      </m:sub>
                    </m:sSub>
                    <m:r>
                      <a:rPr lang="en-AU" sz="1000" i="1">
                        <a:latin typeface="Cambria Math" panose="02040503050406030204" pitchFamily="18" charset="0"/>
                      </a:rPr>
                      <m:t>=</m:t>
                    </m:r>
                    <m:sSub>
                      <m:sSubPr>
                        <m:ctrlPr>
                          <a:rPr lang="en-AU" sz="1000" i="1">
                            <a:latin typeface="Cambria Math" panose="02040503050406030204" pitchFamily="18" charset="0"/>
                          </a:rPr>
                        </m:ctrlPr>
                      </m:sSubPr>
                      <m:e>
                        <m:r>
                          <a:rPr lang="en-AU" sz="1000" i="1">
                            <a:latin typeface="Cambria Math" panose="02040503050406030204" pitchFamily="18" charset="0"/>
                          </a:rPr>
                          <m:t>𝑄</m:t>
                        </m:r>
                      </m:e>
                      <m:sub>
                        <m:r>
                          <a:rPr lang="en-AU" sz="1000" i="1">
                            <a:latin typeface="Cambria Math" panose="02040503050406030204" pitchFamily="18" charset="0"/>
                          </a:rPr>
                          <m:t>𝑒𝑙𝑒𝑐</m:t>
                        </m:r>
                      </m:sub>
                    </m:sSub>
                    <m:r>
                      <a:rPr lang="en-AU" sz="1000" i="1">
                        <a:latin typeface="Cambria Math" panose="02040503050406030204" pitchFamily="18" charset="0"/>
                      </a:rPr>
                      <m:t>×</m:t>
                    </m:r>
                    <m:r>
                      <a:rPr lang="en-AU" sz="1000" i="1">
                        <a:latin typeface="Cambria Math" panose="02040503050406030204" pitchFamily="18" charset="0"/>
                      </a:rPr>
                      <m:t>𝐸</m:t>
                    </m:r>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2,</m:t>
                        </m:r>
                        <m:r>
                          <a:rPr lang="en-AU" sz="1000" i="1">
                            <a:latin typeface="Cambria Math" panose="02040503050406030204" pitchFamily="18" charset="0"/>
                          </a:rPr>
                          <m:t>𝑒𝑙𝑒𝑐</m:t>
                        </m:r>
                      </m:sub>
                    </m:sSub>
                    <m:r>
                      <a:rPr lang="en-AU" sz="1000" i="1">
                        <a:latin typeface="Cambria Math" panose="02040503050406030204" pitchFamily="18" charset="0"/>
                      </a:rPr>
                      <m:t>×</m:t>
                    </m:r>
                    <m:sSup>
                      <m:sSupPr>
                        <m:ctrlPr>
                          <a:rPr lang="en-AU" sz="1000" i="1">
                            <a:latin typeface="Cambria Math" panose="02040503050406030204" pitchFamily="18" charset="0"/>
                          </a:rPr>
                        </m:ctrlPr>
                      </m:sSupPr>
                      <m:e>
                        <m:r>
                          <a:rPr lang="en-AU" sz="1000" i="1">
                            <a:latin typeface="Cambria Math" panose="02040503050406030204" pitchFamily="18" charset="0"/>
                          </a:rPr>
                          <m:t>10</m:t>
                        </m:r>
                      </m:e>
                      <m:sup>
                        <m:r>
                          <a:rPr lang="en-AU" sz="1000" i="1">
                            <a:latin typeface="Cambria Math" panose="02040503050406030204" pitchFamily="18" charset="0"/>
                          </a:rPr>
                          <m:t>−3</m:t>
                        </m:r>
                      </m:sup>
                    </m:sSup>
                  </m:oMath>
                </m:oMathPara>
              </a14:m>
              <a:endParaRPr lang="en-AU" sz="1000"/>
            </a:p>
          </xdr:txBody>
        </xdr:sp>
      </mc:Choice>
      <mc:Fallback xmlns="">
        <xdr:sp macro="" textlink="">
          <xdr:nvSpPr>
            <xdr:cNvPr id="3" name="TextBox 2">
              <a:extLst>
                <a:ext uri="{FF2B5EF4-FFF2-40B4-BE49-F238E27FC236}">
                  <a16:creationId xmlns:a16="http://schemas.microsoft.com/office/drawing/2014/main" id="{645A9F8F-F0DC-4D13-A05C-EFFA5CB72929}"/>
                </a:ext>
              </a:extLst>
            </xdr:cNvPr>
            <xdr:cNvSpPr txBox="1"/>
          </xdr:nvSpPr>
          <xdr:spPr>
            <a:xfrm>
              <a:off x="2699497" y="2262468"/>
              <a:ext cx="1966949" cy="1801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𝐸_(2,𝑒𝑙𝑒𝑐)=𝑄_𝑒𝑙𝑒𝑐×𝐸𝐹_(2,𝑒𝑙𝑒𝑐)×10^(−3)</a:t>
              </a:r>
              <a:endParaRPr lang="en-AU" sz="1000"/>
            </a:p>
          </xdr:txBody>
        </xdr:sp>
      </mc:Fallback>
    </mc:AlternateContent>
    <xdr:clientData/>
  </xdr:oneCellAnchor>
  <xdr:oneCellAnchor>
    <xdr:from>
      <xdr:col>2</xdr:col>
      <xdr:colOff>304800</xdr:colOff>
      <xdr:row>25</xdr:row>
      <xdr:rowOff>142875</xdr:rowOff>
    </xdr:from>
    <xdr:ext cx="6202980" cy="253339"/>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65A4733F-9DCA-4E7C-91D4-265B594C6B92}"/>
                </a:ext>
              </a:extLst>
            </xdr:cNvPr>
            <xdr:cNvSpPr txBox="1"/>
          </xdr:nvSpPr>
          <xdr:spPr>
            <a:xfrm>
              <a:off x="2667000" y="6467475"/>
              <a:ext cx="6202980" cy="2533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000" i="1">
                            <a:latin typeface="Cambria Math" panose="02040503050406030204" pitchFamily="18" charset="0"/>
                          </a:rPr>
                        </m:ctrlPr>
                      </m:sSubPr>
                      <m:e>
                        <m:r>
                          <a:rPr lang="en-AU" sz="1000" i="1">
                            <a:latin typeface="Cambria Math" panose="02040503050406030204" pitchFamily="18" charset="0"/>
                          </a:rPr>
                          <m:t>𝐸</m:t>
                        </m:r>
                      </m:e>
                      <m:sub>
                        <m:r>
                          <a:rPr lang="en-AU" sz="1000" i="1">
                            <a:latin typeface="Cambria Math" panose="02040503050406030204" pitchFamily="18" charset="0"/>
                          </a:rPr>
                          <m:t>2,</m:t>
                        </m:r>
                        <m:r>
                          <a:rPr lang="en-AU" sz="1000" i="1">
                            <a:latin typeface="Cambria Math" panose="02040503050406030204" pitchFamily="18" charset="0"/>
                          </a:rPr>
                          <m:t>𝑒𝑙𝑒𝑐</m:t>
                        </m:r>
                      </m:sub>
                    </m:sSub>
                    <m:r>
                      <a:rPr lang="en-AU" sz="1000" i="1">
                        <a:latin typeface="Cambria Math" panose="02040503050406030204" pitchFamily="18" charset="0"/>
                      </a:rPr>
                      <m:t>=</m:t>
                    </m:r>
                    <m:d>
                      <m:dPr>
                        <m:ctrlPr>
                          <a:rPr lang="en-AU" sz="1000" i="1">
                            <a:latin typeface="Cambria Math" panose="02040503050406030204" pitchFamily="18" charset="0"/>
                          </a:rPr>
                        </m:ctrlPr>
                      </m:dPr>
                      <m:e>
                        <m:sSub>
                          <m:sSubPr>
                            <m:ctrlPr>
                              <a:rPr lang="en-AU" sz="1000" i="1">
                                <a:latin typeface="Cambria Math" panose="02040503050406030204" pitchFamily="18" charset="0"/>
                              </a:rPr>
                            </m:ctrlPr>
                          </m:sSubPr>
                          <m:e>
                            <m:r>
                              <a:rPr lang="en-AU" sz="1000" i="1">
                                <a:latin typeface="Cambria Math" panose="02040503050406030204" pitchFamily="18" charset="0"/>
                              </a:rPr>
                              <m:t>𝑄</m:t>
                            </m:r>
                          </m:e>
                          <m:sub>
                            <m:r>
                              <a:rPr lang="en-AU" sz="1000" i="1">
                                <a:latin typeface="Cambria Math" panose="02040503050406030204" pitchFamily="18" charset="0"/>
                              </a:rPr>
                              <m:t>𝑒𝑙𝑒𝑐</m:t>
                            </m:r>
                          </m:sub>
                        </m:sSub>
                        <m:r>
                          <a:rPr lang="en-AU" sz="1000" i="1">
                            <a:latin typeface="Cambria Math" panose="02040503050406030204" pitchFamily="18" charset="0"/>
                          </a:rPr>
                          <m:t>×</m:t>
                        </m:r>
                        <m:d>
                          <m:dPr>
                            <m:ctrlPr>
                              <a:rPr lang="en-AU" sz="1000" i="1">
                                <a:latin typeface="Cambria Math" panose="02040503050406030204" pitchFamily="18" charset="0"/>
                              </a:rPr>
                            </m:ctrlPr>
                          </m:dPr>
                          <m:e>
                            <m:r>
                              <a:rPr lang="en-AU" sz="1000" i="1">
                                <a:latin typeface="Cambria Math" panose="02040503050406030204" pitchFamily="18" charset="0"/>
                              </a:rPr>
                              <m:t>1−</m:t>
                            </m:r>
                            <m:d>
                              <m:dPr>
                                <m:ctrlPr>
                                  <a:rPr lang="en-AU" sz="1000" i="1">
                                    <a:latin typeface="Cambria Math" panose="02040503050406030204" pitchFamily="18" charset="0"/>
                                  </a:rPr>
                                </m:ctrlPr>
                              </m:dPr>
                              <m:e>
                                <m:r>
                                  <a:rPr lang="en-AU" sz="1000" i="1">
                                    <a:latin typeface="Cambria Math" panose="02040503050406030204" pitchFamily="18" charset="0"/>
                                  </a:rPr>
                                  <m:t>𝑅𝑃𝑃</m:t>
                                </m:r>
                                <m:r>
                                  <a:rPr lang="en-AU" sz="1000" i="1">
                                    <a:latin typeface="Cambria Math" panose="02040503050406030204" pitchFamily="18" charset="0"/>
                                  </a:rPr>
                                  <m:t>+</m:t>
                                </m:r>
                                <m:r>
                                  <a:rPr lang="en-AU" sz="1000" i="1">
                                    <a:latin typeface="Cambria Math" panose="02040503050406030204" pitchFamily="18" charset="0"/>
                                  </a:rPr>
                                  <m:t>𝐽𝑅𝑃𝑃</m:t>
                                </m:r>
                              </m:e>
                            </m:d>
                          </m:e>
                        </m:d>
                        <m:r>
                          <a:rPr lang="en-AU" sz="1000" i="1">
                            <a:latin typeface="Cambria Math" panose="02040503050406030204" pitchFamily="18" charset="0"/>
                          </a:rPr>
                          <m:t>−</m:t>
                        </m:r>
                        <m:d>
                          <m:dPr>
                            <m:ctrlPr>
                              <a:rPr lang="en-AU" sz="1000" i="1">
                                <a:latin typeface="Cambria Math" panose="02040503050406030204" pitchFamily="18" charset="0"/>
                              </a:rPr>
                            </m:ctrlPr>
                          </m:dPr>
                          <m:e>
                            <m:d>
                              <m:dPr>
                                <m:ctrlPr>
                                  <a:rPr lang="en-AU" sz="1000" i="1">
                                    <a:latin typeface="Cambria Math" panose="02040503050406030204" pitchFamily="18" charset="0"/>
                                  </a:rPr>
                                </m:ctrlPr>
                              </m:dPr>
                              <m:e>
                                <m:r>
                                  <a:rPr lang="en-AU" sz="1000" i="1">
                                    <a:latin typeface="Cambria Math" panose="02040503050406030204" pitchFamily="18" charset="0"/>
                                  </a:rPr>
                                  <m:t>𝑅𝐸</m:t>
                                </m:r>
                                <m:sSub>
                                  <m:sSubPr>
                                    <m:ctrlPr>
                                      <a:rPr lang="en-AU" sz="1000" i="1">
                                        <a:latin typeface="Cambria Math" panose="02040503050406030204" pitchFamily="18" charset="0"/>
                                      </a:rPr>
                                    </m:ctrlPr>
                                  </m:sSubPr>
                                  <m:e>
                                    <m:r>
                                      <a:rPr lang="en-AU" sz="1000" i="1">
                                        <a:latin typeface="Cambria Math" panose="02040503050406030204" pitchFamily="18" charset="0"/>
                                      </a:rPr>
                                      <m:t>𝐶</m:t>
                                    </m:r>
                                  </m:e>
                                  <m:sub>
                                    <m:r>
                                      <a:rPr lang="en-AU" sz="1000" i="1">
                                        <a:latin typeface="Cambria Math" panose="02040503050406030204" pitchFamily="18" charset="0"/>
                                      </a:rPr>
                                      <m:t>𝑠𝑢𝑟𝑟𝑒𝑛𝑑𝑒𝑟𝑒𝑑</m:t>
                                    </m:r>
                                  </m:sub>
                                </m:sSub>
                                <m:r>
                                  <a:rPr lang="en-AU" sz="1000" i="1">
                                    <a:latin typeface="Cambria Math" panose="02040503050406030204" pitchFamily="18" charset="0"/>
                                  </a:rPr>
                                  <m:t>−</m:t>
                                </m:r>
                                <m:r>
                                  <a:rPr lang="en-AU" sz="1000" i="1">
                                    <a:latin typeface="Cambria Math" panose="02040503050406030204" pitchFamily="18" charset="0"/>
                                  </a:rPr>
                                  <m:t>𝑅𝐸</m:t>
                                </m:r>
                                <m:sSub>
                                  <m:sSubPr>
                                    <m:ctrlPr>
                                      <a:rPr lang="en-AU" sz="1000" i="1">
                                        <a:latin typeface="Cambria Math" panose="02040503050406030204" pitchFamily="18" charset="0"/>
                                      </a:rPr>
                                    </m:ctrlPr>
                                  </m:sSubPr>
                                  <m:e>
                                    <m:r>
                                      <a:rPr lang="en-AU" sz="1000" i="1">
                                        <a:latin typeface="Cambria Math" panose="02040503050406030204" pitchFamily="18" charset="0"/>
                                      </a:rPr>
                                      <m:t>𝐶</m:t>
                                    </m:r>
                                  </m:e>
                                  <m:sub>
                                    <m:r>
                                      <a:rPr lang="en-AU" sz="1000" i="1">
                                        <a:latin typeface="Cambria Math" panose="02040503050406030204" pitchFamily="18" charset="0"/>
                                      </a:rPr>
                                      <m:t>𝑜𝑛𝑠𝑖𝑡𝑒</m:t>
                                    </m:r>
                                  </m:sub>
                                </m:sSub>
                              </m:e>
                            </m:d>
                            <m:r>
                              <a:rPr lang="en-AU" sz="1000" i="1">
                                <a:latin typeface="Cambria Math" panose="02040503050406030204" pitchFamily="18" charset="0"/>
                              </a:rPr>
                              <m:t>×</m:t>
                            </m:r>
                            <m:sSup>
                              <m:sSupPr>
                                <m:ctrlPr>
                                  <a:rPr lang="en-AU" sz="1000" i="1">
                                    <a:latin typeface="Cambria Math" panose="02040503050406030204" pitchFamily="18" charset="0"/>
                                  </a:rPr>
                                </m:ctrlPr>
                              </m:sSupPr>
                              <m:e>
                                <m:r>
                                  <a:rPr lang="en-AU" sz="1000" i="1">
                                    <a:latin typeface="Cambria Math" panose="02040503050406030204" pitchFamily="18" charset="0"/>
                                  </a:rPr>
                                  <m:t>10</m:t>
                                </m:r>
                              </m:e>
                              <m:sup>
                                <m:r>
                                  <a:rPr lang="en-AU" sz="1000" i="1">
                                    <a:latin typeface="Cambria Math" panose="02040503050406030204" pitchFamily="18" charset="0"/>
                                  </a:rPr>
                                  <m:t>3</m:t>
                                </m:r>
                              </m:sup>
                            </m:sSup>
                          </m:e>
                        </m:d>
                      </m:e>
                    </m:d>
                    <m:r>
                      <a:rPr lang="en-AU" sz="1000" i="1">
                        <a:latin typeface="Cambria Math" panose="02040503050406030204" pitchFamily="18" charset="0"/>
                      </a:rPr>
                      <m:t>×</m:t>
                    </m:r>
                    <m:r>
                      <a:rPr lang="en-AU" sz="1000" i="1">
                        <a:latin typeface="Cambria Math" panose="02040503050406030204" pitchFamily="18" charset="0"/>
                      </a:rPr>
                      <m:t>𝐸</m:t>
                    </m:r>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𝑅𝑀𝐹</m:t>
                        </m:r>
                        <m:r>
                          <a:rPr lang="en-AU" sz="1000" i="1">
                            <a:latin typeface="Cambria Math" panose="02040503050406030204" pitchFamily="18" charset="0"/>
                          </a:rPr>
                          <m:t>2,</m:t>
                        </m:r>
                        <m:r>
                          <a:rPr lang="en-AU" sz="1000" i="1">
                            <a:latin typeface="Cambria Math" panose="02040503050406030204" pitchFamily="18" charset="0"/>
                          </a:rPr>
                          <m:t>𝑒𝑙𝑒𝑐</m:t>
                        </m:r>
                      </m:sub>
                    </m:sSub>
                    <m:r>
                      <a:rPr lang="en-AU" sz="1000" i="1">
                        <a:latin typeface="Cambria Math" panose="02040503050406030204" pitchFamily="18" charset="0"/>
                      </a:rPr>
                      <m:t>×</m:t>
                    </m:r>
                    <m:sSup>
                      <m:sSupPr>
                        <m:ctrlPr>
                          <a:rPr lang="en-AU" sz="1000" i="1">
                            <a:latin typeface="Cambria Math" panose="02040503050406030204" pitchFamily="18" charset="0"/>
                          </a:rPr>
                        </m:ctrlPr>
                      </m:sSupPr>
                      <m:e>
                        <m:r>
                          <a:rPr lang="en-AU" sz="1000" i="1">
                            <a:latin typeface="Cambria Math" panose="02040503050406030204" pitchFamily="18" charset="0"/>
                          </a:rPr>
                          <m:t>10</m:t>
                        </m:r>
                      </m:e>
                      <m:sup>
                        <m:r>
                          <a:rPr lang="en-AU" sz="1000" i="1">
                            <a:latin typeface="Cambria Math" panose="02040503050406030204" pitchFamily="18" charset="0"/>
                          </a:rPr>
                          <m:t>−3</m:t>
                        </m:r>
                      </m:sup>
                    </m:sSup>
                  </m:oMath>
                </m:oMathPara>
              </a14:m>
              <a:endParaRPr lang="en-AU" sz="1000"/>
            </a:p>
          </xdr:txBody>
        </xdr:sp>
      </mc:Choice>
      <mc:Fallback xmlns="">
        <xdr:sp macro="" textlink="">
          <xdr:nvSpPr>
            <xdr:cNvPr id="4" name="TextBox 3">
              <a:extLst>
                <a:ext uri="{FF2B5EF4-FFF2-40B4-BE49-F238E27FC236}">
                  <a16:creationId xmlns:a16="http://schemas.microsoft.com/office/drawing/2014/main" id="{65A4733F-9DCA-4E7C-91D4-265B594C6B92}"/>
                </a:ext>
              </a:extLst>
            </xdr:cNvPr>
            <xdr:cNvSpPr txBox="1"/>
          </xdr:nvSpPr>
          <xdr:spPr>
            <a:xfrm>
              <a:off x="2667000" y="6467475"/>
              <a:ext cx="6202980" cy="2533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𝐸_(2,𝑒𝑙𝑒𝑐)=(𝑄_𝑒𝑙𝑒𝑐×(1−(𝑅𝑃𝑃+𝐽𝑅𝑃𝑃))−((𝑅𝐸𝐶_𝑠𝑢𝑟𝑟𝑒𝑛𝑑𝑒𝑟𝑒𝑑−𝑅𝐸𝐶_𝑜𝑛𝑠𝑖𝑡𝑒 )×10^3 ))×𝐸𝐹_(𝑅𝑀𝐹2,𝑒𝑙𝑒𝑐)×10^(−3)</a:t>
              </a:r>
              <a:endParaRPr lang="en-AU" sz="1000"/>
            </a:p>
          </xdr:txBody>
        </xdr:sp>
      </mc:Fallback>
    </mc:AlternateContent>
    <xdr:clientData/>
  </xdr:oneCellAnchor>
  <xdr:oneCellAnchor>
    <xdr:from>
      <xdr:col>6</xdr:col>
      <xdr:colOff>1227068</xdr:colOff>
      <xdr:row>25</xdr:row>
      <xdr:rowOff>161925</xdr:rowOff>
    </xdr:from>
    <xdr:ext cx="6986593" cy="253339"/>
    <mc:AlternateContent xmlns:mc="http://schemas.openxmlformats.org/markup-compatibility/2006" xmlns:a14="http://schemas.microsoft.com/office/drawing/2010/main">
      <mc:Choice Requires="a14">
        <xdr:sp macro="" textlink="">
          <xdr:nvSpPr>
            <xdr:cNvPr id="5" name="TextBox 4">
              <a:extLst>
                <a:ext uri="{FF2B5EF4-FFF2-40B4-BE49-F238E27FC236}">
                  <a16:creationId xmlns:a16="http://schemas.microsoft.com/office/drawing/2014/main" id="{E47AF3BE-58F3-4AC0-BDAD-E684F7498A50}"/>
                </a:ext>
              </a:extLst>
            </xdr:cNvPr>
            <xdr:cNvSpPr txBox="1"/>
          </xdr:nvSpPr>
          <xdr:spPr>
            <a:xfrm>
              <a:off x="11085443" y="6486525"/>
              <a:ext cx="6986593" cy="2533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m:rPr>
                        <m:sty m:val="p"/>
                      </m:rPr>
                      <a:rPr lang="en-AU" sz="1000" b="0" i="1">
                        <a:solidFill>
                          <a:srgbClr val="C00000"/>
                        </a:solidFill>
                        <a:latin typeface="Cambria Math" panose="02040503050406030204" pitchFamily="18" charset="0"/>
                      </a:rPr>
                      <m:t>ORIGINAL</m:t>
                    </m:r>
                    <m:r>
                      <a:rPr lang="en-AU" sz="1000" b="0" i="1">
                        <a:solidFill>
                          <a:srgbClr val="C00000"/>
                        </a:solidFill>
                        <a:latin typeface="Cambria Math" panose="02040503050406030204" pitchFamily="18" charset="0"/>
                      </a:rPr>
                      <m:t>: </m:t>
                    </m:r>
                    <m:sSub>
                      <m:sSubPr>
                        <m:ctrlPr>
                          <a:rPr lang="en-AU" sz="1000" i="1">
                            <a:latin typeface="Cambria Math" panose="02040503050406030204" pitchFamily="18" charset="0"/>
                          </a:rPr>
                        </m:ctrlPr>
                      </m:sSubPr>
                      <m:e>
                        <m:r>
                          <a:rPr lang="en-AU" sz="1000" i="1">
                            <a:latin typeface="Cambria Math" panose="02040503050406030204" pitchFamily="18" charset="0"/>
                          </a:rPr>
                          <m:t>𝐸</m:t>
                        </m:r>
                      </m:e>
                      <m:sub>
                        <m:r>
                          <a:rPr lang="en-AU" sz="1000" i="1">
                            <a:latin typeface="Cambria Math" panose="02040503050406030204" pitchFamily="18" charset="0"/>
                          </a:rPr>
                          <m:t>2,</m:t>
                        </m:r>
                        <m:r>
                          <a:rPr lang="en-AU" sz="1000" i="1">
                            <a:latin typeface="Cambria Math" panose="02040503050406030204" pitchFamily="18" charset="0"/>
                          </a:rPr>
                          <m:t>𝑒𝑙𝑒𝑐</m:t>
                        </m:r>
                      </m:sub>
                    </m:sSub>
                    <m:r>
                      <a:rPr lang="en-AU" sz="1000" i="1">
                        <a:latin typeface="Cambria Math" panose="02040503050406030204" pitchFamily="18" charset="0"/>
                      </a:rPr>
                      <m:t>=</m:t>
                    </m:r>
                    <m:d>
                      <m:dPr>
                        <m:ctrlPr>
                          <a:rPr lang="en-AU" sz="1000" i="1">
                            <a:latin typeface="Cambria Math" panose="02040503050406030204" pitchFamily="18" charset="0"/>
                          </a:rPr>
                        </m:ctrlPr>
                      </m:dPr>
                      <m:e>
                        <m:sSub>
                          <m:sSubPr>
                            <m:ctrlPr>
                              <a:rPr lang="en-AU" sz="1000" i="1">
                                <a:latin typeface="Cambria Math" panose="02040503050406030204" pitchFamily="18" charset="0"/>
                              </a:rPr>
                            </m:ctrlPr>
                          </m:sSubPr>
                          <m:e>
                            <m:r>
                              <a:rPr lang="en-AU" sz="1000" i="1">
                                <a:latin typeface="Cambria Math" panose="02040503050406030204" pitchFamily="18" charset="0"/>
                              </a:rPr>
                              <m:t>𝑄</m:t>
                            </m:r>
                          </m:e>
                          <m:sub>
                            <m:r>
                              <a:rPr lang="en-AU" sz="1000" i="1">
                                <a:latin typeface="Cambria Math" panose="02040503050406030204" pitchFamily="18" charset="0"/>
                              </a:rPr>
                              <m:t>𝑒𝑙𝑒𝑐</m:t>
                            </m:r>
                          </m:sub>
                        </m:sSub>
                        <m:r>
                          <a:rPr lang="en-AU" sz="1000" i="1">
                            <a:latin typeface="Cambria Math" panose="02040503050406030204" pitchFamily="18" charset="0"/>
                          </a:rPr>
                          <m:t>×</m:t>
                        </m:r>
                        <m:d>
                          <m:dPr>
                            <m:ctrlPr>
                              <a:rPr lang="en-AU" sz="1000" i="1">
                                <a:latin typeface="Cambria Math" panose="02040503050406030204" pitchFamily="18" charset="0"/>
                              </a:rPr>
                            </m:ctrlPr>
                          </m:dPr>
                          <m:e>
                            <m:r>
                              <a:rPr lang="en-AU" sz="1000" i="1">
                                <a:latin typeface="Cambria Math" panose="02040503050406030204" pitchFamily="18" charset="0"/>
                              </a:rPr>
                              <m:t>1−</m:t>
                            </m:r>
                            <m:d>
                              <m:dPr>
                                <m:ctrlPr>
                                  <a:rPr lang="en-AU" sz="1000" i="1">
                                    <a:latin typeface="Cambria Math" panose="02040503050406030204" pitchFamily="18" charset="0"/>
                                  </a:rPr>
                                </m:ctrlPr>
                              </m:dPr>
                              <m:e>
                                <m:r>
                                  <a:rPr lang="en-AU" sz="1000" i="1">
                                    <a:latin typeface="Cambria Math" panose="02040503050406030204" pitchFamily="18" charset="0"/>
                                  </a:rPr>
                                  <m:t>𝑅𝑃𝑃</m:t>
                                </m:r>
                                <m:r>
                                  <a:rPr lang="en-AU" sz="1000" i="1">
                                    <a:latin typeface="Cambria Math" panose="02040503050406030204" pitchFamily="18" charset="0"/>
                                  </a:rPr>
                                  <m:t>+</m:t>
                                </m:r>
                                <m:r>
                                  <a:rPr lang="en-AU" sz="1000" i="1">
                                    <a:latin typeface="Cambria Math" panose="02040503050406030204" pitchFamily="18" charset="0"/>
                                  </a:rPr>
                                  <m:t>𝐽𝑅𝑃𝑃</m:t>
                                </m:r>
                              </m:e>
                            </m:d>
                          </m:e>
                        </m:d>
                        <m:r>
                          <a:rPr lang="en-AU" sz="1000" i="1">
                            <a:latin typeface="Cambria Math" panose="02040503050406030204" pitchFamily="18" charset="0"/>
                          </a:rPr>
                          <m:t>−</m:t>
                        </m:r>
                        <m:d>
                          <m:dPr>
                            <m:ctrlPr>
                              <a:rPr lang="en-AU" sz="1000" i="1">
                                <a:latin typeface="Cambria Math" panose="02040503050406030204" pitchFamily="18" charset="0"/>
                              </a:rPr>
                            </m:ctrlPr>
                          </m:dPr>
                          <m:e>
                            <m:d>
                              <m:dPr>
                                <m:ctrlPr>
                                  <a:rPr lang="en-AU" sz="1000" i="1">
                                    <a:latin typeface="Cambria Math" panose="02040503050406030204" pitchFamily="18" charset="0"/>
                                  </a:rPr>
                                </m:ctrlPr>
                              </m:dPr>
                              <m:e>
                                <m:r>
                                  <a:rPr lang="en-AU" sz="1000" i="1">
                                    <a:latin typeface="Cambria Math" panose="02040503050406030204" pitchFamily="18" charset="0"/>
                                  </a:rPr>
                                  <m:t>𝑅𝐸</m:t>
                                </m:r>
                                <m:sSub>
                                  <m:sSubPr>
                                    <m:ctrlPr>
                                      <a:rPr lang="en-AU" sz="1000" i="1">
                                        <a:latin typeface="Cambria Math" panose="02040503050406030204" pitchFamily="18" charset="0"/>
                                      </a:rPr>
                                    </m:ctrlPr>
                                  </m:sSubPr>
                                  <m:e>
                                    <m:r>
                                      <a:rPr lang="en-AU" sz="1000" i="1">
                                        <a:latin typeface="Cambria Math" panose="02040503050406030204" pitchFamily="18" charset="0"/>
                                      </a:rPr>
                                      <m:t>𝐶</m:t>
                                    </m:r>
                                  </m:e>
                                  <m:sub>
                                    <m:r>
                                      <a:rPr lang="en-AU" sz="1000" i="1">
                                        <a:latin typeface="Cambria Math" panose="02040503050406030204" pitchFamily="18" charset="0"/>
                                      </a:rPr>
                                      <m:t>𝑠𝑢𝑟𝑟𝑒𝑛𝑑𝑒𝑟𝑒𝑑</m:t>
                                    </m:r>
                                  </m:sub>
                                </m:sSub>
                                <m:r>
                                  <a:rPr lang="en-AU" sz="1000" i="1">
                                    <a:latin typeface="Cambria Math" panose="02040503050406030204" pitchFamily="18" charset="0"/>
                                  </a:rPr>
                                  <m:t>−</m:t>
                                </m:r>
                                <m:r>
                                  <a:rPr lang="en-AU" sz="1000" i="1">
                                    <a:latin typeface="Cambria Math" panose="02040503050406030204" pitchFamily="18" charset="0"/>
                                  </a:rPr>
                                  <m:t>𝑅𝐸</m:t>
                                </m:r>
                                <m:sSub>
                                  <m:sSubPr>
                                    <m:ctrlPr>
                                      <a:rPr lang="en-AU" sz="1000" i="1">
                                        <a:latin typeface="Cambria Math" panose="02040503050406030204" pitchFamily="18" charset="0"/>
                                      </a:rPr>
                                    </m:ctrlPr>
                                  </m:sSubPr>
                                  <m:e>
                                    <m:r>
                                      <a:rPr lang="en-AU" sz="1000" i="1">
                                        <a:latin typeface="Cambria Math" panose="02040503050406030204" pitchFamily="18" charset="0"/>
                                      </a:rPr>
                                      <m:t>𝐶</m:t>
                                    </m:r>
                                  </m:e>
                                  <m:sub>
                                    <m:r>
                                      <a:rPr lang="en-AU" sz="1000" i="1">
                                        <a:latin typeface="Cambria Math" panose="02040503050406030204" pitchFamily="18" charset="0"/>
                                      </a:rPr>
                                      <m:t>𝑜𝑛𝑠𝑖𝑡𝑒</m:t>
                                    </m:r>
                                  </m:sub>
                                </m:sSub>
                              </m:e>
                            </m:d>
                            <m:r>
                              <a:rPr lang="en-AU" sz="1000" i="1">
                                <a:latin typeface="Cambria Math" panose="02040503050406030204" pitchFamily="18" charset="0"/>
                              </a:rPr>
                              <m:t>×</m:t>
                            </m:r>
                            <m:sSup>
                              <m:sSupPr>
                                <m:ctrlPr>
                                  <a:rPr lang="en-AU" sz="1000" i="1">
                                    <a:latin typeface="Cambria Math" panose="02040503050406030204" pitchFamily="18" charset="0"/>
                                  </a:rPr>
                                </m:ctrlPr>
                              </m:sSupPr>
                              <m:e>
                                <m:r>
                                  <a:rPr lang="en-AU" sz="1000" i="1">
                                    <a:latin typeface="Cambria Math" panose="02040503050406030204" pitchFamily="18" charset="0"/>
                                  </a:rPr>
                                  <m:t>10</m:t>
                                </m:r>
                              </m:e>
                              <m:sup>
                                <m:r>
                                  <a:rPr lang="en-AU" sz="1000" i="1">
                                    <a:latin typeface="Cambria Math" panose="02040503050406030204" pitchFamily="18" charset="0"/>
                                  </a:rPr>
                                  <m:t>−3</m:t>
                                </m:r>
                              </m:sup>
                            </m:sSup>
                          </m:e>
                        </m:d>
                      </m:e>
                    </m:d>
                    <m:r>
                      <a:rPr lang="en-AU" sz="1000" i="1">
                        <a:latin typeface="Cambria Math" panose="02040503050406030204" pitchFamily="18" charset="0"/>
                      </a:rPr>
                      <m:t>×</m:t>
                    </m:r>
                    <m:r>
                      <a:rPr lang="en-AU" sz="1000" i="1">
                        <a:latin typeface="Cambria Math" panose="02040503050406030204" pitchFamily="18" charset="0"/>
                      </a:rPr>
                      <m:t>𝐸</m:t>
                    </m:r>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𝑅𝑀𝐹</m:t>
                        </m:r>
                        <m:r>
                          <a:rPr lang="en-AU" sz="1000" i="1">
                            <a:latin typeface="Cambria Math" panose="02040503050406030204" pitchFamily="18" charset="0"/>
                          </a:rPr>
                          <m:t>2,</m:t>
                        </m:r>
                        <m:r>
                          <a:rPr lang="en-AU" sz="1000" i="1">
                            <a:latin typeface="Cambria Math" panose="02040503050406030204" pitchFamily="18" charset="0"/>
                          </a:rPr>
                          <m:t>𝑒𝑙𝑒𝑐</m:t>
                        </m:r>
                      </m:sub>
                    </m:sSub>
                    <m:r>
                      <a:rPr lang="en-AU" sz="1000" i="1">
                        <a:latin typeface="Cambria Math" panose="02040503050406030204" pitchFamily="18" charset="0"/>
                      </a:rPr>
                      <m:t>×</m:t>
                    </m:r>
                    <m:sSup>
                      <m:sSupPr>
                        <m:ctrlPr>
                          <a:rPr lang="en-AU" sz="1000" i="1">
                            <a:latin typeface="Cambria Math" panose="02040503050406030204" pitchFamily="18" charset="0"/>
                          </a:rPr>
                        </m:ctrlPr>
                      </m:sSupPr>
                      <m:e>
                        <m:r>
                          <a:rPr lang="en-AU" sz="1000" i="1">
                            <a:latin typeface="Cambria Math" panose="02040503050406030204" pitchFamily="18" charset="0"/>
                          </a:rPr>
                          <m:t>10</m:t>
                        </m:r>
                      </m:e>
                      <m:sup>
                        <m:r>
                          <a:rPr lang="en-AU" sz="1000" i="1">
                            <a:latin typeface="Cambria Math" panose="02040503050406030204" pitchFamily="18" charset="0"/>
                          </a:rPr>
                          <m:t>−3</m:t>
                        </m:r>
                      </m:sup>
                    </m:sSup>
                  </m:oMath>
                </m:oMathPara>
              </a14:m>
              <a:endParaRPr lang="en-AU" sz="1000"/>
            </a:p>
          </xdr:txBody>
        </xdr:sp>
      </mc:Choice>
      <mc:Fallback xmlns="">
        <xdr:sp macro="" textlink="">
          <xdr:nvSpPr>
            <xdr:cNvPr id="5" name="TextBox 4">
              <a:extLst>
                <a:ext uri="{FF2B5EF4-FFF2-40B4-BE49-F238E27FC236}">
                  <a16:creationId xmlns:a16="http://schemas.microsoft.com/office/drawing/2014/main" id="{E47AF3BE-58F3-4AC0-BDAD-E684F7498A50}"/>
                </a:ext>
              </a:extLst>
            </xdr:cNvPr>
            <xdr:cNvSpPr txBox="1"/>
          </xdr:nvSpPr>
          <xdr:spPr>
            <a:xfrm>
              <a:off x="11085443" y="6486525"/>
              <a:ext cx="6986593" cy="2533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b="0" i="0">
                  <a:solidFill>
                    <a:srgbClr val="C00000"/>
                  </a:solidFill>
                  <a:latin typeface="Cambria Math" panose="02040503050406030204" pitchFamily="18" charset="0"/>
                </a:rPr>
                <a:t>ORIGINAL: </a:t>
              </a:r>
              <a:r>
                <a:rPr lang="en-AU" sz="1000" i="0">
                  <a:latin typeface="Cambria Math" panose="02040503050406030204" pitchFamily="18" charset="0"/>
                </a:rPr>
                <a:t>𝐸_(2,𝑒𝑙𝑒𝑐)=(𝑄_𝑒𝑙𝑒𝑐×(1−(𝑅𝑃𝑃+𝐽𝑅𝑃𝑃))−((𝑅𝐸𝐶_𝑠𝑢𝑟𝑟𝑒𝑛𝑑𝑒𝑟𝑒𝑑−𝑅𝐸𝐶_𝑜𝑛𝑠𝑖𝑡𝑒 )×10^(−3) ))×𝐸𝐹_(𝑅𝑀𝐹2,𝑒𝑙𝑒𝑐)×10^(−3)</a:t>
              </a:r>
              <a:endParaRPr lang="en-AU" sz="1000"/>
            </a:p>
          </xdr:txBody>
        </xdr:sp>
      </mc:Fallback>
    </mc:AlternateContent>
    <xdr:clientData/>
  </xdr:oneCellAnchor>
</xdr:wsDr>
</file>

<file path=xl/drawings/drawing20.xml><?xml version="1.0" encoding="utf-8"?>
<xdr:wsDr xmlns:xdr="http://schemas.openxmlformats.org/drawingml/2006/spreadsheetDrawing" xmlns:a="http://schemas.openxmlformats.org/drawingml/2006/main">
  <xdr:oneCellAnchor>
    <xdr:from>
      <xdr:col>3</xdr:col>
      <xdr:colOff>43237</xdr:colOff>
      <xdr:row>7</xdr:row>
      <xdr:rowOff>61924</xdr:rowOff>
    </xdr:from>
    <xdr:ext cx="2433230" cy="312906"/>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63023FB6-CA29-464B-BAF5-3D22FD71506B}"/>
                </a:ext>
              </a:extLst>
            </xdr:cNvPr>
            <xdr:cNvSpPr txBox="1"/>
          </xdr:nvSpPr>
          <xdr:spPr>
            <a:xfrm>
              <a:off x="3081712" y="1928824"/>
              <a:ext cx="2433230" cy="31290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000" i="1">
                        <a:latin typeface="Cambria Math" panose="02040503050406030204" pitchFamily="18" charset="0"/>
                      </a:rPr>
                      <m:t>𝐸</m:t>
                    </m:r>
                    <m:r>
                      <a:rPr lang="en-AU" sz="1000" i="1">
                        <a:latin typeface="Cambria Math" panose="02040503050406030204" pitchFamily="18" charset="0"/>
                      </a:rPr>
                      <m:t>=</m:t>
                    </m:r>
                    <m:nary>
                      <m:naryPr>
                        <m:chr m:val="∑"/>
                        <m:limLoc m:val="subSup"/>
                        <m:supHide m:val="on"/>
                        <m:ctrlPr>
                          <a:rPr lang="en-AU" sz="1000" i="1">
                            <a:latin typeface="Cambria Math" panose="02040503050406030204" pitchFamily="18" charset="0"/>
                          </a:rPr>
                        </m:ctrlPr>
                      </m:naryPr>
                      <m:sub>
                        <m:r>
                          <a:rPr lang="en-AU" sz="1000" i="1">
                            <a:latin typeface="Cambria Math" panose="02040503050406030204" pitchFamily="18" charset="0"/>
                          </a:rPr>
                          <m:t>𝑐</m:t>
                        </m:r>
                      </m:sub>
                      <m:sup/>
                      <m:e>
                        <m:nary>
                          <m:naryPr>
                            <m:chr m:val="∑"/>
                            <m:limLoc m:val="subSup"/>
                            <m:supHide m:val="on"/>
                            <m:ctrlPr>
                              <a:rPr lang="en-AU" sz="1000" i="1">
                                <a:latin typeface="Cambria Math" panose="02040503050406030204" pitchFamily="18" charset="0"/>
                              </a:rPr>
                            </m:ctrlPr>
                          </m:naryPr>
                          <m:sub>
                            <m:r>
                              <a:rPr lang="en-AU" sz="1000" i="1">
                                <a:latin typeface="Cambria Math" panose="02040503050406030204" pitchFamily="18" charset="0"/>
                              </a:rPr>
                              <m:t>𝑜</m:t>
                            </m:r>
                          </m:sub>
                          <m:sup/>
                          <m:e>
                            <m:d>
                              <m:dPr>
                                <m:ctrlPr>
                                  <a:rPr lang="en-AU" sz="1000" i="1">
                                    <a:latin typeface="Cambria Math" panose="02040503050406030204" pitchFamily="18" charset="0"/>
                                  </a:rPr>
                                </m:ctrlPr>
                              </m:dPr>
                              <m:e>
                                <m:sSub>
                                  <m:sSubPr>
                                    <m:ctrlPr>
                                      <a:rPr lang="en-AU" sz="1000" i="1">
                                        <a:latin typeface="Cambria Math" panose="02040503050406030204" pitchFamily="18" charset="0"/>
                                      </a:rPr>
                                    </m:ctrlPr>
                                  </m:sSubPr>
                                  <m:e>
                                    <m:r>
                                      <a:rPr lang="en-AU" sz="1000" i="1">
                                        <a:latin typeface="Cambria Math" panose="02040503050406030204" pitchFamily="18" charset="0"/>
                                      </a:rPr>
                                      <m:t>𝑁</m:t>
                                    </m:r>
                                  </m:e>
                                  <m:sub>
                                    <m:r>
                                      <a:rPr lang="en-AU" sz="1000" i="1">
                                        <a:latin typeface="Cambria Math" panose="02040503050406030204" pitchFamily="18" charset="0"/>
                                      </a:rPr>
                                      <m:t>𝑐𝑜</m:t>
                                    </m:r>
                                  </m:sub>
                                </m:sSub>
                                <m:r>
                                  <a:rPr lang="en-AU" sz="1000" i="1">
                                    <a:latin typeface="Cambria Math" panose="02040503050406030204" pitchFamily="18" charset="0"/>
                                  </a:rPr>
                                  <m:t>×</m:t>
                                </m:r>
                                <m:sSub>
                                  <m:sSubPr>
                                    <m:ctrlPr>
                                      <a:rPr lang="en-AU" sz="1000" i="1">
                                        <a:latin typeface="Cambria Math" panose="02040503050406030204" pitchFamily="18" charset="0"/>
                                      </a:rPr>
                                    </m:ctrlPr>
                                  </m:sSubPr>
                                  <m:e>
                                    <m:r>
                                      <a:rPr lang="en-AU" sz="1000" i="1">
                                        <a:latin typeface="Cambria Math" panose="02040503050406030204" pitchFamily="18" charset="0"/>
                                      </a:rPr>
                                      <m:t>𝑊</m:t>
                                    </m:r>
                                  </m:e>
                                  <m:sub>
                                    <m:r>
                                      <a:rPr lang="en-AU" sz="1000" i="1">
                                        <a:latin typeface="Cambria Math" panose="02040503050406030204" pitchFamily="18" charset="0"/>
                                      </a:rPr>
                                      <m:t>𝑐𝑜</m:t>
                                    </m:r>
                                  </m:sub>
                                </m:sSub>
                                <m:r>
                                  <a:rPr lang="en-AU" sz="1000" i="1">
                                    <a:latin typeface="Cambria Math" panose="02040503050406030204" pitchFamily="18" charset="0"/>
                                  </a:rPr>
                                  <m:t>×</m:t>
                                </m:r>
                                <m:r>
                                  <a:rPr lang="en-AU" sz="1000" i="1">
                                    <a:latin typeface="Cambria Math" panose="02040503050406030204" pitchFamily="18" charset="0"/>
                                  </a:rPr>
                                  <m:t>𝐸</m:t>
                                </m:r>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𝑐𝑜</m:t>
                                    </m:r>
                                  </m:sub>
                                </m:sSub>
                              </m:e>
                            </m:d>
                          </m:e>
                        </m:nary>
                      </m:e>
                    </m:nary>
                    <m:r>
                      <a:rPr lang="en-AU" sz="1000" i="1">
                        <a:latin typeface="Cambria Math" panose="02040503050406030204" pitchFamily="18" charset="0"/>
                      </a:rPr>
                      <m:t>×</m:t>
                    </m:r>
                    <m:sSup>
                      <m:sSupPr>
                        <m:ctrlPr>
                          <a:rPr lang="en-AU" sz="1000" i="1">
                            <a:latin typeface="Cambria Math" panose="02040503050406030204" pitchFamily="18" charset="0"/>
                          </a:rPr>
                        </m:ctrlPr>
                      </m:sSupPr>
                      <m:e>
                        <m:r>
                          <a:rPr lang="en-AU" sz="1000" i="1">
                            <a:latin typeface="Cambria Math" panose="02040503050406030204" pitchFamily="18" charset="0"/>
                          </a:rPr>
                          <m:t>10</m:t>
                        </m:r>
                      </m:e>
                      <m:sup>
                        <m:r>
                          <a:rPr lang="en-AU" sz="1000" i="1">
                            <a:latin typeface="Cambria Math" panose="02040503050406030204" pitchFamily="18" charset="0"/>
                          </a:rPr>
                          <m:t>−3</m:t>
                        </m:r>
                      </m:sup>
                    </m:sSup>
                  </m:oMath>
                </m:oMathPara>
              </a14:m>
              <a:endParaRPr lang="en-AU" sz="1000"/>
            </a:p>
          </xdr:txBody>
        </xdr:sp>
      </mc:Choice>
      <mc:Fallback xmlns="">
        <xdr:sp macro="" textlink="">
          <xdr:nvSpPr>
            <xdr:cNvPr id="2" name="TextBox 1">
              <a:extLst>
                <a:ext uri="{FF2B5EF4-FFF2-40B4-BE49-F238E27FC236}">
                  <a16:creationId xmlns:a16="http://schemas.microsoft.com/office/drawing/2014/main" id="{63023FB6-CA29-464B-BAF5-3D22FD71506B}"/>
                </a:ext>
              </a:extLst>
            </xdr:cNvPr>
            <xdr:cNvSpPr txBox="1"/>
          </xdr:nvSpPr>
          <xdr:spPr>
            <a:xfrm>
              <a:off x="3081712" y="1928824"/>
              <a:ext cx="2433230" cy="31290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𝐸=∑2_𝑐▒∑2_𝑜▒(𝑁_𝑐𝑜×𝑊_𝑐𝑜×𝐸𝐹_𝑐𝑜 ) ×10^(−3)</a:t>
              </a:r>
              <a:endParaRPr lang="en-AU" sz="1000"/>
            </a:p>
          </xdr:txBody>
        </xdr:sp>
      </mc:Fallback>
    </mc:AlternateContent>
    <xdr:clientData/>
  </xdr:oneCellAnchor>
  <xdr:oneCellAnchor>
    <xdr:from>
      <xdr:col>3</xdr:col>
      <xdr:colOff>43237</xdr:colOff>
      <xdr:row>101</xdr:row>
      <xdr:rowOff>61924</xdr:rowOff>
    </xdr:from>
    <xdr:ext cx="1651028" cy="332079"/>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B267C0EC-F798-4948-B0BC-8E7468E938B0}"/>
                </a:ext>
              </a:extLst>
            </xdr:cNvPr>
            <xdr:cNvSpPr txBox="1"/>
          </xdr:nvSpPr>
          <xdr:spPr>
            <a:xfrm>
              <a:off x="3081712" y="25207924"/>
              <a:ext cx="1651028"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000" i="1">
                        <a:latin typeface="Cambria Math" panose="02040503050406030204" pitchFamily="18" charset="0"/>
                      </a:rPr>
                      <m:t>𝐸</m:t>
                    </m:r>
                    <m:r>
                      <a:rPr lang="en-AU" sz="1000" i="1">
                        <a:latin typeface="Cambria Math" panose="02040503050406030204" pitchFamily="18" charset="0"/>
                      </a:rPr>
                      <m:t>=</m:t>
                    </m:r>
                    <m:nary>
                      <m:naryPr>
                        <m:chr m:val="∑"/>
                        <m:limLoc m:val="subSup"/>
                        <m:supHide m:val="on"/>
                        <m:ctrlPr>
                          <a:rPr lang="en-AU" sz="1000" i="1">
                            <a:latin typeface="Cambria Math" panose="02040503050406030204" pitchFamily="18" charset="0"/>
                          </a:rPr>
                        </m:ctrlPr>
                      </m:naryPr>
                      <m:sub>
                        <m:r>
                          <a:rPr lang="en-AU" sz="1000" i="1">
                            <a:latin typeface="Cambria Math" panose="02040503050406030204" pitchFamily="18" charset="0"/>
                          </a:rPr>
                          <m:t>𝑗</m:t>
                        </m:r>
                      </m:sub>
                      <m:sup/>
                      <m:e>
                        <m:d>
                          <m:dPr>
                            <m:ctrlPr>
                              <a:rPr lang="en-AU" sz="1000" i="1">
                                <a:latin typeface="Cambria Math" panose="02040503050406030204" pitchFamily="18" charset="0"/>
                              </a:rPr>
                            </m:ctrlPr>
                          </m:dPr>
                          <m:e>
                            <m:sSub>
                              <m:sSubPr>
                                <m:ctrlPr>
                                  <a:rPr lang="en-AU" sz="1000" i="1">
                                    <a:latin typeface="Cambria Math" panose="02040503050406030204" pitchFamily="18" charset="0"/>
                                  </a:rPr>
                                </m:ctrlPr>
                              </m:sSubPr>
                              <m:e>
                                <m:r>
                                  <a:rPr lang="en-AU" sz="1000" i="1">
                                    <a:latin typeface="Cambria Math" panose="02040503050406030204" pitchFamily="18" charset="0"/>
                                  </a:rPr>
                                  <m:t>𝑄</m:t>
                                </m:r>
                              </m:e>
                              <m:sub>
                                <m:r>
                                  <a:rPr lang="en-AU" sz="1000" i="1">
                                    <a:latin typeface="Cambria Math" panose="02040503050406030204" pitchFamily="18" charset="0"/>
                                  </a:rPr>
                                  <m:t>𝑗</m:t>
                                </m:r>
                              </m:sub>
                            </m:sSub>
                            <m:r>
                              <a:rPr lang="en-AU" sz="1000" i="1">
                                <a:latin typeface="Cambria Math" panose="02040503050406030204" pitchFamily="18" charset="0"/>
                              </a:rPr>
                              <m:t>×</m:t>
                            </m:r>
                            <m:r>
                              <a:rPr lang="en-AU" sz="1000" i="1">
                                <a:latin typeface="Cambria Math" panose="02040503050406030204" pitchFamily="18" charset="0"/>
                              </a:rPr>
                              <m:t>𝐸</m:t>
                            </m:r>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𝑗</m:t>
                                </m:r>
                              </m:sub>
                            </m:sSub>
                          </m:e>
                        </m:d>
                      </m:e>
                    </m:nary>
                    <m:r>
                      <a:rPr lang="en-AU" sz="1000" i="1">
                        <a:latin typeface="Cambria Math" panose="02040503050406030204" pitchFamily="18" charset="0"/>
                      </a:rPr>
                      <m:t>×</m:t>
                    </m:r>
                    <m:sSup>
                      <m:sSupPr>
                        <m:ctrlPr>
                          <a:rPr lang="en-AU" sz="1000" i="1">
                            <a:latin typeface="Cambria Math" panose="02040503050406030204" pitchFamily="18" charset="0"/>
                          </a:rPr>
                        </m:ctrlPr>
                      </m:sSupPr>
                      <m:e>
                        <m:r>
                          <a:rPr lang="en-AU" sz="1000" i="1">
                            <a:latin typeface="Cambria Math" panose="02040503050406030204" pitchFamily="18" charset="0"/>
                          </a:rPr>
                          <m:t>10</m:t>
                        </m:r>
                      </m:e>
                      <m:sup>
                        <m:r>
                          <a:rPr lang="en-AU" sz="1000" i="1">
                            <a:latin typeface="Cambria Math" panose="02040503050406030204" pitchFamily="18" charset="0"/>
                          </a:rPr>
                          <m:t>−3</m:t>
                        </m:r>
                      </m:sup>
                    </m:sSup>
                  </m:oMath>
                </m:oMathPara>
              </a14:m>
              <a:endParaRPr lang="en-AU" sz="1000"/>
            </a:p>
          </xdr:txBody>
        </xdr:sp>
      </mc:Choice>
      <mc:Fallback xmlns="">
        <xdr:sp macro="" textlink="">
          <xdr:nvSpPr>
            <xdr:cNvPr id="3" name="TextBox 2">
              <a:extLst>
                <a:ext uri="{FF2B5EF4-FFF2-40B4-BE49-F238E27FC236}">
                  <a16:creationId xmlns:a16="http://schemas.microsoft.com/office/drawing/2014/main" id="{B267C0EC-F798-4948-B0BC-8E7468E938B0}"/>
                </a:ext>
              </a:extLst>
            </xdr:cNvPr>
            <xdr:cNvSpPr txBox="1"/>
          </xdr:nvSpPr>
          <xdr:spPr>
            <a:xfrm>
              <a:off x="3081712" y="25207924"/>
              <a:ext cx="1651028"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𝐸=∑2_𝑗▒(𝑄_𝑗×𝐸𝐹_𝑗 ) ×10^(−3)</a:t>
              </a:r>
              <a:endParaRPr lang="en-AU" sz="1000"/>
            </a:p>
          </xdr:txBody>
        </xdr:sp>
      </mc:Fallback>
    </mc:AlternateContent>
    <xdr:clientData/>
  </xdr:oneCellAnchor>
  <xdr:oneCellAnchor>
    <xdr:from>
      <xdr:col>3</xdr:col>
      <xdr:colOff>43237</xdr:colOff>
      <xdr:row>166</xdr:row>
      <xdr:rowOff>61924</xdr:rowOff>
    </xdr:from>
    <xdr:ext cx="1780296" cy="312906"/>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56FAF850-5754-4701-89FD-A4F1F1D176C2}"/>
                </a:ext>
              </a:extLst>
            </xdr:cNvPr>
            <xdr:cNvSpPr txBox="1"/>
          </xdr:nvSpPr>
          <xdr:spPr>
            <a:xfrm>
              <a:off x="3081712" y="41305174"/>
              <a:ext cx="1780296" cy="31290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000" i="1">
                        <a:latin typeface="Cambria Math" panose="02040503050406030204" pitchFamily="18" charset="0"/>
                      </a:rPr>
                      <m:t>𝐸</m:t>
                    </m:r>
                    <m:r>
                      <a:rPr lang="en-AU" sz="1000" i="1">
                        <a:latin typeface="Cambria Math" panose="02040503050406030204" pitchFamily="18" charset="0"/>
                      </a:rPr>
                      <m:t>=</m:t>
                    </m:r>
                    <m:nary>
                      <m:naryPr>
                        <m:chr m:val="∑"/>
                        <m:limLoc m:val="subSup"/>
                        <m:supHide m:val="on"/>
                        <m:ctrlPr>
                          <a:rPr lang="en-AU" sz="1000" i="1">
                            <a:latin typeface="Cambria Math" panose="02040503050406030204" pitchFamily="18" charset="0"/>
                          </a:rPr>
                        </m:ctrlPr>
                      </m:naryPr>
                      <m:sub>
                        <m:r>
                          <a:rPr lang="en-AU" sz="1000" i="1">
                            <a:latin typeface="Cambria Math" panose="02040503050406030204" pitchFamily="18" charset="0"/>
                          </a:rPr>
                          <m:t>𝑚</m:t>
                        </m:r>
                      </m:sub>
                      <m:sup/>
                      <m:e>
                        <m:d>
                          <m:dPr>
                            <m:ctrlPr>
                              <a:rPr lang="en-AU" sz="1000" i="1">
                                <a:latin typeface="Cambria Math" panose="02040503050406030204" pitchFamily="18" charset="0"/>
                              </a:rPr>
                            </m:ctrlPr>
                          </m:dPr>
                          <m:e>
                            <m:sSub>
                              <m:sSubPr>
                                <m:ctrlPr>
                                  <a:rPr lang="en-AU" sz="1000" i="1">
                                    <a:latin typeface="Cambria Math" panose="02040503050406030204" pitchFamily="18" charset="0"/>
                                  </a:rPr>
                                </m:ctrlPr>
                              </m:sSubPr>
                              <m:e>
                                <m:r>
                                  <a:rPr lang="en-AU" sz="1000" i="1">
                                    <a:latin typeface="Cambria Math" panose="02040503050406030204" pitchFamily="18" charset="0"/>
                                  </a:rPr>
                                  <m:t>𝑄</m:t>
                                </m:r>
                              </m:e>
                              <m:sub>
                                <m:r>
                                  <a:rPr lang="en-AU" sz="1000" i="1">
                                    <a:latin typeface="Cambria Math" panose="02040503050406030204" pitchFamily="18" charset="0"/>
                                  </a:rPr>
                                  <m:t>𝑚</m:t>
                                </m:r>
                              </m:sub>
                            </m:sSub>
                            <m:r>
                              <a:rPr lang="en-AU" sz="1000" i="1">
                                <a:latin typeface="Cambria Math" panose="02040503050406030204" pitchFamily="18" charset="0"/>
                              </a:rPr>
                              <m:t>×</m:t>
                            </m:r>
                            <m:r>
                              <a:rPr lang="en-AU" sz="1000" i="1">
                                <a:latin typeface="Cambria Math" panose="02040503050406030204" pitchFamily="18" charset="0"/>
                              </a:rPr>
                              <m:t>𝐸</m:t>
                            </m:r>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𝑚</m:t>
                                </m:r>
                              </m:sub>
                            </m:sSub>
                          </m:e>
                        </m:d>
                      </m:e>
                    </m:nary>
                    <m:r>
                      <a:rPr lang="en-AU" sz="1000" i="1">
                        <a:latin typeface="Cambria Math" panose="02040503050406030204" pitchFamily="18" charset="0"/>
                      </a:rPr>
                      <m:t>×</m:t>
                    </m:r>
                    <m:sSup>
                      <m:sSupPr>
                        <m:ctrlPr>
                          <a:rPr lang="en-AU" sz="1000" i="1">
                            <a:latin typeface="Cambria Math" panose="02040503050406030204" pitchFamily="18" charset="0"/>
                          </a:rPr>
                        </m:ctrlPr>
                      </m:sSupPr>
                      <m:e>
                        <m:r>
                          <a:rPr lang="en-AU" sz="1000" i="1">
                            <a:latin typeface="Cambria Math" panose="02040503050406030204" pitchFamily="18" charset="0"/>
                          </a:rPr>
                          <m:t>10</m:t>
                        </m:r>
                      </m:e>
                      <m:sup>
                        <m:r>
                          <a:rPr lang="en-AU" sz="1000" i="1">
                            <a:latin typeface="Cambria Math" panose="02040503050406030204" pitchFamily="18" charset="0"/>
                          </a:rPr>
                          <m:t>−3</m:t>
                        </m:r>
                      </m:sup>
                    </m:sSup>
                  </m:oMath>
                </m:oMathPara>
              </a14:m>
              <a:endParaRPr lang="en-AU" sz="1000"/>
            </a:p>
          </xdr:txBody>
        </xdr:sp>
      </mc:Choice>
      <mc:Fallback xmlns="">
        <xdr:sp macro="" textlink="">
          <xdr:nvSpPr>
            <xdr:cNvPr id="4" name="TextBox 3">
              <a:extLst>
                <a:ext uri="{FF2B5EF4-FFF2-40B4-BE49-F238E27FC236}">
                  <a16:creationId xmlns:a16="http://schemas.microsoft.com/office/drawing/2014/main" id="{56FAF850-5754-4701-89FD-A4F1F1D176C2}"/>
                </a:ext>
              </a:extLst>
            </xdr:cNvPr>
            <xdr:cNvSpPr txBox="1"/>
          </xdr:nvSpPr>
          <xdr:spPr>
            <a:xfrm>
              <a:off x="3081712" y="41305174"/>
              <a:ext cx="1780296" cy="31290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𝐸=∑2_𝑚▒(𝑄_𝑚×𝐸𝐹_𝑚 ) ×10^(−3)</a:t>
              </a:r>
              <a:endParaRPr lang="en-AU" sz="1000"/>
            </a:p>
          </xdr:txBody>
        </xdr:sp>
      </mc:Fallback>
    </mc:AlternateContent>
    <xdr:clientData/>
  </xdr:oneCellAnchor>
  <xdr:oneCellAnchor>
    <xdr:from>
      <xdr:col>3</xdr:col>
      <xdr:colOff>43237</xdr:colOff>
      <xdr:row>203</xdr:row>
      <xdr:rowOff>61924</xdr:rowOff>
    </xdr:from>
    <xdr:ext cx="2099229" cy="332079"/>
    <mc:AlternateContent xmlns:mc="http://schemas.openxmlformats.org/markup-compatibility/2006" xmlns:a14="http://schemas.microsoft.com/office/drawing/2010/main">
      <mc:Choice Requires="a14">
        <xdr:sp macro="" textlink="">
          <xdr:nvSpPr>
            <xdr:cNvPr id="5" name="TextBox 4">
              <a:extLst>
                <a:ext uri="{FF2B5EF4-FFF2-40B4-BE49-F238E27FC236}">
                  <a16:creationId xmlns:a16="http://schemas.microsoft.com/office/drawing/2014/main" id="{BE91B112-67B4-4FFF-8F60-D4D88D275CE8}"/>
                </a:ext>
              </a:extLst>
            </xdr:cNvPr>
            <xdr:cNvSpPr txBox="1"/>
          </xdr:nvSpPr>
          <xdr:spPr>
            <a:xfrm>
              <a:off x="3081712" y="50468224"/>
              <a:ext cx="2099229"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000" i="1">
                        <a:latin typeface="Cambria Math" panose="02040503050406030204" pitchFamily="18" charset="0"/>
                      </a:rPr>
                      <m:t>𝐸</m:t>
                    </m:r>
                    <m:r>
                      <a:rPr lang="en-AU" sz="1000" i="1">
                        <a:latin typeface="Cambria Math" panose="02040503050406030204" pitchFamily="18" charset="0"/>
                      </a:rPr>
                      <m:t>=</m:t>
                    </m:r>
                    <m:nary>
                      <m:naryPr>
                        <m:chr m:val="∑"/>
                        <m:limLoc m:val="subSup"/>
                        <m:supHide m:val="on"/>
                        <m:ctrlPr>
                          <a:rPr lang="en-AU" sz="1000" i="1">
                            <a:latin typeface="Cambria Math" panose="02040503050406030204" pitchFamily="18" charset="0"/>
                          </a:rPr>
                        </m:ctrlPr>
                      </m:naryPr>
                      <m:sub>
                        <m:r>
                          <a:rPr lang="en-AU" sz="1000" i="1">
                            <a:latin typeface="Cambria Math" panose="02040503050406030204" pitchFamily="18" charset="0"/>
                          </a:rPr>
                          <m:t>𝑓</m:t>
                        </m:r>
                      </m:sub>
                      <m:sup/>
                      <m:e>
                        <m:nary>
                          <m:naryPr>
                            <m:chr m:val="∑"/>
                            <m:limLoc m:val="subSup"/>
                            <m:supHide m:val="on"/>
                            <m:ctrlPr>
                              <a:rPr lang="en-AU" sz="1000" i="1">
                                <a:latin typeface="Cambria Math" panose="02040503050406030204" pitchFamily="18" charset="0"/>
                              </a:rPr>
                            </m:ctrlPr>
                          </m:naryPr>
                          <m:sub>
                            <m:r>
                              <a:rPr lang="en-AU" sz="1000" i="1">
                                <a:latin typeface="Cambria Math" panose="02040503050406030204" pitchFamily="18" charset="0"/>
                              </a:rPr>
                              <m:t>𝑗</m:t>
                            </m:r>
                          </m:sub>
                          <m:sup/>
                          <m:e>
                            <m:d>
                              <m:dPr>
                                <m:ctrlPr>
                                  <a:rPr lang="en-AU" sz="1000" i="1">
                                    <a:latin typeface="Cambria Math" panose="02040503050406030204" pitchFamily="18" charset="0"/>
                                  </a:rPr>
                                </m:ctrlPr>
                              </m:dPr>
                              <m:e>
                                <m:r>
                                  <a:rPr lang="en-AU" sz="1000" i="1">
                                    <a:latin typeface="Cambria Math" panose="02040503050406030204" pitchFamily="18" charset="0"/>
                                  </a:rPr>
                                  <m:t>𝑇</m:t>
                                </m:r>
                                <m:sSub>
                                  <m:sSubPr>
                                    <m:ctrlPr>
                                      <a:rPr lang="en-AU" sz="1000" i="1">
                                        <a:latin typeface="Cambria Math" panose="02040503050406030204" pitchFamily="18" charset="0"/>
                                      </a:rPr>
                                    </m:ctrlPr>
                                  </m:sSubPr>
                                  <m:e>
                                    <m:r>
                                      <a:rPr lang="en-AU" sz="1000" i="1">
                                        <a:latin typeface="Cambria Math" panose="02040503050406030204" pitchFamily="18" charset="0"/>
                                      </a:rPr>
                                      <m:t>𝑀</m:t>
                                    </m:r>
                                  </m:e>
                                  <m:sub>
                                    <m:r>
                                      <a:rPr lang="en-AU" sz="1000" i="1">
                                        <a:latin typeface="Cambria Math" panose="02040503050406030204" pitchFamily="18" charset="0"/>
                                      </a:rPr>
                                      <m:t>𝑗𝑓</m:t>
                                    </m:r>
                                  </m:sub>
                                </m:sSub>
                                <m:r>
                                  <a:rPr lang="en-AU" sz="1000" i="1">
                                    <a:latin typeface="Cambria Math" panose="02040503050406030204" pitchFamily="18" charset="0"/>
                                  </a:rPr>
                                  <m:t>×</m:t>
                                </m:r>
                                <m:r>
                                  <a:rPr lang="en-AU" sz="1000" i="1">
                                    <a:latin typeface="Cambria Math" panose="02040503050406030204" pitchFamily="18" charset="0"/>
                                  </a:rPr>
                                  <m:t>𝐸</m:t>
                                </m:r>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𝑓</m:t>
                                    </m:r>
                                  </m:sub>
                                </m:sSub>
                              </m:e>
                            </m:d>
                          </m:e>
                        </m:nary>
                      </m:e>
                    </m:nary>
                    <m:r>
                      <a:rPr lang="en-AU" sz="1000" i="1">
                        <a:latin typeface="Cambria Math" panose="02040503050406030204" pitchFamily="18" charset="0"/>
                      </a:rPr>
                      <m:t>×</m:t>
                    </m:r>
                    <m:sSup>
                      <m:sSupPr>
                        <m:ctrlPr>
                          <a:rPr lang="en-AU" sz="1000" i="1">
                            <a:latin typeface="Cambria Math" panose="02040503050406030204" pitchFamily="18" charset="0"/>
                          </a:rPr>
                        </m:ctrlPr>
                      </m:sSupPr>
                      <m:e>
                        <m:r>
                          <a:rPr lang="en-AU" sz="1000" i="1">
                            <a:latin typeface="Cambria Math" panose="02040503050406030204" pitchFamily="18" charset="0"/>
                          </a:rPr>
                          <m:t>10</m:t>
                        </m:r>
                      </m:e>
                      <m:sup>
                        <m:r>
                          <a:rPr lang="en-AU" sz="1000" i="1">
                            <a:latin typeface="Cambria Math" panose="02040503050406030204" pitchFamily="18" charset="0"/>
                          </a:rPr>
                          <m:t>−3</m:t>
                        </m:r>
                      </m:sup>
                    </m:sSup>
                  </m:oMath>
                </m:oMathPara>
              </a14:m>
              <a:endParaRPr lang="en-AU" sz="1000"/>
            </a:p>
          </xdr:txBody>
        </xdr:sp>
      </mc:Choice>
      <mc:Fallback xmlns="">
        <xdr:sp macro="" textlink="">
          <xdr:nvSpPr>
            <xdr:cNvPr id="5" name="TextBox 4">
              <a:extLst>
                <a:ext uri="{FF2B5EF4-FFF2-40B4-BE49-F238E27FC236}">
                  <a16:creationId xmlns:a16="http://schemas.microsoft.com/office/drawing/2014/main" id="{BE91B112-67B4-4FFF-8F60-D4D88D275CE8}"/>
                </a:ext>
              </a:extLst>
            </xdr:cNvPr>
            <xdr:cNvSpPr txBox="1"/>
          </xdr:nvSpPr>
          <xdr:spPr>
            <a:xfrm>
              <a:off x="3081712" y="50468224"/>
              <a:ext cx="2099229"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𝐸=∑2_𝑓▒∑2_𝑗▒(𝑇𝑀_𝑗𝑓×𝐸𝐹_𝑓 ) ×10^(−3)</a:t>
              </a:r>
              <a:endParaRPr lang="en-AU" sz="1000"/>
            </a:p>
          </xdr:txBody>
        </xdr:sp>
      </mc:Fallback>
    </mc:AlternateContent>
    <xdr:clientData/>
  </xdr:oneCellAnchor>
  <xdr:oneCellAnchor>
    <xdr:from>
      <xdr:col>4</xdr:col>
      <xdr:colOff>1999881</xdr:colOff>
      <xdr:row>218</xdr:row>
      <xdr:rowOff>51204</xdr:rowOff>
    </xdr:from>
    <xdr:ext cx="2458430" cy="256032"/>
    <mc:AlternateContent xmlns:mc="http://schemas.openxmlformats.org/markup-compatibility/2006" xmlns:a14="http://schemas.microsoft.com/office/drawing/2010/main">
      <mc:Choice Requires="a14">
        <xdr:sp macro="" textlink="">
          <xdr:nvSpPr>
            <xdr:cNvPr id="6" name="TextBox 5">
              <a:extLst>
                <a:ext uri="{FF2B5EF4-FFF2-40B4-BE49-F238E27FC236}">
                  <a16:creationId xmlns:a16="http://schemas.microsoft.com/office/drawing/2014/main" id="{6842ABD5-AF46-44B1-B074-08AB9FB0AAB8}"/>
                </a:ext>
              </a:extLst>
            </xdr:cNvPr>
            <xdr:cNvSpPr txBox="1"/>
          </xdr:nvSpPr>
          <xdr:spPr>
            <a:xfrm>
              <a:off x="7371981" y="54172254"/>
              <a:ext cx="2458430" cy="25603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000" b="1">
                  <a:solidFill>
                    <a:srgbClr val="C00000"/>
                  </a:solidFill>
                </a:rPr>
                <a:t>ORIGINAL:</a:t>
              </a:r>
              <a:r>
                <a:rPr lang="en-AU" sz="1000" baseline="0"/>
                <a:t> </a:t>
              </a:r>
              <a14:m>
                <m:oMath xmlns:m="http://schemas.openxmlformats.org/officeDocument/2006/math">
                  <m:r>
                    <a:rPr lang="en-AU" sz="1000" i="1">
                      <a:latin typeface="Cambria Math" panose="02040503050406030204" pitchFamily="18" charset="0"/>
                    </a:rPr>
                    <m:t>𝐸</m:t>
                  </m:r>
                  <m:r>
                    <a:rPr lang="en-AU" sz="1000" i="1">
                      <a:latin typeface="Cambria Math" panose="02040503050406030204" pitchFamily="18" charset="0"/>
                    </a:rPr>
                    <m:t>=</m:t>
                  </m:r>
                  <m:nary>
                    <m:naryPr>
                      <m:chr m:val="∑"/>
                      <m:limLoc m:val="subSup"/>
                      <m:supHide m:val="on"/>
                      <m:ctrlPr>
                        <a:rPr lang="en-AU" sz="1000" i="1">
                          <a:latin typeface="Cambria Math" panose="02040503050406030204" pitchFamily="18" charset="0"/>
                        </a:rPr>
                      </m:ctrlPr>
                    </m:naryPr>
                    <m:sub>
                      <m:r>
                        <a:rPr lang="en-AU" sz="1000" i="1">
                          <a:latin typeface="Cambria Math" panose="02040503050406030204" pitchFamily="18" charset="0"/>
                        </a:rPr>
                        <m:t>𝑓</m:t>
                      </m:r>
                    </m:sub>
                    <m:sup/>
                    <m:e>
                      <m:nary>
                        <m:naryPr>
                          <m:chr m:val="∑"/>
                          <m:limLoc m:val="subSup"/>
                          <m:supHide m:val="on"/>
                          <m:ctrlPr>
                            <a:rPr lang="en-AU" sz="1000" i="1">
                              <a:latin typeface="Cambria Math" panose="02040503050406030204" pitchFamily="18" charset="0"/>
                            </a:rPr>
                          </m:ctrlPr>
                        </m:naryPr>
                        <m:sub>
                          <m:r>
                            <a:rPr lang="en-AU" sz="1000" i="1">
                              <a:latin typeface="Cambria Math" panose="02040503050406030204" pitchFamily="18" charset="0"/>
                            </a:rPr>
                            <m:t>𝑐</m:t>
                          </m:r>
                        </m:sub>
                        <m:sup/>
                        <m:e>
                          <m:nary>
                            <m:naryPr>
                              <m:chr m:val="∑"/>
                              <m:limLoc m:val="subSup"/>
                              <m:supHide m:val="on"/>
                              <m:ctrlPr>
                                <a:rPr lang="en-AU" sz="1000" i="1">
                                  <a:latin typeface="Cambria Math" panose="02040503050406030204" pitchFamily="18" charset="0"/>
                                </a:rPr>
                              </m:ctrlPr>
                            </m:naryPr>
                            <m:sub>
                              <m:r>
                                <a:rPr lang="en-AU" sz="1000" i="1">
                                  <a:latin typeface="Cambria Math" panose="02040503050406030204" pitchFamily="18" charset="0"/>
                                </a:rPr>
                                <m:t>𝑗</m:t>
                              </m:r>
                            </m:sub>
                            <m:sup/>
                            <m:e>
                              <m:d>
                                <m:dPr>
                                  <m:ctrlPr>
                                    <a:rPr lang="en-AU" sz="1000" i="1">
                                      <a:latin typeface="Cambria Math" panose="02040503050406030204" pitchFamily="18" charset="0"/>
                                    </a:rPr>
                                  </m:ctrlPr>
                                </m:dPr>
                                <m:e>
                                  <m:f>
                                    <m:fPr>
                                      <m:ctrlPr>
                                        <a:rPr lang="en-AU" sz="1000" i="1">
                                          <a:latin typeface="Cambria Math" panose="02040503050406030204" pitchFamily="18" charset="0"/>
                                        </a:rPr>
                                      </m:ctrlPr>
                                    </m:fPr>
                                    <m:num>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𝑐𝑓</m:t>
                                          </m:r>
                                        </m:sub>
                                      </m:sSub>
                                      <m:r>
                                        <a:rPr lang="en-AU" sz="1000" i="1">
                                          <a:latin typeface="Cambria Math" panose="02040503050406030204" pitchFamily="18" charset="0"/>
                                        </a:rPr>
                                        <m:t>×</m:t>
                                      </m:r>
                                      <m:r>
                                        <a:rPr lang="en-AU" sz="1000" i="1">
                                          <a:latin typeface="Cambria Math" panose="02040503050406030204" pitchFamily="18" charset="0"/>
                                        </a:rPr>
                                        <m:t>𝑇</m:t>
                                      </m:r>
                                      <m:sSub>
                                        <m:sSubPr>
                                          <m:ctrlPr>
                                            <a:rPr lang="en-AU" sz="1000" i="1">
                                              <a:latin typeface="Cambria Math" panose="02040503050406030204" pitchFamily="18" charset="0"/>
                                            </a:rPr>
                                          </m:ctrlPr>
                                        </m:sSubPr>
                                        <m:e>
                                          <m:r>
                                            <a:rPr lang="en-AU" sz="1000" i="1">
                                              <a:latin typeface="Cambria Math" panose="02040503050406030204" pitchFamily="18" charset="0"/>
                                            </a:rPr>
                                            <m:t>𝑀</m:t>
                                          </m:r>
                                        </m:e>
                                        <m:sub>
                                          <m:r>
                                            <a:rPr lang="en-AU" sz="1000" i="1">
                                              <a:latin typeface="Cambria Math" panose="02040503050406030204" pitchFamily="18" charset="0"/>
                                            </a:rPr>
                                            <m:t>𝑗𝑓</m:t>
                                          </m:r>
                                        </m:sub>
                                      </m:sSub>
                                    </m:num>
                                    <m:den>
                                      <m:r>
                                        <a:rPr lang="en-AU" sz="1000" i="1">
                                          <a:latin typeface="Cambria Math" panose="02040503050406030204" pitchFamily="18" charset="0"/>
                                        </a:rPr>
                                        <m:t>100</m:t>
                                      </m:r>
                                    </m:den>
                                  </m:f>
                                  <m:r>
                                    <a:rPr lang="en-AU" sz="1000" i="1">
                                      <a:latin typeface="Cambria Math" panose="02040503050406030204" pitchFamily="18" charset="0"/>
                                    </a:rPr>
                                    <m:t>×</m:t>
                                  </m:r>
                                  <m:r>
                                    <a:rPr lang="en-AU" sz="1000" i="1">
                                      <a:latin typeface="Cambria Math" panose="02040503050406030204" pitchFamily="18" charset="0"/>
                                    </a:rPr>
                                    <m:t>𝐸</m:t>
                                  </m:r>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𝑐</m:t>
                                      </m:r>
                                    </m:sub>
                                  </m:sSub>
                                </m:e>
                              </m:d>
                            </m:e>
                          </m:nary>
                        </m:e>
                      </m:nary>
                    </m:e>
                  </m:nary>
                </m:oMath>
              </a14:m>
              <a:endParaRPr lang="en-AU" sz="1000"/>
            </a:p>
          </xdr:txBody>
        </xdr:sp>
      </mc:Choice>
      <mc:Fallback xmlns="">
        <xdr:sp macro="" textlink="">
          <xdr:nvSpPr>
            <xdr:cNvPr id="6" name="TextBox 5">
              <a:extLst>
                <a:ext uri="{FF2B5EF4-FFF2-40B4-BE49-F238E27FC236}">
                  <a16:creationId xmlns:a16="http://schemas.microsoft.com/office/drawing/2014/main" id="{6842ABD5-AF46-44B1-B074-08AB9FB0AAB8}"/>
                </a:ext>
              </a:extLst>
            </xdr:cNvPr>
            <xdr:cNvSpPr txBox="1"/>
          </xdr:nvSpPr>
          <xdr:spPr>
            <a:xfrm>
              <a:off x="7371981" y="54172254"/>
              <a:ext cx="2458430" cy="25603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000" b="1">
                  <a:solidFill>
                    <a:srgbClr val="C00000"/>
                  </a:solidFill>
                </a:rPr>
                <a:t>ORIGINAL:</a:t>
              </a:r>
              <a:r>
                <a:rPr lang="en-AU" sz="1000" baseline="0"/>
                <a:t> </a:t>
              </a:r>
              <a:r>
                <a:rPr lang="en-AU" sz="1000" i="0">
                  <a:latin typeface="Cambria Math" panose="02040503050406030204" pitchFamily="18" charset="0"/>
                </a:rPr>
                <a:t>𝐸=∑2_𝑓▒∑2_𝑐▒∑2_𝑗▒((𝐹_𝑐𝑓×𝑇𝑀_𝑗𝑓)/100×𝐸𝐹_𝑐 ) </a:t>
              </a:r>
              <a:endParaRPr lang="en-AU" sz="1000"/>
            </a:p>
          </xdr:txBody>
        </xdr:sp>
      </mc:Fallback>
    </mc:AlternateContent>
    <xdr:clientData/>
  </xdr:oneCellAnchor>
  <xdr:oneCellAnchor>
    <xdr:from>
      <xdr:col>3</xdr:col>
      <xdr:colOff>2070</xdr:colOff>
      <xdr:row>218</xdr:row>
      <xdr:rowOff>60464</xdr:rowOff>
    </xdr:from>
    <xdr:ext cx="2708818" cy="332079"/>
    <mc:AlternateContent xmlns:mc="http://schemas.openxmlformats.org/markup-compatibility/2006" xmlns:a14="http://schemas.microsoft.com/office/drawing/2010/main">
      <mc:Choice Requires="a14">
        <xdr:sp macro="" textlink="">
          <xdr:nvSpPr>
            <xdr:cNvPr id="7" name="TextBox 6">
              <a:extLst>
                <a:ext uri="{FF2B5EF4-FFF2-40B4-BE49-F238E27FC236}">
                  <a16:creationId xmlns:a16="http://schemas.microsoft.com/office/drawing/2014/main" id="{9361D27A-EE29-45E1-B8E8-47E2C8F39400}"/>
                </a:ext>
              </a:extLst>
            </xdr:cNvPr>
            <xdr:cNvSpPr txBox="1"/>
          </xdr:nvSpPr>
          <xdr:spPr>
            <a:xfrm>
              <a:off x="3040545" y="54181514"/>
              <a:ext cx="2708818"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000" i="1">
                        <a:latin typeface="Cambria Math" panose="02040503050406030204" pitchFamily="18" charset="0"/>
                      </a:rPr>
                      <m:t>𝐸</m:t>
                    </m:r>
                    <m:r>
                      <a:rPr lang="en-AU" sz="1000" i="1">
                        <a:latin typeface="Cambria Math" panose="02040503050406030204" pitchFamily="18" charset="0"/>
                      </a:rPr>
                      <m:t>=</m:t>
                    </m:r>
                    <m:nary>
                      <m:naryPr>
                        <m:chr m:val="∑"/>
                        <m:limLoc m:val="subSup"/>
                        <m:supHide m:val="on"/>
                        <m:ctrlPr>
                          <a:rPr lang="en-AU" sz="1000" i="1">
                            <a:latin typeface="Cambria Math" panose="02040503050406030204" pitchFamily="18" charset="0"/>
                          </a:rPr>
                        </m:ctrlPr>
                      </m:naryPr>
                      <m:sub>
                        <m:r>
                          <a:rPr lang="en-AU" sz="1000" i="1">
                            <a:latin typeface="Cambria Math" panose="02040503050406030204" pitchFamily="18" charset="0"/>
                          </a:rPr>
                          <m:t>𝑓</m:t>
                        </m:r>
                      </m:sub>
                      <m:sup/>
                      <m:e>
                        <m:nary>
                          <m:naryPr>
                            <m:chr m:val="∑"/>
                            <m:limLoc m:val="subSup"/>
                            <m:supHide m:val="on"/>
                            <m:ctrlPr>
                              <a:rPr lang="en-AU" sz="1000" i="1">
                                <a:latin typeface="Cambria Math" panose="02040503050406030204" pitchFamily="18" charset="0"/>
                              </a:rPr>
                            </m:ctrlPr>
                          </m:naryPr>
                          <m:sub>
                            <m:r>
                              <a:rPr lang="en-AU" sz="1000" i="1">
                                <a:latin typeface="Cambria Math" panose="02040503050406030204" pitchFamily="18" charset="0"/>
                              </a:rPr>
                              <m:t>𝑐</m:t>
                            </m:r>
                          </m:sub>
                          <m:sup/>
                          <m:e>
                            <m:nary>
                              <m:naryPr>
                                <m:chr m:val="∑"/>
                                <m:limLoc m:val="subSup"/>
                                <m:supHide m:val="on"/>
                                <m:ctrlPr>
                                  <a:rPr lang="en-AU" sz="1000" i="1">
                                    <a:latin typeface="Cambria Math" panose="02040503050406030204" pitchFamily="18" charset="0"/>
                                  </a:rPr>
                                </m:ctrlPr>
                              </m:naryPr>
                              <m:sub>
                                <m:r>
                                  <a:rPr lang="en-AU" sz="1000" i="1">
                                    <a:latin typeface="Cambria Math" panose="02040503050406030204" pitchFamily="18" charset="0"/>
                                  </a:rPr>
                                  <m:t>𝑗</m:t>
                                </m:r>
                              </m:sub>
                              <m:sup/>
                              <m:e>
                                <m:d>
                                  <m:dPr>
                                    <m:ctrlPr>
                                      <a:rPr lang="en-AU" sz="1000" i="1">
                                        <a:latin typeface="Cambria Math" panose="02040503050406030204" pitchFamily="18" charset="0"/>
                                      </a:rPr>
                                    </m:ctrlPr>
                                  </m:dPr>
                                  <m:e>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𝑐𝑓</m:t>
                                        </m:r>
                                      </m:sub>
                                    </m:sSub>
                                    <m:r>
                                      <a:rPr lang="en-AU" sz="1000" i="1">
                                        <a:latin typeface="Cambria Math" panose="02040503050406030204" pitchFamily="18" charset="0"/>
                                      </a:rPr>
                                      <m:t>×</m:t>
                                    </m:r>
                                    <m:r>
                                      <a:rPr lang="en-AU" sz="1000" i="1">
                                        <a:latin typeface="Cambria Math" panose="02040503050406030204" pitchFamily="18" charset="0"/>
                                      </a:rPr>
                                      <m:t>𝑇</m:t>
                                    </m:r>
                                    <m:sSub>
                                      <m:sSubPr>
                                        <m:ctrlPr>
                                          <a:rPr lang="en-AU" sz="1000" i="1">
                                            <a:latin typeface="Cambria Math" panose="02040503050406030204" pitchFamily="18" charset="0"/>
                                          </a:rPr>
                                        </m:ctrlPr>
                                      </m:sSubPr>
                                      <m:e>
                                        <m:r>
                                          <a:rPr lang="en-AU" sz="1000" i="1">
                                            <a:latin typeface="Cambria Math" panose="02040503050406030204" pitchFamily="18" charset="0"/>
                                          </a:rPr>
                                          <m:t>𝑀</m:t>
                                        </m:r>
                                      </m:e>
                                      <m:sub>
                                        <m:r>
                                          <a:rPr lang="en-AU" sz="1000" i="1">
                                            <a:latin typeface="Cambria Math" panose="02040503050406030204" pitchFamily="18" charset="0"/>
                                          </a:rPr>
                                          <m:t>𝑗𝑓</m:t>
                                        </m:r>
                                      </m:sub>
                                    </m:sSub>
                                    <m:r>
                                      <a:rPr lang="en-AU" sz="1000" i="1">
                                        <a:latin typeface="Cambria Math" panose="02040503050406030204" pitchFamily="18" charset="0"/>
                                      </a:rPr>
                                      <m:t>×</m:t>
                                    </m:r>
                                    <m:r>
                                      <a:rPr lang="en-AU" sz="1000" i="1">
                                        <a:latin typeface="Cambria Math" panose="02040503050406030204" pitchFamily="18" charset="0"/>
                                      </a:rPr>
                                      <m:t>𝐸</m:t>
                                    </m:r>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𝑐</m:t>
                                        </m:r>
                                      </m:sub>
                                    </m:sSub>
                                  </m:e>
                                </m:d>
                              </m:e>
                            </m:nary>
                          </m:e>
                        </m:nary>
                      </m:e>
                    </m:nary>
                    <m:r>
                      <a:rPr lang="en-AU" sz="1000" i="1">
                        <a:latin typeface="Cambria Math" panose="02040503050406030204" pitchFamily="18" charset="0"/>
                      </a:rPr>
                      <m:t>×</m:t>
                    </m:r>
                    <m:sSup>
                      <m:sSupPr>
                        <m:ctrlPr>
                          <a:rPr lang="en-AU" sz="1000" i="1">
                            <a:latin typeface="Cambria Math" panose="02040503050406030204" pitchFamily="18" charset="0"/>
                          </a:rPr>
                        </m:ctrlPr>
                      </m:sSupPr>
                      <m:e>
                        <m:r>
                          <a:rPr lang="en-AU" sz="1000" i="1">
                            <a:latin typeface="Cambria Math" panose="02040503050406030204" pitchFamily="18" charset="0"/>
                          </a:rPr>
                          <m:t>10</m:t>
                        </m:r>
                      </m:e>
                      <m:sup>
                        <m:r>
                          <a:rPr lang="en-AU" sz="1000" i="1">
                            <a:latin typeface="Cambria Math" panose="02040503050406030204" pitchFamily="18" charset="0"/>
                          </a:rPr>
                          <m:t>−3</m:t>
                        </m:r>
                      </m:sup>
                    </m:sSup>
                  </m:oMath>
                </m:oMathPara>
              </a14:m>
              <a:endParaRPr lang="en-AU" sz="1000"/>
            </a:p>
          </xdr:txBody>
        </xdr:sp>
      </mc:Choice>
      <mc:Fallback xmlns="">
        <xdr:sp macro="" textlink="">
          <xdr:nvSpPr>
            <xdr:cNvPr id="7" name="TextBox 6">
              <a:extLst>
                <a:ext uri="{FF2B5EF4-FFF2-40B4-BE49-F238E27FC236}">
                  <a16:creationId xmlns:a16="http://schemas.microsoft.com/office/drawing/2014/main" id="{9361D27A-EE29-45E1-B8E8-47E2C8F39400}"/>
                </a:ext>
              </a:extLst>
            </xdr:cNvPr>
            <xdr:cNvSpPr txBox="1"/>
          </xdr:nvSpPr>
          <xdr:spPr>
            <a:xfrm>
              <a:off x="3040545" y="54181514"/>
              <a:ext cx="2708818"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𝐸=∑2_𝑓▒∑2_𝑐▒∑2_𝑗▒(𝐹_𝑐𝑓×𝑇𝑀_𝑗𝑓×𝐸𝐹_𝑐 ) ×10^(−3)</a:t>
              </a:r>
              <a:endParaRPr lang="en-AU" sz="1000"/>
            </a:p>
          </xdr:txBody>
        </xdr:sp>
      </mc:Fallback>
    </mc:AlternateContent>
    <xdr:clientData/>
  </xdr:oneCellAnchor>
  <xdr:oneCellAnchor>
    <xdr:from>
      <xdr:col>3</xdr:col>
      <xdr:colOff>19050</xdr:colOff>
      <xdr:row>189</xdr:row>
      <xdr:rowOff>114300</xdr:rowOff>
    </xdr:from>
    <xdr:ext cx="1375312" cy="312906"/>
    <mc:AlternateContent xmlns:mc="http://schemas.openxmlformats.org/markup-compatibility/2006" xmlns:a14="http://schemas.microsoft.com/office/drawing/2010/main">
      <mc:Choice Requires="a14">
        <xdr:sp macro="" textlink="">
          <xdr:nvSpPr>
            <xdr:cNvPr id="8" name="TextBox 7">
              <a:extLst>
                <a:ext uri="{FF2B5EF4-FFF2-40B4-BE49-F238E27FC236}">
                  <a16:creationId xmlns:a16="http://schemas.microsoft.com/office/drawing/2014/main" id="{248D0895-56D9-4C18-A77D-A6FC4439C6E8}"/>
                </a:ext>
              </a:extLst>
            </xdr:cNvPr>
            <xdr:cNvSpPr txBox="1"/>
          </xdr:nvSpPr>
          <xdr:spPr>
            <a:xfrm>
              <a:off x="3057525" y="47053500"/>
              <a:ext cx="1375312" cy="31290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000" i="1">
                        <a:latin typeface="Cambria Math" panose="02040503050406030204" pitchFamily="18" charset="0"/>
                      </a:rPr>
                      <m:t>𝐸</m:t>
                    </m:r>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𝑓</m:t>
                        </m:r>
                      </m:sub>
                    </m:sSub>
                    <m:r>
                      <a:rPr lang="en-AU" sz="1000" i="1">
                        <a:latin typeface="Cambria Math" panose="02040503050406030204" pitchFamily="18" charset="0"/>
                      </a:rPr>
                      <m:t>=</m:t>
                    </m:r>
                    <m:nary>
                      <m:naryPr>
                        <m:chr m:val="∑"/>
                        <m:limLoc m:val="subSup"/>
                        <m:supHide m:val="on"/>
                        <m:ctrlPr>
                          <a:rPr lang="en-AU" sz="1000" i="1">
                            <a:latin typeface="Cambria Math" panose="02040503050406030204" pitchFamily="18" charset="0"/>
                          </a:rPr>
                        </m:ctrlPr>
                      </m:naryPr>
                      <m:sub>
                        <m:r>
                          <a:rPr lang="en-AU" sz="1000" i="1">
                            <a:latin typeface="Cambria Math" panose="02040503050406030204" pitchFamily="18" charset="0"/>
                          </a:rPr>
                          <m:t>𝑐</m:t>
                        </m:r>
                      </m:sub>
                      <m:sup/>
                      <m:e>
                        <m:d>
                          <m:dPr>
                            <m:ctrlPr>
                              <a:rPr lang="en-AU" sz="1000" i="1">
                                <a:latin typeface="Cambria Math" panose="02040503050406030204" pitchFamily="18" charset="0"/>
                              </a:rPr>
                            </m:ctrlPr>
                          </m:dPr>
                          <m:e>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𝑐𝑓</m:t>
                                </m:r>
                              </m:sub>
                            </m:sSub>
                            <m:r>
                              <a:rPr lang="en-AU" sz="1000" i="1">
                                <a:latin typeface="Cambria Math" panose="02040503050406030204" pitchFamily="18" charset="0"/>
                              </a:rPr>
                              <m:t>×</m:t>
                            </m:r>
                            <m:r>
                              <a:rPr lang="en-AU" sz="1000" i="1">
                                <a:latin typeface="Cambria Math" panose="02040503050406030204" pitchFamily="18" charset="0"/>
                              </a:rPr>
                              <m:t>𝐸</m:t>
                            </m:r>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𝑐</m:t>
                                </m:r>
                              </m:sub>
                            </m:sSub>
                          </m:e>
                        </m:d>
                      </m:e>
                    </m:nary>
                  </m:oMath>
                </m:oMathPara>
              </a14:m>
              <a:endParaRPr lang="en-AU" sz="1000"/>
            </a:p>
          </xdr:txBody>
        </xdr:sp>
      </mc:Choice>
      <mc:Fallback xmlns="">
        <xdr:sp macro="" textlink="">
          <xdr:nvSpPr>
            <xdr:cNvPr id="8" name="TextBox 7">
              <a:extLst>
                <a:ext uri="{FF2B5EF4-FFF2-40B4-BE49-F238E27FC236}">
                  <a16:creationId xmlns:a16="http://schemas.microsoft.com/office/drawing/2014/main" id="{248D0895-56D9-4C18-A77D-A6FC4439C6E8}"/>
                </a:ext>
              </a:extLst>
            </xdr:cNvPr>
            <xdr:cNvSpPr txBox="1"/>
          </xdr:nvSpPr>
          <xdr:spPr>
            <a:xfrm>
              <a:off x="3057525" y="47053500"/>
              <a:ext cx="1375312" cy="31290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𝐸𝐹_𝑓=∑2_𝑐▒(𝐹_𝑐𝑓×𝐸𝐹_𝑐 ) </a:t>
              </a:r>
              <a:endParaRPr lang="en-AU" sz="1000"/>
            </a:p>
          </xdr:txBody>
        </xdr:sp>
      </mc:Fallback>
    </mc:AlternateContent>
    <xdr:clientData/>
  </xdr:oneCellAnchor>
  <xdr:oneCellAnchor>
    <xdr:from>
      <xdr:col>3</xdr:col>
      <xdr:colOff>19051</xdr:colOff>
      <xdr:row>273</xdr:row>
      <xdr:rowOff>153521</xdr:rowOff>
    </xdr:from>
    <xdr:ext cx="1698157" cy="312971"/>
    <mc:AlternateContent xmlns:mc="http://schemas.openxmlformats.org/markup-compatibility/2006" xmlns:a14="http://schemas.microsoft.com/office/drawing/2010/main">
      <mc:Choice Requires="a14">
        <xdr:sp macro="" textlink="">
          <xdr:nvSpPr>
            <xdr:cNvPr id="9" name="TextBox 8">
              <a:extLst>
                <a:ext uri="{FF2B5EF4-FFF2-40B4-BE49-F238E27FC236}">
                  <a16:creationId xmlns:a16="http://schemas.microsoft.com/office/drawing/2014/main" id="{F74B02AD-F76B-4065-80DC-9389BD08712D}"/>
                </a:ext>
              </a:extLst>
            </xdr:cNvPr>
            <xdr:cNvSpPr txBox="1"/>
          </xdr:nvSpPr>
          <xdr:spPr>
            <a:xfrm>
              <a:off x="3057526" y="67676246"/>
              <a:ext cx="1698157" cy="3129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000" i="1">
                        <a:latin typeface="Cambria Math" panose="02040503050406030204" pitchFamily="18" charset="0"/>
                      </a:rPr>
                      <m:t>𝐸</m:t>
                    </m:r>
                    <m:r>
                      <a:rPr lang="en-AU" sz="1000" i="1">
                        <a:latin typeface="Cambria Math" panose="02040503050406030204" pitchFamily="18" charset="0"/>
                      </a:rPr>
                      <m:t>=</m:t>
                    </m:r>
                    <m:nary>
                      <m:naryPr>
                        <m:chr m:val="∑"/>
                        <m:limLoc m:val="subSup"/>
                        <m:supHide m:val="on"/>
                        <m:ctrlPr>
                          <a:rPr lang="en-AU" sz="1000" i="1">
                            <a:latin typeface="Cambria Math" panose="02040503050406030204" pitchFamily="18" charset="0"/>
                          </a:rPr>
                        </m:ctrlPr>
                      </m:naryPr>
                      <m:sub>
                        <m:r>
                          <a:rPr lang="en-AU" sz="1000" i="1">
                            <a:latin typeface="Cambria Math" panose="02040503050406030204" pitchFamily="18" charset="0"/>
                          </a:rPr>
                          <m:t>ℎ</m:t>
                        </m:r>
                      </m:sub>
                      <m:sup/>
                      <m:e>
                        <m:d>
                          <m:dPr>
                            <m:ctrlPr>
                              <a:rPr lang="en-AU" sz="1000" i="1">
                                <a:latin typeface="Cambria Math" panose="02040503050406030204" pitchFamily="18" charset="0"/>
                              </a:rPr>
                            </m:ctrlPr>
                          </m:dPr>
                          <m:e>
                            <m:sSub>
                              <m:sSubPr>
                                <m:ctrlPr>
                                  <a:rPr lang="en-AU" sz="1000" i="1">
                                    <a:latin typeface="Cambria Math" panose="02040503050406030204" pitchFamily="18" charset="0"/>
                                  </a:rPr>
                                </m:ctrlPr>
                              </m:sSubPr>
                              <m:e>
                                <m:r>
                                  <a:rPr lang="en-AU" sz="1000" i="1">
                                    <a:latin typeface="Cambria Math" panose="02040503050406030204" pitchFamily="18" charset="0"/>
                                  </a:rPr>
                                  <m:t>𝑄</m:t>
                                </m:r>
                              </m:e>
                              <m:sub>
                                <m:r>
                                  <a:rPr lang="en-AU" sz="1000" i="1">
                                    <a:latin typeface="Cambria Math" panose="02040503050406030204" pitchFamily="18" charset="0"/>
                                  </a:rPr>
                                  <m:t>ℎ</m:t>
                                </m:r>
                              </m:sub>
                            </m:sSub>
                            <m:r>
                              <a:rPr lang="en-AU" sz="1000" i="1">
                                <a:latin typeface="Cambria Math" panose="02040503050406030204" pitchFamily="18" charset="0"/>
                              </a:rPr>
                              <m:t>×</m:t>
                            </m:r>
                            <m:r>
                              <a:rPr lang="en-AU" sz="1000" i="1">
                                <a:latin typeface="Cambria Math" panose="02040503050406030204" pitchFamily="18" charset="0"/>
                              </a:rPr>
                              <m:t>𝐸</m:t>
                            </m:r>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ℎ</m:t>
                                </m:r>
                              </m:sub>
                            </m:sSub>
                          </m:e>
                        </m:d>
                      </m:e>
                    </m:nary>
                    <m:r>
                      <a:rPr lang="en-AU" sz="1000" i="1">
                        <a:latin typeface="Cambria Math" panose="02040503050406030204" pitchFamily="18" charset="0"/>
                      </a:rPr>
                      <m:t>×</m:t>
                    </m:r>
                    <m:sSup>
                      <m:sSupPr>
                        <m:ctrlPr>
                          <a:rPr lang="en-AU" sz="1000" i="1">
                            <a:latin typeface="Cambria Math" panose="02040503050406030204" pitchFamily="18" charset="0"/>
                          </a:rPr>
                        </m:ctrlPr>
                      </m:sSupPr>
                      <m:e>
                        <m:r>
                          <a:rPr lang="en-AU" sz="1000" i="1">
                            <a:latin typeface="Cambria Math" panose="02040503050406030204" pitchFamily="18" charset="0"/>
                          </a:rPr>
                          <m:t>10</m:t>
                        </m:r>
                      </m:e>
                      <m:sup>
                        <m:r>
                          <a:rPr lang="en-AU" sz="1000" i="1">
                            <a:latin typeface="Cambria Math" panose="02040503050406030204" pitchFamily="18" charset="0"/>
                          </a:rPr>
                          <m:t>−3</m:t>
                        </m:r>
                      </m:sup>
                    </m:sSup>
                  </m:oMath>
                </m:oMathPara>
              </a14:m>
              <a:endParaRPr lang="en-AU" sz="1000"/>
            </a:p>
          </xdr:txBody>
        </xdr:sp>
      </mc:Choice>
      <mc:Fallback xmlns="">
        <xdr:sp macro="" textlink="">
          <xdr:nvSpPr>
            <xdr:cNvPr id="9" name="TextBox 8">
              <a:extLst>
                <a:ext uri="{FF2B5EF4-FFF2-40B4-BE49-F238E27FC236}">
                  <a16:creationId xmlns:a16="http://schemas.microsoft.com/office/drawing/2014/main" id="{F74B02AD-F76B-4065-80DC-9389BD08712D}"/>
                </a:ext>
              </a:extLst>
            </xdr:cNvPr>
            <xdr:cNvSpPr txBox="1"/>
          </xdr:nvSpPr>
          <xdr:spPr>
            <a:xfrm>
              <a:off x="3057526" y="67676246"/>
              <a:ext cx="1698157" cy="3129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𝐸=∑2_ℎ▒(𝑄_ℎ×𝐸𝐹_ℎ ) ×10^(−3)</a:t>
              </a:r>
              <a:endParaRPr lang="en-AU" sz="1000"/>
            </a:p>
          </xdr:txBody>
        </xdr:sp>
      </mc:Fallback>
    </mc:AlternateContent>
    <xdr:clientData/>
  </xdr:oneCellAnchor>
  <xdr:oneCellAnchor>
    <xdr:from>
      <xdr:col>3</xdr:col>
      <xdr:colOff>30256</xdr:colOff>
      <xdr:row>305</xdr:row>
      <xdr:rowOff>97491</xdr:rowOff>
    </xdr:from>
    <xdr:ext cx="1022459" cy="173766"/>
    <mc:AlternateContent xmlns:mc="http://schemas.openxmlformats.org/markup-compatibility/2006" xmlns:a14="http://schemas.microsoft.com/office/drawing/2010/main">
      <mc:Choice Requires="a14">
        <xdr:sp macro="" textlink="">
          <xdr:nvSpPr>
            <xdr:cNvPr id="10" name="TextBox 9">
              <a:extLst>
                <a:ext uri="{FF2B5EF4-FFF2-40B4-BE49-F238E27FC236}">
                  <a16:creationId xmlns:a16="http://schemas.microsoft.com/office/drawing/2014/main" id="{BE8CBF8E-E003-4BB3-974F-4205B80F1343}"/>
                </a:ext>
              </a:extLst>
            </xdr:cNvPr>
            <xdr:cNvSpPr txBox="1"/>
          </xdr:nvSpPr>
          <xdr:spPr>
            <a:xfrm>
              <a:off x="3068731" y="74249616"/>
              <a:ext cx="1022459" cy="1737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000" i="1">
                        <a:latin typeface="Cambria Math" panose="02040503050406030204" pitchFamily="18" charset="0"/>
                      </a:rPr>
                      <m:t>𝐸</m:t>
                    </m:r>
                    <m:r>
                      <a:rPr lang="en-AU" sz="1000" i="1">
                        <a:latin typeface="Cambria Math" panose="02040503050406030204" pitchFamily="18" charset="0"/>
                      </a:rPr>
                      <m:t>=</m:t>
                    </m:r>
                    <m:sSub>
                      <m:sSubPr>
                        <m:ctrlPr>
                          <a:rPr lang="en-AU" sz="1000" i="1">
                            <a:latin typeface="Cambria Math" panose="02040503050406030204" pitchFamily="18" charset="0"/>
                          </a:rPr>
                        </m:ctrlPr>
                      </m:sSubPr>
                      <m:e>
                        <m:r>
                          <a:rPr lang="en-AU" sz="1000" i="1">
                            <a:latin typeface="Cambria Math" panose="02040503050406030204" pitchFamily="18" charset="0"/>
                          </a:rPr>
                          <m:t>𝑀</m:t>
                        </m:r>
                      </m:e>
                      <m:sub>
                        <m:r>
                          <a:rPr lang="en-AU" sz="1000" i="1">
                            <a:latin typeface="Cambria Math" panose="02040503050406030204" pitchFamily="18" charset="0"/>
                          </a:rPr>
                          <m:t>𝑙𝑖𝑚𝑒</m:t>
                        </m:r>
                      </m:sub>
                    </m:sSub>
                    <m:r>
                      <a:rPr lang="en-AU" sz="1000" i="1">
                        <a:latin typeface="Cambria Math" panose="02040503050406030204" pitchFamily="18" charset="0"/>
                      </a:rPr>
                      <m:t>×</m:t>
                    </m:r>
                    <m:r>
                      <a:rPr lang="en-AU" sz="1000" i="1">
                        <a:latin typeface="Cambria Math" panose="02040503050406030204" pitchFamily="18" charset="0"/>
                      </a:rPr>
                      <m:t>𝐸</m:t>
                    </m:r>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𝑙</m:t>
                        </m:r>
                      </m:sub>
                    </m:sSub>
                  </m:oMath>
                </m:oMathPara>
              </a14:m>
              <a:endParaRPr lang="en-AU" sz="1000"/>
            </a:p>
          </xdr:txBody>
        </xdr:sp>
      </mc:Choice>
      <mc:Fallback xmlns="">
        <xdr:sp macro="" textlink="">
          <xdr:nvSpPr>
            <xdr:cNvPr id="10" name="TextBox 9">
              <a:extLst>
                <a:ext uri="{FF2B5EF4-FFF2-40B4-BE49-F238E27FC236}">
                  <a16:creationId xmlns:a16="http://schemas.microsoft.com/office/drawing/2014/main" id="{BE8CBF8E-E003-4BB3-974F-4205B80F1343}"/>
                </a:ext>
              </a:extLst>
            </xdr:cNvPr>
            <xdr:cNvSpPr txBox="1"/>
          </xdr:nvSpPr>
          <xdr:spPr>
            <a:xfrm>
              <a:off x="3068731" y="74249616"/>
              <a:ext cx="1022459" cy="1737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𝐸=𝑀_𝑙𝑖𝑚𝑒×𝐸𝐹_𝑙</a:t>
              </a:r>
              <a:endParaRPr lang="en-AU" sz="1000"/>
            </a:p>
          </xdr:txBody>
        </xdr:sp>
      </mc:Fallback>
    </mc:AlternateContent>
    <xdr:clientData/>
  </xdr:oneCellAnchor>
  <xdr:oneCellAnchor>
    <xdr:from>
      <xdr:col>3</xdr:col>
      <xdr:colOff>97491</xdr:colOff>
      <xdr:row>338</xdr:row>
      <xdr:rowOff>75080</xdr:rowOff>
    </xdr:from>
    <xdr:ext cx="1692515" cy="331501"/>
    <mc:AlternateContent xmlns:mc="http://schemas.openxmlformats.org/markup-compatibility/2006" xmlns:a14="http://schemas.microsoft.com/office/drawing/2010/main">
      <mc:Choice Requires="a14">
        <xdr:sp macro="" textlink="">
          <xdr:nvSpPr>
            <xdr:cNvPr id="11" name="TextBox 10">
              <a:extLst>
                <a:ext uri="{FF2B5EF4-FFF2-40B4-BE49-F238E27FC236}">
                  <a16:creationId xmlns:a16="http://schemas.microsoft.com/office/drawing/2014/main" id="{EAB5CB71-4E17-4269-A394-EAE4E2DE8D21}"/>
                </a:ext>
              </a:extLst>
            </xdr:cNvPr>
            <xdr:cNvSpPr txBox="1"/>
          </xdr:nvSpPr>
          <xdr:spPr>
            <a:xfrm>
              <a:off x="3135966" y="81170930"/>
              <a:ext cx="1692515" cy="33150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000" i="1">
                        <a:latin typeface="Cambria Math" panose="02040503050406030204" pitchFamily="18" charset="0"/>
                      </a:rPr>
                      <m:t>𝐸</m:t>
                    </m:r>
                    <m:r>
                      <a:rPr lang="en-AU" sz="1000" i="1">
                        <a:latin typeface="Cambria Math" panose="02040503050406030204" pitchFamily="18" charset="0"/>
                      </a:rPr>
                      <m:t>=</m:t>
                    </m:r>
                    <m:nary>
                      <m:naryPr>
                        <m:chr m:val="∑"/>
                        <m:limLoc m:val="subSup"/>
                        <m:supHide m:val="on"/>
                        <m:ctrlPr>
                          <a:rPr lang="en-AU" sz="1000" i="1">
                            <a:latin typeface="Cambria Math" panose="02040503050406030204" pitchFamily="18" charset="0"/>
                          </a:rPr>
                        </m:ctrlPr>
                      </m:naryPr>
                      <m:sub>
                        <m:r>
                          <a:rPr lang="en-AU" sz="1000" i="1">
                            <a:latin typeface="Cambria Math" panose="02040503050406030204" pitchFamily="18" charset="0"/>
                          </a:rPr>
                          <m:t>𝑝</m:t>
                        </m:r>
                      </m:sub>
                      <m:sup/>
                      <m:e>
                        <m:d>
                          <m:dPr>
                            <m:ctrlPr>
                              <a:rPr lang="en-AU" sz="1000" i="1">
                                <a:latin typeface="Cambria Math" panose="02040503050406030204" pitchFamily="18" charset="0"/>
                              </a:rPr>
                            </m:ctrlPr>
                          </m:dPr>
                          <m:e>
                            <m:sSub>
                              <m:sSubPr>
                                <m:ctrlPr>
                                  <a:rPr lang="en-AU" sz="1000" i="1">
                                    <a:latin typeface="Cambria Math" panose="02040503050406030204" pitchFamily="18" charset="0"/>
                                  </a:rPr>
                                </m:ctrlPr>
                              </m:sSubPr>
                              <m:e>
                                <m:r>
                                  <a:rPr lang="en-AU" sz="1000" i="1">
                                    <a:latin typeface="Cambria Math" panose="02040503050406030204" pitchFamily="18" charset="0"/>
                                  </a:rPr>
                                  <m:t>𝐴</m:t>
                                </m:r>
                              </m:e>
                              <m:sub>
                                <m:r>
                                  <a:rPr lang="en-AU" sz="1000" i="1">
                                    <a:latin typeface="Cambria Math" panose="02040503050406030204" pitchFamily="18" charset="0"/>
                                  </a:rPr>
                                  <m:t>𝑝</m:t>
                                </m:r>
                              </m:sub>
                            </m:sSub>
                            <m:r>
                              <a:rPr lang="en-AU" sz="1000" i="1">
                                <a:latin typeface="Cambria Math" panose="02040503050406030204" pitchFamily="18" charset="0"/>
                              </a:rPr>
                              <m:t>×</m:t>
                            </m:r>
                            <m:r>
                              <a:rPr lang="en-AU" sz="1000" i="1">
                                <a:latin typeface="Cambria Math" panose="02040503050406030204" pitchFamily="18" charset="0"/>
                              </a:rPr>
                              <m:t>𝐸</m:t>
                            </m:r>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𝑝</m:t>
                                </m:r>
                              </m:sub>
                            </m:sSub>
                          </m:e>
                        </m:d>
                      </m:e>
                    </m:nary>
                    <m:r>
                      <a:rPr lang="en-AU" sz="1000" i="1">
                        <a:latin typeface="Cambria Math" panose="02040503050406030204" pitchFamily="18" charset="0"/>
                      </a:rPr>
                      <m:t>×</m:t>
                    </m:r>
                    <m:sSup>
                      <m:sSupPr>
                        <m:ctrlPr>
                          <a:rPr lang="en-AU" sz="1000" i="1">
                            <a:latin typeface="Cambria Math" panose="02040503050406030204" pitchFamily="18" charset="0"/>
                          </a:rPr>
                        </m:ctrlPr>
                      </m:sSupPr>
                      <m:e>
                        <m:r>
                          <a:rPr lang="en-AU" sz="1000" i="1">
                            <a:latin typeface="Cambria Math" panose="02040503050406030204" pitchFamily="18" charset="0"/>
                          </a:rPr>
                          <m:t>10</m:t>
                        </m:r>
                      </m:e>
                      <m:sup>
                        <m:r>
                          <a:rPr lang="en-AU" sz="1000" i="1">
                            <a:latin typeface="Cambria Math" panose="02040503050406030204" pitchFamily="18" charset="0"/>
                          </a:rPr>
                          <m:t>−3</m:t>
                        </m:r>
                      </m:sup>
                    </m:sSup>
                  </m:oMath>
                </m:oMathPara>
              </a14:m>
              <a:endParaRPr lang="en-AU" sz="1000"/>
            </a:p>
          </xdr:txBody>
        </xdr:sp>
      </mc:Choice>
      <mc:Fallback xmlns="">
        <xdr:sp macro="" textlink="">
          <xdr:nvSpPr>
            <xdr:cNvPr id="11" name="TextBox 10">
              <a:extLst>
                <a:ext uri="{FF2B5EF4-FFF2-40B4-BE49-F238E27FC236}">
                  <a16:creationId xmlns:a16="http://schemas.microsoft.com/office/drawing/2014/main" id="{EAB5CB71-4E17-4269-A394-EAE4E2DE8D21}"/>
                </a:ext>
              </a:extLst>
            </xdr:cNvPr>
            <xdr:cNvSpPr txBox="1"/>
          </xdr:nvSpPr>
          <xdr:spPr>
            <a:xfrm>
              <a:off x="3135966" y="81170930"/>
              <a:ext cx="1692515" cy="33150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𝐸=∑2_𝑝▒(𝐴_𝑝×𝐸𝐹_𝑝 ) ×10^(−3)</a:t>
              </a:r>
              <a:endParaRPr lang="en-AU" sz="1000"/>
            </a:p>
          </xdr:txBody>
        </xdr:sp>
      </mc:Fallback>
    </mc:AlternateContent>
    <xdr:clientData/>
  </xdr:oneCellAnchor>
  <xdr:oneCellAnchor>
    <xdr:from>
      <xdr:col>3</xdr:col>
      <xdr:colOff>63874</xdr:colOff>
      <xdr:row>370</xdr:row>
      <xdr:rowOff>119902</xdr:rowOff>
    </xdr:from>
    <xdr:ext cx="1694117" cy="331501"/>
    <mc:AlternateContent xmlns:mc="http://schemas.openxmlformats.org/markup-compatibility/2006" xmlns:a14="http://schemas.microsoft.com/office/drawing/2010/main">
      <mc:Choice Requires="a14">
        <xdr:sp macro="" textlink="">
          <xdr:nvSpPr>
            <xdr:cNvPr id="12" name="TextBox 11">
              <a:extLst>
                <a:ext uri="{FF2B5EF4-FFF2-40B4-BE49-F238E27FC236}">
                  <a16:creationId xmlns:a16="http://schemas.microsoft.com/office/drawing/2014/main" id="{1AFF2E66-C231-4B35-8D2E-AF4B34ED738E}"/>
                </a:ext>
              </a:extLst>
            </xdr:cNvPr>
            <xdr:cNvSpPr txBox="1"/>
          </xdr:nvSpPr>
          <xdr:spPr>
            <a:xfrm>
              <a:off x="3102349" y="87826102"/>
              <a:ext cx="1694117" cy="33150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000" i="1">
                        <a:latin typeface="Cambria Math" panose="02040503050406030204" pitchFamily="18" charset="0"/>
                      </a:rPr>
                      <m:t>𝐸</m:t>
                    </m:r>
                    <m:r>
                      <a:rPr lang="en-AU" sz="1000" i="1">
                        <a:latin typeface="Cambria Math" panose="02040503050406030204" pitchFamily="18" charset="0"/>
                      </a:rPr>
                      <m:t>=</m:t>
                    </m:r>
                    <m:nary>
                      <m:naryPr>
                        <m:chr m:val="∑"/>
                        <m:limLoc m:val="subSup"/>
                        <m:supHide m:val="on"/>
                        <m:ctrlPr>
                          <a:rPr lang="en-AU" sz="1000" i="1">
                            <a:latin typeface="Cambria Math" panose="02040503050406030204" pitchFamily="18" charset="0"/>
                          </a:rPr>
                        </m:ctrlPr>
                      </m:naryPr>
                      <m:sub>
                        <m:r>
                          <a:rPr lang="en-AU" sz="1000" i="1">
                            <a:latin typeface="Cambria Math" panose="02040503050406030204" pitchFamily="18" charset="0"/>
                          </a:rPr>
                          <m:t>𝑝</m:t>
                        </m:r>
                      </m:sub>
                      <m:sup/>
                      <m:e>
                        <m:d>
                          <m:dPr>
                            <m:ctrlPr>
                              <a:rPr lang="en-AU" sz="1000" i="1">
                                <a:latin typeface="Cambria Math" panose="02040503050406030204" pitchFamily="18" charset="0"/>
                              </a:rPr>
                            </m:ctrlPr>
                          </m:dPr>
                          <m:e>
                            <m:sSub>
                              <m:sSubPr>
                                <m:ctrlPr>
                                  <a:rPr lang="en-AU" sz="1000" i="1">
                                    <a:latin typeface="Cambria Math" panose="02040503050406030204" pitchFamily="18" charset="0"/>
                                  </a:rPr>
                                </m:ctrlPr>
                              </m:sSubPr>
                              <m:e>
                                <m:r>
                                  <a:rPr lang="en-AU" sz="1000" i="1">
                                    <a:latin typeface="Cambria Math" panose="02040503050406030204" pitchFamily="18" charset="0"/>
                                  </a:rPr>
                                  <m:t>𝑄</m:t>
                                </m:r>
                              </m:e>
                              <m:sub>
                                <m:r>
                                  <a:rPr lang="en-AU" sz="1000" i="1">
                                    <a:latin typeface="Cambria Math" panose="02040503050406030204" pitchFamily="18" charset="0"/>
                                  </a:rPr>
                                  <m:t>𝑝</m:t>
                                </m:r>
                              </m:sub>
                            </m:sSub>
                            <m:r>
                              <a:rPr lang="en-AU" sz="1000" i="1">
                                <a:latin typeface="Cambria Math" panose="02040503050406030204" pitchFamily="18" charset="0"/>
                              </a:rPr>
                              <m:t>×</m:t>
                            </m:r>
                            <m:r>
                              <a:rPr lang="en-AU" sz="1000" i="1">
                                <a:latin typeface="Cambria Math" panose="02040503050406030204" pitchFamily="18" charset="0"/>
                              </a:rPr>
                              <m:t>𝐸</m:t>
                            </m:r>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𝑝</m:t>
                                </m:r>
                              </m:sub>
                            </m:sSub>
                          </m:e>
                        </m:d>
                      </m:e>
                    </m:nary>
                    <m:r>
                      <a:rPr lang="en-AU" sz="1000" i="1">
                        <a:latin typeface="Cambria Math" panose="02040503050406030204" pitchFamily="18" charset="0"/>
                      </a:rPr>
                      <m:t>×</m:t>
                    </m:r>
                    <m:sSup>
                      <m:sSupPr>
                        <m:ctrlPr>
                          <a:rPr lang="en-AU" sz="1000" i="1">
                            <a:latin typeface="Cambria Math" panose="02040503050406030204" pitchFamily="18" charset="0"/>
                          </a:rPr>
                        </m:ctrlPr>
                      </m:sSupPr>
                      <m:e>
                        <m:r>
                          <a:rPr lang="en-AU" sz="1000" i="1">
                            <a:latin typeface="Cambria Math" panose="02040503050406030204" pitchFamily="18" charset="0"/>
                          </a:rPr>
                          <m:t>10</m:t>
                        </m:r>
                      </m:e>
                      <m:sup>
                        <m:r>
                          <a:rPr lang="en-AU" sz="1000" i="1">
                            <a:latin typeface="Cambria Math" panose="02040503050406030204" pitchFamily="18" charset="0"/>
                          </a:rPr>
                          <m:t>−3</m:t>
                        </m:r>
                      </m:sup>
                    </m:sSup>
                  </m:oMath>
                </m:oMathPara>
              </a14:m>
              <a:endParaRPr lang="en-AU" sz="1000"/>
            </a:p>
          </xdr:txBody>
        </xdr:sp>
      </mc:Choice>
      <mc:Fallback xmlns="">
        <xdr:sp macro="" textlink="">
          <xdr:nvSpPr>
            <xdr:cNvPr id="12" name="TextBox 11">
              <a:extLst>
                <a:ext uri="{FF2B5EF4-FFF2-40B4-BE49-F238E27FC236}">
                  <a16:creationId xmlns:a16="http://schemas.microsoft.com/office/drawing/2014/main" id="{1AFF2E66-C231-4B35-8D2E-AF4B34ED738E}"/>
                </a:ext>
              </a:extLst>
            </xdr:cNvPr>
            <xdr:cNvSpPr txBox="1"/>
          </xdr:nvSpPr>
          <xdr:spPr>
            <a:xfrm>
              <a:off x="3102349" y="87826102"/>
              <a:ext cx="1694117" cy="33150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𝐸=∑2_𝑝▒(𝑄_𝑝×𝐸𝐹_𝑝 ) ×10^(−3)</a:t>
              </a:r>
              <a:endParaRPr lang="en-AU" sz="1000"/>
            </a:p>
          </xdr:txBody>
        </xdr:sp>
      </mc:Fallback>
    </mc:AlternateContent>
    <xdr:clientData/>
  </xdr:oneCellAnchor>
  <xdr:oneCellAnchor>
    <xdr:from>
      <xdr:col>3</xdr:col>
      <xdr:colOff>41461</xdr:colOff>
      <xdr:row>400</xdr:row>
      <xdr:rowOff>131109</xdr:rowOff>
    </xdr:from>
    <xdr:ext cx="1698863" cy="332207"/>
    <mc:AlternateContent xmlns:mc="http://schemas.openxmlformats.org/markup-compatibility/2006" xmlns:a14="http://schemas.microsoft.com/office/drawing/2010/main">
      <mc:Choice Requires="a14">
        <xdr:sp macro="" textlink="">
          <xdr:nvSpPr>
            <xdr:cNvPr id="13" name="TextBox 12">
              <a:extLst>
                <a:ext uri="{FF2B5EF4-FFF2-40B4-BE49-F238E27FC236}">
                  <a16:creationId xmlns:a16="http://schemas.microsoft.com/office/drawing/2014/main" id="{9D828994-2231-46C0-84D2-E11F7132E03A}"/>
                </a:ext>
              </a:extLst>
            </xdr:cNvPr>
            <xdr:cNvSpPr txBox="1"/>
          </xdr:nvSpPr>
          <xdr:spPr>
            <a:xfrm>
              <a:off x="3079936" y="94066659"/>
              <a:ext cx="1698863" cy="33220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000" i="1">
                        <a:latin typeface="Cambria Math" panose="02040503050406030204" pitchFamily="18" charset="0"/>
                      </a:rPr>
                      <m:t>𝐸</m:t>
                    </m:r>
                    <m:r>
                      <a:rPr lang="en-AU" sz="1000" i="1">
                        <a:latin typeface="Cambria Math" panose="02040503050406030204" pitchFamily="18" charset="0"/>
                      </a:rPr>
                      <m:t>=</m:t>
                    </m:r>
                    <m:nary>
                      <m:naryPr>
                        <m:chr m:val="∑"/>
                        <m:limLoc m:val="subSup"/>
                        <m:supHide m:val="on"/>
                        <m:ctrlPr>
                          <a:rPr lang="en-AU" sz="1000" i="1">
                            <a:latin typeface="Cambria Math" panose="02040503050406030204" pitchFamily="18" charset="0"/>
                          </a:rPr>
                        </m:ctrlPr>
                      </m:naryPr>
                      <m:sub>
                        <m:r>
                          <a:rPr lang="en-AU" sz="1000" i="1">
                            <a:latin typeface="Cambria Math" panose="02040503050406030204" pitchFamily="18" charset="0"/>
                          </a:rPr>
                          <m:t>𝑔</m:t>
                        </m:r>
                      </m:sub>
                      <m:sup/>
                      <m:e>
                        <m:d>
                          <m:dPr>
                            <m:ctrlPr>
                              <a:rPr lang="en-AU" sz="1000" i="1">
                                <a:latin typeface="Cambria Math" panose="02040503050406030204" pitchFamily="18" charset="0"/>
                              </a:rPr>
                            </m:ctrlPr>
                          </m:dPr>
                          <m:e>
                            <m:sSub>
                              <m:sSubPr>
                                <m:ctrlPr>
                                  <a:rPr lang="en-AU" sz="1000" i="1">
                                    <a:latin typeface="Cambria Math" panose="02040503050406030204" pitchFamily="18" charset="0"/>
                                  </a:rPr>
                                </m:ctrlPr>
                              </m:sSubPr>
                              <m:e>
                                <m:r>
                                  <a:rPr lang="en-AU" sz="1000" i="1">
                                    <a:latin typeface="Cambria Math" panose="02040503050406030204" pitchFamily="18" charset="0"/>
                                  </a:rPr>
                                  <m:t>𝑄</m:t>
                                </m:r>
                              </m:e>
                              <m:sub>
                                <m:r>
                                  <a:rPr lang="en-AU" sz="1000" i="1">
                                    <a:latin typeface="Cambria Math" panose="02040503050406030204" pitchFamily="18" charset="0"/>
                                  </a:rPr>
                                  <m:t>𝑔</m:t>
                                </m:r>
                              </m:sub>
                            </m:sSub>
                            <m:r>
                              <a:rPr lang="en-AU" sz="1000" i="1">
                                <a:latin typeface="Cambria Math" panose="02040503050406030204" pitchFamily="18" charset="0"/>
                              </a:rPr>
                              <m:t>×</m:t>
                            </m:r>
                            <m:r>
                              <a:rPr lang="en-AU" sz="1000" i="1">
                                <a:latin typeface="Cambria Math" panose="02040503050406030204" pitchFamily="18" charset="0"/>
                              </a:rPr>
                              <m:t>𝐸</m:t>
                            </m:r>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𝑔</m:t>
                                </m:r>
                              </m:sub>
                            </m:sSub>
                          </m:e>
                        </m:d>
                      </m:e>
                    </m:nary>
                    <m:r>
                      <a:rPr lang="en-AU" sz="1000" i="1">
                        <a:latin typeface="Cambria Math" panose="02040503050406030204" pitchFamily="18" charset="0"/>
                      </a:rPr>
                      <m:t>×</m:t>
                    </m:r>
                    <m:sSup>
                      <m:sSupPr>
                        <m:ctrlPr>
                          <a:rPr lang="en-AU" sz="1000" i="1">
                            <a:latin typeface="Cambria Math" panose="02040503050406030204" pitchFamily="18" charset="0"/>
                          </a:rPr>
                        </m:ctrlPr>
                      </m:sSupPr>
                      <m:e>
                        <m:r>
                          <a:rPr lang="en-AU" sz="1000" i="1">
                            <a:latin typeface="Cambria Math" panose="02040503050406030204" pitchFamily="18" charset="0"/>
                          </a:rPr>
                          <m:t>10</m:t>
                        </m:r>
                      </m:e>
                      <m:sup>
                        <m:r>
                          <a:rPr lang="en-AU" sz="1000" i="1">
                            <a:latin typeface="Cambria Math" panose="02040503050406030204" pitchFamily="18" charset="0"/>
                          </a:rPr>
                          <m:t>−3</m:t>
                        </m:r>
                      </m:sup>
                    </m:sSup>
                  </m:oMath>
                </m:oMathPara>
              </a14:m>
              <a:endParaRPr lang="en-AU" sz="1000"/>
            </a:p>
          </xdr:txBody>
        </xdr:sp>
      </mc:Choice>
      <mc:Fallback xmlns="">
        <xdr:sp macro="" textlink="">
          <xdr:nvSpPr>
            <xdr:cNvPr id="13" name="TextBox 12">
              <a:extLst>
                <a:ext uri="{FF2B5EF4-FFF2-40B4-BE49-F238E27FC236}">
                  <a16:creationId xmlns:a16="http://schemas.microsoft.com/office/drawing/2014/main" id="{9D828994-2231-46C0-84D2-E11F7132E03A}"/>
                </a:ext>
              </a:extLst>
            </xdr:cNvPr>
            <xdr:cNvSpPr txBox="1"/>
          </xdr:nvSpPr>
          <xdr:spPr>
            <a:xfrm>
              <a:off x="3079936" y="94066659"/>
              <a:ext cx="1698863" cy="33220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𝐸=∑2_𝑔▒(𝑄_𝑔×𝐸𝐹_𝑔 ) ×10^(−3)</a:t>
              </a:r>
              <a:endParaRPr lang="en-AU" sz="1000"/>
            </a:p>
          </xdr:txBody>
        </xdr:sp>
      </mc:Fallback>
    </mc:AlternateContent>
    <xdr:clientData/>
  </xdr:oneCellAnchor>
  <xdr:oneCellAnchor>
    <xdr:from>
      <xdr:col>3</xdr:col>
      <xdr:colOff>28575</xdr:colOff>
      <xdr:row>433</xdr:row>
      <xdr:rowOff>114299</xdr:rowOff>
    </xdr:from>
    <xdr:ext cx="2929969" cy="173766"/>
    <mc:AlternateContent xmlns:mc="http://schemas.openxmlformats.org/markup-compatibility/2006" xmlns:a14="http://schemas.microsoft.com/office/drawing/2010/main">
      <mc:Choice Requires="a14">
        <xdr:sp macro="" textlink="">
          <xdr:nvSpPr>
            <xdr:cNvPr id="14" name="TextBox 13">
              <a:extLst>
                <a:ext uri="{FF2B5EF4-FFF2-40B4-BE49-F238E27FC236}">
                  <a16:creationId xmlns:a16="http://schemas.microsoft.com/office/drawing/2014/main" id="{BD018496-74FB-41EA-9171-876494A26219}"/>
                </a:ext>
              </a:extLst>
            </xdr:cNvPr>
            <xdr:cNvSpPr txBox="1"/>
          </xdr:nvSpPr>
          <xdr:spPr>
            <a:xfrm>
              <a:off x="3067050" y="100860224"/>
              <a:ext cx="2929969" cy="1737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000" i="1">
                        <a:latin typeface="Cambria Math" panose="02040503050406030204" pitchFamily="18" charset="0"/>
                      </a:rPr>
                      <m:t>𝑒𝑚𝑖𝑠𝑠𝑖𝑜𝑛𝑠</m:t>
                    </m:r>
                    <m:r>
                      <a:rPr lang="en-AU" sz="1000" i="1">
                        <a:latin typeface="Cambria Math" panose="02040503050406030204" pitchFamily="18" charset="0"/>
                      </a:rPr>
                      <m:t>=</m:t>
                    </m:r>
                    <m:r>
                      <a:rPr lang="en-AU" sz="1000" i="1">
                        <a:latin typeface="Cambria Math" panose="02040503050406030204" pitchFamily="18" charset="0"/>
                      </a:rPr>
                      <m:t>𝑎𝑐𝑡𝑖𝑣𝑖𝑡𝑦</m:t>
                    </m:r>
                    <m:r>
                      <m:rPr>
                        <m:lit/>
                      </m:rPr>
                      <a:rPr lang="en-AU" sz="1000" i="1">
                        <a:latin typeface="Cambria Math" panose="02040503050406030204" pitchFamily="18" charset="0"/>
                      </a:rPr>
                      <m:t>_</m:t>
                    </m:r>
                    <m:r>
                      <a:rPr lang="en-AU" sz="1000" i="1">
                        <a:latin typeface="Cambria Math" panose="02040503050406030204" pitchFamily="18" charset="0"/>
                      </a:rPr>
                      <m:t>𝑑𝑎𝑡𝑎</m:t>
                    </m:r>
                    <m:r>
                      <a:rPr lang="en-AU" sz="1000" i="1">
                        <a:latin typeface="Cambria Math" panose="02040503050406030204" pitchFamily="18" charset="0"/>
                      </a:rPr>
                      <m:t>×</m:t>
                    </m:r>
                    <m:r>
                      <a:rPr lang="en-AU" sz="1000" i="1">
                        <a:latin typeface="Cambria Math" panose="02040503050406030204" pitchFamily="18" charset="0"/>
                      </a:rPr>
                      <m:t>𝑒𝑚𝑖𝑠𝑠𝑖𝑜𝑛</m:t>
                    </m:r>
                    <m:r>
                      <m:rPr>
                        <m:lit/>
                      </m:rPr>
                      <a:rPr lang="en-AU" sz="1000" i="1">
                        <a:latin typeface="Cambria Math" panose="02040503050406030204" pitchFamily="18" charset="0"/>
                      </a:rPr>
                      <m:t>_</m:t>
                    </m:r>
                    <m:r>
                      <a:rPr lang="en-AU" sz="1000" i="1">
                        <a:latin typeface="Cambria Math" panose="02040503050406030204" pitchFamily="18" charset="0"/>
                      </a:rPr>
                      <m:t>𝑓𝑎𝑐𝑡𝑜𝑟</m:t>
                    </m:r>
                    <m:r>
                      <a:rPr lang="en-AU" sz="1000" i="1">
                        <a:latin typeface="Cambria Math" panose="02040503050406030204" pitchFamily="18" charset="0"/>
                      </a:rPr>
                      <m:t> </m:t>
                    </m:r>
                  </m:oMath>
                </m:oMathPara>
              </a14:m>
              <a:endParaRPr lang="en-AU" sz="1000"/>
            </a:p>
          </xdr:txBody>
        </xdr:sp>
      </mc:Choice>
      <mc:Fallback xmlns="">
        <xdr:sp macro="" textlink="">
          <xdr:nvSpPr>
            <xdr:cNvPr id="14" name="TextBox 13">
              <a:extLst>
                <a:ext uri="{FF2B5EF4-FFF2-40B4-BE49-F238E27FC236}">
                  <a16:creationId xmlns:a16="http://schemas.microsoft.com/office/drawing/2014/main" id="{BD018496-74FB-41EA-9171-876494A26219}"/>
                </a:ext>
              </a:extLst>
            </xdr:cNvPr>
            <xdr:cNvSpPr txBox="1"/>
          </xdr:nvSpPr>
          <xdr:spPr>
            <a:xfrm>
              <a:off x="3067050" y="100860224"/>
              <a:ext cx="2929969" cy="1737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𝑒𝑚𝑖𝑠𝑠𝑖𝑜𝑛𝑠=𝑎𝑐𝑡𝑖𝑣𝑖𝑡𝑦\_𝑑𝑎𝑡𝑎×𝑒𝑚𝑖𝑠𝑠𝑖𝑜𝑛\_𝑓𝑎𝑐𝑡𝑜𝑟 </a:t>
              </a:r>
              <a:endParaRPr lang="en-AU" sz="1000"/>
            </a:p>
          </xdr:txBody>
        </xdr:sp>
      </mc:Fallback>
    </mc:AlternateContent>
    <xdr:clientData/>
  </xdr:oneCellAnchor>
  <xdr:oneCellAnchor>
    <xdr:from>
      <xdr:col>3</xdr:col>
      <xdr:colOff>30257</xdr:colOff>
      <xdr:row>523</xdr:row>
      <xdr:rowOff>103094</xdr:rowOff>
    </xdr:from>
    <xdr:ext cx="2229713" cy="331501"/>
    <mc:AlternateContent xmlns:mc="http://schemas.openxmlformats.org/markup-compatibility/2006" xmlns:a14="http://schemas.microsoft.com/office/drawing/2010/main">
      <mc:Choice Requires="a14">
        <xdr:sp macro="" textlink="">
          <xdr:nvSpPr>
            <xdr:cNvPr id="15" name="TextBox 14">
              <a:extLst>
                <a:ext uri="{FF2B5EF4-FFF2-40B4-BE49-F238E27FC236}">
                  <a16:creationId xmlns:a16="http://schemas.microsoft.com/office/drawing/2014/main" id="{3817E777-CE38-4F7D-9A34-EE421AEACBE1}"/>
                </a:ext>
              </a:extLst>
            </xdr:cNvPr>
            <xdr:cNvSpPr txBox="1"/>
          </xdr:nvSpPr>
          <xdr:spPr>
            <a:xfrm>
              <a:off x="3068732" y="119708519"/>
              <a:ext cx="2229713" cy="33150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000" i="1">
                        <a:latin typeface="Cambria Math" panose="02040503050406030204" pitchFamily="18" charset="0"/>
                      </a:rPr>
                      <m:t>𝐸</m:t>
                    </m:r>
                    <m:r>
                      <a:rPr lang="en-AU" sz="1000" i="1">
                        <a:latin typeface="Cambria Math" panose="02040503050406030204" pitchFamily="18" charset="0"/>
                      </a:rPr>
                      <m:t>=</m:t>
                    </m:r>
                    <m:nary>
                      <m:naryPr>
                        <m:chr m:val="∑"/>
                        <m:limLoc m:val="subSup"/>
                        <m:supHide m:val="on"/>
                        <m:ctrlPr>
                          <a:rPr lang="en-AU" sz="1000" i="1">
                            <a:latin typeface="Cambria Math" panose="02040503050406030204" pitchFamily="18" charset="0"/>
                          </a:rPr>
                        </m:ctrlPr>
                      </m:naryPr>
                      <m:sub>
                        <m:r>
                          <a:rPr lang="en-AU" sz="1000" i="1">
                            <a:latin typeface="Cambria Math" panose="02040503050406030204" pitchFamily="18" charset="0"/>
                          </a:rPr>
                          <m:t>𝑞</m:t>
                        </m:r>
                      </m:sub>
                      <m:sup/>
                      <m:e>
                        <m:sSub>
                          <m:sSubPr>
                            <m:ctrlPr>
                              <a:rPr lang="en-AU" sz="1000" i="1">
                                <a:latin typeface="Cambria Math" panose="02040503050406030204" pitchFamily="18" charset="0"/>
                              </a:rPr>
                            </m:ctrlPr>
                          </m:sSubPr>
                          <m:e>
                            <m:r>
                              <a:rPr lang="en-AU" sz="1000" i="1">
                                <a:latin typeface="Cambria Math" panose="02040503050406030204" pitchFamily="18" charset="0"/>
                              </a:rPr>
                              <m:t>𝐸</m:t>
                            </m:r>
                          </m:e>
                          <m:sub>
                            <m:r>
                              <a:rPr lang="en-AU" sz="1000" i="1">
                                <a:latin typeface="Cambria Math" panose="02040503050406030204" pitchFamily="18" charset="0"/>
                              </a:rPr>
                              <m:t>𝑊𝑇𝑇</m:t>
                            </m:r>
                            <m:r>
                              <a:rPr lang="en-AU" sz="1000" i="1">
                                <a:latin typeface="Cambria Math" panose="02040503050406030204" pitchFamily="18" charset="0"/>
                              </a:rPr>
                              <m:t>,</m:t>
                            </m:r>
                            <m:r>
                              <a:rPr lang="en-AU" sz="1000" i="1">
                                <a:latin typeface="Cambria Math" panose="02040503050406030204" pitchFamily="18" charset="0"/>
                              </a:rPr>
                              <m:t>𝑡𝑟𝑎𝑛𝑠</m:t>
                            </m:r>
                            <m:r>
                              <a:rPr lang="en-AU" sz="1000" i="1">
                                <a:latin typeface="Cambria Math" panose="02040503050406030204" pitchFamily="18" charset="0"/>
                              </a:rPr>
                              <m:t>,</m:t>
                            </m:r>
                            <m:r>
                              <a:rPr lang="en-AU" sz="1000" i="1">
                                <a:latin typeface="Cambria Math" panose="02040503050406030204" pitchFamily="18" charset="0"/>
                              </a:rPr>
                              <m:t>𝑞</m:t>
                            </m:r>
                          </m:sub>
                        </m:sSub>
                      </m:e>
                    </m:nary>
                    <m:r>
                      <a:rPr lang="en-AU" sz="1000" i="1">
                        <a:latin typeface="Cambria Math" panose="02040503050406030204" pitchFamily="18" charset="0"/>
                      </a:rPr>
                      <m:t>+</m:t>
                    </m:r>
                    <m:nary>
                      <m:naryPr>
                        <m:chr m:val="∑"/>
                        <m:limLoc m:val="subSup"/>
                        <m:supHide m:val="on"/>
                        <m:ctrlPr>
                          <a:rPr lang="en-AU" sz="1000" i="1">
                            <a:latin typeface="Cambria Math" panose="02040503050406030204" pitchFamily="18" charset="0"/>
                          </a:rPr>
                        </m:ctrlPr>
                      </m:naryPr>
                      <m:sub>
                        <m:r>
                          <a:rPr lang="en-AU" sz="1000" i="1">
                            <a:latin typeface="Cambria Math" panose="02040503050406030204" pitchFamily="18" charset="0"/>
                          </a:rPr>
                          <m:t>𝑞</m:t>
                        </m:r>
                      </m:sub>
                      <m:sup/>
                      <m:e>
                        <m:sSub>
                          <m:sSubPr>
                            <m:ctrlPr>
                              <a:rPr lang="en-AU" sz="1000" i="1">
                                <a:latin typeface="Cambria Math" panose="02040503050406030204" pitchFamily="18" charset="0"/>
                              </a:rPr>
                            </m:ctrlPr>
                          </m:sSubPr>
                          <m:e>
                            <m:r>
                              <a:rPr lang="en-AU" sz="1000" i="1">
                                <a:latin typeface="Cambria Math" panose="02040503050406030204" pitchFamily="18" charset="0"/>
                              </a:rPr>
                              <m:t>𝐸</m:t>
                            </m:r>
                          </m:e>
                          <m:sub>
                            <m:r>
                              <a:rPr lang="en-AU" sz="1000" i="1">
                                <a:latin typeface="Cambria Math" panose="02040503050406030204" pitchFamily="18" charset="0"/>
                              </a:rPr>
                              <m:t>𝑊𝑇𝑇</m:t>
                            </m:r>
                            <m:r>
                              <a:rPr lang="en-AU" sz="1000" i="1">
                                <a:latin typeface="Cambria Math" panose="02040503050406030204" pitchFamily="18" charset="0"/>
                              </a:rPr>
                              <m:t>,</m:t>
                            </m:r>
                            <m:r>
                              <a:rPr lang="en-AU" sz="1000" i="1">
                                <a:latin typeface="Cambria Math" panose="02040503050406030204" pitchFamily="18" charset="0"/>
                              </a:rPr>
                              <m:t>𝑆𝐶</m:t>
                            </m:r>
                            <m:r>
                              <a:rPr lang="en-AU" sz="1000" i="1">
                                <a:latin typeface="Cambria Math" panose="02040503050406030204" pitchFamily="18" charset="0"/>
                              </a:rPr>
                              <m:t>,</m:t>
                            </m:r>
                            <m:r>
                              <a:rPr lang="en-AU" sz="1000" i="1">
                                <a:latin typeface="Cambria Math" panose="02040503050406030204" pitchFamily="18" charset="0"/>
                              </a:rPr>
                              <m:t>𝑞</m:t>
                            </m:r>
                          </m:sub>
                        </m:sSub>
                      </m:e>
                    </m:nary>
                  </m:oMath>
                </m:oMathPara>
              </a14:m>
              <a:endParaRPr lang="en-AU" sz="1000"/>
            </a:p>
          </xdr:txBody>
        </xdr:sp>
      </mc:Choice>
      <mc:Fallback xmlns="">
        <xdr:sp macro="" textlink="">
          <xdr:nvSpPr>
            <xdr:cNvPr id="15" name="TextBox 14">
              <a:extLst>
                <a:ext uri="{FF2B5EF4-FFF2-40B4-BE49-F238E27FC236}">
                  <a16:creationId xmlns:a16="http://schemas.microsoft.com/office/drawing/2014/main" id="{3817E777-CE38-4F7D-9A34-EE421AEACBE1}"/>
                </a:ext>
              </a:extLst>
            </xdr:cNvPr>
            <xdr:cNvSpPr txBox="1"/>
          </xdr:nvSpPr>
          <xdr:spPr>
            <a:xfrm>
              <a:off x="3068732" y="119708519"/>
              <a:ext cx="2229713" cy="33150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𝐸=∑2_𝑞▒𝐸_(𝑊𝑇𝑇,𝑡𝑟𝑎𝑛𝑠,𝑞) +∑2_𝑞▒𝐸_(𝑊𝑇𝑇,𝑆𝐶,𝑞) </a:t>
              </a:r>
              <a:endParaRPr lang="en-AU" sz="1000"/>
            </a:p>
          </xdr:txBody>
        </xdr:sp>
      </mc:Fallback>
    </mc:AlternateContent>
    <xdr:clientData/>
  </xdr:oneCellAnchor>
  <xdr:oneCellAnchor>
    <xdr:from>
      <xdr:col>3</xdr:col>
      <xdr:colOff>30256</xdr:colOff>
      <xdr:row>538</xdr:row>
      <xdr:rowOff>80682</xdr:rowOff>
    </xdr:from>
    <xdr:ext cx="1958037" cy="180114"/>
    <mc:AlternateContent xmlns:mc="http://schemas.openxmlformats.org/markup-compatibility/2006" xmlns:a14="http://schemas.microsoft.com/office/drawing/2010/main">
      <mc:Choice Requires="a14">
        <xdr:sp macro="" textlink="">
          <xdr:nvSpPr>
            <xdr:cNvPr id="16" name="TextBox 15">
              <a:extLst>
                <a:ext uri="{FF2B5EF4-FFF2-40B4-BE49-F238E27FC236}">
                  <a16:creationId xmlns:a16="http://schemas.microsoft.com/office/drawing/2014/main" id="{A39FEC8E-103B-4E90-883E-3CAF29D4935D}"/>
                </a:ext>
              </a:extLst>
            </xdr:cNvPr>
            <xdr:cNvSpPr txBox="1"/>
          </xdr:nvSpPr>
          <xdr:spPr>
            <a:xfrm>
              <a:off x="3068731" y="122838882"/>
              <a:ext cx="1958037" cy="1801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000" i="1">
                            <a:latin typeface="Cambria Math" panose="02040503050406030204" pitchFamily="18" charset="0"/>
                          </a:rPr>
                        </m:ctrlPr>
                      </m:sSubPr>
                      <m:e>
                        <m:r>
                          <a:rPr lang="en-AU" sz="1000" i="1">
                            <a:latin typeface="Cambria Math" panose="02040503050406030204" pitchFamily="18" charset="0"/>
                          </a:rPr>
                          <m:t>𝐸</m:t>
                        </m:r>
                      </m:e>
                      <m:sub>
                        <m:r>
                          <a:rPr lang="en-AU" sz="1000" i="1">
                            <a:latin typeface="Cambria Math" panose="02040503050406030204" pitchFamily="18" charset="0"/>
                          </a:rPr>
                          <m:t>3,</m:t>
                        </m:r>
                        <m:r>
                          <a:rPr lang="en-AU" sz="1000" i="1">
                            <a:latin typeface="Cambria Math" panose="02040503050406030204" pitchFamily="18" charset="0"/>
                          </a:rPr>
                          <m:t>𝑒𝑙𝑒𝑐</m:t>
                        </m:r>
                      </m:sub>
                    </m:sSub>
                    <m:r>
                      <a:rPr lang="en-AU" sz="1000" i="1">
                        <a:latin typeface="Cambria Math" panose="02040503050406030204" pitchFamily="18" charset="0"/>
                      </a:rPr>
                      <m:t>=</m:t>
                    </m:r>
                    <m:sSub>
                      <m:sSubPr>
                        <m:ctrlPr>
                          <a:rPr lang="en-AU" sz="1000" i="1">
                            <a:latin typeface="Cambria Math" panose="02040503050406030204" pitchFamily="18" charset="0"/>
                          </a:rPr>
                        </m:ctrlPr>
                      </m:sSubPr>
                      <m:e>
                        <m:r>
                          <a:rPr lang="en-AU" sz="1000" i="1">
                            <a:latin typeface="Cambria Math" panose="02040503050406030204" pitchFamily="18" charset="0"/>
                          </a:rPr>
                          <m:t>𝑄</m:t>
                        </m:r>
                      </m:e>
                      <m:sub>
                        <m:r>
                          <a:rPr lang="en-AU" sz="1000" i="1">
                            <a:latin typeface="Cambria Math" panose="02040503050406030204" pitchFamily="18" charset="0"/>
                          </a:rPr>
                          <m:t>𝑒𝑙𝑒𝑐</m:t>
                        </m:r>
                      </m:sub>
                    </m:sSub>
                    <m:r>
                      <a:rPr lang="en-AU" sz="1000" i="1">
                        <a:latin typeface="Cambria Math" panose="02040503050406030204" pitchFamily="18" charset="0"/>
                      </a:rPr>
                      <m:t>×</m:t>
                    </m:r>
                    <m:r>
                      <a:rPr lang="en-AU" sz="1000" i="1">
                        <a:latin typeface="Cambria Math" panose="02040503050406030204" pitchFamily="18" charset="0"/>
                      </a:rPr>
                      <m:t>𝐸</m:t>
                    </m:r>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3,</m:t>
                        </m:r>
                        <m:r>
                          <a:rPr lang="en-AU" sz="1000" i="1">
                            <a:latin typeface="Cambria Math" panose="02040503050406030204" pitchFamily="18" charset="0"/>
                          </a:rPr>
                          <m:t>𝑒𝑙𝑒𝑐</m:t>
                        </m:r>
                      </m:sub>
                    </m:sSub>
                    <m:r>
                      <a:rPr lang="en-AU" sz="1000" i="1">
                        <a:latin typeface="Cambria Math" panose="02040503050406030204" pitchFamily="18" charset="0"/>
                      </a:rPr>
                      <m:t>×</m:t>
                    </m:r>
                    <m:sSup>
                      <m:sSupPr>
                        <m:ctrlPr>
                          <a:rPr lang="en-AU" sz="1000" i="1">
                            <a:latin typeface="Cambria Math" panose="02040503050406030204" pitchFamily="18" charset="0"/>
                          </a:rPr>
                        </m:ctrlPr>
                      </m:sSupPr>
                      <m:e>
                        <m:r>
                          <a:rPr lang="en-AU" sz="1000" i="1">
                            <a:latin typeface="Cambria Math" panose="02040503050406030204" pitchFamily="18" charset="0"/>
                          </a:rPr>
                          <m:t>10</m:t>
                        </m:r>
                      </m:e>
                      <m:sup>
                        <m:r>
                          <a:rPr lang="en-AU" sz="1000" i="1">
                            <a:latin typeface="Cambria Math" panose="02040503050406030204" pitchFamily="18" charset="0"/>
                          </a:rPr>
                          <m:t>−3</m:t>
                        </m:r>
                      </m:sup>
                    </m:sSup>
                  </m:oMath>
                </m:oMathPara>
              </a14:m>
              <a:endParaRPr lang="en-AU" sz="1000"/>
            </a:p>
          </xdr:txBody>
        </xdr:sp>
      </mc:Choice>
      <mc:Fallback xmlns="">
        <xdr:sp macro="" textlink="">
          <xdr:nvSpPr>
            <xdr:cNvPr id="16" name="TextBox 15">
              <a:extLst>
                <a:ext uri="{FF2B5EF4-FFF2-40B4-BE49-F238E27FC236}">
                  <a16:creationId xmlns:a16="http://schemas.microsoft.com/office/drawing/2014/main" id="{A39FEC8E-103B-4E90-883E-3CAF29D4935D}"/>
                </a:ext>
              </a:extLst>
            </xdr:cNvPr>
            <xdr:cNvSpPr txBox="1"/>
          </xdr:nvSpPr>
          <xdr:spPr>
            <a:xfrm>
              <a:off x="3068731" y="122838882"/>
              <a:ext cx="1958037" cy="1801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𝐸_(3,𝑒𝑙𝑒𝑐)=𝑄_𝑒𝑙𝑒𝑐×𝐸𝐹_(3,𝑒𝑙𝑒𝑐)×10^(−3)</a:t>
              </a:r>
              <a:endParaRPr lang="en-AU" sz="1000"/>
            </a:p>
          </xdr:txBody>
        </xdr:sp>
      </mc:Fallback>
    </mc:AlternateContent>
    <xdr:clientData/>
  </xdr:oneCellAnchor>
  <xdr:oneCellAnchor>
    <xdr:from>
      <xdr:col>5</xdr:col>
      <xdr:colOff>2137393</xdr:colOff>
      <xdr:row>555</xdr:row>
      <xdr:rowOff>162570</xdr:rowOff>
    </xdr:from>
    <xdr:ext cx="6938886" cy="191078"/>
    <mc:AlternateContent xmlns:mc="http://schemas.openxmlformats.org/markup-compatibility/2006" xmlns:a14="http://schemas.microsoft.com/office/drawing/2010/main">
      <mc:Choice Requires="a14">
        <xdr:sp macro="" textlink="">
          <xdr:nvSpPr>
            <xdr:cNvPr id="17" name="TextBox 16">
              <a:extLst>
                <a:ext uri="{FF2B5EF4-FFF2-40B4-BE49-F238E27FC236}">
                  <a16:creationId xmlns:a16="http://schemas.microsoft.com/office/drawing/2014/main" id="{B488E01E-ABDE-420C-88EE-478227A7DEEF}"/>
                </a:ext>
              </a:extLst>
            </xdr:cNvPr>
            <xdr:cNvSpPr txBox="1"/>
          </xdr:nvSpPr>
          <xdr:spPr>
            <a:xfrm>
              <a:off x="9843118" y="126473595"/>
              <a:ext cx="6938886" cy="19107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000" b="0" i="1">
                            <a:solidFill>
                              <a:srgbClr val="C00000"/>
                            </a:solidFill>
                            <a:latin typeface="Cambria Math" panose="02040503050406030204" pitchFamily="18" charset="0"/>
                          </a:rPr>
                        </m:ctrlPr>
                      </m:sSubPr>
                      <m:e>
                        <m:r>
                          <m:rPr>
                            <m:sty m:val="p"/>
                          </m:rPr>
                          <a:rPr lang="en-AU" sz="1000" b="0" i="1">
                            <a:solidFill>
                              <a:srgbClr val="C00000"/>
                            </a:solidFill>
                            <a:latin typeface="Cambria Math" panose="02040503050406030204" pitchFamily="18" charset="0"/>
                          </a:rPr>
                          <m:t>ORIGINAL</m:t>
                        </m:r>
                        <m:r>
                          <a:rPr lang="en-AU" sz="1000" b="0" i="1">
                            <a:solidFill>
                              <a:srgbClr val="C00000"/>
                            </a:solidFill>
                            <a:latin typeface="Cambria Math" panose="02040503050406030204" pitchFamily="18" charset="0"/>
                          </a:rPr>
                          <m:t>: </m:t>
                        </m:r>
                        <m:r>
                          <a:rPr lang="en-AU" sz="1000" i="1">
                            <a:latin typeface="Cambria Math" panose="02040503050406030204" pitchFamily="18" charset="0"/>
                          </a:rPr>
                          <m:t>𝐸</m:t>
                        </m:r>
                      </m:e>
                      <m:sub>
                        <m:r>
                          <a:rPr lang="en-AU" sz="1000" i="1">
                            <a:latin typeface="Cambria Math" panose="02040503050406030204" pitchFamily="18" charset="0"/>
                          </a:rPr>
                          <m:t>3,</m:t>
                        </m:r>
                        <m:r>
                          <a:rPr lang="en-AU" sz="1000" i="1">
                            <a:latin typeface="Cambria Math" panose="02040503050406030204" pitchFamily="18" charset="0"/>
                          </a:rPr>
                          <m:t>𝑒𝑙𝑒𝑐</m:t>
                        </m:r>
                      </m:sub>
                    </m:sSub>
                    <m:r>
                      <a:rPr lang="en-AU" sz="1000" i="1">
                        <a:latin typeface="Cambria Math" panose="02040503050406030204" pitchFamily="18" charset="0"/>
                      </a:rPr>
                      <m:t>=[</m:t>
                    </m:r>
                    <m:sSub>
                      <m:sSubPr>
                        <m:ctrlPr>
                          <a:rPr lang="en-AU" sz="1000" i="1">
                            <a:latin typeface="Cambria Math" panose="02040503050406030204" pitchFamily="18" charset="0"/>
                          </a:rPr>
                        </m:ctrlPr>
                      </m:sSubPr>
                      <m:e>
                        <m:r>
                          <a:rPr lang="en-AU" sz="1000" i="1">
                            <a:latin typeface="Cambria Math" panose="02040503050406030204" pitchFamily="18" charset="0"/>
                          </a:rPr>
                          <m:t>𝑄</m:t>
                        </m:r>
                      </m:e>
                      <m:sub>
                        <m:r>
                          <a:rPr lang="en-AU" sz="1000" i="1">
                            <a:latin typeface="Cambria Math" panose="02040503050406030204" pitchFamily="18" charset="0"/>
                          </a:rPr>
                          <m:t>𝑒𝑙𝑒𝑐</m:t>
                        </m:r>
                      </m:sub>
                    </m:sSub>
                    <m:r>
                      <a:rPr lang="en-AU" sz="1000" i="1">
                        <a:latin typeface="Cambria Math" panose="02040503050406030204" pitchFamily="18" charset="0"/>
                      </a:rPr>
                      <m:t>×</m:t>
                    </m:r>
                    <m:d>
                      <m:dPr>
                        <m:ctrlPr>
                          <a:rPr lang="en-AU" sz="1000" i="1">
                            <a:latin typeface="Cambria Math" panose="02040503050406030204" pitchFamily="18" charset="0"/>
                          </a:rPr>
                        </m:ctrlPr>
                      </m:dPr>
                      <m:e>
                        <m:r>
                          <a:rPr lang="en-AU" sz="1000" i="1">
                            <a:latin typeface="Cambria Math" panose="02040503050406030204" pitchFamily="18" charset="0"/>
                          </a:rPr>
                          <m:t>1−</m:t>
                        </m:r>
                        <m:d>
                          <m:dPr>
                            <m:ctrlPr>
                              <a:rPr lang="en-AU" sz="1000" i="1">
                                <a:latin typeface="Cambria Math" panose="02040503050406030204" pitchFamily="18" charset="0"/>
                              </a:rPr>
                            </m:ctrlPr>
                          </m:dPr>
                          <m:e>
                            <m:r>
                              <a:rPr lang="en-AU" sz="1000" i="1">
                                <a:latin typeface="Cambria Math" panose="02040503050406030204" pitchFamily="18" charset="0"/>
                              </a:rPr>
                              <m:t>𝑅𝑃𝑃</m:t>
                            </m:r>
                            <m:r>
                              <a:rPr lang="en-AU" sz="1000" i="1">
                                <a:latin typeface="Cambria Math" panose="02040503050406030204" pitchFamily="18" charset="0"/>
                              </a:rPr>
                              <m:t>+</m:t>
                            </m:r>
                            <m:r>
                              <a:rPr lang="en-AU" sz="1000" i="1">
                                <a:latin typeface="Cambria Math" panose="02040503050406030204" pitchFamily="18" charset="0"/>
                              </a:rPr>
                              <m:t>𝐽𝑅𝑃𝑃</m:t>
                            </m:r>
                          </m:e>
                        </m:d>
                      </m:e>
                    </m:d>
                    <m:r>
                      <a:rPr lang="en-AU" sz="1000" i="1">
                        <a:latin typeface="Cambria Math" panose="02040503050406030204" pitchFamily="18" charset="0"/>
                      </a:rPr>
                      <m:t>−</m:t>
                    </m:r>
                    <m:d>
                      <m:dPr>
                        <m:begChr m:val=""/>
                        <m:endChr m:val="]"/>
                        <m:ctrlPr>
                          <a:rPr lang="en-AU" sz="1000" i="1">
                            <a:latin typeface="Cambria Math" panose="02040503050406030204" pitchFamily="18" charset="0"/>
                          </a:rPr>
                        </m:ctrlPr>
                      </m:dPr>
                      <m:e>
                        <m:d>
                          <m:dPr>
                            <m:ctrlPr>
                              <a:rPr lang="en-AU" sz="1000" i="1">
                                <a:latin typeface="Cambria Math" panose="02040503050406030204" pitchFamily="18" charset="0"/>
                              </a:rPr>
                            </m:ctrlPr>
                          </m:dPr>
                          <m:e>
                            <m:d>
                              <m:dPr>
                                <m:ctrlPr>
                                  <a:rPr lang="en-AU" sz="1000" i="1">
                                    <a:latin typeface="Cambria Math" panose="02040503050406030204" pitchFamily="18" charset="0"/>
                                  </a:rPr>
                                </m:ctrlPr>
                              </m:dPr>
                              <m:e>
                                <m:r>
                                  <a:rPr lang="en-AU" sz="1000" i="1">
                                    <a:latin typeface="Cambria Math" panose="02040503050406030204" pitchFamily="18" charset="0"/>
                                  </a:rPr>
                                  <m:t>𝑅𝐸</m:t>
                                </m:r>
                                <m:sSub>
                                  <m:sSubPr>
                                    <m:ctrlPr>
                                      <a:rPr lang="en-AU" sz="1000" i="1">
                                        <a:latin typeface="Cambria Math" panose="02040503050406030204" pitchFamily="18" charset="0"/>
                                      </a:rPr>
                                    </m:ctrlPr>
                                  </m:sSubPr>
                                  <m:e>
                                    <m:r>
                                      <a:rPr lang="en-AU" sz="1000" i="1">
                                        <a:latin typeface="Cambria Math" panose="02040503050406030204" pitchFamily="18" charset="0"/>
                                      </a:rPr>
                                      <m:t>𝐶</m:t>
                                    </m:r>
                                  </m:e>
                                  <m:sub>
                                    <m:r>
                                      <a:rPr lang="en-AU" sz="1000" i="1">
                                        <a:latin typeface="Cambria Math" panose="02040503050406030204" pitchFamily="18" charset="0"/>
                                      </a:rPr>
                                      <m:t>𝑠𝑢𝑟𝑟𝑒𝑛𝑑𝑒𝑟𝑒𝑑</m:t>
                                    </m:r>
                                  </m:sub>
                                </m:sSub>
                                <m:r>
                                  <a:rPr lang="en-AU" sz="1000" i="1">
                                    <a:latin typeface="Cambria Math" panose="02040503050406030204" pitchFamily="18" charset="0"/>
                                  </a:rPr>
                                  <m:t>−</m:t>
                                </m:r>
                                <m:r>
                                  <a:rPr lang="en-AU" sz="1000" i="1">
                                    <a:latin typeface="Cambria Math" panose="02040503050406030204" pitchFamily="18" charset="0"/>
                                  </a:rPr>
                                  <m:t>𝑅𝐸</m:t>
                                </m:r>
                                <m:sSub>
                                  <m:sSubPr>
                                    <m:ctrlPr>
                                      <a:rPr lang="en-AU" sz="1000" i="1">
                                        <a:latin typeface="Cambria Math" panose="02040503050406030204" pitchFamily="18" charset="0"/>
                                      </a:rPr>
                                    </m:ctrlPr>
                                  </m:sSubPr>
                                  <m:e>
                                    <m:r>
                                      <a:rPr lang="en-AU" sz="1000" i="1">
                                        <a:latin typeface="Cambria Math" panose="02040503050406030204" pitchFamily="18" charset="0"/>
                                      </a:rPr>
                                      <m:t>𝐶</m:t>
                                    </m:r>
                                  </m:e>
                                  <m:sub>
                                    <m:r>
                                      <a:rPr lang="en-AU" sz="1000" i="1">
                                        <a:latin typeface="Cambria Math" panose="02040503050406030204" pitchFamily="18" charset="0"/>
                                      </a:rPr>
                                      <m:t>𝑜𝑛𝑠𝑖𝑡𝑒</m:t>
                                    </m:r>
                                  </m:sub>
                                </m:sSub>
                              </m:e>
                            </m:d>
                            <m:r>
                              <a:rPr lang="en-AU" sz="1000" i="1">
                                <a:latin typeface="Cambria Math" panose="02040503050406030204" pitchFamily="18" charset="0"/>
                              </a:rPr>
                              <m:t>×</m:t>
                            </m:r>
                            <m:sSup>
                              <m:sSupPr>
                                <m:ctrlPr>
                                  <a:rPr lang="en-AU" sz="1000" i="1">
                                    <a:latin typeface="Cambria Math" panose="02040503050406030204" pitchFamily="18" charset="0"/>
                                  </a:rPr>
                                </m:ctrlPr>
                              </m:sSupPr>
                              <m:e>
                                <m:r>
                                  <a:rPr lang="en-AU" sz="1000" i="1">
                                    <a:latin typeface="Cambria Math" panose="02040503050406030204" pitchFamily="18" charset="0"/>
                                  </a:rPr>
                                  <m:t>10</m:t>
                                </m:r>
                              </m:e>
                              <m:sup>
                                <m:r>
                                  <a:rPr lang="en-AU" sz="1000" i="1">
                                    <a:latin typeface="Cambria Math" panose="02040503050406030204" pitchFamily="18" charset="0"/>
                                  </a:rPr>
                                  <m:t>−3</m:t>
                                </m:r>
                              </m:sup>
                            </m:sSup>
                          </m:e>
                        </m:d>
                      </m:e>
                    </m:d>
                    <m:r>
                      <a:rPr lang="en-AU" sz="1000" i="1">
                        <a:latin typeface="Cambria Math" panose="02040503050406030204" pitchFamily="18" charset="0"/>
                      </a:rPr>
                      <m:t>×</m:t>
                    </m:r>
                    <m:r>
                      <a:rPr lang="en-AU" sz="1000" i="1">
                        <a:latin typeface="Cambria Math" panose="02040503050406030204" pitchFamily="18" charset="0"/>
                      </a:rPr>
                      <m:t>𝐸</m:t>
                    </m:r>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𝑅𝑀𝐹</m:t>
                        </m:r>
                        <m:r>
                          <a:rPr lang="en-AU" sz="1000" i="1">
                            <a:latin typeface="Cambria Math" panose="02040503050406030204" pitchFamily="18" charset="0"/>
                          </a:rPr>
                          <m:t>3,</m:t>
                        </m:r>
                        <m:r>
                          <a:rPr lang="en-AU" sz="1000" i="1">
                            <a:latin typeface="Cambria Math" panose="02040503050406030204" pitchFamily="18" charset="0"/>
                          </a:rPr>
                          <m:t>𝑒𝑙𝑒𝑐</m:t>
                        </m:r>
                      </m:sub>
                    </m:sSub>
                    <m:r>
                      <a:rPr lang="en-AU" sz="1000" i="1">
                        <a:latin typeface="Cambria Math" panose="02040503050406030204" pitchFamily="18" charset="0"/>
                      </a:rPr>
                      <m:t>×</m:t>
                    </m:r>
                    <m:sSup>
                      <m:sSupPr>
                        <m:ctrlPr>
                          <a:rPr lang="en-AU" sz="1000" i="1">
                            <a:latin typeface="Cambria Math" panose="02040503050406030204" pitchFamily="18" charset="0"/>
                          </a:rPr>
                        </m:ctrlPr>
                      </m:sSupPr>
                      <m:e>
                        <m:r>
                          <a:rPr lang="en-AU" sz="1000" i="1">
                            <a:latin typeface="Cambria Math" panose="02040503050406030204" pitchFamily="18" charset="0"/>
                          </a:rPr>
                          <m:t>10</m:t>
                        </m:r>
                      </m:e>
                      <m:sup>
                        <m:r>
                          <a:rPr lang="en-AU" sz="1000" i="1">
                            <a:latin typeface="Cambria Math" panose="02040503050406030204" pitchFamily="18" charset="0"/>
                          </a:rPr>
                          <m:t>−3</m:t>
                        </m:r>
                      </m:sup>
                    </m:sSup>
                  </m:oMath>
                </m:oMathPara>
              </a14:m>
              <a:endParaRPr lang="en-AU" sz="1000"/>
            </a:p>
          </xdr:txBody>
        </xdr:sp>
      </mc:Choice>
      <mc:Fallback xmlns="">
        <xdr:sp macro="" textlink="">
          <xdr:nvSpPr>
            <xdr:cNvPr id="17" name="TextBox 16">
              <a:extLst>
                <a:ext uri="{FF2B5EF4-FFF2-40B4-BE49-F238E27FC236}">
                  <a16:creationId xmlns:a16="http://schemas.microsoft.com/office/drawing/2014/main" id="{B488E01E-ABDE-420C-88EE-478227A7DEEF}"/>
                </a:ext>
              </a:extLst>
            </xdr:cNvPr>
            <xdr:cNvSpPr txBox="1"/>
          </xdr:nvSpPr>
          <xdr:spPr>
            <a:xfrm>
              <a:off x="9843118" y="126473595"/>
              <a:ext cx="6938886" cy="19107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b="0" i="0">
                  <a:solidFill>
                    <a:srgbClr val="C00000"/>
                  </a:solidFill>
                  <a:latin typeface="Cambria Math" panose="02040503050406030204" pitchFamily="18" charset="0"/>
                </a:rPr>
                <a:t>〖ORIGINAL: </a:t>
              </a:r>
              <a:r>
                <a:rPr lang="en-AU" sz="1000" i="0">
                  <a:latin typeface="Cambria Math" panose="02040503050406030204" pitchFamily="18" charset="0"/>
                </a:rPr>
                <a:t>𝐸</a:t>
              </a:r>
              <a:r>
                <a:rPr lang="en-AU" sz="1000" b="0" i="0">
                  <a:solidFill>
                    <a:srgbClr val="C00000"/>
                  </a:solidFill>
                  <a:latin typeface="Cambria Math" panose="02040503050406030204" pitchFamily="18" charset="0"/>
                </a:rPr>
                <a:t>〗_(</a:t>
              </a:r>
              <a:r>
                <a:rPr lang="en-AU" sz="1000" i="0">
                  <a:latin typeface="Cambria Math" panose="02040503050406030204" pitchFamily="18" charset="0"/>
                </a:rPr>
                <a:t>3,𝑒𝑙𝑒𝑐</a:t>
              </a:r>
              <a:r>
                <a:rPr lang="en-AU" sz="1000" b="0" i="0">
                  <a:solidFill>
                    <a:srgbClr val="C00000"/>
                  </a:solidFill>
                  <a:latin typeface="Cambria Math" panose="02040503050406030204" pitchFamily="18" charset="0"/>
                </a:rPr>
                <a:t>)</a:t>
              </a:r>
              <a:r>
                <a:rPr lang="en-AU" sz="1000" i="0">
                  <a:latin typeface="Cambria Math" panose="02040503050406030204" pitchFamily="18" charset="0"/>
                </a:rPr>
                <a:t>=[𝑄_𝑒𝑙𝑒𝑐×(1−(𝑅𝑃𝑃+𝐽𝑅𝑃𝑃))−├ ((𝑅𝐸𝐶_𝑠𝑢𝑟𝑟𝑒𝑛𝑑𝑒𝑟𝑒𝑑−𝑅𝐸𝐶_𝑜𝑛𝑠𝑖𝑡𝑒 )×10^(−3) )]×𝐸𝐹_(𝑅𝑀𝐹3,𝑒𝑙𝑒𝑐)×10^(−3)</a:t>
              </a:r>
              <a:endParaRPr lang="en-AU" sz="1000"/>
            </a:p>
          </xdr:txBody>
        </xdr:sp>
      </mc:Fallback>
    </mc:AlternateContent>
    <xdr:clientData/>
  </xdr:oneCellAnchor>
  <xdr:oneCellAnchor>
    <xdr:from>
      <xdr:col>3</xdr:col>
      <xdr:colOff>5351</xdr:colOff>
      <xdr:row>555</xdr:row>
      <xdr:rowOff>182789</xdr:rowOff>
    </xdr:from>
    <xdr:ext cx="6155275" cy="191078"/>
    <mc:AlternateContent xmlns:mc="http://schemas.openxmlformats.org/markup-compatibility/2006" xmlns:a14="http://schemas.microsoft.com/office/drawing/2010/main">
      <mc:Choice Requires="a14">
        <xdr:sp macro="" textlink="">
          <xdr:nvSpPr>
            <xdr:cNvPr id="18" name="TextBox 17">
              <a:extLst>
                <a:ext uri="{FF2B5EF4-FFF2-40B4-BE49-F238E27FC236}">
                  <a16:creationId xmlns:a16="http://schemas.microsoft.com/office/drawing/2014/main" id="{14B6C4C6-750D-459E-808B-E8A41761CFFD}"/>
                </a:ext>
              </a:extLst>
            </xdr:cNvPr>
            <xdr:cNvSpPr txBox="1"/>
          </xdr:nvSpPr>
          <xdr:spPr>
            <a:xfrm>
              <a:off x="3043826" y="126493814"/>
              <a:ext cx="6155275" cy="19107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000" i="1">
                            <a:latin typeface="Cambria Math" panose="02040503050406030204" pitchFamily="18" charset="0"/>
                          </a:rPr>
                        </m:ctrlPr>
                      </m:sSubPr>
                      <m:e>
                        <m:r>
                          <a:rPr lang="en-AU" sz="1000" i="1">
                            <a:latin typeface="Cambria Math" panose="02040503050406030204" pitchFamily="18" charset="0"/>
                          </a:rPr>
                          <m:t>𝐸</m:t>
                        </m:r>
                      </m:e>
                      <m:sub>
                        <m:r>
                          <a:rPr lang="en-AU" sz="1000" i="1">
                            <a:latin typeface="Cambria Math" panose="02040503050406030204" pitchFamily="18" charset="0"/>
                          </a:rPr>
                          <m:t>3,</m:t>
                        </m:r>
                        <m:r>
                          <a:rPr lang="en-AU" sz="1000" i="1">
                            <a:latin typeface="Cambria Math" panose="02040503050406030204" pitchFamily="18" charset="0"/>
                          </a:rPr>
                          <m:t>𝑒𝑙𝑒𝑐</m:t>
                        </m:r>
                      </m:sub>
                    </m:sSub>
                    <m:r>
                      <a:rPr lang="en-AU" sz="1000" i="1">
                        <a:latin typeface="Cambria Math" panose="02040503050406030204" pitchFamily="18" charset="0"/>
                      </a:rPr>
                      <m:t>=[</m:t>
                    </m:r>
                    <m:sSub>
                      <m:sSubPr>
                        <m:ctrlPr>
                          <a:rPr lang="en-AU" sz="1000" i="1">
                            <a:latin typeface="Cambria Math" panose="02040503050406030204" pitchFamily="18" charset="0"/>
                          </a:rPr>
                        </m:ctrlPr>
                      </m:sSubPr>
                      <m:e>
                        <m:r>
                          <a:rPr lang="en-AU" sz="1000" i="1">
                            <a:latin typeface="Cambria Math" panose="02040503050406030204" pitchFamily="18" charset="0"/>
                          </a:rPr>
                          <m:t>𝑄</m:t>
                        </m:r>
                      </m:e>
                      <m:sub>
                        <m:r>
                          <a:rPr lang="en-AU" sz="1000" i="1">
                            <a:latin typeface="Cambria Math" panose="02040503050406030204" pitchFamily="18" charset="0"/>
                          </a:rPr>
                          <m:t>𝑒𝑙𝑒𝑐</m:t>
                        </m:r>
                      </m:sub>
                    </m:sSub>
                    <m:r>
                      <a:rPr lang="en-AU" sz="1000" i="1">
                        <a:latin typeface="Cambria Math" panose="02040503050406030204" pitchFamily="18" charset="0"/>
                      </a:rPr>
                      <m:t>×</m:t>
                    </m:r>
                    <m:d>
                      <m:dPr>
                        <m:ctrlPr>
                          <a:rPr lang="en-AU" sz="1000" i="1">
                            <a:latin typeface="Cambria Math" panose="02040503050406030204" pitchFamily="18" charset="0"/>
                          </a:rPr>
                        </m:ctrlPr>
                      </m:dPr>
                      <m:e>
                        <m:r>
                          <a:rPr lang="en-AU" sz="1000" i="1">
                            <a:latin typeface="Cambria Math" panose="02040503050406030204" pitchFamily="18" charset="0"/>
                          </a:rPr>
                          <m:t>1−</m:t>
                        </m:r>
                        <m:d>
                          <m:dPr>
                            <m:ctrlPr>
                              <a:rPr lang="en-AU" sz="1000" i="1">
                                <a:latin typeface="Cambria Math" panose="02040503050406030204" pitchFamily="18" charset="0"/>
                              </a:rPr>
                            </m:ctrlPr>
                          </m:dPr>
                          <m:e>
                            <m:r>
                              <a:rPr lang="en-AU" sz="1000" i="1">
                                <a:latin typeface="Cambria Math" panose="02040503050406030204" pitchFamily="18" charset="0"/>
                              </a:rPr>
                              <m:t>𝑅𝑃𝑃</m:t>
                            </m:r>
                            <m:r>
                              <a:rPr lang="en-AU" sz="1000" i="1">
                                <a:latin typeface="Cambria Math" panose="02040503050406030204" pitchFamily="18" charset="0"/>
                              </a:rPr>
                              <m:t>+</m:t>
                            </m:r>
                            <m:r>
                              <a:rPr lang="en-AU" sz="1000" i="1">
                                <a:latin typeface="Cambria Math" panose="02040503050406030204" pitchFamily="18" charset="0"/>
                              </a:rPr>
                              <m:t>𝐽𝑅𝑃𝑃</m:t>
                            </m:r>
                          </m:e>
                        </m:d>
                      </m:e>
                    </m:d>
                    <m:r>
                      <a:rPr lang="en-AU" sz="1000" i="1">
                        <a:latin typeface="Cambria Math" panose="02040503050406030204" pitchFamily="18" charset="0"/>
                      </a:rPr>
                      <m:t>−</m:t>
                    </m:r>
                    <m:d>
                      <m:dPr>
                        <m:begChr m:val=""/>
                        <m:endChr m:val="]"/>
                        <m:ctrlPr>
                          <a:rPr lang="en-AU" sz="1000" i="1">
                            <a:latin typeface="Cambria Math" panose="02040503050406030204" pitchFamily="18" charset="0"/>
                          </a:rPr>
                        </m:ctrlPr>
                      </m:dPr>
                      <m:e>
                        <m:d>
                          <m:dPr>
                            <m:ctrlPr>
                              <a:rPr lang="en-AU" sz="1000" i="1">
                                <a:latin typeface="Cambria Math" panose="02040503050406030204" pitchFamily="18" charset="0"/>
                              </a:rPr>
                            </m:ctrlPr>
                          </m:dPr>
                          <m:e>
                            <m:d>
                              <m:dPr>
                                <m:ctrlPr>
                                  <a:rPr lang="en-AU" sz="1000" i="1">
                                    <a:latin typeface="Cambria Math" panose="02040503050406030204" pitchFamily="18" charset="0"/>
                                  </a:rPr>
                                </m:ctrlPr>
                              </m:dPr>
                              <m:e>
                                <m:r>
                                  <a:rPr lang="en-AU" sz="1000" i="1">
                                    <a:latin typeface="Cambria Math" panose="02040503050406030204" pitchFamily="18" charset="0"/>
                                  </a:rPr>
                                  <m:t>𝑅𝐸</m:t>
                                </m:r>
                                <m:sSub>
                                  <m:sSubPr>
                                    <m:ctrlPr>
                                      <a:rPr lang="en-AU" sz="1000" i="1">
                                        <a:latin typeface="Cambria Math" panose="02040503050406030204" pitchFamily="18" charset="0"/>
                                      </a:rPr>
                                    </m:ctrlPr>
                                  </m:sSubPr>
                                  <m:e>
                                    <m:r>
                                      <a:rPr lang="en-AU" sz="1000" i="1">
                                        <a:latin typeface="Cambria Math" panose="02040503050406030204" pitchFamily="18" charset="0"/>
                                      </a:rPr>
                                      <m:t>𝐶</m:t>
                                    </m:r>
                                  </m:e>
                                  <m:sub>
                                    <m:r>
                                      <a:rPr lang="en-AU" sz="1000" i="1">
                                        <a:latin typeface="Cambria Math" panose="02040503050406030204" pitchFamily="18" charset="0"/>
                                      </a:rPr>
                                      <m:t>𝑠𝑢𝑟𝑟𝑒𝑛𝑑𝑒𝑟𝑒𝑑</m:t>
                                    </m:r>
                                  </m:sub>
                                </m:sSub>
                                <m:r>
                                  <a:rPr lang="en-AU" sz="1000" i="1">
                                    <a:latin typeface="Cambria Math" panose="02040503050406030204" pitchFamily="18" charset="0"/>
                                  </a:rPr>
                                  <m:t>−</m:t>
                                </m:r>
                                <m:r>
                                  <a:rPr lang="en-AU" sz="1000" i="1">
                                    <a:latin typeface="Cambria Math" panose="02040503050406030204" pitchFamily="18" charset="0"/>
                                  </a:rPr>
                                  <m:t>𝑅𝐸</m:t>
                                </m:r>
                                <m:sSub>
                                  <m:sSubPr>
                                    <m:ctrlPr>
                                      <a:rPr lang="en-AU" sz="1000" i="1">
                                        <a:latin typeface="Cambria Math" panose="02040503050406030204" pitchFamily="18" charset="0"/>
                                      </a:rPr>
                                    </m:ctrlPr>
                                  </m:sSubPr>
                                  <m:e>
                                    <m:r>
                                      <a:rPr lang="en-AU" sz="1000" i="1">
                                        <a:latin typeface="Cambria Math" panose="02040503050406030204" pitchFamily="18" charset="0"/>
                                      </a:rPr>
                                      <m:t>𝐶</m:t>
                                    </m:r>
                                  </m:e>
                                  <m:sub>
                                    <m:r>
                                      <a:rPr lang="en-AU" sz="1000" i="1">
                                        <a:latin typeface="Cambria Math" panose="02040503050406030204" pitchFamily="18" charset="0"/>
                                      </a:rPr>
                                      <m:t>𝑜𝑛𝑠𝑖𝑡𝑒</m:t>
                                    </m:r>
                                  </m:sub>
                                </m:sSub>
                              </m:e>
                            </m:d>
                            <m:r>
                              <a:rPr lang="en-AU" sz="1000" i="1">
                                <a:latin typeface="Cambria Math" panose="02040503050406030204" pitchFamily="18" charset="0"/>
                              </a:rPr>
                              <m:t>×</m:t>
                            </m:r>
                            <m:sSup>
                              <m:sSupPr>
                                <m:ctrlPr>
                                  <a:rPr lang="en-AU" sz="1000" i="1">
                                    <a:latin typeface="Cambria Math" panose="02040503050406030204" pitchFamily="18" charset="0"/>
                                  </a:rPr>
                                </m:ctrlPr>
                              </m:sSupPr>
                              <m:e>
                                <m:r>
                                  <a:rPr lang="en-AU" sz="1000" i="1">
                                    <a:latin typeface="Cambria Math" panose="02040503050406030204" pitchFamily="18" charset="0"/>
                                  </a:rPr>
                                  <m:t>10</m:t>
                                </m:r>
                              </m:e>
                              <m:sup>
                                <m:r>
                                  <a:rPr lang="en-AU" sz="1000" i="1">
                                    <a:latin typeface="Cambria Math" panose="02040503050406030204" pitchFamily="18" charset="0"/>
                                  </a:rPr>
                                  <m:t>3</m:t>
                                </m:r>
                              </m:sup>
                            </m:sSup>
                          </m:e>
                        </m:d>
                      </m:e>
                    </m:d>
                    <m:r>
                      <a:rPr lang="en-AU" sz="1000" i="1">
                        <a:latin typeface="Cambria Math" panose="02040503050406030204" pitchFamily="18" charset="0"/>
                      </a:rPr>
                      <m:t>×</m:t>
                    </m:r>
                    <m:r>
                      <a:rPr lang="en-AU" sz="1000" i="1">
                        <a:latin typeface="Cambria Math" panose="02040503050406030204" pitchFamily="18" charset="0"/>
                      </a:rPr>
                      <m:t>𝐸</m:t>
                    </m:r>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𝑅𝑀𝐹</m:t>
                        </m:r>
                        <m:r>
                          <a:rPr lang="en-AU" sz="1000" i="1">
                            <a:latin typeface="Cambria Math" panose="02040503050406030204" pitchFamily="18" charset="0"/>
                          </a:rPr>
                          <m:t>3,</m:t>
                        </m:r>
                        <m:r>
                          <a:rPr lang="en-AU" sz="1000" i="1">
                            <a:latin typeface="Cambria Math" panose="02040503050406030204" pitchFamily="18" charset="0"/>
                          </a:rPr>
                          <m:t>𝑒𝑙𝑒𝑐</m:t>
                        </m:r>
                      </m:sub>
                    </m:sSub>
                    <m:r>
                      <a:rPr lang="en-AU" sz="1000" i="1">
                        <a:latin typeface="Cambria Math" panose="02040503050406030204" pitchFamily="18" charset="0"/>
                      </a:rPr>
                      <m:t>×</m:t>
                    </m:r>
                    <m:sSup>
                      <m:sSupPr>
                        <m:ctrlPr>
                          <a:rPr lang="en-AU" sz="1000" i="1">
                            <a:latin typeface="Cambria Math" panose="02040503050406030204" pitchFamily="18" charset="0"/>
                          </a:rPr>
                        </m:ctrlPr>
                      </m:sSupPr>
                      <m:e>
                        <m:r>
                          <a:rPr lang="en-AU" sz="1000" i="1">
                            <a:latin typeface="Cambria Math" panose="02040503050406030204" pitchFamily="18" charset="0"/>
                          </a:rPr>
                          <m:t>10</m:t>
                        </m:r>
                      </m:e>
                      <m:sup>
                        <m:r>
                          <a:rPr lang="en-AU" sz="1000" i="1">
                            <a:latin typeface="Cambria Math" panose="02040503050406030204" pitchFamily="18" charset="0"/>
                          </a:rPr>
                          <m:t>−3</m:t>
                        </m:r>
                      </m:sup>
                    </m:sSup>
                  </m:oMath>
                </m:oMathPara>
              </a14:m>
              <a:endParaRPr lang="en-AU" sz="1000"/>
            </a:p>
          </xdr:txBody>
        </xdr:sp>
      </mc:Choice>
      <mc:Fallback xmlns="">
        <xdr:sp macro="" textlink="">
          <xdr:nvSpPr>
            <xdr:cNvPr id="18" name="TextBox 17">
              <a:extLst>
                <a:ext uri="{FF2B5EF4-FFF2-40B4-BE49-F238E27FC236}">
                  <a16:creationId xmlns:a16="http://schemas.microsoft.com/office/drawing/2014/main" id="{14B6C4C6-750D-459E-808B-E8A41761CFFD}"/>
                </a:ext>
              </a:extLst>
            </xdr:cNvPr>
            <xdr:cNvSpPr txBox="1"/>
          </xdr:nvSpPr>
          <xdr:spPr>
            <a:xfrm>
              <a:off x="3043826" y="126493814"/>
              <a:ext cx="6155275" cy="19107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𝐸_(3,𝑒𝑙𝑒𝑐)=[𝑄_𝑒𝑙𝑒𝑐×(1−(𝑅𝑃𝑃+𝐽𝑅𝑃𝑃))−├ ((𝑅𝐸𝐶_𝑠𝑢𝑟𝑟𝑒𝑛𝑑𝑒𝑟𝑒𝑑−𝑅𝐸𝐶_𝑜𝑛𝑠𝑖𝑡𝑒 )×10^3 )]×𝐸𝐹_(𝑅𝑀𝐹3,𝑒𝑙𝑒𝑐)×10^(−3)</a:t>
              </a:r>
              <a:endParaRPr lang="en-AU" sz="1000"/>
            </a:p>
          </xdr:txBody>
        </xdr:sp>
      </mc:Fallback>
    </mc:AlternateContent>
    <xdr:clientData/>
  </xdr:oneCellAnchor>
  <xdr:oneCellAnchor>
    <xdr:from>
      <xdr:col>2</xdr:col>
      <xdr:colOff>344020</xdr:colOff>
      <xdr:row>576</xdr:row>
      <xdr:rowOff>114299</xdr:rowOff>
    </xdr:from>
    <xdr:ext cx="1519327" cy="173766"/>
    <mc:AlternateContent xmlns:mc="http://schemas.openxmlformats.org/markup-compatibility/2006" xmlns:a14="http://schemas.microsoft.com/office/drawing/2010/main">
      <mc:Choice Requires="a14">
        <xdr:sp macro="" textlink="">
          <xdr:nvSpPr>
            <xdr:cNvPr id="19" name="TextBox 18">
              <a:extLst>
                <a:ext uri="{FF2B5EF4-FFF2-40B4-BE49-F238E27FC236}">
                  <a16:creationId xmlns:a16="http://schemas.microsoft.com/office/drawing/2014/main" id="{22BB2B7A-72E0-425D-A6CE-C80B31B5753D}"/>
                </a:ext>
              </a:extLst>
            </xdr:cNvPr>
            <xdr:cNvSpPr txBox="1"/>
          </xdr:nvSpPr>
          <xdr:spPr>
            <a:xfrm>
              <a:off x="3030070" y="130778249"/>
              <a:ext cx="1519327" cy="1737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000" i="1">
                        <a:latin typeface="Cambria Math" panose="02040503050406030204" pitchFamily="18" charset="0"/>
                      </a:rPr>
                      <m:t>𝐸</m:t>
                    </m:r>
                    <m:r>
                      <a:rPr lang="en-AU" sz="1000" i="1">
                        <a:latin typeface="Cambria Math" panose="02040503050406030204" pitchFamily="18" charset="0"/>
                      </a:rPr>
                      <m:t>=</m:t>
                    </m:r>
                    <m:sSub>
                      <m:sSubPr>
                        <m:ctrlPr>
                          <a:rPr lang="en-AU" sz="1000" i="1">
                            <a:latin typeface="Cambria Math" panose="02040503050406030204" pitchFamily="18" charset="0"/>
                          </a:rPr>
                        </m:ctrlPr>
                      </m:sSubPr>
                      <m:e>
                        <m:r>
                          <a:rPr lang="en-AU" sz="1000" i="1">
                            <a:latin typeface="Cambria Math" panose="02040503050406030204" pitchFamily="18" charset="0"/>
                          </a:rPr>
                          <m:t>𝐸</m:t>
                        </m:r>
                      </m:e>
                      <m:sub>
                        <m:r>
                          <a:rPr lang="en-AU" sz="1000" i="1">
                            <a:latin typeface="Cambria Math" panose="02040503050406030204" pitchFamily="18" charset="0"/>
                          </a:rPr>
                          <m:t>𝑁</m:t>
                        </m:r>
                        <m:r>
                          <a:rPr lang="en-AU" sz="1000" i="1">
                            <a:latin typeface="Cambria Math" panose="02040503050406030204" pitchFamily="18" charset="0"/>
                          </a:rPr>
                          <m:t>2</m:t>
                        </m:r>
                        <m:r>
                          <a:rPr lang="en-AU" sz="1000" i="1">
                            <a:latin typeface="Cambria Math" panose="02040503050406030204" pitchFamily="18" charset="0"/>
                          </a:rPr>
                          <m:t>𝑂</m:t>
                        </m:r>
                      </m:sub>
                    </m:sSub>
                    <m:r>
                      <a:rPr lang="en-AU" sz="1000" i="1">
                        <a:latin typeface="Cambria Math" panose="02040503050406030204" pitchFamily="18" charset="0"/>
                      </a:rPr>
                      <m:t>+</m:t>
                    </m:r>
                    <m:sSub>
                      <m:sSubPr>
                        <m:ctrlPr>
                          <a:rPr lang="en-AU" sz="1000" i="1">
                            <a:latin typeface="Cambria Math" panose="02040503050406030204" pitchFamily="18" charset="0"/>
                          </a:rPr>
                        </m:ctrlPr>
                      </m:sSubPr>
                      <m:e>
                        <m:r>
                          <a:rPr lang="en-AU" sz="1000" i="1">
                            <a:latin typeface="Cambria Math" panose="02040503050406030204" pitchFamily="18" charset="0"/>
                          </a:rPr>
                          <m:t>𝐸</m:t>
                        </m:r>
                      </m:e>
                      <m:sub>
                        <m:r>
                          <a:rPr lang="en-AU" sz="1000" i="1">
                            <a:latin typeface="Cambria Math" panose="02040503050406030204" pitchFamily="18" charset="0"/>
                          </a:rPr>
                          <m:t>𝑎𝑑</m:t>
                        </m:r>
                      </m:sub>
                    </m:sSub>
                    <m:r>
                      <a:rPr lang="en-AU" sz="1000" i="1">
                        <a:latin typeface="Cambria Math" panose="02040503050406030204" pitchFamily="18" charset="0"/>
                      </a:rPr>
                      <m:t>+</m:t>
                    </m:r>
                    <m:sSub>
                      <m:sSubPr>
                        <m:ctrlPr>
                          <a:rPr lang="en-AU" sz="1000" i="1">
                            <a:latin typeface="Cambria Math" panose="02040503050406030204" pitchFamily="18" charset="0"/>
                          </a:rPr>
                        </m:ctrlPr>
                      </m:sSubPr>
                      <m:e>
                        <m:r>
                          <a:rPr lang="en-AU" sz="1000" i="1">
                            <a:latin typeface="Cambria Math" panose="02040503050406030204" pitchFamily="18" charset="0"/>
                          </a:rPr>
                          <m:t>𝐸</m:t>
                        </m:r>
                      </m:e>
                      <m:sub>
                        <m:r>
                          <a:rPr lang="en-AU" sz="1000" i="1">
                            <a:latin typeface="Cambria Math" panose="02040503050406030204" pitchFamily="18" charset="0"/>
                          </a:rPr>
                          <m:t>𝑙𝑒𝑎𝑐ℎ</m:t>
                        </m:r>
                      </m:sub>
                    </m:sSub>
                  </m:oMath>
                </m:oMathPara>
              </a14:m>
              <a:endParaRPr lang="en-AU" sz="1000"/>
            </a:p>
          </xdr:txBody>
        </xdr:sp>
      </mc:Choice>
      <mc:Fallback xmlns="">
        <xdr:sp macro="" textlink="">
          <xdr:nvSpPr>
            <xdr:cNvPr id="19" name="TextBox 18">
              <a:extLst>
                <a:ext uri="{FF2B5EF4-FFF2-40B4-BE49-F238E27FC236}">
                  <a16:creationId xmlns:a16="http://schemas.microsoft.com/office/drawing/2014/main" id="{22BB2B7A-72E0-425D-A6CE-C80B31B5753D}"/>
                </a:ext>
              </a:extLst>
            </xdr:cNvPr>
            <xdr:cNvSpPr txBox="1"/>
          </xdr:nvSpPr>
          <xdr:spPr>
            <a:xfrm>
              <a:off x="3030070" y="130778249"/>
              <a:ext cx="1519327" cy="1737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𝐸=𝐸_𝑁2𝑂+𝐸_𝑎𝑑+𝐸_𝑙𝑒𝑎𝑐ℎ</a:t>
              </a:r>
              <a:endParaRPr lang="en-AU" sz="1000"/>
            </a:p>
          </xdr:txBody>
        </xdr:sp>
      </mc:Fallback>
    </mc:AlternateContent>
    <xdr:clientData/>
  </xdr:oneCellAnchor>
  <xdr:oneCellAnchor>
    <xdr:from>
      <xdr:col>3</xdr:col>
      <xdr:colOff>30257</xdr:colOff>
      <xdr:row>609</xdr:row>
      <xdr:rowOff>136712</xdr:rowOff>
    </xdr:from>
    <xdr:ext cx="1725537" cy="332014"/>
    <mc:AlternateContent xmlns:mc="http://schemas.openxmlformats.org/markup-compatibility/2006" xmlns:a14="http://schemas.microsoft.com/office/drawing/2010/main">
      <mc:Choice Requires="a14">
        <xdr:sp macro="" textlink="">
          <xdr:nvSpPr>
            <xdr:cNvPr id="20" name="TextBox 19">
              <a:extLst>
                <a:ext uri="{FF2B5EF4-FFF2-40B4-BE49-F238E27FC236}">
                  <a16:creationId xmlns:a16="http://schemas.microsoft.com/office/drawing/2014/main" id="{403E3A6A-5887-4F5F-9075-2824CDA43E8E}"/>
                </a:ext>
              </a:extLst>
            </xdr:cNvPr>
            <xdr:cNvSpPr txBox="1"/>
          </xdr:nvSpPr>
          <xdr:spPr>
            <a:xfrm>
              <a:off x="3068732" y="137744387"/>
              <a:ext cx="1725537" cy="3320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000" i="1">
                        <a:latin typeface="Cambria Math" panose="02040503050406030204" pitchFamily="18" charset="0"/>
                      </a:rPr>
                      <m:t>𝐸</m:t>
                    </m:r>
                    <m:r>
                      <a:rPr lang="en-AU" sz="1000" i="1">
                        <a:latin typeface="Cambria Math" panose="02040503050406030204" pitchFamily="18" charset="0"/>
                      </a:rPr>
                      <m:t>=</m:t>
                    </m:r>
                    <m:nary>
                      <m:naryPr>
                        <m:chr m:val="∑"/>
                        <m:limLoc m:val="subSup"/>
                        <m:supHide m:val="on"/>
                        <m:ctrlPr>
                          <a:rPr lang="en-AU" sz="1000" i="1">
                            <a:latin typeface="Cambria Math" panose="02040503050406030204" pitchFamily="18" charset="0"/>
                          </a:rPr>
                        </m:ctrlPr>
                      </m:naryPr>
                      <m:sub>
                        <m:r>
                          <a:rPr lang="en-AU" sz="1000" i="1">
                            <a:latin typeface="Cambria Math" panose="02040503050406030204" pitchFamily="18" charset="0"/>
                          </a:rPr>
                          <m:t>𝑓</m:t>
                        </m:r>
                      </m:sub>
                      <m:sup/>
                      <m:e>
                        <m:d>
                          <m:dPr>
                            <m:ctrlPr>
                              <a:rPr lang="en-AU" sz="1000" i="1">
                                <a:latin typeface="Cambria Math" panose="02040503050406030204" pitchFamily="18" charset="0"/>
                              </a:rPr>
                            </m:ctrlPr>
                          </m:dPr>
                          <m:e>
                            <m:d>
                              <m:dPr>
                                <m:ctrlPr>
                                  <a:rPr lang="en-AU" sz="1000" i="1">
                                    <a:latin typeface="Cambria Math" panose="02040503050406030204" pitchFamily="18" charset="0"/>
                                  </a:rPr>
                                </m:ctrlPr>
                              </m:dPr>
                              <m:e>
                                <m:sSub>
                                  <m:sSubPr>
                                    <m:ctrlPr>
                                      <a:rPr lang="en-AU" sz="1000" i="1">
                                        <a:latin typeface="Cambria Math" panose="02040503050406030204" pitchFamily="18" charset="0"/>
                                      </a:rPr>
                                    </m:ctrlPr>
                                  </m:sSubPr>
                                  <m:e>
                                    <m:r>
                                      <a:rPr lang="en-AU" sz="1000" i="1">
                                        <a:latin typeface="Cambria Math" panose="02040503050406030204" pitchFamily="18" charset="0"/>
                                      </a:rPr>
                                      <m:t>𝑊</m:t>
                                    </m:r>
                                  </m:e>
                                  <m:sub>
                                    <m:r>
                                      <a:rPr lang="en-AU" sz="1000" i="1">
                                        <a:latin typeface="Cambria Math" panose="02040503050406030204" pitchFamily="18" charset="0"/>
                                      </a:rPr>
                                      <m:t>𝑓</m:t>
                                    </m:r>
                                  </m:sub>
                                </m:sSub>
                                <m:r>
                                  <a:rPr lang="en-AU" sz="1000" i="1">
                                    <a:latin typeface="Cambria Math" panose="02040503050406030204" pitchFamily="18" charset="0"/>
                                  </a:rPr>
                                  <m:t>×</m:t>
                                </m:r>
                                <m:sSub>
                                  <m:sSubPr>
                                    <m:ctrlPr>
                                      <a:rPr lang="en-AU" sz="1000" i="1">
                                        <a:latin typeface="Cambria Math" panose="02040503050406030204" pitchFamily="18" charset="0"/>
                                      </a:rPr>
                                    </m:ctrlPr>
                                  </m:sSubPr>
                                  <m:e>
                                    <m:r>
                                      <a:rPr lang="en-AU" sz="1000" i="1">
                                        <a:latin typeface="Cambria Math" panose="02040503050406030204" pitchFamily="18" charset="0"/>
                                      </a:rPr>
                                      <m:t>𝐷</m:t>
                                    </m:r>
                                  </m:e>
                                  <m:sub>
                                    <m:r>
                                      <a:rPr lang="en-AU" sz="1000" i="1">
                                        <a:latin typeface="Cambria Math" panose="02040503050406030204" pitchFamily="18" charset="0"/>
                                      </a:rPr>
                                      <m:t>𝑓</m:t>
                                    </m:r>
                                  </m:sub>
                                </m:sSub>
                              </m:e>
                            </m:d>
                            <m:r>
                              <a:rPr lang="en-AU" sz="1000" i="1">
                                <a:latin typeface="Cambria Math" panose="02040503050406030204" pitchFamily="18" charset="0"/>
                              </a:rPr>
                              <m:t>×</m:t>
                            </m:r>
                            <m:r>
                              <a:rPr lang="en-AU" sz="1000" i="1">
                                <a:latin typeface="Cambria Math" panose="02040503050406030204" pitchFamily="18" charset="0"/>
                              </a:rPr>
                              <m:t>𝐸</m:t>
                            </m:r>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𝑓</m:t>
                                </m:r>
                              </m:sub>
                            </m:sSub>
                          </m:e>
                        </m:d>
                      </m:e>
                    </m:nary>
                  </m:oMath>
                </m:oMathPara>
              </a14:m>
              <a:endParaRPr lang="en-AU" sz="1000"/>
            </a:p>
          </xdr:txBody>
        </xdr:sp>
      </mc:Choice>
      <mc:Fallback xmlns="">
        <xdr:sp macro="" textlink="">
          <xdr:nvSpPr>
            <xdr:cNvPr id="20" name="TextBox 19">
              <a:extLst>
                <a:ext uri="{FF2B5EF4-FFF2-40B4-BE49-F238E27FC236}">
                  <a16:creationId xmlns:a16="http://schemas.microsoft.com/office/drawing/2014/main" id="{403E3A6A-5887-4F5F-9075-2824CDA43E8E}"/>
                </a:ext>
              </a:extLst>
            </xdr:cNvPr>
            <xdr:cNvSpPr txBox="1"/>
          </xdr:nvSpPr>
          <xdr:spPr>
            <a:xfrm>
              <a:off x="3068732" y="137744387"/>
              <a:ext cx="1725537" cy="3320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𝐸=∑2_𝑓▒((𝑊_𝑓×𝐷_𝑓 )×𝐸𝐹_𝑓 ) </a:t>
              </a:r>
              <a:endParaRPr lang="en-AU" sz="1000"/>
            </a:p>
          </xdr:txBody>
        </xdr:sp>
      </mc:Fallback>
    </mc:AlternateContent>
    <xdr:clientData/>
  </xdr:oneCellAnchor>
  <xdr:oneCellAnchor>
    <xdr:from>
      <xdr:col>3</xdr:col>
      <xdr:colOff>25919</xdr:colOff>
      <xdr:row>169</xdr:row>
      <xdr:rowOff>143567</xdr:rowOff>
    </xdr:from>
    <xdr:ext cx="1191032" cy="332079"/>
    <mc:AlternateContent xmlns:mc="http://schemas.openxmlformats.org/markup-compatibility/2006" xmlns:a14="http://schemas.microsoft.com/office/drawing/2010/main">
      <mc:Choice Requires="a14">
        <xdr:sp macro="" textlink="">
          <xdr:nvSpPr>
            <xdr:cNvPr id="21" name="TextBox 20">
              <a:extLst>
                <a:ext uri="{FF2B5EF4-FFF2-40B4-BE49-F238E27FC236}">
                  <a16:creationId xmlns:a16="http://schemas.microsoft.com/office/drawing/2014/main" id="{F30067C2-1589-4801-B322-83A861405CEC}"/>
                </a:ext>
              </a:extLst>
            </xdr:cNvPr>
            <xdr:cNvSpPr txBox="1"/>
          </xdr:nvSpPr>
          <xdr:spPr>
            <a:xfrm>
              <a:off x="3064394" y="42129767"/>
              <a:ext cx="1191032"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000" i="1">
                        <a:latin typeface="Cambria Math" panose="02040503050406030204" pitchFamily="18" charset="0"/>
                      </a:rPr>
                      <m:t>𝐸</m:t>
                    </m:r>
                    <m:r>
                      <a:rPr lang="en-AU" sz="1000" i="1">
                        <a:latin typeface="Cambria Math" panose="02040503050406030204" pitchFamily="18" charset="0"/>
                      </a:rPr>
                      <m:t>=</m:t>
                    </m:r>
                    <m:nary>
                      <m:naryPr>
                        <m:chr m:val="∑"/>
                        <m:limLoc m:val="subSup"/>
                        <m:supHide m:val="on"/>
                        <m:ctrlPr>
                          <a:rPr lang="en-AU" sz="1000" i="1">
                            <a:latin typeface="Cambria Math" panose="02040503050406030204" pitchFamily="18" charset="0"/>
                          </a:rPr>
                        </m:ctrlPr>
                      </m:naryPr>
                      <m:sub>
                        <m:r>
                          <a:rPr lang="en-AU" sz="1000" i="1">
                            <a:latin typeface="Cambria Math" panose="02040503050406030204" pitchFamily="18" charset="0"/>
                          </a:rPr>
                          <m:t>𝑗</m:t>
                        </m:r>
                      </m:sub>
                      <m:sup/>
                      <m:e>
                        <m:d>
                          <m:dPr>
                            <m:ctrlPr>
                              <a:rPr lang="en-AU" sz="1000" i="1">
                                <a:latin typeface="Cambria Math" panose="02040503050406030204" pitchFamily="18" charset="0"/>
                              </a:rPr>
                            </m:ctrlPr>
                          </m:dPr>
                          <m:e>
                            <m:sSub>
                              <m:sSubPr>
                                <m:ctrlPr>
                                  <a:rPr lang="en-AU" sz="1000" i="1">
                                    <a:latin typeface="Cambria Math" panose="02040503050406030204" pitchFamily="18" charset="0"/>
                                  </a:rPr>
                                </m:ctrlPr>
                              </m:sSubPr>
                              <m:e>
                                <m:r>
                                  <a:rPr lang="en-AU" sz="1000" i="1">
                                    <a:latin typeface="Cambria Math" panose="02040503050406030204" pitchFamily="18" charset="0"/>
                                  </a:rPr>
                                  <m:t>𝑄</m:t>
                                </m:r>
                              </m:e>
                              <m:sub>
                                <m:r>
                                  <a:rPr lang="en-AU" sz="1000" i="1">
                                    <a:latin typeface="Cambria Math" panose="02040503050406030204" pitchFamily="18" charset="0"/>
                                  </a:rPr>
                                  <m:t>𝑗</m:t>
                                </m:r>
                              </m:sub>
                            </m:sSub>
                            <m:r>
                              <a:rPr lang="en-AU" sz="1000" i="1">
                                <a:latin typeface="Cambria Math" panose="02040503050406030204" pitchFamily="18" charset="0"/>
                              </a:rPr>
                              <m:t>×</m:t>
                            </m:r>
                            <m:r>
                              <a:rPr lang="en-AU" sz="1000" i="1">
                                <a:latin typeface="Cambria Math" panose="02040503050406030204" pitchFamily="18" charset="0"/>
                              </a:rPr>
                              <m:t>𝐸</m:t>
                            </m:r>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𝑗</m:t>
                                </m:r>
                              </m:sub>
                            </m:sSub>
                          </m:e>
                        </m:d>
                      </m:e>
                    </m:nary>
                  </m:oMath>
                </m:oMathPara>
              </a14:m>
              <a:endParaRPr lang="en-AU" sz="1000"/>
            </a:p>
          </xdr:txBody>
        </xdr:sp>
      </mc:Choice>
      <mc:Fallback xmlns="">
        <xdr:sp macro="" textlink="">
          <xdr:nvSpPr>
            <xdr:cNvPr id="21" name="TextBox 20">
              <a:extLst>
                <a:ext uri="{FF2B5EF4-FFF2-40B4-BE49-F238E27FC236}">
                  <a16:creationId xmlns:a16="http://schemas.microsoft.com/office/drawing/2014/main" id="{F30067C2-1589-4801-B322-83A861405CEC}"/>
                </a:ext>
              </a:extLst>
            </xdr:cNvPr>
            <xdr:cNvSpPr txBox="1"/>
          </xdr:nvSpPr>
          <xdr:spPr>
            <a:xfrm>
              <a:off x="3064394" y="42129767"/>
              <a:ext cx="1191032"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𝐸=∑2_𝑗▒(𝑄_𝑗×𝐸𝐹_𝑗 ) </a:t>
              </a:r>
              <a:endParaRPr lang="en-AU" sz="1000"/>
            </a:p>
          </xdr:txBody>
        </xdr:sp>
      </mc:Fallback>
    </mc:AlternateContent>
    <xdr:clientData/>
  </xdr:oneCellAnchor>
  <xdr:oneCellAnchor>
    <xdr:from>
      <xdr:col>5</xdr:col>
      <xdr:colOff>263673</xdr:colOff>
      <xdr:row>101</xdr:row>
      <xdr:rowOff>23824</xdr:rowOff>
    </xdr:from>
    <xdr:ext cx="1703480" cy="200696"/>
    <mc:AlternateContent xmlns:mc="http://schemas.openxmlformats.org/markup-compatibility/2006" xmlns:a14="http://schemas.microsoft.com/office/drawing/2010/main">
      <mc:Choice Requires="a14">
        <xdr:sp macro="" textlink="">
          <xdr:nvSpPr>
            <xdr:cNvPr id="22" name="TextBox 21">
              <a:extLst>
                <a:ext uri="{FF2B5EF4-FFF2-40B4-BE49-F238E27FC236}">
                  <a16:creationId xmlns:a16="http://schemas.microsoft.com/office/drawing/2014/main" id="{FC6BD1A5-3904-4779-BE13-1A75A305998E}"/>
                </a:ext>
              </a:extLst>
            </xdr:cNvPr>
            <xdr:cNvSpPr txBox="1"/>
          </xdr:nvSpPr>
          <xdr:spPr>
            <a:xfrm>
              <a:off x="7969398" y="25169824"/>
              <a:ext cx="1703480" cy="2006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000" b="1">
                  <a:solidFill>
                    <a:srgbClr val="FF0000"/>
                  </a:solidFill>
                </a:rPr>
                <a:t>ORIGINAL: </a:t>
              </a:r>
              <a14:m>
                <m:oMath xmlns:m="http://schemas.openxmlformats.org/officeDocument/2006/math">
                  <m:r>
                    <a:rPr lang="en-AU" sz="1000" i="1">
                      <a:latin typeface="Cambria Math" panose="02040503050406030204" pitchFamily="18" charset="0"/>
                    </a:rPr>
                    <m:t>𝐸</m:t>
                  </m:r>
                  <m:r>
                    <a:rPr lang="en-AU" sz="1000" i="1">
                      <a:latin typeface="Cambria Math" panose="02040503050406030204" pitchFamily="18" charset="0"/>
                    </a:rPr>
                    <m:t>=</m:t>
                  </m:r>
                  <m:nary>
                    <m:naryPr>
                      <m:chr m:val="∑"/>
                      <m:limLoc m:val="subSup"/>
                      <m:supHide m:val="on"/>
                      <m:ctrlPr>
                        <a:rPr lang="en-AU" sz="1000" i="1">
                          <a:latin typeface="Cambria Math" panose="02040503050406030204" pitchFamily="18" charset="0"/>
                        </a:rPr>
                      </m:ctrlPr>
                    </m:naryPr>
                    <m:sub>
                      <m:r>
                        <a:rPr lang="en-AU" sz="1000" i="1">
                          <a:latin typeface="Cambria Math" panose="02040503050406030204" pitchFamily="18" charset="0"/>
                        </a:rPr>
                        <m:t>𝑗</m:t>
                      </m:r>
                    </m:sub>
                    <m:sup/>
                    <m:e>
                      <m:d>
                        <m:dPr>
                          <m:ctrlPr>
                            <a:rPr lang="en-AU" sz="1000" i="1">
                              <a:latin typeface="Cambria Math" panose="02040503050406030204" pitchFamily="18" charset="0"/>
                            </a:rPr>
                          </m:ctrlPr>
                        </m:dPr>
                        <m:e>
                          <m:sSub>
                            <m:sSubPr>
                              <m:ctrlPr>
                                <a:rPr lang="en-AU" sz="1000" i="1">
                                  <a:latin typeface="Cambria Math" panose="02040503050406030204" pitchFamily="18" charset="0"/>
                                </a:rPr>
                              </m:ctrlPr>
                            </m:sSubPr>
                            <m:e>
                              <m:r>
                                <a:rPr lang="en-AU" sz="1000" i="1">
                                  <a:latin typeface="Cambria Math" panose="02040503050406030204" pitchFamily="18" charset="0"/>
                                </a:rPr>
                                <m:t>𝑄</m:t>
                              </m:r>
                            </m:e>
                            <m:sub>
                              <m:r>
                                <a:rPr lang="en-AU" sz="1000" i="1">
                                  <a:latin typeface="Cambria Math" panose="02040503050406030204" pitchFamily="18" charset="0"/>
                                </a:rPr>
                                <m:t>𝑗</m:t>
                              </m:r>
                            </m:sub>
                          </m:sSub>
                          <m:r>
                            <a:rPr lang="en-AU" sz="1000" i="1">
                              <a:latin typeface="Cambria Math" panose="02040503050406030204" pitchFamily="18" charset="0"/>
                            </a:rPr>
                            <m:t>×</m:t>
                          </m:r>
                          <m:r>
                            <a:rPr lang="en-AU" sz="1000" i="1">
                              <a:latin typeface="Cambria Math" panose="02040503050406030204" pitchFamily="18" charset="0"/>
                            </a:rPr>
                            <m:t>𝐸</m:t>
                          </m:r>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𝑗</m:t>
                              </m:r>
                            </m:sub>
                          </m:sSub>
                        </m:e>
                      </m:d>
                    </m:e>
                  </m:nary>
                </m:oMath>
              </a14:m>
              <a:endParaRPr lang="en-AU" sz="1000"/>
            </a:p>
          </xdr:txBody>
        </xdr:sp>
      </mc:Choice>
      <mc:Fallback xmlns="">
        <xdr:sp macro="" textlink="">
          <xdr:nvSpPr>
            <xdr:cNvPr id="22" name="TextBox 21">
              <a:extLst>
                <a:ext uri="{FF2B5EF4-FFF2-40B4-BE49-F238E27FC236}">
                  <a16:creationId xmlns:a16="http://schemas.microsoft.com/office/drawing/2014/main" id="{FC6BD1A5-3904-4779-BE13-1A75A305998E}"/>
                </a:ext>
              </a:extLst>
            </xdr:cNvPr>
            <xdr:cNvSpPr txBox="1"/>
          </xdr:nvSpPr>
          <xdr:spPr>
            <a:xfrm>
              <a:off x="7969398" y="25169824"/>
              <a:ext cx="1703480" cy="2006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000" b="1">
                  <a:solidFill>
                    <a:srgbClr val="FF0000"/>
                  </a:solidFill>
                </a:rPr>
                <a:t>ORIGINAL: </a:t>
              </a:r>
              <a:r>
                <a:rPr lang="en-AU" sz="1000" i="0">
                  <a:latin typeface="Cambria Math" panose="02040503050406030204" pitchFamily="18" charset="0"/>
                </a:rPr>
                <a:t>𝐸=∑2_𝑗▒(𝑄_𝑗×𝐸𝐹_𝑗 ) </a:t>
              </a:r>
              <a:endParaRPr lang="en-AU" sz="1000"/>
            </a:p>
          </xdr:txBody>
        </xdr:sp>
      </mc:Fallback>
    </mc:AlternateContent>
    <xdr:clientData/>
  </xdr:oneCellAnchor>
  <xdr:oneCellAnchor>
    <xdr:from>
      <xdr:col>4</xdr:col>
      <xdr:colOff>437030</xdr:colOff>
      <xdr:row>166</xdr:row>
      <xdr:rowOff>22412</xdr:rowOff>
    </xdr:from>
    <xdr:ext cx="1832746" cy="173766"/>
    <mc:AlternateContent xmlns:mc="http://schemas.openxmlformats.org/markup-compatibility/2006" xmlns:a14="http://schemas.microsoft.com/office/drawing/2010/main">
      <mc:Choice Requires="a14">
        <xdr:sp macro="" textlink="">
          <xdr:nvSpPr>
            <xdr:cNvPr id="23" name="TextBox 22">
              <a:extLst>
                <a:ext uri="{FF2B5EF4-FFF2-40B4-BE49-F238E27FC236}">
                  <a16:creationId xmlns:a16="http://schemas.microsoft.com/office/drawing/2014/main" id="{EEF05C4B-52BA-4945-A78A-E10B7193A9D2}"/>
                </a:ext>
              </a:extLst>
            </xdr:cNvPr>
            <xdr:cNvSpPr txBox="1"/>
          </xdr:nvSpPr>
          <xdr:spPr>
            <a:xfrm>
              <a:off x="5809130" y="41265662"/>
              <a:ext cx="1832746" cy="1737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000" b="1">
                  <a:solidFill>
                    <a:srgbClr val="FF0000"/>
                  </a:solidFill>
                </a:rPr>
                <a:t>ORIGINAL:</a:t>
              </a:r>
              <a:r>
                <a:rPr lang="en-AU" sz="1000"/>
                <a:t> </a:t>
              </a:r>
              <a14:m>
                <m:oMath xmlns:m="http://schemas.openxmlformats.org/officeDocument/2006/math">
                  <m:r>
                    <a:rPr lang="en-AU" sz="1000" i="1">
                      <a:latin typeface="Cambria Math" panose="02040503050406030204" pitchFamily="18" charset="0"/>
                    </a:rPr>
                    <m:t>𝐸</m:t>
                  </m:r>
                  <m:r>
                    <a:rPr lang="en-AU" sz="1000" i="1">
                      <a:latin typeface="Cambria Math" panose="02040503050406030204" pitchFamily="18" charset="0"/>
                    </a:rPr>
                    <m:t>=</m:t>
                  </m:r>
                  <m:nary>
                    <m:naryPr>
                      <m:chr m:val="∑"/>
                      <m:limLoc m:val="subSup"/>
                      <m:supHide m:val="on"/>
                      <m:ctrlPr>
                        <a:rPr lang="en-AU" sz="1000" i="1">
                          <a:latin typeface="Cambria Math" panose="02040503050406030204" pitchFamily="18" charset="0"/>
                        </a:rPr>
                      </m:ctrlPr>
                    </m:naryPr>
                    <m:sub>
                      <m:r>
                        <a:rPr lang="en-AU" sz="1000" i="1">
                          <a:latin typeface="Cambria Math" panose="02040503050406030204" pitchFamily="18" charset="0"/>
                        </a:rPr>
                        <m:t>𝑚</m:t>
                      </m:r>
                    </m:sub>
                    <m:sup/>
                    <m:e>
                      <m:d>
                        <m:dPr>
                          <m:ctrlPr>
                            <a:rPr lang="en-AU" sz="1000" i="1">
                              <a:latin typeface="Cambria Math" panose="02040503050406030204" pitchFamily="18" charset="0"/>
                            </a:rPr>
                          </m:ctrlPr>
                        </m:dPr>
                        <m:e>
                          <m:sSub>
                            <m:sSubPr>
                              <m:ctrlPr>
                                <a:rPr lang="en-AU" sz="1000" i="1">
                                  <a:latin typeface="Cambria Math" panose="02040503050406030204" pitchFamily="18" charset="0"/>
                                </a:rPr>
                              </m:ctrlPr>
                            </m:sSubPr>
                            <m:e>
                              <m:r>
                                <a:rPr lang="en-AU" sz="1000" i="1">
                                  <a:latin typeface="Cambria Math" panose="02040503050406030204" pitchFamily="18" charset="0"/>
                                </a:rPr>
                                <m:t>𝑄</m:t>
                              </m:r>
                            </m:e>
                            <m:sub>
                              <m:r>
                                <a:rPr lang="en-AU" sz="1000" i="1">
                                  <a:latin typeface="Cambria Math" panose="02040503050406030204" pitchFamily="18" charset="0"/>
                                </a:rPr>
                                <m:t>𝑚</m:t>
                              </m:r>
                            </m:sub>
                          </m:sSub>
                          <m:r>
                            <a:rPr lang="en-AU" sz="1000" i="1">
                              <a:latin typeface="Cambria Math" panose="02040503050406030204" pitchFamily="18" charset="0"/>
                            </a:rPr>
                            <m:t>×</m:t>
                          </m:r>
                          <m:r>
                            <a:rPr lang="en-AU" sz="1000" i="1">
                              <a:latin typeface="Cambria Math" panose="02040503050406030204" pitchFamily="18" charset="0"/>
                            </a:rPr>
                            <m:t>𝐸</m:t>
                          </m:r>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𝑚</m:t>
                              </m:r>
                            </m:sub>
                          </m:sSub>
                        </m:e>
                      </m:d>
                    </m:e>
                  </m:nary>
                </m:oMath>
              </a14:m>
              <a:endParaRPr lang="en-AU" sz="1000"/>
            </a:p>
          </xdr:txBody>
        </xdr:sp>
      </mc:Choice>
      <mc:Fallback xmlns="">
        <xdr:sp macro="" textlink="">
          <xdr:nvSpPr>
            <xdr:cNvPr id="23" name="TextBox 22">
              <a:extLst>
                <a:ext uri="{FF2B5EF4-FFF2-40B4-BE49-F238E27FC236}">
                  <a16:creationId xmlns:a16="http://schemas.microsoft.com/office/drawing/2014/main" id="{EEF05C4B-52BA-4945-A78A-E10B7193A9D2}"/>
                </a:ext>
              </a:extLst>
            </xdr:cNvPr>
            <xdr:cNvSpPr txBox="1"/>
          </xdr:nvSpPr>
          <xdr:spPr>
            <a:xfrm>
              <a:off x="5809130" y="41265662"/>
              <a:ext cx="1832746" cy="1737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000" b="1">
                  <a:solidFill>
                    <a:srgbClr val="FF0000"/>
                  </a:solidFill>
                </a:rPr>
                <a:t>ORIGINAL:</a:t>
              </a:r>
              <a:r>
                <a:rPr lang="en-AU" sz="1000"/>
                <a:t> </a:t>
              </a:r>
              <a:r>
                <a:rPr lang="en-AU" sz="1000" i="0">
                  <a:latin typeface="Cambria Math" panose="02040503050406030204" pitchFamily="18" charset="0"/>
                </a:rPr>
                <a:t>𝐸=∑2_𝑚▒(𝑄_𝑚×𝐸𝐹_𝑚 ) </a:t>
              </a:r>
              <a:endParaRPr lang="en-AU" sz="1000"/>
            </a:p>
          </xdr:txBody>
        </xdr:sp>
      </mc:Fallback>
    </mc:AlternateContent>
    <xdr:clientData/>
  </xdr:oneCellAnchor>
</xdr:wsDr>
</file>

<file path=xl/drawings/drawing21.xml><?xml version="1.0" encoding="utf-8"?>
<xdr:wsDr xmlns:xdr="http://schemas.openxmlformats.org/drawingml/2006/spreadsheetDrawing" xmlns:a="http://schemas.openxmlformats.org/drawingml/2006/main">
  <xdr:oneCellAnchor>
    <xdr:from>
      <xdr:col>3</xdr:col>
      <xdr:colOff>4762</xdr:colOff>
      <xdr:row>7</xdr:row>
      <xdr:rowOff>66675</xdr:rowOff>
    </xdr:from>
    <xdr:ext cx="3299749" cy="429926"/>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C3EA9422-1B18-492B-A9E7-FCB7B54B1FA2}"/>
                </a:ext>
              </a:extLst>
            </xdr:cNvPr>
            <xdr:cNvSpPr txBox="1"/>
          </xdr:nvSpPr>
          <xdr:spPr>
            <a:xfrm>
              <a:off x="3043237" y="1933575"/>
              <a:ext cx="3299749"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000" i="1">
                            <a:latin typeface="Cambria Math" panose="02040503050406030204" pitchFamily="18" charset="0"/>
                          </a:rPr>
                        </m:ctrlPr>
                      </m:sSubPr>
                      <m:e>
                        <m:r>
                          <a:rPr lang="en-AU" sz="1000" i="1">
                            <a:latin typeface="Cambria Math" panose="02040503050406030204" pitchFamily="18" charset="0"/>
                          </a:rPr>
                          <m:t>𝐸</m:t>
                        </m:r>
                      </m:e>
                      <m:sub>
                        <m:r>
                          <a:rPr lang="en-AU" sz="1000" i="1">
                            <a:latin typeface="Cambria Math" panose="02040503050406030204" pitchFamily="18" charset="0"/>
                          </a:rPr>
                          <m:t>𝑁</m:t>
                        </m:r>
                        <m:r>
                          <a:rPr lang="en-AU" sz="1000" i="1">
                            <a:latin typeface="Cambria Math" panose="02040503050406030204" pitchFamily="18" charset="0"/>
                          </a:rPr>
                          <m:t>2</m:t>
                        </m:r>
                        <m:r>
                          <a:rPr lang="en-AU" sz="1000" i="1">
                            <a:latin typeface="Cambria Math" panose="02040503050406030204" pitchFamily="18" charset="0"/>
                          </a:rPr>
                          <m:t>𝑂</m:t>
                        </m:r>
                      </m:sub>
                    </m:sSub>
                    <m:r>
                      <a:rPr lang="en-AU" sz="1000" i="1">
                        <a:latin typeface="Cambria Math" panose="02040503050406030204" pitchFamily="18" charset="0"/>
                      </a:rPr>
                      <m:t>=</m:t>
                    </m:r>
                    <m:nary>
                      <m:naryPr>
                        <m:chr m:val="∑"/>
                        <m:supHide m:val="on"/>
                        <m:ctrlPr>
                          <a:rPr lang="en-AU" sz="1000" i="1">
                            <a:latin typeface="Cambria Math" panose="02040503050406030204" pitchFamily="18" charset="0"/>
                          </a:rPr>
                        </m:ctrlPr>
                      </m:naryPr>
                      <m:sub>
                        <m:r>
                          <a:rPr lang="en-AU" sz="1000" i="1">
                            <a:latin typeface="Cambria Math" panose="02040503050406030204" pitchFamily="18" charset="0"/>
                          </a:rPr>
                          <m:t>𝑗</m:t>
                        </m:r>
                      </m:sub>
                      <m:sup/>
                      <m:e>
                        <m:nary>
                          <m:naryPr>
                            <m:chr m:val="∑"/>
                            <m:supHide m:val="on"/>
                            <m:ctrlPr>
                              <a:rPr lang="en-AU" sz="1000" i="1">
                                <a:latin typeface="Cambria Math" panose="02040503050406030204" pitchFamily="18" charset="0"/>
                              </a:rPr>
                            </m:ctrlPr>
                          </m:naryPr>
                          <m:sub>
                            <m:r>
                              <a:rPr lang="en-AU" sz="1000" i="1">
                                <a:latin typeface="Cambria Math" panose="02040503050406030204" pitchFamily="18" charset="0"/>
                              </a:rPr>
                              <m:t>𝑓</m:t>
                            </m:r>
                          </m:sub>
                          <m:sup/>
                          <m:e>
                            <m:d>
                              <m:dPr>
                                <m:ctrlPr>
                                  <a:rPr lang="en-AU" sz="1000" i="1">
                                    <a:latin typeface="Cambria Math" panose="02040503050406030204" pitchFamily="18" charset="0"/>
                                  </a:rPr>
                                </m:ctrlPr>
                              </m:dPr>
                              <m:e>
                                <m:d>
                                  <m:dPr>
                                    <m:ctrlPr>
                                      <a:rPr lang="en-AU" sz="1000" i="1">
                                        <a:latin typeface="Cambria Math" panose="02040503050406030204" pitchFamily="18" charset="0"/>
                                      </a:rPr>
                                    </m:ctrlPr>
                                  </m:dPr>
                                  <m:e>
                                    <m:r>
                                      <a:rPr lang="en-AU" sz="1000" i="1">
                                        <a:latin typeface="Cambria Math" panose="02040503050406030204" pitchFamily="18" charset="0"/>
                                      </a:rPr>
                                      <m:t>𝑀𝑁𝑆𝑜𝑖</m:t>
                                    </m:r>
                                    <m:sSub>
                                      <m:sSubPr>
                                        <m:ctrlPr>
                                          <a:rPr lang="en-AU" sz="1000" i="1">
                                            <a:latin typeface="Cambria Math" panose="02040503050406030204" pitchFamily="18" charset="0"/>
                                          </a:rPr>
                                        </m:ctrlPr>
                                      </m:sSubPr>
                                      <m:e>
                                        <m:r>
                                          <a:rPr lang="en-AU" sz="1000" i="1">
                                            <a:latin typeface="Cambria Math" panose="02040503050406030204" pitchFamily="18" charset="0"/>
                                          </a:rPr>
                                          <m:t>𝑙</m:t>
                                        </m:r>
                                      </m:e>
                                      <m:sub>
                                        <m:r>
                                          <a:rPr lang="en-AU" sz="1000" i="1">
                                            <a:latin typeface="Cambria Math" panose="02040503050406030204" pitchFamily="18" charset="0"/>
                                          </a:rPr>
                                          <m:t>𝑗𝑓</m:t>
                                        </m:r>
                                      </m:sub>
                                    </m:sSub>
                                    <m:r>
                                      <a:rPr lang="en-AU" sz="1000" i="1">
                                        <a:latin typeface="Cambria Math" panose="02040503050406030204" pitchFamily="18" charset="0"/>
                                      </a:rPr>
                                      <m:t>×</m:t>
                                    </m:r>
                                    <m:r>
                                      <a:rPr lang="en-AU" sz="1000" i="1">
                                        <a:latin typeface="Cambria Math" panose="02040503050406030204" pitchFamily="18" charset="0"/>
                                      </a:rPr>
                                      <m:t>𝐸</m:t>
                                    </m:r>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𝑁</m:t>
                                        </m:r>
                                        <m:r>
                                          <a:rPr lang="en-AU" sz="1000" i="1">
                                            <a:latin typeface="Cambria Math" panose="02040503050406030204" pitchFamily="18" charset="0"/>
                                          </a:rPr>
                                          <m:t>2</m:t>
                                        </m:r>
                                        <m:r>
                                          <a:rPr lang="en-AU" sz="1000" i="1">
                                            <a:latin typeface="Cambria Math" panose="02040503050406030204" pitchFamily="18" charset="0"/>
                                          </a:rPr>
                                          <m:t>𝑂</m:t>
                                        </m:r>
                                        <m:r>
                                          <a:rPr lang="en-AU" sz="1000" i="1">
                                            <a:latin typeface="Cambria Math" panose="02040503050406030204" pitchFamily="18" charset="0"/>
                                          </a:rPr>
                                          <m:t>,</m:t>
                                        </m:r>
                                        <m:r>
                                          <a:rPr lang="en-AU" sz="1000" i="1">
                                            <a:latin typeface="Cambria Math" panose="02040503050406030204" pitchFamily="18" charset="0"/>
                                          </a:rPr>
                                          <m:t>𝑖</m:t>
                                        </m:r>
                                      </m:sub>
                                    </m:sSub>
                                    <m:r>
                                      <a:rPr lang="en-AU" sz="1000" i="1">
                                        <a:latin typeface="Cambria Math" panose="02040503050406030204" pitchFamily="18" charset="0"/>
                                      </a:rPr>
                                      <m:t>×</m:t>
                                    </m:r>
                                    <m:sSub>
                                      <m:sSubPr>
                                        <m:ctrlPr>
                                          <a:rPr lang="en-AU" sz="1000" i="1">
                                            <a:latin typeface="Cambria Math" panose="02040503050406030204" pitchFamily="18" charset="0"/>
                                          </a:rPr>
                                        </m:ctrlPr>
                                      </m:sSubPr>
                                      <m:e>
                                        <m:r>
                                          <a:rPr lang="en-AU" sz="1000" i="1">
                                            <a:latin typeface="Cambria Math" panose="02040503050406030204" pitchFamily="18" charset="0"/>
                                          </a:rPr>
                                          <m:t>𝐶</m:t>
                                        </m:r>
                                      </m:e>
                                      <m:sub>
                                        <m:r>
                                          <a:rPr lang="en-AU" sz="1000" i="1">
                                            <a:latin typeface="Cambria Math" panose="02040503050406030204" pitchFamily="18" charset="0"/>
                                          </a:rPr>
                                          <m:t>𝑁</m:t>
                                        </m:r>
                                        <m:r>
                                          <a:rPr lang="en-AU" sz="1000" i="1">
                                            <a:latin typeface="Cambria Math" panose="02040503050406030204" pitchFamily="18" charset="0"/>
                                          </a:rPr>
                                          <m:t>2</m:t>
                                        </m:r>
                                        <m:r>
                                          <a:rPr lang="en-AU" sz="1000" i="1">
                                            <a:latin typeface="Cambria Math" panose="02040503050406030204" pitchFamily="18" charset="0"/>
                                          </a:rPr>
                                          <m:t>𝑂</m:t>
                                        </m:r>
                                      </m:sub>
                                    </m:sSub>
                                  </m:e>
                                </m:d>
                                <m:r>
                                  <a:rPr lang="en-AU" sz="1000" i="1">
                                    <a:latin typeface="Cambria Math" panose="02040503050406030204" pitchFamily="18" charset="0"/>
                                  </a:rPr>
                                  <m:t>×</m:t>
                                </m:r>
                                <m:sSup>
                                  <m:sSupPr>
                                    <m:ctrlPr>
                                      <a:rPr lang="en-AU" sz="1000" i="1">
                                        <a:latin typeface="Cambria Math" panose="02040503050406030204" pitchFamily="18" charset="0"/>
                                      </a:rPr>
                                    </m:ctrlPr>
                                  </m:sSupPr>
                                  <m:e>
                                    <m:r>
                                      <a:rPr lang="en-AU" sz="1000" i="1">
                                        <a:latin typeface="Cambria Math" panose="02040503050406030204" pitchFamily="18" charset="0"/>
                                      </a:rPr>
                                      <m:t>10</m:t>
                                    </m:r>
                                  </m:e>
                                  <m:sup>
                                    <m:r>
                                      <a:rPr lang="en-AU" sz="1000" i="1">
                                        <a:latin typeface="Cambria Math" panose="02040503050406030204" pitchFamily="18" charset="0"/>
                                      </a:rPr>
                                      <m:t>−3</m:t>
                                    </m:r>
                                  </m:sup>
                                </m:sSup>
                              </m:e>
                            </m:d>
                          </m:e>
                        </m:nary>
                      </m:e>
                    </m:nary>
                  </m:oMath>
                </m:oMathPara>
              </a14:m>
              <a:endParaRPr lang="en-AU" sz="1000"/>
            </a:p>
          </xdr:txBody>
        </xdr:sp>
      </mc:Choice>
      <mc:Fallback xmlns="">
        <xdr:sp macro="" textlink="">
          <xdr:nvSpPr>
            <xdr:cNvPr id="2" name="TextBox 1">
              <a:extLst>
                <a:ext uri="{FF2B5EF4-FFF2-40B4-BE49-F238E27FC236}">
                  <a16:creationId xmlns:a16="http://schemas.microsoft.com/office/drawing/2014/main" id="{C3EA9422-1B18-492B-A9E7-FCB7B54B1FA2}"/>
                </a:ext>
              </a:extLst>
            </xdr:cNvPr>
            <xdr:cNvSpPr txBox="1"/>
          </xdr:nvSpPr>
          <xdr:spPr>
            <a:xfrm>
              <a:off x="3043237" y="1933575"/>
              <a:ext cx="3299749"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𝐸_𝑁2𝑂=∑_𝑗▒∑_𝑓▒((𝑀𝑁𝑆𝑜𝑖𝑙_𝑗𝑓×𝐸𝐹_(𝑁2𝑂,𝑖)×𝐶_𝑁2𝑂 )×10^(−3) ) </a:t>
              </a:r>
              <a:endParaRPr lang="en-AU" sz="1000"/>
            </a:p>
          </xdr:txBody>
        </xdr:sp>
      </mc:Fallback>
    </mc:AlternateContent>
    <xdr:clientData/>
  </xdr:oneCellAnchor>
  <xdr:oneCellAnchor>
    <xdr:from>
      <xdr:col>3</xdr:col>
      <xdr:colOff>4762</xdr:colOff>
      <xdr:row>26</xdr:row>
      <xdr:rowOff>66675</xdr:rowOff>
    </xdr:from>
    <xdr:ext cx="2649059" cy="182999"/>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74CC4064-1BDA-4AF1-9347-99EE150BD7EB}"/>
                </a:ext>
              </a:extLst>
            </xdr:cNvPr>
            <xdr:cNvSpPr txBox="1"/>
          </xdr:nvSpPr>
          <xdr:spPr>
            <a:xfrm>
              <a:off x="3043237" y="6638925"/>
              <a:ext cx="2649059" cy="1829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000" i="1">
                            <a:latin typeface="Cambria Math" panose="02040503050406030204" pitchFamily="18" charset="0"/>
                          </a:rPr>
                        </m:ctrlPr>
                      </m:sSubPr>
                      <m:e>
                        <m:r>
                          <a:rPr lang="en-AU" sz="1000" i="1">
                            <a:latin typeface="Cambria Math" panose="02040503050406030204" pitchFamily="18" charset="0"/>
                          </a:rPr>
                          <m:t>𝑀</m:t>
                        </m:r>
                      </m:e>
                      <m:sub>
                        <m:r>
                          <a:rPr lang="en-AU" sz="1000" i="1">
                            <a:latin typeface="Cambria Math" panose="02040503050406030204" pitchFamily="18" charset="0"/>
                          </a:rPr>
                          <m:t>𝑣𝑜𝑙</m:t>
                        </m:r>
                        <m:r>
                          <a:rPr lang="en-AU" sz="1000" i="1">
                            <a:latin typeface="Cambria Math" panose="02040503050406030204" pitchFamily="18" charset="0"/>
                          </a:rPr>
                          <m:t>,</m:t>
                        </m:r>
                        <m:r>
                          <a:rPr lang="en-AU" sz="1000" i="1">
                            <a:latin typeface="Cambria Math" panose="02040503050406030204" pitchFamily="18" charset="0"/>
                          </a:rPr>
                          <m:t>𝑜𝑟𝑔𝑎𝑛𝑖𝑐</m:t>
                        </m:r>
                        <m:r>
                          <a:rPr lang="en-AU" sz="1000" i="1">
                            <a:latin typeface="Cambria Math" panose="02040503050406030204" pitchFamily="18" charset="0"/>
                          </a:rPr>
                          <m:t>,</m:t>
                        </m:r>
                        <m:r>
                          <a:rPr lang="en-AU" sz="1000" i="1">
                            <a:latin typeface="Cambria Math" panose="02040503050406030204" pitchFamily="18" charset="0"/>
                          </a:rPr>
                          <m:t>𝑗𝑓</m:t>
                        </m:r>
                      </m:sub>
                    </m:sSub>
                    <m:r>
                      <a:rPr lang="en-AU" sz="1000" i="1">
                        <a:latin typeface="Cambria Math" panose="02040503050406030204" pitchFamily="18" charset="0"/>
                      </a:rPr>
                      <m:t>=</m:t>
                    </m:r>
                    <m:r>
                      <a:rPr lang="en-AU" sz="1000" i="1">
                        <a:latin typeface="Cambria Math" panose="02040503050406030204" pitchFamily="18" charset="0"/>
                      </a:rPr>
                      <m:t>𝑀𝑁𝑆𝑜𝑖</m:t>
                    </m:r>
                    <m:sSub>
                      <m:sSubPr>
                        <m:ctrlPr>
                          <a:rPr lang="en-AU" sz="1000" i="1">
                            <a:latin typeface="Cambria Math" panose="02040503050406030204" pitchFamily="18" charset="0"/>
                          </a:rPr>
                        </m:ctrlPr>
                      </m:sSubPr>
                      <m:e>
                        <m:r>
                          <a:rPr lang="en-AU" sz="1000" i="1">
                            <a:latin typeface="Cambria Math" panose="02040503050406030204" pitchFamily="18" charset="0"/>
                          </a:rPr>
                          <m:t>𝑙</m:t>
                        </m:r>
                      </m:e>
                      <m:sub>
                        <m:r>
                          <a:rPr lang="en-AU" sz="1000" i="1">
                            <a:latin typeface="Cambria Math" panose="02040503050406030204" pitchFamily="18" charset="0"/>
                          </a:rPr>
                          <m:t>𝑗𝑓</m:t>
                        </m:r>
                      </m:sub>
                    </m:sSub>
                    <m:r>
                      <a:rPr lang="en-AU" sz="1000" i="1">
                        <a:latin typeface="Cambria Math" panose="02040503050406030204" pitchFamily="18" charset="0"/>
                      </a:rPr>
                      <m:t>×</m:t>
                    </m:r>
                    <m:r>
                      <a:rPr lang="en-AU" sz="1000" i="1">
                        <a:latin typeface="Cambria Math" panose="02040503050406030204" pitchFamily="18" charset="0"/>
                      </a:rPr>
                      <m:t>𝐹𝑟𝑎𝑐𝐺𝐴𝑆</m:t>
                    </m:r>
                    <m:sSub>
                      <m:sSubPr>
                        <m:ctrlPr>
                          <a:rPr lang="en-AU" sz="1000" i="1">
                            <a:latin typeface="Cambria Math" panose="02040503050406030204" pitchFamily="18" charset="0"/>
                          </a:rPr>
                        </m:ctrlPr>
                      </m:sSubPr>
                      <m:e>
                        <m:r>
                          <a:rPr lang="en-AU" sz="1000" i="1">
                            <a:latin typeface="Cambria Math" panose="02040503050406030204" pitchFamily="18" charset="0"/>
                          </a:rPr>
                          <m:t>𝑀</m:t>
                        </m:r>
                      </m:e>
                      <m:sub>
                        <m:r>
                          <a:rPr lang="en-AU" sz="1000" i="1">
                            <a:latin typeface="Cambria Math" panose="02040503050406030204" pitchFamily="18" charset="0"/>
                          </a:rPr>
                          <m:t>𝑠𝑜𝑖𝑙</m:t>
                        </m:r>
                      </m:sub>
                    </m:sSub>
                  </m:oMath>
                </m:oMathPara>
              </a14:m>
              <a:endParaRPr lang="en-AU" sz="1000"/>
            </a:p>
          </xdr:txBody>
        </xdr:sp>
      </mc:Choice>
      <mc:Fallback xmlns="">
        <xdr:sp macro="" textlink="">
          <xdr:nvSpPr>
            <xdr:cNvPr id="3" name="TextBox 2">
              <a:extLst>
                <a:ext uri="{FF2B5EF4-FFF2-40B4-BE49-F238E27FC236}">
                  <a16:creationId xmlns:a16="http://schemas.microsoft.com/office/drawing/2014/main" id="{74CC4064-1BDA-4AF1-9347-99EE150BD7EB}"/>
                </a:ext>
              </a:extLst>
            </xdr:cNvPr>
            <xdr:cNvSpPr txBox="1"/>
          </xdr:nvSpPr>
          <xdr:spPr>
            <a:xfrm>
              <a:off x="3043237" y="6638925"/>
              <a:ext cx="2649059" cy="1829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𝑀_(𝑣𝑜𝑙,𝑜𝑟𝑔𝑎𝑛𝑖𝑐,𝑗𝑓)=𝑀𝑁𝑆𝑜𝑖𝑙_𝑗𝑓×𝐹𝑟𝑎𝑐𝐺𝐴𝑆𝑀_𝑠𝑜𝑖𝑙</a:t>
              </a:r>
              <a:endParaRPr lang="en-AU" sz="1000"/>
            </a:p>
          </xdr:txBody>
        </xdr:sp>
      </mc:Fallback>
    </mc:AlternateContent>
    <xdr:clientData/>
  </xdr:oneCellAnchor>
  <xdr:oneCellAnchor>
    <xdr:from>
      <xdr:col>3</xdr:col>
      <xdr:colOff>14287</xdr:colOff>
      <xdr:row>42</xdr:row>
      <xdr:rowOff>57150</xdr:rowOff>
    </xdr:from>
    <xdr:ext cx="4040786" cy="332079"/>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BE427B3B-1623-4800-8E7C-A2AAD2F44B7B}"/>
                </a:ext>
              </a:extLst>
            </xdr:cNvPr>
            <xdr:cNvSpPr txBox="1"/>
          </xdr:nvSpPr>
          <xdr:spPr>
            <a:xfrm>
              <a:off x="3052762" y="10591800"/>
              <a:ext cx="4040786"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000" i="1">
                            <a:latin typeface="Cambria Math" panose="02040503050406030204" pitchFamily="18" charset="0"/>
                          </a:rPr>
                        </m:ctrlPr>
                      </m:sSubPr>
                      <m:e>
                        <m:r>
                          <a:rPr lang="en-AU" sz="1000" i="1">
                            <a:latin typeface="Cambria Math" panose="02040503050406030204" pitchFamily="18" charset="0"/>
                          </a:rPr>
                          <m:t>𝐸</m:t>
                        </m:r>
                      </m:e>
                      <m:sub>
                        <m:r>
                          <a:rPr lang="en-AU" sz="1000" i="1">
                            <a:latin typeface="Cambria Math" panose="02040503050406030204" pitchFamily="18" charset="0"/>
                          </a:rPr>
                          <m:t>𝑎𝑑</m:t>
                        </m:r>
                        <m:r>
                          <a:rPr lang="en-AU" sz="1000" i="1">
                            <a:latin typeface="Cambria Math" panose="02040503050406030204" pitchFamily="18" charset="0"/>
                          </a:rPr>
                          <m:t>,</m:t>
                        </m:r>
                        <m:r>
                          <a:rPr lang="en-AU" sz="1000" i="1">
                            <a:latin typeface="Cambria Math" panose="02040503050406030204" pitchFamily="18" charset="0"/>
                          </a:rPr>
                          <m:t>𝑜𝑟𝑔𝑎𝑛𝑖𝑐</m:t>
                        </m:r>
                      </m:sub>
                    </m:sSub>
                    <m:r>
                      <a:rPr lang="en-AU" sz="1000" i="1">
                        <a:latin typeface="Cambria Math" panose="02040503050406030204" pitchFamily="18" charset="0"/>
                      </a:rPr>
                      <m:t>=</m:t>
                    </m:r>
                    <m:nary>
                      <m:naryPr>
                        <m:chr m:val="∑"/>
                        <m:limLoc m:val="subSup"/>
                        <m:supHide m:val="on"/>
                        <m:ctrlPr>
                          <a:rPr lang="en-AU" sz="1000" i="1">
                            <a:latin typeface="Cambria Math" panose="02040503050406030204" pitchFamily="18" charset="0"/>
                          </a:rPr>
                        </m:ctrlPr>
                      </m:naryPr>
                      <m:sub>
                        <m:r>
                          <a:rPr lang="en-AU" sz="1000" i="1">
                            <a:latin typeface="Cambria Math" panose="02040503050406030204" pitchFamily="18" charset="0"/>
                          </a:rPr>
                          <m:t>𝑗</m:t>
                        </m:r>
                      </m:sub>
                      <m:sup/>
                      <m:e>
                        <m:nary>
                          <m:naryPr>
                            <m:chr m:val="∑"/>
                            <m:limLoc m:val="subSup"/>
                            <m:supHide m:val="on"/>
                            <m:ctrlPr>
                              <a:rPr lang="en-AU" sz="1000" i="1">
                                <a:latin typeface="Cambria Math" panose="02040503050406030204" pitchFamily="18" charset="0"/>
                              </a:rPr>
                            </m:ctrlPr>
                          </m:naryPr>
                          <m:sub>
                            <m:r>
                              <a:rPr lang="en-AU" sz="1000" i="1">
                                <a:latin typeface="Cambria Math" panose="02040503050406030204" pitchFamily="18" charset="0"/>
                              </a:rPr>
                              <m:t>𝑓</m:t>
                            </m:r>
                          </m:sub>
                          <m:sup/>
                          <m:e>
                            <m:d>
                              <m:dPr>
                                <m:ctrlPr>
                                  <a:rPr lang="en-AU" sz="1000" i="1">
                                    <a:latin typeface="Cambria Math" panose="02040503050406030204" pitchFamily="18" charset="0"/>
                                  </a:rPr>
                                </m:ctrlPr>
                              </m:dPr>
                              <m:e>
                                <m:d>
                                  <m:dPr>
                                    <m:ctrlPr>
                                      <a:rPr lang="en-AU" sz="1000" i="1">
                                        <a:latin typeface="Cambria Math" panose="02040503050406030204" pitchFamily="18" charset="0"/>
                                      </a:rPr>
                                    </m:ctrlPr>
                                  </m:dPr>
                                  <m:e>
                                    <m:sSub>
                                      <m:sSubPr>
                                        <m:ctrlPr>
                                          <a:rPr lang="en-AU" sz="1000" i="1">
                                            <a:latin typeface="Cambria Math" panose="02040503050406030204" pitchFamily="18" charset="0"/>
                                          </a:rPr>
                                        </m:ctrlPr>
                                      </m:sSubPr>
                                      <m:e>
                                        <m:r>
                                          <a:rPr lang="en-AU" sz="1000" i="1">
                                            <a:latin typeface="Cambria Math" panose="02040503050406030204" pitchFamily="18" charset="0"/>
                                          </a:rPr>
                                          <m:t>𝑀</m:t>
                                        </m:r>
                                      </m:e>
                                      <m:sub>
                                        <m:r>
                                          <a:rPr lang="en-AU" sz="1000" i="1">
                                            <a:latin typeface="Cambria Math" panose="02040503050406030204" pitchFamily="18" charset="0"/>
                                          </a:rPr>
                                          <m:t>𝑣𝑜𝑙</m:t>
                                        </m:r>
                                        <m:r>
                                          <a:rPr lang="en-AU" sz="1000" i="1">
                                            <a:latin typeface="Cambria Math" panose="02040503050406030204" pitchFamily="18" charset="0"/>
                                          </a:rPr>
                                          <m:t>,</m:t>
                                        </m:r>
                                        <m:r>
                                          <a:rPr lang="en-AU" sz="1000" i="1">
                                            <a:latin typeface="Cambria Math" panose="02040503050406030204" pitchFamily="18" charset="0"/>
                                          </a:rPr>
                                          <m:t>𝑜𝑟𝑔𝑎𝑛𝑖𝑐</m:t>
                                        </m:r>
                                        <m:r>
                                          <a:rPr lang="en-AU" sz="1000" i="1">
                                            <a:latin typeface="Cambria Math" panose="02040503050406030204" pitchFamily="18" charset="0"/>
                                          </a:rPr>
                                          <m:t>,</m:t>
                                        </m:r>
                                        <m:r>
                                          <a:rPr lang="en-AU" sz="1000" i="1">
                                            <a:latin typeface="Cambria Math" panose="02040503050406030204" pitchFamily="18" charset="0"/>
                                          </a:rPr>
                                          <m:t>𝑗𝑓</m:t>
                                        </m:r>
                                      </m:sub>
                                    </m:sSub>
                                    <m:r>
                                      <a:rPr lang="en-AU" sz="1000" i="1">
                                        <a:latin typeface="Cambria Math" panose="02040503050406030204" pitchFamily="18" charset="0"/>
                                      </a:rPr>
                                      <m:t>×</m:t>
                                    </m:r>
                                    <m:r>
                                      <a:rPr lang="en-AU" sz="1000" i="1">
                                        <a:latin typeface="Cambria Math" panose="02040503050406030204" pitchFamily="18" charset="0"/>
                                      </a:rPr>
                                      <m:t>𝐸</m:t>
                                    </m:r>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𝑁</m:t>
                                        </m:r>
                                        <m:r>
                                          <a:rPr lang="en-AU" sz="1000" i="1">
                                            <a:latin typeface="Cambria Math" panose="02040503050406030204" pitchFamily="18" charset="0"/>
                                          </a:rPr>
                                          <m:t>2</m:t>
                                        </m:r>
                                        <m:r>
                                          <a:rPr lang="en-AU" sz="1000" i="1">
                                            <a:latin typeface="Cambria Math" panose="02040503050406030204" pitchFamily="18" charset="0"/>
                                          </a:rPr>
                                          <m:t>𝑂</m:t>
                                        </m:r>
                                        <m:r>
                                          <a:rPr lang="en-AU" sz="1000" i="1">
                                            <a:latin typeface="Cambria Math" panose="02040503050406030204" pitchFamily="18" charset="0"/>
                                          </a:rPr>
                                          <m:t>,</m:t>
                                        </m:r>
                                        <m:r>
                                          <a:rPr lang="en-AU" sz="1000" i="1">
                                            <a:latin typeface="Cambria Math" panose="02040503050406030204" pitchFamily="18" charset="0"/>
                                          </a:rPr>
                                          <m:t>𝑗</m:t>
                                        </m:r>
                                      </m:sub>
                                    </m:sSub>
                                  </m:e>
                                </m:d>
                                <m:r>
                                  <a:rPr lang="en-AU" sz="1000" i="1">
                                    <a:latin typeface="Cambria Math" panose="02040503050406030204" pitchFamily="18" charset="0"/>
                                  </a:rPr>
                                  <m:t>×</m:t>
                                </m:r>
                                <m:sSub>
                                  <m:sSubPr>
                                    <m:ctrlPr>
                                      <a:rPr lang="en-AU" sz="1000" i="1">
                                        <a:latin typeface="Cambria Math" panose="02040503050406030204" pitchFamily="18" charset="0"/>
                                      </a:rPr>
                                    </m:ctrlPr>
                                  </m:sSubPr>
                                  <m:e>
                                    <m:r>
                                      <a:rPr lang="en-AU" sz="1000" i="1">
                                        <a:latin typeface="Cambria Math" panose="02040503050406030204" pitchFamily="18" charset="0"/>
                                      </a:rPr>
                                      <m:t>𝐶</m:t>
                                    </m:r>
                                  </m:e>
                                  <m:sub>
                                    <m:r>
                                      <a:rPr lang="en-AU" sz="1000" i="1">
                                        <a:latin typeface="Cambria Math" panose="02040503050406030204" pitchFamily="18" charset="0"/>
                                      </a:rPr>
                                      <m:t>𝑁</m:t>
                                    </m:r>
                                    <m:r>
                                      <a:rPr lang="en-AU" sz="1000" i="1">
                                        <a:latin typeface="Cambria Math" panose="02040503050406030204" pitchFamily="18" charset="0"/>
                                      </a:rPr>
                                      <m:t>2</m:t>
                                    </m:r>
                                    <m:r>
                                      <a:rPr lang="en-AU" sz="1000" i="1">
                                        <a:latin typeface="Cambria Math" panose="02040503050406030204" pitchFamily="18" charset="0"/>
                                      </a:rPr>
                                      <m:t>𝑂</m:t>
                                    </m:r>
                                  </m:sub>
                                </m:sSub>
                                <m:r>
                                  <a:rPr lang="en-AU" sz="1000" i="1">
                                    <a:latin typeface="Cambria Math" panose="02040503050406030204" pitchFamily="18" charset="0"/>
                                  </a:rPr>
                                  <m:t>×</m:t>
                                </m:r>
                                <m:sSup>
                                  <m:sSupPr>
                                    <m:ctrlPr>
                                      <a:rPr lang="en-AU" sz="1000" i="1">
                                        <a:latin typeface="Cambria Math" panose="02040503050406030204" pitchFamily="18" charset="0"/>
                                      </a:rPr>
                                    </m:ctrlPr>
                                  </m:sSupPr>
                                  <m:e>
                                    <m:r>
                                      <a:rPr lang="en-AU" sz="1000" i="1">
                                        <a:latin typeface="Cambria Math" panose="02040503050406030204" pitchFamily="18" charset="0"/>
                                      </a:rPr>
                                      <m:t>10</m:t>
                                    </m:r>
                                  </m:e>
                                  <m:sup>
                                    <m:r>
                                      <a:rPr lang="en-AU" sz="1000" i="1">
                                        <a:latin typeface="Cambria Math" panose="02040503050406030204" pitchFamily="18" charset="0"/>
                                      </a:rPr>
                                      <m:t>−3</m:t>
                                    </m:r>
                                  </m:sup>
                                </m:sSup>
                              </m:e>
                            </m:d>
                          </m:e>
                        </m:nary>
                      </m:e>
                    </m:nary>
                  </m:oMath>
                </m:oMathPara>
              </a14:m>
              <a:endParaRPr lang="en-AU" sz="1000"/>
            </a:p>
          </xdr:txBody>
        </xdr:sp>
      </mc:Choice>
      <mc:Fallback xmlns="">
        <xdr:sp macro="" textlink="">
          <xdr:nvSpPr>
            <xdr:cNvPr id="4" name="TextBox 3">
              <a:extLst>
                <a:ext uri="{FF2B5EF4-FFF2-40B4-BE49-F238E27FC236}">
                  <a16:creationId xmlns:a16="http://schemas.microsoft.com/office/drawing/2014/main" id="{BE427B3B-1623-4800-8E7C-A2AAD2F44B7B}"/>
                </a:ext>
              </a:extLst>
            </xdr:cNvPr>
            <xdr:cNvSpPr txBox="1"/>
          </xdr:nvSpPr>
          <xdr:spPr>
            <a:xfrm>
              <a:off x="3052762" y="10591800"/>
              <a:ext cx="4040786"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𝐸_(𝑎𝑑,𝑜𝑟𝑔𝑎𝑛𝑖𝑐)=∑2_𝑗▒∑2_𝑓▒((𝑀_(𝑣𝑜𝑙,𝑜𝑟𝑔𝑎𝑛𝑖𝑐,𝑗𝑓)×𝐸𝐹_(𝑁2𝑂,𝑗) )×𝐶_𝑁2𝑂×10^(−3) ) </a:t>
              </a:r>
              <a:endParaRPr lang="en-AU" sz="1000"/>
            </a:p>
          </xdr:txBody>
        </xdr:sp>
      </mc:Fallback>
    </mc:AlternateContent>
    <xdr:clientData/>
  </xdr:oneCellAnchor>
  <xdr:oneCellAnchor>
    <xdr:from>
      <xdr:col>2</xdr:col>
      <xdr:colOff>252412</xdr:colOff>
      <xdr:row>61</xdr:row>
      <xdr:rowOff>71437</xdr:rowOff>
    </xdr:from>
    <xdr:ext cx="3633944" cy="332014"/>
    <mc:AlternateContent xmlns:mc="http://schemas.openxmlformats.org/markup-compatibility/2006" xmlns:a14="http://schemas.microsoft.com/office/drawing/2010/main">
      <mc:Choice Requires="a14">
        <xdr:sp macro="" textlink="">
          <xdr:nvSpPr>
            <xdr:cNvPr id="5" name="TextBox 4">
              <a:extLst>
                <a:ext uri="{FF2B5EF4-FFF2-40B4-BE49-F238E27FC236}">
                  <a16:creationId xmlns:a16="http://schemas.microsoft.com/office/drawing/2014/main" id="{8C785A37-7B83-4CD0-956D-4373ABDEF07B}"/>
                </a:ext>
              </a:extLst>
            </xdr:cNvPr>
            <xdr:cNvSpPr txBox="1"/>
          </xdr:nvSpPr>
          <xdr:spPr>
            <a:xfrm>
              <a:off x="2938462" y="15311437"/>
              <a:ext cx="3633944" cy="3320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000" i="1">
                            <a:latin typeface="Cambria Math" panose="02040503050406030204" pitchFamily="18" charset="0"/>
                          </a:rPr>
                        </m:ctrlPr>
                      </m:sSubPr>
                      <m:e>
                        <m:r>
                          <a:rPr lang="en-AU" sz="1000" i="1">
                            <a:latin typeface="Cambria Math" panose="02040503050406030204" pitchFamily="18" charset="0"/>
                          </a:rPr>
                          <m:t>𝑀</m:t>
                        </m:r>
                      </m:e>
                      <m:sub>
                        <m:r>
                          <a:rPr lang="en-AU" sz="1000" i="1">
                            <a:latin typeface="Cambria Math" panose="02040503050406030204" pitchFamily="18" charset="0"/>
                          </a:rPr>
                          <m:t>𝑙𝑒𝑎𝑐ℎ</m:t>
                        </m:r>
                        <m:r>
                          <a:rPr lang="en-AU" sz="1000" i="1">
                            <a:latin typeface="Cambria Math" panose="02040503050406030204" pitchFamily="18" charset="0"/>
                          </a:rPr>
                          <m:t>,</m:t>
                        </m:r>
                        <m:r>
                          <a:rPr lang="en-AU" sz="1000" i="1">
                            <a:latin typeface="Cambria Math" panose="02040503050406030204" pitchFamily="18" charset="0"/>
                          </a:rPr>
                          <m:t>𝑜𝑟𝑔𝑎𝑛𝑖𝑐</m:t>
                        </m:r>
                        <m:r>
                          <a:rPr lang="en-AU" sz="1000" i="1">
                            <a:latin typeface="Cambria Math" panose="02040503050406030204" pitchFamily="18" charset="0"/>
                          </a:rPr>
                          <m:t>,</m:t>
                        </m:r>
                        <m:r>
                          <a:rPr lang="en-AU" sz="1000" i="1">
                            <a:latin typeface="Cambria Math" panose="02040503050406030204" pitchFamily="18" charset="0"/>
                          </a:rPr>
                          <m:t>𝑗</m:t>
                        </m:r>
                      </m:sub>
                    </m:sSub>
                    <m:r>
                      <a:rPr lang="en-AU" sz="1000" i="1">
                        <a:latin typeface="Cambria Math" panose="02040503050406030204" pitchFamily="18" charset="0"/>
                      </a:rPr>
                      <m:t>=</m:t>
                    </m:r>
                    <m:nary>
                      <m:naryPr>
                        <m:chr m:val="∑"/>
                        <m:limLoc m:val="subSup"/>
                        <m:supHide m:val="on"/>
                        <m:ctrlPr>
                          <a:rPr lang="en-AU" sz="1000" i="1">
                            <a:latin typeface="Cambria Math" panose="02040503050406030204" pitchFamily="18" charset="0"/>
                          </a:rPr>
                        </m:ctrlPr>
                      </m:naryPr>
                      <m:sub>
                        <m:r>
                          <a:rPr lang="en-AU" sz="1000" i="1">
                            <a:latin typeface="Cambria Math" panose="02040503050406030204" pitchFamily="18" charset="0"/>
                          </a:rPr>
                          <m:t>𝑓</m:t>
                        </m:r>
                      </m:sub>
                      <m:sup/>
                      <m:e>
                        <m:d>
                          <m:dPr>
                            <m:ctrlPr>
                              <a:rPr lang="en-AU" sz="1000" i="1">
                                <a:latin typeface="Cambria Math" panose="02040503050406030204" pitchFamily="18" charset="0"/>
                              </a:rPr>
                            </m:ctrlPr>
                          </m:dPr>
                          <m:e>
                            <m:r>
                              <a:rPr lang="en-AU" sz="1000" i="1">
                                <a:latin typeface="Cambria Math" panose="02040503050406030204" pitchFamily="18" charset="0"/>
                              </a:rPr>
                              <m:t>𝑀𝑁𝑆𝑜𝑖</m:t>
                            </m:r>
                            <m:sSub>
                              <m:sSubPr>
                                <m:ctrlPr>
                                  <a:rPr lang="en-AU" sz="1000" i="1">
                                    <a:latin typeface="Cambria Math" panose="02040503050406030204" pitchFamily="18" charset="0"/>
                                  </a:rPr>
                                </m:ctrlPr>
                              </m:sSubPr>
                              <m:e>
                                <m:r>
                                  <a:rPr lang="en-AU" sz="1000" i="1">
                                    <a:latin typeface="Cambria Math" panose="02040503050406030204" pitchFamily="18" charset="0"/>
                                  </a:rPr>
                                  <m:t>𝑙</m:t>
                                </m:r>
                              </m:e>
                              <m:sub>
                                <m:r>
                                  <a:rPr lang="en-AU" sz="1000" i="1">
                                    <a:latin typeface="Cambria Math" panose="02040503050406030204" pitchFamily="18" charset="0"/>
                                  </a:rPr>
                                  <m:t>𝑗𝑓</m:t>
                                </m:r>
                              </m:sub>
                            </m:sSub>
                            <m:r>
                              <a:rPr lang="en-AU" sz="1000" i="1">
                                <a:latin typeface="Cambria Math" panose="02040503050406030204" pitchFamily="18" charset="0"/>
                              </a:rPr>
                              <m:t>×</m:t>
                            </m:r>
                            <m:r>
                              <a:rPr lang="en-AU" sz="1000" i="1">
                                <a:latin typeface="Cambria Math" panose="02040503050406030204" pitchFamily="18" charset="0"/>
                              </a:rPr>
                              <m:t>𝐹𝑟𝑎</m:t>
                            </m:r>
                            <m:sSub>
                              <m:sSubPr>
                                <m:ctrlPr>
                                  <a:rPr lang="en-AU" sz="1000" i="1">
                                    <a:latin typeface="Cambria Math" panose="02040503050406030204" pitchFamily="18" charset="0"/>
                                  </a:rPr>
                                </m:ctrlPr>
                              </m:sSubPr>
                              <m:e>
                                <m:r>
                                  <a:rPr lang="en-AU" sz="1000" i="1">
                                    <a:latin typeface="Cambria Math" panose="02040503050406030204" pitchFamily="18" charset="0"/>
                                  </a:rPr>
                                  <m:t>𝑐</m:t>
                                </m:r>
                              </m:e>
                              <m:sub>
                                <m:r>
                                  <a:rPr lang="en-AU" sz="1000" i="1">
                                    <a:latin typeface="Cambria Math" panose="02040503050406030204" pitchFamily="18" charset="0"/>
                                  </a:rPr>
                                  <m:t>𝑊𝐸𝑇</m:t>
                                </m:r>
                                <m:r>
                                  <a:rPr lang="en-AU" sz="1000" i="1">
                                    <a:latin typeface="Cambria Math" panose="02040503050406030204" pitchFamily="18" charset="0"/>
                                  </a:rPr>
                                  <m:t>,</m:t>
                                </m:r>
                                <m:r>
                                  <a:rPr lang="en-AU" sz="1000" i="1">
                                    <a:latin typeface="Cambria Math" panose="02040503050406030204" pitchFamily="18" charset="0"/>
                                  </a:rPr>
                                  <m:t>𝑗</m:t>
                                </m:r>
                              </m:sub>
                            </m:sSub>
                            <m:r>
                              <a:rPr lang="en-AU" sz="1000" i="1">
                                <a:latin typeface="Cambria Math" panose="02040503050406030204" pitchFamily="18" charset="0"/>
                              </a:rPr>
                              <m:t>×</m:t>
                            </m:r>
                            <m:r>
                              <a:rPr lang="en-AU" sz="1000" i="1">
                                <a:latin typeface="Cambria Math" panose="02040503050406030204" pitchFamily="18" charset="0"/>
                              </a:rPr>
                              <m:t>𝐹𝑟𝑎</m:t>
                            </m:r>
                            <m:sSub>
                              <m:sSubPr>
                                <m:ctrlPr>
                                  <a:rPr lang="en-AU" sz="1000" i="1">
                                    <a:latin typeface="Cambria Math" panose="02040503050406030204" pitchFamily="18" charset="0"/>
                                  </a:rPr>
                                </m:ctrlPr>
                              </m:sSubPr>
                              <m:e>
                                <m:r>
                                  <a:rPr lang="en-AU" sz="1000" i="1">
                                    <a:latin typeface="Cambria Math" panose="02040503050406030204" pitchFamily="18" charset="0"/>
                                  </a:rPr>
                                  <m:t>𝑐</m:t>
                                </m:r>
                              </m:e>
                              <m:sub>
                                <m:r>
                                  <a:rPr lang="en-AU" sz="1000" i="1">
                                    <a:latin typeface="Cambria Math" panose="02040503050406030204" pitchFamily="18" charset="0"/>
                                  </a:rPr>
                                  <m:t>𝐿𝐸𝐴𝐶𝐻</m:t>
                                </m:r>
                              </m:sub>
                            </m:sSub>
                          </m:e>
                        </m:d>
                      </m:e>
                    </m:nary>
                  </m:oMath>
                </m:oMathPara>
              </a14:m>
              <a:endParaRPr lang="en-AU" sz="1000"/>
            </a:p>
          </xdr:txBody>
        </xdr:sp>
      </mc:Choice>
      <mc:Fallback xmlns="">
        <xdr:sp macro="" textlink="">
          <xdr:nvSpPr>
            <xdr:cNvPr id="5" name="TextBox 4">
              <a:extLst>
                <a:ext uri="{FF2B5EF4-FFF2-40B4-BE49-F238E27FC236}">
                  <a16:creationId xmlns:a16="http://schemas.microsoft.com/office/drawing/2014/main" id="{8C785A37-7B83-4CD0-956D-4373ABDEF07B}"/>
                </a:ext>
              </a:extLst>
            </xdr:cNvPr>
            <xdr:cNvSpPr txBox="1"/>
          </xdr:nvSpPr>
          <xdr:spPr>
            <a:xfrm>
              <a:off x="2938462" y="15311437"/>
              <a:ext cx="3633944" cy="3320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𝑀_(𝑙𝑒𝑎𝑐ℎ,𝑜𝑟𝑔𝑎𝑛𝑖𝑐,𝑗)=∑2_𝑓▒(𝑀𝑁𝑆𝑜𝑖𝑙_𝑗𝑓×𝐹𝑟𝑎𝑐_(𝑊𝐸𝑇,𝑗)×𝐹𝑟𝑎𝑐_𝐿𝐸𝐴𝐶𝐻 ) </a:t>
              </a:r>
              <a:endParaRPr lang="en-AU" sz="1000"/>
            </a:p>
          </xdr:txBody>
        </xdr:sp>
      </mc:Fallback>
    </mc:AlternateContent>
    <xdr:clientData/>
  </xdr:oneCellAnchor>
  <xdr:oneCellAnchor>
    <xdr:from>
      <xdr:col>3</xdr:col>
      <xdr:colOff>14287</xdr:colOff>
      <xdr:row>79</xdr:row>
      <xdr:rowOff>61912</xdr:rowOff>
    </xdr:from>
    <xdr:ext cx="4870692" cy="429926"/>
    <mc:AlternateContent xmlns:mc="http://schemas.openxmlformats.org/markup-compatibility/2006" xmlns:a14="http://schemas.microsoft.com/office/drawing/2010/main">
      <mc:Choice Requires="a14">
        <xdr:sp macro="" textlink="">
          <xdr:nvSpPr>
            <xdr:cNvPr id="6" name="TextBox 5">
              <a:extLst>
                <a:ext uri="{FF2B5EF4-FFF2-40B4-BE49-F238E27FC236}">
                  <a16:creationId xmlns:a16="http://schemas.microsoft.com/office/drawing/2014/main" id="{7F9F36F7-1FB3-4B1E-89BF-825C532ECA06}"/>
                </a:ext>
              </a:extLst>
            </xdr:cNvPr>
            <xdr:cNvSpPr txBox="1"/>
          </xdr:nvSpPr>
          <xdr:spPr>
            <a:xfrm>
              <a:off x="3052762" y="19759612"/>
              <a:ext cx="4870692"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000" i="1">
                            <a:latin typeface="Cambria Math" panose="02040503050406030204" pitchFamily="18" charset="0"/>
                          </a:rPr>
                        </m:ctrlPr>
                      </m:sSubPr>
                      <m:e>
                        <m:r>
                          <a:rPr lang="en-AU" sz="1000" i="1">
                            <a:latin typeface="Cambria Math" panose="02040503050406030204" pitchFamily="18" charset="0"/>
                          </a:rPr>
                          <m:t>𝐸</m:t>
                        </m:r>
                      </m:e>
                      <m:sub>
                        <m:r>
                          <a:rPr lang="en-AU" sz="1000" i="1">
                            <a:latin typeface="Cambria Math" panose="02040503050406030204" pitchFamily="18" charset="0"/>
                          </a:rPr>
                          <m:t>𝑓𝑒𝑟𝑡</m:t>
                        </m:r>
                        <m:r>
                          <a:rPr lang="en-AU" sz="1000" i="1">
                            <a:latin typeface="Cambria Math" panose="02040503050406030204" pitchFamily="18" charset="0"/>
                          </a:rPr>
                          <m:t>,</m:t>
                        </m:r>
                        <m:r>
                          <a:rPr lang="en-AU" sz="1000" i="1">
                            <a:latin typeface="Cambria Math" panose="02040503050406030204" pitchFamily="18" charset="0"/>
                          </a:rPr>
                          <m:t>𝑙𝑒𝑎𝑐ℎ</m:t>
                        </m:r>
                      </m:sub>
                    </m:sSub>
                    <m:r>
                      <a:rPr lang="en-AU" sz="1000" i="1">
                        <a:latin typeface="Cambria Math" panose="02040503050406030204" pitchFamily="18" charset="0"/>
                      </a:rPr>
                      <m:t>=</m:t>
                    </m:r>
                    <m:nary>
                      <m:naryPr>
                        <m:chr m:val="∑"/>
                        <m:supHide m:val="on"/>
                        <m:ctrlPr>
                          <a:rPr lang="en-AU" sz="1000" i="1">
                            <a:latin typeface="Cambria Math" panose="02040503050406030204" pitchFamily="18" charset="0"/>
                          </a:rPr>
                        </m:ctrlPr>
                      </m:naryPr>
                      <m:sub>
                        <m:r>
                          <a:rPr lang="en-AU" sz="1000" i="1">
                            <a:latin typeface="Cambria Math" panose="02040503050406030204" pitchFamily="18" charset="0"/>
                          </a:rPr>
                          <m:t>𝑗</m:t>
                        </m:r>
                      </m:sub>
                      <m:sup/>
                      <m:e>
                        <m:d>
                          <m:dPr>
                            <m:ctrlPr>
                              <a:rPr lang="en-AU" sz="1000" i="1">
                                <a:latin typeface="Cambria Math" panose="02040503050406030204" pitchFamily="18" charset="0"/>
                              </a:rPr>
                            </m:ctrlPr>
                          </m:dPr>
                          <m:e>
                            <m:d>
                              <m:dPr>
                                <m:ctrlPr>
                                  <a:rPr lang="en-AU" sz="1000" i="1">
                                    <a:latin typeface="Cambria Math" panose="02040503050406030204" pitchFamily="18" charset="0"/>
                                  </a:rPr>
                                </m:ctrlPr>
                              </m:dPr>
                              <m:e>
                                <m:sSub>
                                  <m:sSubPr>
                                    <m:ctrlPr>
                                      <a:rPr lang="en-AU" sz="1000" i="1">
                                        <a:latin typeface="Cambria Math" panose="02040503050406030204" pitchFamily="18" charset="0"/>
                                      </a:rPr>
                                    </m:ctrlPr>
                                  </m:sSubPr>
                                  <m:e>
                                    <m:r>
                                      <a:rPr lang="en-AU" sz="1000" i="1">
                                        <a:latin typeface="Cambria Math" panose="02040503050406030204" pitchFamily="18" charset="0"/>
                                      </a:rPr>
                                      <m:t>𝑀</m:t>
                                    </m:r>
                                  </m:e>
                                  <m:sub>
                                    <m:r>
                                      <a:rPr lang="en-AU" sz="1000" i="1">
                                        <a:latin typeface="Cambria Math" panose="02040503050406030204" pitchFamily="18" charset="0"/>
                                      </a:rPr>
                                      <m:t>𝑙𝑒𝑎𝑐ℎ</m:t>
                                    </m:r>
                                    <m:r>
                                      <a:rPr lang="en-AU" sz="1000" i="1">
                                        <a:latin typeface="Cambria Math" panose="02040503050406030204" pitchFamily="18" charset="0"/>
                                      </a:rPr>
                                      <m:t>,</m:t>
                                    </m:r>
                                    <m:r>
                                      <a:rPr lang="en-AU" sz="1000" i="1">
                                        <a:latin typeface="Cambria Math" panose="02040503050406030204" pitchFamily="18" charset="0"/>
                                      </a:rPr>
                                      <m:t>𝑖𝑛𝑜𝑟𝑔𝑎𝑛𝑖𝑐</m:t>
                                    </m:r>
                                    <m:r>
                                      <a:rPr lang="en-AU" sz="1000" i="1">
                                        <a:latin typeface="Cambria Math" panose="02040503050406030204" pitchFamily="18" charset="0"/>
                                      </a:rPr>
                                      <m:t>,</m:t>
                                    </m:r>
                                    <m:r>
                                      <a:rPr lang="en-AU" sz="1000" i="1">
                                        <a:latin typeface="Cambria Math" panose="02040503050406030204" pitchFamily="18" charset="0"/>
                                      </a:rPr>
                                      <m:t>𝑗</m:t>
                                    </m:r>
                                  </m:sub>
                                </m:sSub>
                                <m:r>
                                  <a:rPr lang="en-AU" sz="1000" i="1">
                                    <a:latin typeface="Cambria Math" panose="02040503050406030204" pitchFamily="18" charset="0"/>
                                  </a:rPr>
                                  <m:t>+</m:t>
                                </m:r>
                                <m:sSub>
                                  <m:sSubPr>
                                    <m:ctrlPr>
                                      <a:rPr lang="en-AU" sz="1000" i="1">
                                        <a:latin typeface="Cambria Math" panose="02040503050406030204" pitchFamily="18" charset="0"/>
                                      </a:rPr>
                                    </m:ctrlPr>
                                  </m:sSubPr>
                                  <m:e>
                                    <m:r>
                                      <a:rPr lang="en-AU" sz="1000" i="1">
                                        <a:latin typeface="Cambria Math" panose="02040503050406030204" pitchFamily="18" charset="0"/>
                                      </a:rPr>
                                      <m:t>𝑀</m:t>
                                    </m:r>
                                  </m:e>
                                  <m:sub>
                                    <m:r>
                                      <a:rPr lang="en-AU" sz="1000" i="1">
                                        <a:latin typeface="Cambria Math" panose="02040503050406030204" pitchFamily="18" charset="0"/>
                                      </a:rPr>
                                      <m:t>𝑙𝑒𝑎𝑐ℎ</m:t>
                                    </m:r>
                                    <m:r>
                                      <a:rPr lang="en-AU" sz="1000" i="1">
                                        <a:latin typeface="Cambria Math" panose="02040503050406030204" pitchFamily="18" charset="0"/>
                                      </a:rPr>
                                      <m:t>,</m:t>
                                    </m:r>
                                    <m:r>
                                      <a:rPr lang="en-AU" sz="1000" i="1">
                                        <a:latin typeface="Cambria Math" panose="02040503050406030204" pitchFamily="18" charset="0"/>
                                      </a:rPr>
                                      <m:t>𝑜𝑟𝑔𝑎𝑛𝑖𝑐</m:t>
                                    </m:r>
                                    <m:r>
                                      <a:rPr lang="en-AU" sz="1000" i="1">
                                        <a:latin typeface="Cambria Math" panose="02040503050406030204" pitchFamily="18" charset="0"/>
                                      </a:rPr>
                                      <m:t>,</m:t>
                                    </m:r>
                                    <m:r>
                                      <a:rPr lang="en-AU" sz="1000" i="1">
                                        <a:latin typeface="Cambria Math" panose="02040503050406030204" pitchFamily="18" charset="0"/>
                                      </a:rPr>
                                      <m:t>𝑗</m:t>
                                    </m:r>
                                  </m:sub>
                                </m:sSub>
                              </m:e>
                            </m:d>
                            <m:r>
                              <a:rPr lang="en-AU" sz="1000" i="1">
                                <a:latin typeface="Cambria Math" panose="02040503050406030204" pitchFamily="18" charset="0"/>
                              </a:rPr>
                              <m:t>×</m:t>
                            </m:r>
                            <m:r>
                              <a:rPr lang="en-AU" sz="1000" i="1">
                                <a:latin typeface="Cambria Math" panose="02040503050406030204" pitchFamily="18" charset="0"/>
                              </a:rPr>
                              <m:t>𝐸</m:t>
                            </m:r>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𝑙𝑒𝑎𝑐ℎ</m:t>
                                </m:r>
                              </m:sub>
                            </m:sSub>
                            <m:r>
                              <a:rPr lang="en-AU" sz="1000" i="1">
                                <a:latin typeface="Cambria Math" panose="02040503050406030204" pitchFamily="18" charset="0"/>
                              </a:rPr>
                              <m:t>×</m:t>
                            </m:r>
                            <m:sSub>
                              <m:sSubPr>
                                <m:ctrlPr>
                                  <a:rPr lang="en-AU" sz="1000" i="1">
                                    <a:latin typeface="Cambria Math" panose="02040503050406030204" pitchFamily="18" charset="0"/>
                                  </a:rPr>
                                </m:ctrlPr>
                              </m:sSubPr>
                              <m:e>
                                <m:r>
                                  <a:rPr lang="en-AU" sz="1000" i="1">
                                    <a:latin typeface="Cambria Math" panose="02040503050406030204" pitchFamily="18" charset="0"/>
                                  </a:rPr>
                                  <m:t>𝐶</m:t>
                                </m:r>
                              </m:e>
                              <m:sub>
                                <m:r>
                                  <a:rPr lang="en-AU" sz="1000" i="1">
                                    <a:latin typeface="Cambria Math" panose="02040503050406030204" pitchFamily="18" charset="0"/>
                                  </a:rPr>
                                  <m:t>𝑁</m:t>
                                </m:r>
                                <m:r>
                                  <a:rPr lang="en-AU" sz="1000" i="1">
                                    <a:latin typeface="Cambria Math" panose="02040503050406030204" pitchFamily="18" charset="0"/>
                                  </a:rPr>
                                  <m:t>2</m:t>
                                </m:r>
                                <m:r>
                                  <a:rPr lang="en-AU" sz="1000" i="1">
                                    <a:latin typeface="Cambria Math" panose="02040503050406030204" pitchFamily="18" charset="0"/>
                                  </a:rPr>
                                  <m:t>𝑂</m:t>
                                </m:r>
                              </m:sub>
                            </m:sSub>
                            <m:r>
                              <a:rPr lang="en-AU" sz="1000" i="1">
                                <a:latin typeface="Cambria Math" panose="02040503050406030204" pitchFamily="18" charset="0"/>
                              </a:rPr>
                              <m:t>×</m:t>
                            </m:r>
                            <m:sSup>
                              <m:sSupPr>
                                <m:ctrlPr>
                                  <a:rPr lang="en-AU" sz="1000" i="1">
                                    <a:latin typeface="Cambria Math" panose="02040503050406030204" pitchFamily="18" charset="0"/>
                                  </a:rPr>
                                </m:ctrlPr>
                              </m:sSupPr>
                              <m:e>
                                <m:r>
                                  <a:rPr lang="en-AU" sz="1000" i="1">
                                    <a:latin typeface="Cambria Math" panose="02040503050406030204" pitchFamily="18" charset="0"/>
                                  </a:rPr>
                                  <m:t>10</m:t>
                                </m:r>
                              </m:e>
                              <m:sup>
                                <m:r>
                                  <a:rPr lang="en-AU" sz="1000" i="1">
                                    <a:latin typeface="Cambria Math" panose="02040503050406030204" pitchFamily="18" charset="0"/>
                                  </a:rPr>
                                  <m:t>−3</m:t>
                                </m:r>
                              </m:sup>
                            </m:sSup>
                          </m:e>
                        </m:d>
                      </m:e>
                    </m:nary>
                  </m:oMath>
                </m:oMathPara>
              </a14:m>
              <a:endParaRPr lang="en-AU" sz="1000"/>
            </a:p>
          </xdr:txBody>
        </xdr:sp>
      </mc:Choice>
      <mc:Fallback xmlns="">
        <xdr:sp macro="" textlink="">
          <xdr:nvSpPr>
            <xdr:cNvPr id="6" name="TextBox 5">
              <a:extLst>
                <a:ext uri="{FF2B5EF4-FFF2-40B4-BE49-F238E27FC236}">
                  <a16:creationId xmlns:a16="http://schemas.microsoft.com/office/drawing/2014/main" id="{7F9F36F7-1FB3-4B1E-89BF-825C532ECA06}"/>
                </a:ext>
              </a:extLst>
            </xdr:cNvPr>
            <xdr:cNvSpPr txBox="1"/>
          </xdr:nvSpPr>
          <xdr:spPr>
            <a:xfrm>
              <a:off x="3052762" y="19759612"/>
              <a:ext cx="4870692"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𝐸_(𝑓𝑒𝑟𝑡,𝑙𝑒𝑎𝑐ℎ)=∑_𝑗▒((𝑀_(𝑙𝑒𝑎𝑐ℎ,𝑖𝑛𝑜𝑟𝑔𝑎𝑛𝑖𝑐,𝑗)+𝑀_(𝑙𝑒𝑎𝑐ℎ,𝑜𝑟𝑔𝑎𝑛𝑖𝑐,𝑗) )×𝐸𝐹_𝑙𝑒𝑎𝑐ℎ×𝐶_𝑁2𝑂×10^(−3) ) </a:t>
              </a:r>
              <a:endParaRPr lang="en-AU" sz="1000"/>
            </a:p>
          </xdr:txBody>
        </xdr:sp>
      </mc:Fallback>
    </mc:AlternateContent>
    <xdr:clientData/>
  </xdr:oneCellAnchor>
  <xdr:oneCellAnchor>
    <xdr:from>
      <xdr:col>13</xdr:col>
      <xdr:colOff>4762</xdr:colOff>
      <xdr:row>7</xdr:row>
      <xdr:rowOff>66675</xdr:rowOff>
    </xdr:from>
    <xdr:ext cx="3299749" cy="429926"/>
    <mc:AlternateContent xmlns:mc="http://schemas.openxmlformats.org/markup-compatibility/2006" xmlns:a14="http://schemas.microsoft.com/office/drawing/2010/main">
      <mc:Choice Requires="a14">
        <xdr:sp macro="" textlink="">
          <xdr:nvSpPr>
            <xdr:cNvPr id="7" name="TextBox 6">
              <a:extLst>
                <a:ext uri="{FF2B5EF4-FFF2-40B4-BE49-F238E27FC236}">
                  <a16:creationId xmlns:a16="http://schemas.microsoft.com/office/drawing/2014/main" id="{109238F8-7124-4589-85FC-04CFD8A1610A}"/>
                </a:ext>
              </a:extLst>
            </xdr:cNvPr>
            <xdr:cNvSpPr txBox="1"/>
          </xdr:nvSpPr>
          <xdr:spPr>
            <a:xfrm>
              <a:off x="20435887" y="1933575"/>
              <a:ext cx="3299749"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000" i="1">
                            <a:latin typeface="Cambria Math" panose="02040503050406030204" pitchFamily="18" charset="0"/>
                          </a:rPr>
                        </m:ctrlPr>
                      </m:sSubPr>
                      <m:e>
                        <m:r>
                          <a:rPr lang="en-AU" sz="1000" i="1">
                            <a:latin typeface="Cambria Math" panose="02040503050406030204" pitchFamily="18" charset="0"/>
                          </a:rPr>
                          <m:t>𝐸</m:t>
                        </m:r>
                      </m:e>
                      <m:sub>
                        <m:r>
                          <a:rPr lang="en-AU" sz="1000" i="1">
                            <a:latin typeface="Cambria Math" panose="02040503050406030204" pitchFamily="18" charset="0"/>
                          </a:rPr>
                          <m:t>𝑁</m:t>
                        </m:r>
                        <m:r>
                          <a:rPr lang="en-AU" sz="1000" i="1">
                            <a:latin typeface="Cambria Math" panose="02040503050406030204" pitchFamily="18" charset="0"/>
                          </a:rPr>
                          <m:t>2</m:t>
                        </m:r>
                        <m:r>
                          <a:rPr lang="en-AU" sz="1000" i="1">
                            <a:latin typeface="Cambria Math" panose="02040503050406030204" pitchFamily="18" charset="0"/>
                          </a:rPr>
                          <m:t>𝑂</m:t>
                        </m:r>
                      </m:sub>
                    </m:sSub>
                    <m:r>
                      <a:rPr lang="en-AU" sz="1000" i="1">
                        <a:latin typeface="Cambria Math" panose="02040503050406030204" pitchFamily="18" charset="0"/>
                      </a:rPr>
                      <m:t>=</m:t>
                    </m:r>
                    <m:nary>
                      <m:naryPr>
                        <m:chr m:val="∑"/>
                        <m:supHide m:val="on"/>
                        <m:ctrlPr>
                          <a:rPr lang="en-AU" sz="1000" i="1">
                            <a:latin typeface="Cambria Math" panose="02040503050406030204" pitchFamily="18" charset="0"/>
                          </a:rPr>
                        </m:ctrlPr>
                      </m:naryPr>
                      <m:sub>
                        <m:r>
                          <a:rPr lang="en-AU" sz="1000" i="1">
                            <a:latin typeface="Cambria Math" panose="02040503050406030204" pitchFamily="18" charset="0"/>
                          </a:rPr>
                          <m:t>𝑗</m:t>
                        </m:r>
                      </m:sub>
                      <m:sup/>
                      <m:e>
                        <m:nary>
                          <m:naryPr>
                            <m:chr m:val="∑"/>
                            <m:supHide m:val="on"/>
                            <m:ctrlPr>
                              <a:rPr lang="en-AU" sz="1000" i="1">
                                <a:latin typeface="Cambria Math" panose="02040503050406030204" pitchFamily="18" charset="0"/>
                              </a:rPr>
                            </m:ctrlPr>
                          </m:naryPr>
                          <m:sub>
                            <m:r>
                              <a:rPr lang="en-AU" sz="1000" i="1">
                                <a:latin typeface="Cambria Math" panose="02040503050406030204" pitchFamily="18" charset="0"/>
                              </a:rPr>
                              <m:t>𝑓</m:t>
                            </m:r>
                          </m:sub>
                          <m:sup/>
                          <m:e>
                            <m:d>
                              <m:dPr>
                                <m:ctrlPr>
                                  <a:rPr lang="en-AU" sz="1000" i="1">
                                    <a:latin typeface="Cambria Math" panose="02040503050406030204" pitchFamily="18" charset="0"/>
                                  </a:rPr>
                                </m:ctrlPr>
                              </m:dPr>
                              <m:e>
                                <m:d>
                                  <m:dPr>
                                    <m:ctrlPr>
                                      <a:rPr lang="en-AU" sz="1000" i="1">
                                        <a:latin typeface="Cambria Math" panose="02040503050406030204" pitchFamily="18" charset="0"/>
                                      </a:rPr>
                                    </m:ctrlPr>
                                  </m:dPr>
                                  <m:e>
                                    <m:r>
                                      <a:rPr lang="en-AU" sz="1000" i="1">
                                        <a:latin typeface="Cambria Math" panose="02040503050406030204" pitchFamily="18" charset="0"/>
                                      </a:rPr>
                                      <m:t>𝑀𝑁𝑆𝑜𝑖</m:t>
                                    </m:r>
                                    <m:sSub>
                                      <m:sSubPr>
                                        <m:ctrlPr>
                                          <a:rPr lang="en-AU" sz="1000" i="1">
                                            <a:latin typeface="Cambria Math" panose="02040503050406030204" pitchFamily="18" charset="0"/>
                                          </a:rPr>
                                        </m:ctrlPr>
                                      </m:sSubPr>
                                      <m:e>
                                        <m:r>
                                          <a:rPr lang="en-AU" sz="1000" i="1">
                                            <a:latin typeface="Cambria Math" panose="02040503050406030204" pitchFamily="18" charset="0"/>
                                          </a:rPr>
                                          <m:t>𝑙</m:t>
                                        </m:r>
                                      </m:e>
                                      <m:sub>
                                        <m:r>
                                          <a:rPr lang="en-AU" sz="1000" i="1">
                                            <a:latin typeface="Cambria Math" panose="02040503050406030204" pitchFamily="18" charset="0"/>
                                          </a:rPr>
                                          <m:t>𝑗𝑓</m:t>
                                        </m:r>
                                      </m:sub>
                                    </m:sSub>
                                    <m:r>
                                      <a:rPr lang="en-AU" sz="1000" i="1">
                                        <a:latin typeface="Cambria Math" panose="02040503050406030204" pitchFamily="18" charset="0"/>
                                      </a:rPr>
                                      <m:t>×</m:t>
                                    </m:r>
                                    <m:r>
                                      <a:rPr lang="en-AU" sz="1000" i="1">
                                        <a:latin typeface="Cambria Math" panose="02040503050406030204" pitchFamily="18" charset="0"/>
                                      </a:rPr>
                                      <m:t>𝐸</m:t>
                                    </m:r>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𝑁</m:t>
                                        </m:r>
                                        <m:r>
                                          <a:rPr lang="en-AU" sz="1000" i="1">
                                            <a:latin typeface="Cambria Math" panose="02040503050406030204" pitchFamily="18" charset="0"/>
                                          </a:rPr>
                                          <m:t>2</m:t>
                                        </m:r>
                                        <m:r>
                                          <a:rPr lang="en-AU" sz="1000" i="1">
                                            <a:latin typeface="Cambria Math" panose="02040503050406030204" pitchFamily="18" charset="0"/>
                                          </a:rPr>
                                          <m:t>𝑂</m:t>
                                        </m:r>
                                        <m:r>
                                          <a:rPr lang="en-AU" sz="1000" i="1">
                                            <a:latin typeface="Cambria Math" panose="02040503050406030204" pitchFamily="18" charset="0"/>
                                          </a:rPr>
                                          <m:t>,</m:t>
                                        </m:r>
                                        <m:r>
                                          <a:rPr lang="en-AU" sz="1000" i="1">
                                            <a:latin typeface="Cambria Math" panose="02040503050406030204" pitchFamily="18" charset="0"/>
                                          </a:rPr>
                                          <m:t>𝑖</m:t>
                                        </m:r>
                                      </m:sub>
                                    </m:sSub>
                                    <m:r>
                                      <a:rPr lang="en-AU" sz="1000" i="1">
                                        <a:latin typeface="Cambria Math" panose="02040503050406030204" pitchFamily="18" charset="0"/>
                                      </a:rPr>
                                      <m:t>×</m:t>
                                    </m:r>
                                    <m:sSub>
                                      <m:sSubPr>
                                        <m:ctrlPr>
                                          <a:rPr lang="en-AU" sz="1000" i="1">
                                            <a:latin typeface="Cambria Math" panose="02040503050406030204" pitchFamily="18" charset="0"/>
                                          </a:rPr>
                                        </m:ctrlPr>
                                      </m:sSubPr>
                                      <m:e>
                                        <m:r>
                                          <a:rPr lang="en-AU" sz="1000" i="1">
                                            <a:latin typeface="Cambria Math" panose="02040503050406030204" pitchFamily="18" charset="0"/>
                                          </a:rPr>
                                          <m:t>𝐶</m:t>
                                        </m:r>
                                      </m:e>
                                      <m:sub>
                                        <m:r>
                                          <a:rPr lang="en-AU" sz="1000" i="1">
                                            <a:latin typeface="Cambria Math" panose="02040503050406030204" pitchFamily="18" charset="0"/>
                                          </a:rPr>
                                          <m:t>𝑁</m:t>
                                        </m:r>
                                        <m:r>
                                          <a:rPr lang="en-AU" sz="1000" i="1">
                                            <a:latin typeface="Cambria Math" panose="02040503050406030204" pitchFamily="18" charset="0"/>
                                          </a:rPr>
                                          <m:t>2</m:t>
                                        </m:r>
                                        <m:r>
                                          <a:rPr lang="en-AU" sz="1000" i="1">
                                            <a:latin typeface="Cambria Math" panose="02040503050406030204" pitchFamily="18" charset="0"/>
                                          </a:rPr>
                                          <m:t>𝑂</m:t>
                                        </m:r>
                                      </m:sub>
                                    </m:sSub>
                                  </m:e>
                                </m:d>
                                <m:r>
                                  <a:rPr lang="en-AU" sz="1000" i="1">
                                    <a:latin typeface="Cambria Math" panose="02040503050406030204" pitchFamily="18" charset="0"/>
                                  </a:rPr>
                                  <m:t>×</m:t>
                                </m:r>
                                <m:sSup>
                                  <m:sSupPr>
                                    <m:ctrlPr>
                                      <a:rPr lang="en-AU" sz="1000" i="1">
                                        <a:latin typeface="Cambria Math" panose="02040503050406030204" pitchFamily="18" charset="0"/>
                                      </a:rPr>
                                    </m:ctrlPr>
                                  </m:sSupPr>
                                  <m:e>
                                    <m:r>
                                      <a:rPr lang="en-AU" sz="1000" i="1">
                                        <a:latin typeface="Cambria Math" panose="02040503050406030204" pitchFamily="18" charset="0"/>
                                      </a:rPr>
                                      <m:t>10</m:t>
                                    </m:r>
                                  </m:e>
                                  <m:sup>
                                    <m:r>
                                      <a:rPr lang="en-AU" sz="1000" i="1">
                                        <a:latin typeface="Cambria Math" panose="02040503050406030204" pitchFamily="18" charset="0"/>
                                      </a:rPr>
                                      <m:t>−3</m:t>
                                    </m:r>
                                  </m:sup>
                                </m:sSup>
                              </m:e>
                            </m:d>
                          </m:e>
                        </m:nary>
                      </m:e>
                    </m:nary>
                  </m:oMath>
                </m:oMathPara>
              </a14:m>
              <a:endParaRPr lang="en-AU" sz="1000"/>
            </a:p>
          </xdr:txBody>
        </xdr:sp>
      </mc:Choice>
      <mc:Fallback xmlns="">
        <xdr:sp macro="" textlink="">
          <xdr:nvSpPr>
            <xdr:cNvPr id="7" name="TextBox 6">
              <a:extLst>
                <a:ext uri="{FF2B5EF4-FFF2-40B4-BE49-F238E27FC236}">
                  <a16:creationId xmlns:a16="http://schemas.microsoft.com/office/drawing/2014/main" id="{109238F8-7124-4589-85FC-04CFD8A1610A}"/>
                </a:ext>
              </a:extLst>
            </xdr:cNvPr>
            <xdr:cNvSpPr txBox="1"/>
          </xdr:nvSpPr>
          <xdr:spPr>
            <a:xfrm>
              <a:off x="20435887" y="1933575"/>
              <a:ext cx="3299749"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𝐸_𝑁2𝑂=∑_𝑗▒∑_𝑓▒((𝑀𝑁𝑆𝑜𝑖𝑙_𝑗𝑓×𝐸𝐹_(𝑁2𝑂,𝑖)×𝐶_𝑁2𝑂 )×10^(−3) ) </a:t>
              </a:r>
              <a:endParaRPr lang="en-AU" sz="1000"/>
            </a:p>
          </xdr:txBody>
        </xdr:sp>
      </mc:Fallback>
    </mc:AlternateContent>
    <xdr:clientData/>
  </xdr:oneCellAnchor>
  <xdr:oneCellAnchor>
    <xdr:from>
      <xdr:col>13</xdr:col>
      <xdr:colOff>4762</xdr:colOff>
      <xdr:row>26</xdr:row>
      <xdr:rowOff>66675</xdr:rowOff>
    </xdr:from>
    <xdr:ext cx="2649059" cy="182999"/>
    <mc:AlternateContent xmlns:mc="http://schemas.openxmlformats.org/markup-compatibility/2006" xmlns:a14="http://schemas.microsoft.com/office/drawing/2010/main">
      <mc:Choice Requires="a14">
        <xdr:sp macro="" textlink="">
          <xdr:nvSpPr>
            <xdr:cNvPr id="8" name="TextBox 7">
              <a:extLst>
                <a:ext uri="{FF2B5EF4-FFF2-40B4-BE49-F238E27FC236}">
                  <a16:creationId xmlns:a16="http://schemas.microsoft.com/office/drawing/2014/main" id="{C66E6AE0-1B23-4FFF-B49E-260AA02810F4}"/>
                </a:ext>
              </a:extLst>
            </xdr:cNvPr>
            <xdr:cNvSpPr txBox="1"/>
          </xdr:nvSpPr>
          <xdr:spPr>
            <a:xfrm>
              <a:off x="20435887" y="6638925"/>
              <a:ext cx="2649059" cy="1829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000" i="1">
                            <a:latin typeface="Cambria Math" panose="02040503050406030204" pitchFamily="18" charset="0"/>
                          </a:rPr>
                        </m:ctrlPr>
                      </m:sSubPr>
                      <m:e>
                        <m:r>
                          <a:rPr lang="en-AU" sz="1000" i="1">
                            <a:latin typeface="Cambria Math" panose="02040503050406030204" pitchFamily="18" charset="0"/>
                          </a:rPr>
                          <m:t>𝑀</m:t>
                        </m:r>
                      </m:e>
                      <m:sub>
                        <m:r>
                          <a:rPr lang="en-AU" sz="1000" i="1">
                            <a:latin typeface="Cambria Math" panose="02040503050406030204" pitchFamily="18" charset="0"/>
                          </a:rPr>
                          <m:t>𝑣𝑜𝑙</m:t>
                        </m:r>
                        <m:r>
                          <a:rPr lang="en-AU" sz="1000" i="1">
                            <a:latin typeface="Cambria Math" panose="02040503050406030204" pitchFamily="18" charset="0"/>
                          </a:rPr>
                          <m:t>,</m:t>
                        </m:r>
                        <m:r>
                          <a:rPr lang="en-AU" sz="1000" i="1">
                            <a:latin typeface="Cambria Math" panose="02040503050406030204" pitchFamily="18" charset="0"/>
                          </a:rPr>
                          <m:t>𝑜𝑟𝑔𝑎𝑛𝑖𝑐</m:t>
                        </m:r>
                        <m:r>
                          <a:rPr lang="en-AU" sz="1000" i="1">
                            <a:latin typeface="Cambria Math" panose="02040503050406030204" pitchFamily="18" charset="0"/>
                          </a:rPr>
                          <m:t>,</m:t>
                        </m:r>
                        <m:r>
                          <a:rPr lang="en-AU" sz="1000" i="1">
                            <a:latin typeface="Cambria Math" panose="02040503050406030204" pitchFamily="18" charset="0"/>
                          </a:rPr>
                          <m:t>𝑗𝑓</m:t>
                        </m:r>
                      </m:sub>
                    </m:sSub>
                    <m:r>
                      <a:rPr lang="en-AU" sz="1000" i="1">
                        <a:latin typeface="Cambria Math" panose="02040503050406030204" pitchFamily="18" charset="0"/>
                      </a:rPr>
                      <m:t>=</m:t>
                    </m:r>
                    <m:r>
                      <a:rPr lang="en-AU" sz="1000" i="1">
                        <a:latin typeface="Cambria Math" panose="02040503050406030204" pitchFamily="18" charset="0"/>
                      </a:rPr>
                      <m:t>𝑀𝑁𝑆𝑜𝑖</m:t>
                    </m:r>
                    <m:sSub>
                      <m:sSubPr>
                        <m:ctrlPr>
                          <a:rPr lang="en-AU" sz="1000" i="1">
                            <a:latin typeface="Cambria Math" panose="02040503050406030204" pitchFamily="18" charset="0"/>
                          </a:rPr>
                        </m:ctrlPr>
                      </m:sSubPr>
                      <m:e>
                        <m:r>
                          <a:rPr lang="en-AU" sz="1000" i="1">
                            <a:latin typeface="Cambria Math" panose="02040503050406030204" pitchFamily="18" charset="0"/>
                          </a:rPr>
                          <m:t>𝑙</m:t>
                        </m:r>
                      </m:e>
                      <m:sub>
                        <m:r>
                          <a:rPr lang="en-AU" sz="1000" i="1">
                            <a:latin typeface="Cambria Math" panose="02040503050406030204" pitchFamily="18" charset="0"/>
                          </a:rPr>
                          <m:t>𝑗𝑓</m:t>
                        </m:r>
                      </m:sub>
                    </m:sSub>
                    <m:r>
                      <a:rPr lang="en-AU" sz="1000" i="1">
                        <a:latin typeface="Cambria Math" panose="02040503050406030204" pitchFamily="18" charset="0"/>
                      </a:rPr>
                      <m:t>×</m:t>
                    </m:r>
                    <m:r>
                      <a:rPr lang="en-AU" sz="1000" i="1">
                        <a:latin typeface="Cambria Math" panose="02040503050406030204" pitchFamily="18" charset="0"/>
                      </a:rPr>
                      <m:t>𝐹𝑟𝑎𝑐𝐺𝐴𝑆</m:t>
                    </m:r>
                    <m:sSub>
                      <m:sSubPr>
                        <m:ctrlPr>
                          <a:rPr lang="en-AU" sz="1000" i="1">
                            <a:latin typeface="Cambria Math" panose="02040503050406030204" pitchFamily="18" charset="0"/>
                          </a:rPr>
                        </m:ctrlPr>
                      </m:sSubPr>
                      <m:e>
                        <m:r>
                          <a:rPr lang="en-AU" sz="1000" i="1">
                            <a:latin typeface="Cambria Math" panose="02040503050406030204" pitchFamily="18" charset="0"/>
                          </a:rPr>
                          <m:t>𝑀</m:t>
                        </m:r>
                      </m:e>
                      <m:sub>
                        <m:r>
                          <a:rPr lang="en-AU" sz="1000" i="1">
                            <a:latin typeface="Cambria Math" panose="02040503050406030204" pitchFamily="18" charset="0"/>
                          </a:rPr>
                          <m:t>𝑠𝑜𝑖𝑙</m:t>
                        </m:r>
                      </m:sub>
                    </m:sSub>
                  </m:oMath>
                </m:oMathPara>
              </a14:m>
              <a:endParaRPr lang="en-AU" sz="1000"/>
            </a:p>
          </xdr:txBody>
        </xdr:sp>
      </mc:Choice>
      <mc:Fallback xmlns="">
        <xdr:sp macro="" textlink="">
          <xdr:nvSpPr>
            <xdr:cNvPr id="8" name="TextBox 7">
              <a:extLst>
                <a:ext uri="{FF2B5EF4-FFF2-40B4-BE49-F238E27FC236}">
                  <a16:creationId xmlns:a16="http://schemas.microsoft.com/office/drawing/2014/main" id="{C66E6AE0-1B23-4FFF-B49E-260AA02810F4}"/>
                </a:ext>
              </a:extLst>
            </xdr:cNvPr>
            <xdr:cNvSpPr txBox="1"/>
          </xdr:nvSpPr>
          <xdr:spPr>
            <a:xfrm>
              <a:off x="20435887" y="6638925"/>
              <a:ext cx="2649059" cy="1829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𝑀_(𝑣𝑜𝑙,𝑜𝑟𝑔𝑎𝑛𝑖𝑐,𝑗𝑓)=𝑀𝑁𝑆𝑜𝑖𝑙_𝑗𝑓×𝐹𝑟𝑎𝑐𝐺𝐴𝑆𝑀_𝑠𝑜𝑖𝑙</a:t>
              </a:r>
              <a:endParaRPr lang="en-AU" sz="1000"/>
            </a:p>
          </xdr:txBody>
        </xdr:sp>
      </mc:Fallback>
    </mc:AlternateContent>
    <xdr:clientData/>
  </xdr:oneCellAnchor>
  <xdr:oneCellAnchor>
    <xdr:from>
      <xdr:col>13</xdr:col>
      <xdr:colOff>14287</xdr:colOff>
      <xdr:row>42</xdr:row>
      <xdr:rowOff>57150</xdr:rowOff>
    </xdr:from>
    <xdr:ext cx="4040786" cy="332079"/>
    <mc:AlternateContent xmlns:mc="http://schemas.openxmlformats.org/markup-compatibility/2006" xmlns:a14="http://schemas.microsoft.com/office/drawing/2010/main">
      <mc:Choice Requires="a14">
        <xdr:sp macro="" textlink="">
          <xdr:nvSpPr>
            <xdr:cNvPr id="9" name="TextBox 8">
              <a:extLst>
                <a:ext uri="{FF2B5EF4-FFF2-40B4-BE49-F238E27FC236}">
                  <a16:creationId xmlns:a16="http://schemas.microsoft.com/office/drawing/2014/main" id="{A8CACF69-F693-4E86-B301-41C4AF7DA656}"/>
                </a:ext>
              </a:extLst>
            </xdr:cNvPr>
            <xdr:cNvSpPr txBox="1"/>
          </xdr:nvSpPr>
          <xdr:spPr>
            <a:xfrm>
              <a:off x="20445412" y="10591800"/>
              <a:ext cx="4040786"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000" i="1">
                            <a:latin typeface="Cambria Math" panose="02040503050406030204" pitchFamily="18" charset="0"/>
                          </a:rPr>
                        </m:ctrlPr>
                      </m:sSubPr>
                      <m:e>
                        <m:r>
                          <a:rPr lang="en-AU" sz="1000" i="1">
                            <a:latin typeface="Cambria Math" panose="02040503050406030204" pitchFamily="18" charset="0"/>
                          </a:rPr>
                          <m:t>𝐸</m:t>
                        </m:r>
                      </m:e>
                      <m:sub>
                        <m:r>
                          <a:rPr lang="en-AU" sz="1000" i="1">
                            <a:latin typeface="Cambria Math" panose="02040503050406030204" pitchFamily="18" charset="0"/>
                          </a:rPr>
                          <m:t>𝑎𝑑</m:t>
                        </m:r>
                        <m:r>
                          <a:rPr lang="en-AU" sz="1000" i="1">
                            <a:latin typeface="Cambria Math" panose="02040503050406030204" pitchFamily="18" charset="0"/>
                          </a:rPr>
                          <m:t>,</m:t>
                        </m:r>
                        <m:r>
                          <a:rPr lang="en-AU" sz="1000" i="1">
                            <a:latin typeface="Cambria Math" panose="02040503050406030204" pitchFamily="18" charset="0"/>
                          </a:rPr>
                          <m:t>𝑜𝑟𝑔𝑎𝑛𝑖𝑐</m:t>
                        </m:r>
                      </m:sub>
                    </m:sSub>
                    <m:r>
                      <a:rPr lang="en-AU" sz="1000" i="1">
                        <a:latin typeface="Cambria Math" panose="02040503050406030204" pitchFamily="18" charset="0"/>
                      </a:rPr>
                      <m:t>=</m:t>
                    </m:r>
                    <m:nary>
                      <m:naryPr>
                        <m:chr m:val="∑"/>
                        <m:limLoc m:val="subSup"/>
                        <m:supHide m:val="on"/>
                        <m:ctrlPr>
                          <a:rPr lang="en-AU" sz="1000" i="1">
                            <a:latin typeface="Cambria Math" panose="02040503050406030204" pitchFamily="18" charset="0"/>
                          </a:rPr>
                        </m:ctrlPr>
                      </m:naryPr>
                      <m:sub>
                        <m:r>
                          <a:rPr lang="en-AU" sz="1000" i="1">
                            <a:latin typeface="Cambria Math" panose="02040503050406030204" pitchFamily="18" charset="0"/>
                          </a:rPr>
                          <m:t>𝑗</m:t>
                        </m:r>
                      </m:sub>
                      <m:sup/>
                      <m:e>
                        <m:nary>
                          <m:naryPr>
                            <m:chr m:val="∑"/>
                            <m:limLoc m:val="subSup"/>
                            <m:supHide m:val="on"/>
                            <m:ctrlPr>
                              <a:rPr lang="en-AU" sz="1000" i="1">
                                <a:latin typeface="Cambria Math" panose="02040503050406030204" pitchFamily="18" charset="0"/>
                              </a:rPr>
                            </m:ctrlPr>
                          </m:naryPr>
                          <m:sub>
                            <m:r>
                              <a:rPr lang="en-AU" sz="1000" i="1">
                                <a:latin typeface="Cambria Math" panose="02040503050406030204" pitchFamily="18" charset="0"/>
                              </a:rPr>
                              <m:t>𝑓</m:t>
                            </m:r>
                          </m:sub>
                          <m:sup/>
                          <m:e>
                            <m:d>
                              <m:dPr>
                                <m:ctrlPr>
                                  <a:rPr lang="en-AU" sz="1000" i="1">
                                    <a:latin typeface="Cambria Math" panose="02040503050406030204" pitchFamily="18" charset="0"/>
                                  </a:rPr>
                                </m:ctrlPr>
                              </m:dPr>
                              <m:e>
                                <m:d>
                                  <m:dPr>
                                    <m:ctrlPr>
                                      <a:rPr lang="en-AU" sz="1000" i="1">
                                        <a:latin typeface="Cambria Math" panose="02040503050406030204" pitchFamily="18" charset="0"/>
                                      </a:rPr>
                                    </m:ctrlPr>
                                  </m:dPr>
                                  <m:e>
                                    <m:sSub>
                                      <m:sSubPr>
                                        <m:ctrlPr>
                                          <a:rPr lang="en-AU" sz="1000" i="1">
                                            <a:latin typeface="Cambria Math" panose="02040503050406030204" pitchFamily="18" charset="0"/>
                                          </a:rPr>
                                        </m:ctrlPr>
                                      </m:sSubPr>
                                      <m:e>
                                        <m:r>
                                          <a:rPr lang="en-AU" sz="1000" i="1">
                                            <a:latin typeface="Cambria Math" panose="02040503050406030204" pitchFamily="18" charset="0"/>
                                          </a:rPr>
                                          <m:t>𝑀</m:t>
                                        </m:r>
                                      </m:e>
                                      <m:sub>
                                        <m:r>
                                          <a:rPr lang="en-AU" sz="1000" i="1">
                                            <a:latin typeface="Cambria Math" panose="02040503050406030204" pitchFamily="18" charset="0"/>
                                          </a:rPr>
                                          <m:t>𝑣𝑜𝑙</m:t>
                                        </m:r>
                                        <m:r>
                                          <a:rPr lang="en-AU" sz="1000" i="1">
                                            <a:latin typeface="Cambria Math" panose="02040503050406030204" pitchFamily="18" charset="0"/>
                                          </a:rPr>
                                          <m:t>,</m:t>
                                        </m:r>
                                        <m:r>
                                          <a:rPr lang="en-AU" sz="1000" i="1">
                                            <a:latin typeface="Cambria Math" panose="02040503050406030204" pitchFamily="18" charset="0"/>
                                          </a:rPr>
                                          <m:t>𝑜𝑟𝑔𝑎𝑛𝑖𝑐</m:t>
                                        </m:r>
                                        <m:r>
                                          <a:rPr lang="en-AU" sz="1000" i="1">
                                            <a:latin typeface="Cambria Math" panose="02040503050406030204" pitchFamily="18" charset="0"/>
                                          </a:rPr>
                                          <m:t>,</m:t>
                                        </m:r>
                                        <m:r>
                                          <a:rPr lang="en-AU" sz="1000" i="1">
                                            <a:latin typeface="Cambria Math" panose="02040503050406030204" pitchFamily="18" charset="0"/>
                                          </a:rPr>
                                          <m:t>𝑗𝑓</m:t>
                                        </m:r>
                                      </m:sub>
                                    </m:sSub>
                                    <m:r>
                                      <a:rPr lang="en-AU" sz="1000" i="1">
                                        <a:latin typeface="Cambria Math" panose="02040503050406030204" pitchFamily="18" charset="0"/>
                                      </a:rPr>
                                      <m:t>×</m:t>
                                    </m:r>
                                    <m:r>
                                      <a:rPr lang="en-AU" sz="1000" i="1">
                                        <a:latin typeface="Cambria Math" panose="02040503050406030204" pitchFamily="18" charset="0"/>
                                      </a:rPr>
                                      <m:t>𝐸</m:t>
                                    </m:r>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𝑁</m:t>
                                        </m:r>
                                        <m:r>
                                          <a:rPr lang="en-AU" sz="1000" i="1">
                                            <a:latin typeface="Cambria Math" panose="02040503050406030204" pitchFamily="18" charset="0"/>
                                          </a:rPr>
                                          <m:t>2</m:t>
                                        </m:r>
                                        <m:r>
                                          <a:rPr lang="en-AU" sz="1000" i="1">
                                            <a:latin typeface="Cambria Math" panose="02040503050406030204" pitchFamily="18" charset="0"/>
                                          </a:rPr>
                                          <m:t>𝑂</m:t>
                                        </m:r>
                                        <m:r>
                                          <a:rPr lang="en-AU" sz="1000" i="1">
                                            <a:latin typeface="Cambria Math" panose="02040503050406030204" pitchFamily="18" charset="0"/>
                                          </a:rPr>
                                          <m:t>,</m:t>
                                        </m:r>
                                        <m:r>
                                          <a:rPr lang="en-AU" sz="1000" i="1">
                                            <a:latin typeface="Cambria Math" panose="02040503050406030204" pitchFamily="18" charset="0"/>
                                          </a:rPr>
                                          <m:t>𝑗</m:t>
                                        </m:r>
                                      </m:sub>
                                    </m:sSub>
                                  </m:e>
                                </m:d>
                                <m:r>
                                  <a:rPr lang="en-AU" sz="1000" i="1">
                                    <a:latin typeface="Cambria Math" panose="02040503050406030204" pitchFamily="18" charset="0"/>
                                  </a:rPr>
                                  <m:t>×</m:t>
                                </m:r>
                                <m:sSub>
                                  <m:sSubPr>
                                    <m:ctrlPr>
                                      <a:rPr lang="en-AU" sz="1000" i="1">
                                        <a:latin typeface="Cambria Math" panose="02040503050406030204" pitchFamily="18" charset="0"/>
                                      </a:rPr>
                                    </m:ctrlPr>
                                  </m:sSubPr>
                                  <m:e>
                                    <m:r>
                                      <a:rPr lang="en-AU" sz="1000" i="1">
                                        <a:latin typeface="Cambria Math" panose="02040503050406030204" pitchFamily="18" charset="0"/>
                                      </a:rPr>
                                      <m:t>𝐶</m:t>
                                    </m:r>
                                  </m:e>
                                  <m:sub>
                                    <m:r>
                                      <a:rPr lang="en-AU" sz="1000" i="1">
                                        <a:latin typeface="Cambria Math" panose="02040503050406030204" pitchFamily="18" charset="0"/>
                                      </a:rPr>
                                      <m:t>𝑁</m:t>
                                    </m:r>
                                    <m:r>
                                      <a:rPr lang="en-AU" sz="1000" i="1">
                                        <a:latin typeface="Cambria Math" panose="02040503050406030204" pitchFamily="18" charset="0"/>
                                      </a:rPr>
                                      <m:t>2</m:t>
                                    </m:r>
                                    <m:r>
                                      <a:rPr lang="en-AU" sz="1000" i="1">
                                        <a:latin typeface="Cambria Math" panose="02040503050406030204" pitchFamily="18" charset="0"/>
                                      </a:rPr>
                                      <m:t>𝑂</m:t>
                                    </m:r>
                                  </m:sub>
                                </m:sSub>
                                <m:r>
                                  <a:rPr lang="en-AU" sz="1000" i="1">
                                    <a:latin typeface="Cambria Math" panose="02040503050406030204" pitchFamily="18" charset="0"/>
                                  </a:rPr>
                                  <m:t>×</m:t>
                                </m:r>
                                <m:sSup>
                                  <m:sSupPr>
                                    <m:ctrlPr>
                                      <a:rPr lang="en-AU" sz="1000" i="1">
                                        <a:latin typeface="Cambria Math" panose="02040503050406030204" pitchFamily="18" charset="0"/>
                                      </a:rPr>
                                    </m:ctrlPr>
                                  </m:sSupPr>
                                  <m:e>
                                    <m:r>
                                      <a:rPr lang="en-AU" sz="1000" i="1">
                                        <a:latin typeface="Cambria Math" panose="02040503050406030204" pitchFamily="18" charset="0"/>
                                      </a:rPr>
                                      <m:t>10</m:t>
                                    </m:r>
                                  </m:e>
                                  <m:sup>
                                    <m:r>
                                      <a:rPr lang="en-AU" sz="1000" i="1">
                                        <a:latin typeface="Cambria Math" panose="02040503050406030204" pitchFamily="18" charset="0"/>
                                      </a:rPr>
                                      <m:t>−3</m:t>
                                    </m:r>
                                  </m:sup>
                                </m:sSup>
                              </m:e>
                            </m:d>
                          </m:e>
                        </m:nary>
                      </m:e>
                    </m:nary>
                  </m:oMath>
                </m:oMathPara>
              </a14:m>
              <a:endParaRPr lang="en-AU" sz="1000"/>
            </a:p>
          </xdr:txBody>
        </xdr:sp>
      </mc:Choice>
      <mc:Fallback xmlns="">
        <xdr:sp macro="" textlink="">
          <xdr:nvSpPr>
            <xdr:cNvPr id="9" name="TextBox 8">
              <a:extLst>
                <a:ext uri="{FF2B5EF4-FFF2-40B4-BE49-F238E27FC236}">
                  <a16:creationId xmlns:a16="http://schemas.microsoft.com/office/drawing/2014/main" id="{A8CACF69-F693-4E86-B301-41C4AF7DA656}"/>
                </a:ext>
              </a:extLst>
            </xdr:cNvPr>
            <xdr:cNvSpPr txBox="1"/>
          </xdr:nvSpPr>
          <xdr:spPr>
            <a:xfrm>
              <a:off x="20445412" y="10591800"/>
              <a:ext cx="4040786"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𝐸_(𝑎𝑑,𝑜𝑟𝑔𝑎𝑛𝑖𝑐)=∑2_𝑗▒∑2_𝑓▒((𝑀_(𝑣𝑜𝑙,𝑜𝑟𝑔𝑎𝑛𝑖𝑐,𝑗𝑓)×𝐸𝐹_(𝑁2𝑂,𝑗) )×𝐶_𝑁2𝑂×10^(−3) ) </a:t>
              </a:r>
              <a:endParaRPr lang="en-AU" sz="1000"/>
            </a:p>
          </xdr:txBody>
        </xdr:sp>
      </mc:Fallback>
    </mc:AlternateContent>
    <xdr:clientData/>
  </xdr:oneCellAnchor>
  <xdr:oneCellAnchor>
    <xdr:from>
      <xdr:col>12</xdr:col>
      <xdr:colOff>252412</xdr:colOff>
      <xdr:row>61</xdr:row>
      <xdr:rowOff>71437</xdr:rowOff>
    </xdr:from>
    <xdr:ext cx="3633944" cy="332014"/>
    <mc:AlternateContent xmlns:mc="http://schemas.openxmlformats.org/markup-compatibility/2006" xmlns:a14="http://schemas.microsoft.com/office/drawing/2010/main">
      <mc:Choice Requires="a14">
        <xdr:sp macro="" textlink="">
          <xdr:nvSpPr>
            <xdr:cNvPr id="10" name="TextBox 9">
              <a:extLst>
                <a:ext uri="{FF2B5EF4-FFF2-40B4-BE49-F238E27FC236}">
                  <a16:creationId xmlns:a16="http://schemas.microsoft.com/office/drawing/2014/main" id="{64C3894B-BACA-4452-A3CE-F192FA8C788B}"/>
                </a:ext>
              </a:extLst>
            </xdr:cNvPr>
            <xdr:cNvSpPr txBox="1"/>
          </xdr:nvSpPr>
          <xdr:spPr>
            <a:xfrm>
              <a:off x="20331112" y="15311437"/>
              <a:ext cx="3633944" cy="3320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000" i="1">
                            <a:latin typeface="Cambria Math" panose="02040503050406030204" pitchFamily="18" charset="0"/>
                          </a:rPr>
                        </m:ctrlPr>
                      </m:sSubPr>
                      <m:e>
                        <m:r>
                          <a:rPr lang="en-AU" sz="1000" i="1">
                            <a:latin typeface="Cambria Math" panose="02040503050406030204" pitchFamily="18" charset="0"/>
                          </a:rPr>
                          <m:t>𝑀</m:t>
                        </m:r>
                      </m:e>
                      <m:sub>
                        <m:r>
                          <a:rPr lang="en-AU" sz="1000" i="1">
                            <a:latin typeface="Cambria Math" panose="02040503050406030204" pitchFamily="18" charset="0"/>
                          </a:rPr>
                          <m:t>𝑙𝑒𝑎𝑐ℎ</m:t>
                        </m:r>
                        <m:r>
                          <a:rPr lang="en-AU" sz="1000" i="1">
                            <a:latin typeface="Cambria Math" panose="02040503050406030204" pitchFamily="18" charset="0"/>
                          </a:rPr>
                          <m:t>,</m:t>
                        </m:r>
                        <m:r>
                          <a:rPr lang="en-AU" sz="1000" i="1">
                            <a:latin typeface="Cambria Math" panose="02040503050406030204" pitchFamily="18" charset="0"/>
                          </a:rPr>
                          <m:t>𝑜𝑟𝑔𝑎𝑛𝑖𝑐</m:t>
                        </m:r>
                        <m:r>
                          <a:rPr lang="en-AU" sz="1000" i="1">
                            <a:latin typeface="Cambria Math" panose="02040503050406030204" pitchFamily="18" charset="0"/>
                          </a:rPr>
                          <m:t>,</m:t>
                        </m:r>
                        <m:r>
                          <a:rPr lang="en-AU" sz="1000" i="1">
                            <a:latin typeface="Cambria Math" panose="02040503050406030204" pitchFamily="18" charset="0"/>
                          </a:rPr>
                          <m:t>𝑗</m:t>
                        </m:r>
                      </m:sub>
                    </m:sSub>
                    <m:r>
                      <a:rPr lang="en-AU" sz="1000" i="1">
                        <a:latin typeface="Cambria Math" panose="02040503050406030204" pitchFamily="18" charset="0"/>
                      </a:rPr>
                      <m:t>=</m:t>
                    </m:r>
                    <m:nary>
                      <m:naryPr>
                        <m:chr m:val="∑"/>
                        <m:limLoc m:val="subSup"/>
                        <m:supHide m:val="on"/>
                        <m:ctrlPr>
                          <a:rPr lang="en-AU" sz="1000" i="1">
                            <a:latin typeface="Cambria Math" panose="02040503050406030204" pitchFamily="18" charset="0"/>
                          </a:rPr>
                        </m:ctrlPr>
                      </m:naryPr>
                      <m:sub>
                        <m:r>
                          <a:rPr lang="en-AU" sz="1000" i="1">
                            <a:latin typeface="Cambria Math" panose="02040503050406030204" pitchFamily="18" charset="0"/>
                          </a:rPr>
                          <m:t>𝑓</m:t>
                        </m:r>
                      </m:sub>
                      <m:sup/>
                      <m:e>
                        <m:d>
                          <m:dPr>
                            <m:ctrlPr>
                              <a:rPr lang="en-AU" sz="1000" i="1">
                                <a:latin typeface="Cambria Math" panose="02040503050406030204" pitchFamily="18" charset="0"/>
                              </a:rPr>
                            </m:ctrlPr>
                          </m:dPr>
                          <m:e>
                            <m:r>
                              <a:rPr lang="en-AU" sz="1000" i="1">
                                <a:latin typeface="Cambria Math" panose="02040503050406030204" pitchFamily="18" charset="0"/>
                              </a:rPr>
                              <m:t>𝑀𝑁𝑆𝑜𝑖</m:t>
                            </m:r>
                            <m:sSub>
                              <m:sSubPr>
                                <m:ctrlPr>
                                  <a:rPr lang="en-AU" sz="1000" i="1">
                                    <a:latin typeface="Cambria Math" panose="02040503050406030204" pitchFamily="18" charset="0"/>
                                  </a:rPr>
                                </m:ctrlPr>
                              </m:sSubPr>
                              <m:e>
                                <m:r>
                                  <a:rPr lang="en-AU" sz="1000" i="1">
                                    <a:latin typeface="Cambria Math" panose="02040503050406030204" pitchFamily="18" charset="0"/>
                                  </a:rPr>
                                  <m:t>𝑙</m:t>
                                </m:r>
                              </m:e>
                              <m:sub>
                                <m:r>
                                  <a:rPr lang="en-AU" sz="1000" i="1">
                                    <a:latin typeface="Cambria Math" panose="02040503050406030204" pitchFamily="18" charset="0"/>
                                  </a:rPr>
                                  <m:t>𝑗𝑓</m:t>
                                </m:r>
                              </m:sub>
                            </m:sSub>
                            <m:r>
                              <a:rPr lang="en-AU" sz="1000" i="1">
                                <a:latin typeface="Cambria Math" panose="02040503050406030204" pitchFamily="18" charset="0"/>
                              </a:rPr>
                              <m:t>×</m:t>
                            </m:r>
                            <m:r>
                              <a:rPr lang="en-AU" sz="1000" i="1">
                                <a:latin typeface="Cambria Math" panose="02040503050406030204" pitchFamily="18" charset="0"/>
                              </a:rPr>
                              <m:t>𝐹𝑟𝑎</m:t>
                            </m:r>
                            <m:sSub>
                              <m:sSubPr>
                                <m:ctrlPr>
                                  <a:rPr lang="en-AU" sz="1000" i="1">
                                    <a:latin typeface="Cambria Math" panose="02040503050406030204" pitchFamily="18" charset="0"/>
                                  </a:rPr>
                                </m:ctrlPr>
                              </m:sSubPr>
                              <m:e>
                                <m:r>
                                  <a:rPr lang="en-AU" sz="1000" i="1">
                                    <a:latin typeface="Cambria Math" panose="02040503050406030204" pitchFamily="18" charset="0"/>
                                  </a:rPr>
                                  <m:t>𝑐</m:t>
                                </m:r>
                              </m:e>
                              <m:sub>
                                <m:r>
                                  <a:rPr lang="en-AU" sz="1000" i="1">
                                    <a:latin typeface="Cambria Math" panose="02040503050406030204" pitchFamily="18" charset="0"/>
                                  </a:rPr>
                                  <m:t>𝑊𝐸𝑇</m:t>
                                </m:r>
                                <m:r>
                                  <a:rPr lang="en-AU" sz="1000" i="1">
                                    <a:latin typeface="Cambria Math" panose="02040503050406030204" pitchFamily="18" charset="0"/>
                                  </a:rPr>
                                  <m:t>,</m:t>
                                </m:r>
                                <m:r>
                                  <a:rPr lang="en-AU" sz="1000" i="1">
                                    <a:latin typeface="Cambria Math" panose="02040503050406030204" pitchFamily="18" charset="0"/>
                                  </a:rPr>
                                  <m:t>𝑗</m:t>
                                </m:r>
                              </m:sub>
                            </m:sSub>
                            <m:r>
                              <a:rPr lang="en-AU" sz="1000" i="1">
                                <a:latin typeface="Cambria Math" panose="02040503050406030204" pitchFamily="18" charset="0"/>
                              </a:rPr>
                              <m:t>×</m:t>
                            </m:r>
                            <m:r>
                              <a:rPr lang="en-AU" sz="1000" i="1">
                                <a:latin typeface="Cambria Math" panose="02040503050406030204" pitchFamily="18" charset="0"/>
                              </a:rPr>
                              <m:t>𝐹𝑟𝑎</m:t>
                            </m:r>
                            <m:sSub>
                              <m:sSubPr>
                                <m:ctrlPr>
                                  <a:rPr lang="en-AU" sz="1000" i="1">
                                    <a:latin typeface="Cambria Math" panose="02040503050406030204" pitchFamily="18" charset="0"/>
                                  </a:rPr>
                                </m:ctrlPr>
                              </m:sSubPr>
                              <m:e>
                                <m:r>
                                  <a:rPr lang="en-AU" sz="1000" i="1">
                                    <a:latin typeface="Cambria Math" panose="02040503050406030204" pitchFamily="18" charset="0"/>
                                  </a:rPr>
                                  <m:t>𝑐</m:t>
                                </m:r>
                              </m:e>
                              <m:sub>
                                <m:r>
                                  <a:rPr lang="en-AU" sz="1000" i="1">
                                    <a:latin typeface="Cambria Math" panose="02040503050406030204" pitchFamily="18" charset="0"/>
                                  </a:rPr>
                                  <m:t>𝐿𝐸𝐴𝐶𝐻</m:t>
                                </m:r>
                              </m:sub>
                            </m:sSub>
                          </m:e>
                        </m:d>
                      </m:e>
                    </m:nary>
                  </m:oMath>
                </m:oMathPara>
              </a14:m>
              <a:endParaRPr lang="en-AU" sz="1000"/>
            </a:p>
          </xdr:txBody>
        </xdr:sp>
      </mc:Choice>
      <mc:Fallback xmlns="">
        <xdr:sp macro="" textlink="">
          <xdr:nvSpPr>
            <xdr:cNvPr id="10" name="TextBox 9">
              <a:extLst>
                <a:ext uri="{FF2B5EF4-FFF2-40B4-BE49-F238E27FC236}">
                  <a16:creationId xmlns:a16="http://schemas.microsoft.com/office/drawing/2014/main" id="{64C3894B-BACA-4452-A3CE-F192FA8C788B}"/>
                </a:ext>
              </a:extLst>
            </xdr:cNvPr>
            <xdr:cNvSpPr txBox="1"/>
          </xdr:nvSpPr>
          <xdr:spPr>
            <a:xfrm>
              <a:off x="20331112" y="15311437"/>
              <a:ext cx="3633944" cy="3320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𝑀_(𝑙𝑒𝑎𝑐ℎ,𝑜𝑟𝑔𝑎𝑛𝑖𝑐,𝑗)=∑2_𝑓▒(𝑀𝑁𝑆𝑜𝑖𝑙_𝑗𝑓×𝐹𝑟𝑎𝑐_(𝑊𝐸𝑇,𝑗)×𝐹𝑟𝑎𝑐_𝐿𝐸𝐴𝐶𝐻 ) </a:t>
              </a:r>
              <a:endParaRPr lang="en-AU" sz="1000"/>
            </a:p>
          </xdr:txBody>
        </xdr:sp>
      </mc:Fallback>
    </mc:AlternateContent>
    <xdr:clientData/>
  </xdr:oneCellAnchor>
  <xdr:oneCellAnchor>
    <xdr:from>
      <xdr:col>13</xdr:col>
      <xdr:colOff>14287</xdr:colOff>
      <xdr:row>79</xdr:row>
      <xdr:rowOff>61912</xdr:rowOff>
    </xdr:from>
    <xdr:ext cx="4870692" cy="429926"/>
    <mc:AlternateContent xmlns:mc="http://schemas.openxmlformats.org/markup-compatibility/2006" xmlns:a14="http://schemas.microsoft.com/office/drawing/2010/main">
      <mc:Choice Requires="a14">
        <xdr:sp macro="" textlink="">
          <xdr:nvSpPr>
            <xdr:cNvPr id="11" name="TextBox 10">
              <a:extLst>
                <a:ext uri="{FF2B5EF4-FFF2-40B4-BE49-F238E27FC236}">
                  <a16:creationId xmlns:a16="http://schemas.microsoft.com/office/drawing/2014/main" id="{A2934ECD-65A4-454D-9256-F5B0CB65B665}"/>
                </a:ext>
              </a:extLst>
            </xdr:cNvPr>
            <xdr:cNvSpPr txBox="1"/>
          </xdr:nvSpPr>
          <xdr:spPr>
            <a:xfrm>
              <a:off x="20445412" y="19759612"/>
              <a:ext cx="4870692"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000" i="1">
                            <a:latin typeface="Cambria Math" panose="02040503050406030204" pitchFamily="18" charset="0"/>
                          </a:rPr>
                        </m:ctrlPr>
                      </m:sSubPr>
                      <m:e>
                        <m:r>
                          <a:rPr lang="en-AU" sz="1000" i="1">
                            <a:latin typeface="Cambria Math" panose="02040503050406030204" pitchFamily="18" charset="0"/>
                          </a:rPr>
                          <m:t>𝐸</m:t>
                        </m:r>
                      </m:e>
                      <m:sub>
                        <m:r>
                          <a:rPr lang="en-AU" sz="1000" i="1">
                            <a:latin typeface="Cambria Math" panose="02040503050406030204" pitchFamily="18" charset="0"/>
                          </a:rPr>
                          <m:t>𝑓𝑒𝑟𝑡</m:t>
                        </m:r>
                        <m:r>
                          <a:rPr lang="en-AU" sz="1000" i="1">
                            <a:latin typeface="Cambria Math" panose="02040503050406030204" pitchFamily="18" charset="0"/>
                          </a:rPr>
                          <m:t>,</m:t>
                        </m:r>
                        <m:r>
                          <a:rPr lang="en-AU" sz="1000" i="1">
                            <a:latin typeface="Cambria Math" panose="02040503050406030204" pitchFamily="18" charset="0"/>
                          </a:rPr>
                          <m:t>𝑙𝑒𝑎𝑐ℎ</m:t>
                        </m:r>
                      </m:sub>
                    </m:sSub>
                    <m:r>
                      <a:rPr lang="en-AU" sz="1000" i="1">
                        <a:latin typeface="Cambria Math" panose="02040503050406030204" pitchFamily="18" charset="0"/>
                      </a:rPr>
                      <m:t>=</m:t>
                    </m:r>
                    <m:nary>
                      <m:naryPr>
                        <m:chr m:val="∑"/>
                        <m:supHide m:val="on"/>
                        <m:ctrlPr>
                          <a:rPr lang="en-AU" sz="1000" i="1">
                            <a:latin typeface="Cambria Math" panose="02040503050406030204" pitchFamily="18" charset="0"/>
                          </a:rPr>
                        </m:ctrlPr>
                      </m:naryPr>
                      <m:sub>
                        <m:r>
                          <a:rPr lang="en-AU" sz="1000" i="1">
                            <a:latin typeface="Cambria Math" panose="02040503050406030204" pitchFamily="18" charset="0"/>
                          </a:rPr>
                          <m:t>𝑗</m:t>
                        </m:r>
                      </m:sub>
                      <m:sup/>
                      <m:e>
                        <m:d>
                          <m:dPr>
                            <m:ctrlPr>
                              <a:rPr lang="en-AU" sz="1000" i="1">
                                <a:latin typeface="Cambria Math" panose="02040503050406030204" pitchFamily="18" charset="0"/>
                              </a:rPr>
                            </m:ctrlPr>
                          </m:dPr>
                          <m:e>
                            <m:d>
                              <m:dPr>
                                <m:ctrlPr>
                                  <a:rPr lang="en-AU" sz="1000" i="1">
                                    <a:latin typeface="Cambria Math" panose="02040503050406030204" pitchFamily="18" charset="0"/>
                                  </a:rPr>
                                </m:ctrlPr>
                              </m:dPr>
                              <m:e>
                                <m:sSub>
                                  <m:sSubPr>
                                    <m:ctrlPr>
                                      <a:rPr lang="en-AU" sz="1000" i="1">
                                        <a:latin typeface="Cambria Math" panose="02040503050406030204" pitchFamily="18" charset="0"/>
                                      </a:rPr>
                                    </m:ctrlPr>
                                  </m:sSubPr>
                                  <m:e>
                                    <m:r>
                                      <a:rPr lang="en-AU" sz="1000" i="1">
                                        <a:latin typeface="Cambria Math" panose="02040503050406030204" pitchFamily="18" charset="0"/>
                                      </a:rPr>
                                      <m:t>𝑀</m:t>
                                    </m:r>
                                  </m:e>
                                  <m:sub>
                                    <m:r>
                                      <a:rPr lang="en-AU" sz="1000" i="1">
                                        <a:latin typeface="Cambria Math" panose="02040503050406030204" pitchFamily="18" charset="0"/>
                                      </a:rPr>
                                      <m:t>𝑙𝑒𝑎𝑐ℎ</m:t>
                                    </m:r>
                                    <m:r>
                                      <a:rPr lang="en-AU" sz="1000" i="1">
                                        <a:latin typeface="Cambria Math" panose="02040503050406030204" pitchFamily="18" charset="0"/>
                                      </a:rPr>
                                      <m:t>,</m:t>
                                    </m:r>
                                    <m:r>
                                      <a:rPr lang="en-AU" sz="1000" i="1">
                                        <a:latin typeface="Cambria Math" panose="02040503050406030204" pitchFamily="18" charset="0"/>
                                      </a:rPr>
                                      <m:t>𝑖𝑛𝑜𝑟𝑔𝑎𝑛𝑖𝑐</m:t>
                                    </m:r>
                                    <m:r>
                                      <a:rPr lang="en-AU" sz="1000" i="1">
                                        <a:latin typeface="Cambria Math" panose="02040503050406030204" pitchFamily="18" charset="0"/>
                                      </a:rPr>
                                      <m:t>,</m:t>
                                    </m:r>
                                    <m:r>
                                      <a:rPr lang="en-AU" sz="1000" i="1">
                                        <a:latin typeface="Cambria Math" panose="02040503050406030204" pitchFamily="18" charset="0"/>
                                      </a:rPr>
                                      <m:t>𝑗</m:t>
                                    </m:r>
                                  </m:sub>
                                </m:sSub>
                                <m:r>
                                  <a:rPr lang="en-AU" sz="1000" i="1">
                                    <a:latin typeface="Cambria Math" panose="02040503050406030204" pitchFamily="18" charset="0"/>
                                  </a:rPr>
                                  <m:t>+</m:t>
                                </m:r>
                                <m:sSub>
                                  <m:sSubPr>
                                    <m:ctrlPr>
                                      <a:rPr lang="en-AU" sz="1000" i="1">
                                        <a:latin typeface="Cambria Math" panose="02040503050406030204" pitchFamily="18" charset="0"/>
                                      </a:rPr>
                                    </m:ctrlPr>
                                  </m:sSubPr>
                                  <m:e>
                                    <m:r>
                                      <a:rPr lang="en-AU" sz="1000" i="1">
                                        <a:latin typeface="Cambria Math" panose="02040503050406030204" pitchFamily="18" charset="0"/>
                                      </a:rPr>
                                      <m:t>𝑀</m:t>
                                    </m:r>
                                  </m:e>
                                  <m:sub>
                                    <m:r>
                                      <a:rPr lang="en-AU" sz="1000" i="1">
                                        <a:latin typeface="Cambria Math" panose="02040503050406030204" pitchFamily="18" charset="0"/>
                                      </a:rPr>
                                      <m:t>𝑙𝑒𝑎𝑐ℎ</m:t>
                                    </m:r>
                                    <m:r>
                                      <a:rPr lang="en-AU" sz="1000" i="1">
                                        <a:latin typeface="Cambria Math" panose="02040503050406030204" pitchFamily="18" charset="0"/>
                                      </a:rPr>
                                      <m:t>,</m:t>
                                    </m:r>
                                    <m:r>
                                      <a:rPr lang="en-AU" sz="1000" i="1">
                                        <a:latin typeface="Cambria Math" panose="02040503050406030204" pitchFamily="18" charset="0"/>
                                      </a:rPr>
                                      <m:t>𝑜𝑟𝑔𝑎𝑛𝑖𝑐</m:t>
                                    </m:r>
                                    <m:r>
                                      <a:rPr lang="en-AU" sz="1000" i="1">
                                        <a:latin typeface="Cambria Math" panose="02040503050406030204" pitchFamily="18" charset="0"/>
                                      </a:rPr>
                                      <m:t>,</m:t>
                                    </m:r>
                                    <m:r>
                                      <a:rPr lang="en-AU" sz="1000" i="1">
                                        <a:latin typeface="Cambria Math" panose="02040503050406030204" pitchFamily="18" charset="0"/>
                                      </a:rPr>
                                      <m:t>𝑗</m:t>
                                    </m:r>
                                  </m:sub>
                                </m:sSub>
                              </m:e>
                            </m:d>
                            <m:r>
                              <a:rPr lang="en-AU" sz="1000" i="1">
                                <a:latin typeface="Cambria Math" panose="02040503050406030204" pitchFamily="18" charset="0"/>
                              </a:rPr>
                              <m:t>×</m:t>
                            </m:r>
                            <m:r>
                              <a:rPr lang="en-AU" sz="1000" i="1">
                                <a:latin typeface="Cambria Math" panose="02040503050406030204" pitchFamily="18" charset="0"/>
                              </a:rPr>
                              <m:t>𝐸</m:t>
                            </m:r>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𝑙𝑒𝑎𝑐ℎ</m:t>
                                </m:r>
                              </m:sub>
                            </m:sSub>
                            <m:r>
                              <a:rPr lang="en-AU" sz="1000" i="1">
                                <a:latin typeface="Cambria Math" panose="02040503050406030204" pitchFamily="18" charset="0"/>
                              </a:rPr>
                              <m:t>×</m:t>
                            </m:r>
                            <m:sSub>
                              <m:sSubPr>
                                <m:ctrlPr>
                                  <a:rPr lang="en-AU" sz="1000" i="1">
                                    <a:latin typeface="Cambria Math" panose="02040503050406030204" pitchFamily="18" charset="0"/>
                                  </a:rPr>
                                </m:ctrlPr>
                              </m:sSubPr>
                              <m:e>
                                <m:r>
                                  <a:rPr lang="en-AU" sz="1000" i="1">
                                    <a:latin typeface="Cambria Math" panose="02040503050406030204" pitchFamily="18" charset="0"/>
                                  </a:rPr>
                                  <m:t>𝐶</m:t>
                                </m:r>
                              </m:e>
                              <m:sub>
                                <m:r>
                                  <a:rPr lang="en-AU" sz="1000" i="1">
                                    <a:latin typeface="Cambria Math" panose="02040503050406030204" pitchFamily="18" charset="0"/>
                                  </a:rPr>
                                  <m:t>𝑁</m:t>
                                </m:r>
                                <m:r>
                                  <a:rPr lang="en-AU" sz="1000" i="1">
                                    <a:latin typeface="Cambria Math" panose="02040503050406030204" pitchFamily="18" charset="0"/>
                                  </a:rPr>
                                  <m:t>2</m:t>
                                </m:r>
                                <m:r>
                                  <a:rPr lang="en-AU" sz="1000" i="1">
                                    <a:latin typeface="Cambria Math" panose="02040503050406030204" pitchFamily="18" charset="0"/>
                                  </a:rPr>
                                  <m:t>𝑂</m:t>
                                </m:r>
                              </m:sub>
                            </m:sSub>
                            <m:r>
                              <a:rPr lang="en-AU" sz="1000" i="1">
                                <a:latin typeface="Cambria Math" panose="02040503050406030204" pitchFamily="18" charset="0"/>
                              </a:rPr>
                              <m:t>×</m:t>
                            </m:r>
                            <m:sSup>
                              <m:sSupPr>
                                <m:ctrlPr>
                                  <a:rPr lang="en-AU" sz="1000" i="1">
                                    <a:latin typeface="Cambria Math" panose="02040503050406030204" pitchFamily="18" charset="0"/>
                                  </a:rPr>
                                </m:ctrlPr>
                              </m:sSupPr>
                              <m:e>
                                <m:r>
                                  <a:rPr lang="en-AU" sz="1000" i="1">
                                    <a:latin typeface="Cambria Math" panose="02040503050406030204" pitchFamily="18" charset="0"/>
                                  </a:rPr>
                                  <m:t>10</m:t>
                                </m:r>
                              </m:e>
                              <m:sup>
                                <m:r>
                                  <a:rPr lang="en-AU" sz="1000" i="1">
                                    <a:latin typeface="Cambria Math" panose="02040503050406030204" pitchFamily="18" charset="0"/>
                                  </a:rPr>
                                  <m:t>−3</m:t>
                                </m:r>
                              </m:sup>
                            </m:sSup>
                          </m:e>
                        </m:d>
                      </m:e>
                    </m:nary>
                  </m:oMath>
                </m:oMathPara>
              </a14:m>
              <a:endParaRPr lang="en-AU" sz="1000"/>
            </a:p>
          </xdr:txBody>
        </xdr:sp>
      </mc:Choice>
      <mc:Fallback xmlns="">
        <xdr:sp macro="" textlink="">
          <xdr:nvSpPr>
            <xdr:cNvPr id="11" name="TextBox 10">
              <a:extLst>
                <a:ext uri="{FF2B5EF4-FFF2-40B4-BE49-F238E27FC236}">
                  <a16:creationId xmlns:a16="http://schemas.microsoft.com/office/drawing/2014/main" id="{A2934ECD-65A4-454D-9256-F5B0CB65B665}"/>
                </a:ext>
              </a:extLst>
            </xdr:cNvPr>
            <xdr:cNvSpPr txBox="1"/>
          </xdr:nvSpPr>
          <xdr:spPr>
            <a:xfrm>
              <a:off x="20445412" y="19759612"/>
              <a:ext cx="4870692"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𝐸_(𝑓𝑒𝑟𝑡,𝑙𝑒𝑎𝑐ℎ)=∑_𝑗▒((𝑀_(𝑙𝑒𝑎𝑐ℎ,𝑖𝑛𝑜𝑟𝑔𝑎𝑛𝑖𝑐,𝑗)+𝑀_(𝑙𝑒𝑎𝑐ℎ,𝑜𝑟𝑔𝑎𝑛𝑖𝑐,𝑗) )×𝐸𝐹_𝑙𝑒𝑎𝑐ℎ×𝐶_𝑁2𝑂×10^(−3) ) </a:t>
              </a:r>
              <a:endParaRPr lang="en-AU" sz="1000"/>
            </a:p>
          </xdr:txBody>
        </xdr:sp>
      </mc:Fallback>
    </mc:AlternateContent>
    <xdr:clientData/>
  </xdr:oneCellAnchor>
</xdr:wsDr>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CCA9186A-F894-44A1-92E2-026D072DBE7B}" name="Table_Input_Enterprise_PlantingRemovals" displayName="Table_Input_Enterprise_PlantingRemovals" ref="D42:G43" totalsRowShown="0">
  <autoFilter ref="D42:G43" xr:uid="{CCA9186A-F894-44A1-92E2-026D072DBE7B}">
    <filterColumn colId="0" hiddenButton="1"/>
    <filterColumn colId="1" hiddenButton="1"/>
    <filterColumn colId="2" hiddenButton="1"/>
    <filterColumn colId="3" hiddenButton="1"/>
  </autoFilter>
  <tableColumns count="4">
    <tableColumn id="1" xr3:uid="{4A775515-F650-4B30-A8B0-D7D74288FF30}" name="Planting name" dataCellStyle="Input text"/>
    <tableColumn id="2" xr3:uid="{B0B4C384-B6EE-448B-920F-69C8F0DB66FB}" name="Total removed CO2" dataCellStyle="Input number general"/>
    <tableColumn id="3" xr3:uid="{39D3B94F-5152-431B-AFDA-259DCFD08C0D}" name="Percent allocated to this enterprise" dataCellStyle="Input percent"/>
    <tableColumn id="4" xr3:uid="{B9127AF7-9350-405E-97D4-92DB7D5C0ACA}" name="Removal allocated to this enterprise" dataCellStyle="Content normal">
      <calculatedColumnFormula>Table_Input_Enterprise_PlantingRemovals[[#This Row],[Total removed CO2]]*Table_Input_Enterprise_PlantingRemovals[[#This Row],[Percent allocated to this enterprise]]</calculatedColumnFormula>
    </tableColumn>
  </tableColumns>
  <tableStyleInfo name="Editable table"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D1E1097-C0F0-4392-9D6D-AFBC08E76915}" name="Table_Input_LivestockSales" displayName="Table_Input_LivestockSales" ref="D6:I16" totalsRowShown="0">
  <autoFilter ref="D6:I16" xr:uid="{AD1E1097-C0F0-4392-9D6D-AFBC08E76915}">
    <filterColumn colId="0" hiddenButton="1"/>
    <filterColumn colId="1" hiddenButton="1"/>
    <filterColumn colId="2" hiddenButton="1"/>
    <filterColumn colId="3" hiddenButton="1"/>
    <filterColumn colId="4" hiddenButton="1"/>
    <filterColumn colId="5" hiddenButton="1"/>
  </autoFilter>
  <tableColumns count="6">
    <tableColumn id="6" xr3:uid="{AA15C232-0159-49C9-9C71-A58F1014C954}" name="Transaction name" dataCellStyle="Input text"/>
    <tableColumn id="1" xr3:uid="{307E53B0-061F-49DD-93DB-42CB4B98DC79}" name="Class (select)" dataCellStyle="Input select"/>
    <tableColumn id="2" xr3:uid="{B15D3E20-6E9D-4B6A-BEA5-0FEB6F59B21E}" name="Sale date" dataDxfId="515"/>
    <tableColumn id="3" xr3:uid="{C5AEDAD3-0B4A-4687-BC64-AC557A3FF821}" name="Head sold"/>
    <tableColumn id="4" xr3:uid="{428F255F-E5B9-46BA-8DB0-EA08A490546B}" name="Average weight per head (kg)"/>
    <tableColumn id="5" xr3:uid="{7EF1E984-68AB-4D27-831E-2DB7800A94D1}" name="Total liveweight sold" dataCellStyle="Input number general calculated">
      <calculatedColumnFormula>G7*H7</calculatedColumnFormula>
    </tableColumn>
  </tableColumns>
  <tableStyleInfo name="Editable table"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0" xr:uid="{996EEA1E-7A15-44BB-915F-F8F8BCF54F40}" name="Table_Input_LivestockPurchases_Beefcattle" displayName="Table_Input_LivestockPurchases_Beefcattle" ref="D6:K16" totalsRowShown="0">
  <autoFilter ref="D6:K16" xr:uid="{A524718C-D2DE-4743-911C-43AE3F1EAEE3}">
    <filterColumn colId="0" hiddenButton="1"/>
    <filterColumn colId="1" hiddenButton="1"/>
    <filterColumn colId="2" hiddenButton="1"/>
    <filterColumn colId="3" hiddenButton="1"/>
    <filterColumn colId="4" hiddenButton="1"/>
    <filterColumn colId="5" hiddenButton="1"/>
    <filterColumn colId="6" hiddenButton="1"/>
    <filterColumn colId="7" hiddenButton="1"/>
  </autoFilter>
  <tableColumns count="8">
    <tableColumn id="9" xr3:uid="{FA7E7E44-3921-4CD1-AD48-3C40A32160C0}" name="Transaction name" dataCellStyle="Input text"/>
    <tableColumn id="13" xr3:uid="{4079D337-07A2-493F-B82F-E7EBFE4EAB47}" name="Purchase date" dataCellStyle="Input text"/>
    <tableColumn id="11" xr3:uid="{21AA8BDE-C4CD-430B-A977-C296E0A3C182}" name="Class (select)" dataDxfId="514" dataCellStyle="Input select"/>
    <tableColumn id="2" xr3:uid="{6D0CE2F4-B578-459E-9DB0-576D9D85E66E}" name="Purchase class (select)" dataDxfId="513" dataCellStyle="Input select"/>
    <tableColumn id="6" xr3:uid="{6D6AD584-CD9D-46C0-93A2-AB4047433B4F}" name="Source region (Select)" dataDxfId="512" dataCellStyle="Input select"/>
    <tableColumn id="3" xr3:uid="{14F7503F-FF67-4330-A97F-282767074D6C}" name="Quantity (head)" dataCellStyle="Input number general"/>
    <tableColumn id="12" xr3:uid="{1C9ADE40-E282-4277-B64D-C5CC6ED1EAE1}" name="Liveweight (kg/head) Method 1" dataCellStyle="Input number general calculated"/>
    <tableColumn id="4" xr3:uid="{8BFA0DE6-5D51-453E-B95C-ABE7435143CD}" name="Liveweight (kg/head) Method 2" dataCellStyle="Input number general"/>
  </tableColumns>
  <tableStyleInfo name="Editable table"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8" xr:uid="{D9A325E6-1D92-4594-9C61-F4D1B53C9D8A}" name="Table_Input_InorganicFertiliser_Brands" displayName="Table_Input_InorganicFertiliser_Brands" ref="D11:Z21" headerRowDxfId="511" dataDxfId="510" totalsRowDxfId="509">
  <autoFilter ref="D11:Z21" xr:uid="{5673927C-FAF3-425F-8E58-192CAB5E17D4}">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autoFilter>
  <tableColumns count="23">
    <tableColumn id="2" xr3:uid="{98A88134-BA17-4266-AD21-23C1C4B898A6}" name="Product (select)" dataDxfId="508" totalsRowDxfId="507" dataCellStyle="Input select"/>
    <tableColumn id="23" xr3:uid="{885BC2CA-0938-454A-B9C6-6EF5693FF10D}" name="Amount applied per hectare" totalsRowFunction="custom" dataDxfId="506" totalsRowDxfId="505">
      <totalsRowFormula>SUM(Table_Input_InorganicFertiliser_Brands[[#Headers],[#Data],[Amount applied per hectare]])</totalsRowFormula>
    </tableColumn>
    <tableColumn id="12" xr3:uid="{FA832F45-0C31-4AED-9FB9-2DF026FACD43}" name="Application unit" dataDxfId="504" totalsRowDxfId="503" dataCellStyle="Input number 2 decimal places"/>
    <tableColumn id="6" xr3:uid="{7AD6191D-43FC-4E62-9BFF-6EDA80881DE0}" name="Application area (ha)" dataDxfId="502" totalsRowDxfId="501">
      <calculatedColumnFormula>X_Cell_Fertiliser_AreaUnderCropping</calculatedColumnFormula>
    </tableColumn>
    <tableColumn id="9" xr3:uid="{9AA7A494-5211-40B5-B423-90C823A3A9D3}" name="Density" dataDxfId="500" totalsRowDxfId="499" dataCellStyle="Input number general calculated"/>
    <tableColumn id="1" xr3:uid="{938A46AB-81BE-4E14-A978-9321890D627A}" name="Total applied (kg)" dataDxfId="498" totalsRowDxfId="497" dataCellStyle="Input number general calculated">
      <calculatedColumnFormula>(Table_Input_InorganicFertiliser_Brands[[#This Row],[Amount applied per hectare]]*Table_Input_InorganicFertiliser_Brands[[#This Row],[Density]])*Table_Input_InorganicFertiliser_Brands[[#This Row],[Application area (ha)]]</calculatedColumnFormula>
    </tableColumn>
    <tableColumn id="3" xr3:uid="{8891B311-FABF-4C14-8421-B2C4A15D0322}" name="Ingredient 1" dataDxfId="496" totalsRowDxfId="495" dataCellStyle="Input number general calculated"/>
    <tableColumn id="4" xr3:uid="{19B069ED-5A1C-4613-A0DD-7AC4B0C034C4}" name="Ingredient 1 percent" dataDxfId="494" dataCellStyle="Input number general calculated"/>
    <tableColumn id="7" xr3:uid="{16F9F409-F47A-489A-B860-730303C11E7C}" name="Ingredient 2" dataDxfId="493" dataCellStyle="Input number general calculated"/>
    <tableColumn id="8" xr3:uid="{B018BB7F-83F4-4A6C-BC4A-2F0D822A6FF9}" name="Ingredient 2 percent" dataDxfId="492" totalsRowDxfId="491" dataCellStyle="Input number general calculated"/>
    <tableColumn id="10" xr3:uid="{0511B9B7-2623-41AF-B088-2C67C360EBF3}" name="Ingredient 3" dataDxfId="490" totalsRowDxfId="489" dataCellStyle="Input number general calculated"/>
    <tableColumn id="11" xr3:uid="{56B47644-F54A-425D-9CF0-AE5304ED9EF8}" name="Ingredient 3 percent" dataDxfId="488" totalsRowDxfId="487" dataCellStyle="Input number general calculated"/>
    <tableColumn id="13" xr3:uid="{DCC3CC79-156D-40CE-B298-771223532FCD}" name="Ingredient 4" dataDxfId="486" totalsRowDxfId="485" dataCellStyle="Input number general calculated"/>
    <tableColumn id="14" xr3:uid="{7F15B019-BE07-469B-B235-86BE5B5456F4}" name="Ingredient 4 percent" dataDxfId="484" dataCellStyle="Input number general calculated"/>
    <tableColumn id="16" xr3:uid="{86004E5D-443B-4762-8E6E-7AB86187193E}" name="Ingredient 5" dataDxfId="483" dataCellStyle="Input number general calculated"/>
    <tableColumn id="17" xr3:uid="{3B9CF84E-69DF-41B0-A869-5E51FA52ED87}" name="Ingredient 5 percent" dataDxfId="482" dataCellStyle="Input number general calculated"/>
    <tableColumn id="19" xr3:uid="{993F321D-6D40-4D06-AAB6-35A3BD921386}" name="Ingredient 6" dataDxfId="481" dataCellStyle="Input number general calculated"/>
    <tableColumn id="20" xr3:uid="{0C9930B8-08F9-4FC3-94C5-7B31BB992129}" name="Ingredient 6 percent" dataDxfId="480" dataCellStyle="Input number general calculated"/>
    <tableColumn id="21" xr3:uid="{22084DC5-6916-41F8-B85F-F1FC84946497}" name="% N (Ingredients)" dataDxfId="479" dataCellStyle="Input number general calculated"/>
    <tableColumn id="22" xr3:uid="{63B92221-3125-473E-AA81-28CA3BCFC9FA}" name="% N (declared)" dataDxfId="478" dataCellStyle="Content normal"/>
    <tableColumn id="5" xr3:uid="{444026A9-6876-4841-B302-A8D49A7EF9AC}" name="N application rate (kg/ha)" dataDxfId="477" totalsRowDxfId="476" dataCellStyle="Input number general calculated">
      <calculatedColumnFormula>(Table_Input_InorganicFertiliser_Brands[[#This Row],[Amount applied per hectare]]*Table_Input_InorganicFertiliser_Brands[[#This Row],[Density]])*(IF(Table_Input_InorganicFertiliser_Brands[[#This Row],[% N (declared)]], Table_Input_InorganicFertiliser_Brands[[#This Row],[% N (declared)]], Table_Input_InorganicFertiliser_Brands[[#This Row],[% N (Ingredients)]]))</calculatedColumnFormula>
    </tableColumn>
    <tableColumn id="15" xr3:uid="{11B3C5AA-4262-4E8B-A1D8-668FCDECA5B2}" name="Urea source" dataDxfId="475" totalsRowDxfId="474" dataCellStyle="Input number general calculated"/>
    <tableColumn id="18" xr3:uid="{CE1DECD7-54AF-45CE-8AA3-A9D5777313CB}" name="Ammonia source" dataDxfId="473" totalsRowDxfId="472" dataCellStyle="Input number general calculated"/>
  </tableColumns>
  <tableStyleInfo name="Editable table"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9" xr:uid="{ACA15E7D-D42B-4E1D-901E-2CD7BE2DFBF9}" name="Table_Input_InorganicFertiliser_Custom" displayName="Table_Input_InorganicFertiliser_Custom" ref="D24:R34" totalsRowShown="0" headerRowDxfId="471" dataDxfId="470">
  <autoFilter ref="D24:R34" xr:uid="{6024A338-4140-4535-9AA6-449DA88B1C2C}">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autoFilter>
  <tableColumns count="15">
    <tableColumn id="1" xr3:uid="{F370AF95-F79F-4D6B-9732-1ED0A4B7A787}" name="Custom blend name" dataCellStyle="Input text"/>
    <tableColumn id="2" xr3:uid="{A92D8FA6-CCD7-4614-8212-63A9627F7975}" name="Amount applied (kg / ha)" dataDxfId="469"/>
    <tableColumn id="3" xr3:uid="{373D1141-F079-4FAC-A05A-736DCD095135}" name="Application area (ha)" dataDxfId="468" dataCellStyle="Input number 2 decimal places">
      <calculatedColumnFormula>X_Cell_Fertiliser_AreaUnderCropping</calculatedColumnFormula>
    </tableColumn>
    <tableColumn id="4" xr3:uid="{60576F40-F721-4B12-9011-584949980724}" name="Total applied (kg)" dataDxfId="467" dataCellStyle="Input number general calculated">
      <calculatedColumnFormula>Table_Input_InorganicFertiliser_Custom[[#This Row],[Amount applied (kg / ha)]]*Table_Input_InorganicFertiliser_Custom[[#This Row],[Application area (ha)]]</calculatedColumnFormula>
    </tableColumn>
    <tableColumn id="5" xr3:uid="{EF9C8A23-2197-43DA-9013-5B4A3DD9CDE6}" name="Ingredient 1 (select)" dataDxfId="466" dataCellStyle="Input select"/>
    <tableColumn id="6" xr3:uid="{BA532460-9318-4814-8197-C7A812CB3175}" name="Ingredient 1 percent" dataDxfId="465"/>
    <tableColumn id="8" xr3:uid="{272D6500-98C9-4A51-BAD4-760944BC8025}" name="Ingredient 2" dataDxfId="464" dataCellStyle="Input select"/>
    <tableColumn id="9" xr3:uid="{D8273B10-DA38-463B-9DFA-2225BB40CDC2}" name="Ingredient 2 percent" dataDxfId="463"/>
    <tableColumn id="11" xr3:uid="{F207F5C6-5975-441B-8CBE-7DC5AEA2EDC6}" name="Ingredient 3" dataDxfId="462" dataCellStyle="Input select"/>
    <tableColumn id="12" xr3:uid="{7728863B-D056-4061-B227-C40B6B9BB720}" name="Ingredient 3 percent" dataDxfId="461"/>
    <tableColumn id="14" xr3:uid="{59ADCB70-806F-4FBB-B128-5C33A02832A1}" name="Ingredient 4" dataDxfId="460" dataCellStyle="Input select"/>
    <tableColumn id="15" xr3:uid="{5A596A81-0FB8-4820-8619-63DBF3EDD840}" name="Ingredient 4 percent" dataCellStyle="Input percent"/>
    <tableColumn id="7" xr3:uid="{EB9F9591-A4D5-42CD-8FC7-72D49B949516}" name="N application rate (kg/ha)" dataDxfId="459" dataCellStyle="Input number general calculated"/>
    <tableColumn id="10" xr3:uid="{2B3A0A93-76EB-41D9-8583-167DBB283F56}" name="Urea source (Select)" dataCellStyle="Input select"/>
    <tableColumn id="13" xr3:uid="{1F8079ED-9125-4B4F-85A9-A689A61FF594}" name="Ammonia source (select)" dataCellStyle="Input select"/>
  </tableColumns>
  <tableStyleInfo name="Editable table"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0" xr:uid="{C85EA3E7-8119-4C54-8915-2DFA3B8FA516}" name="Table_Input_Lime" displayName="Table_Input_Lime" ref="D41:K44" totalsRowShown="0" headerRowDxfId="458" dataDxfId="457" headerRowCellStyle="Input table column header">
  <autoFilter ref="D41:K44" xr:uid="{2C84B33D-ED8D-4C1D-B319-1B5D2D0181A1}">
    <filterColumn colId="0" hiddenButton="1"/>
    <filterColumn colId="1" hiddenButton="1"/>
    <filterColumn colId="2" hiddenButton="1"/>
    <filterColumn colId="3" hiddenButton="1"/>
    <filterColumn colId="4" hiddenButton="1"/>
    <filterColumn colId="5" hiddenButton="1"/>
    <filterColumn colId="6" hiddenButton="1"/>
    <filterColumn colId="7" hiddenButton="1"/>
  </autoFilter>
  <tableColumns count="8">
    <tableColumn id="1" xr3:uid="{0202FD3B-5F0E-4A72-A591-AC9C0F19E8F2}" name="Product" dataDxfId="456"/>
    <tableColumn id="2" xr3:uid="{8580F99A-216E-4A04-B387-628E75CE8679}" name="Amount applied (t/hectare)" dataDxfId="455"/>
    <tableColumn id="4" xr3:uid="{6ABFB863-CC8B-4D81-9F42-2805FC78CAF3}" name="Application area (ha)" dataDxfId="454" dataCellStyle="Input number 2 decimal places">
      <calculatedColumnFormula>X_Cell_Fertiliser_AreaUnderCropping</calculatedColumnFormula>
    </tableColumn>
    <tableColumn id="3" xr3:uid="{64499BEA-D1EE-4A3D-B95D-6E180AA99DF8}" name="Total amount applied (t)" dataDxfId="453" dataCellStyle="Input number general calculated">
      <calculatedColumnFormula>IFERROR(Table_Input_Lime[[#This Row],[Amount applied (t/hectare)]]*Table_Input_Lime[[#This Row],[Application area (ha)]], 0)</calculatedColumnFormula>
    </tableColumn>
    <tableColumn id="6" xr3:uid="{9877BC32-87CF-4EA1-AE0D-056E260D879A}" name="Percent Lime CaCO3" dataDxfId="452"/>
    <tableColumn id="8" xr3:uid="{D3E339B6-B576-4CA1-9875-AD6BCF7F28DD}" name="Percent Dolomite CaMg(CO3)2" dataDxfId="451"/>
    <tableColumn id="7" xr3:uid="{8F8D572D-5C79-4252-B716-9947F2A05F07}" name="Percent Gypsum" dataDxfId="450"/>
    <tableColumn id="10" xr3:uid="{33128D7D-2758-4E00-9F97-E90AA3F7309B}" name="Total" dataDxfId="449" dataCellStyle="Percent">
      <calculatedColumnFormula>SUM(Table_Input_Lime[[#This Row],[Percent Lime CaCO3]:[Percent Gypsum]])</calculatedColumnFormula>
    </tableColumn>
  </tableColumns>
  <tableStyleInfo name="Editable table"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1" xr:uid="{19209652-5C3B-4CFF-8A88-D052758631F1}" name="Table_Input_OrganicFertiliser" displayName="Table_Input_OrganicFertiliser" ref="D53:J56" totalsRowShown="0" headerRowDxfId="448" dataDxfId="447" headerRowCellStyle="Input table column header">
  <autoFilter ref="D53:J56" xr:uid="{1424D04C-9CD1-4344-A611-A0F26AAC6A09}">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07C7671B-2B93-4F7F-A4E9-4D35CB9CD5A2}" name="Organic fertiliser type (select)" dataDxfId="446" dataCellStyle="Input select"/>
    <tableColumn id="5" xr3:uid="{BFCCB056-CFC3-4F80-8FD6-DDDD1526EF18}" name="Percentage of N in fertiliser" dataDxfId="445"/>
    <tableColumn id="2" xr3:uid="{6F7364FC-8FEA-425D-9680-DBFD868DF4D7}" name="Amount applied (kg/hectare)" dataDxfId="444"/>
    <tableColumn id="11" xr3:uid="{EC10A733-A30D-4A42-B57E-B45EF9625EC9}" name="Amount N applied (kg/hectare)" dataDxfId="443" dataCellStyle="Input number general calculated">
      <calculatedColumnFormula>Table_Input_OrganicFertiliser[[#This Row],[Amount applied (kg/hectare)]]*Table_Input_OrganicFertiliser[[#This Row],[Percentage of N in fertiliser]]</calculatedColumnFormula>
    </tableColumn>
    <tableColumn id="4" xr3:uid="{DD112C3B-9524-4FD9-94FB-8BCE0A352E43}" name="Application area (ha)" dataDxfId="442" dataCellStyle="Input number 2 decimal places">
      <calculatedColumnFormula>X_Cell_Fertiliser_AreaUnderCropping</calculatedColumnFormula>
    </tableColumn>
    <tableColumn id="7" xr3:uid="{A00ECA7F-72A4-402C-AB46-B78338A186E3}" name="Total organic fertliser applied" dataDxfId="441" dataCellStyle="Input number general calculated">
      <calculatedColumnFormula>Table_Input_OrganicFertiliser[[#This Row],[Amount applied (kg/hectare)]]*Table_Input_OrganicFertiliser[[#This Row],[Application area (ha)]]</calculatedColumnFormula>
    </tableColumn>
    <tableColumn id="3" xr3:uid="{BAA4347C-22AA-4D72-866A-266A8209BC99}" name="Total nitrogen applied (kg)" dataDxfId="440" dataCellStyle="Input number general calculated">
      <calculatedColumnFormula>IFERROR(Table_Input_OrganicFertiliser[[#This Row],[Amount N applied (kg/hectare)]]*Table_Input_OrganicFertiliser[[#This Row],[Application area (ha)]], 0)</calculatedColumnFormula>
    </tableColumn>
  </tableColumns>
  <tableStyleInfo name="Editable table"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7" xr:uid="{E41112D3-EF9B-4C3F-89A6-119A27AC1035}" name="Table_Input_Fuel" displayName="Table_Input_Fuel" ref="D16:J21" totalsRowDxfId="439" headerRowCellStyle="Input table column header">
  <autoFilter ref="D16:J21" xr:uid="{6E44059A-C219-4316-A7A0-AD77B0121F06}">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2" xr3:uid="{974DA493-EC2F-4EF7-8B4D-0F0754A12391}" name="Fuel use (select)" totalsRowFunction="average" totalsRowDxfId="438" dataCellStyle="Input select" totalsRowCellStyle="Input select"/>
    <tableColumn id="3" xr3:uid="{DB85998E-5914-4978-A8F1-BB9F28409830}" name="Fuel type (select)" totalsRowDxfId="437" dataCellStyle="Input select" totalsRowCellStyle="Input select"/>
    <tableColumn id="4" xr3:uid="{2FECCE21-4FF0-4DA4-97FB-B06C5FF9BA6D}" name="Amount purchased" totalsRowDxfId="436" totalsRowCellStyle="Content bold"/>
    <tableColumn id="6" xr3:uid="{0D0B717C-D2CA-4466-BAA1-8362AB062D1A}" name="Amount unit" totalsRowDxfId="435" dataCellStyle="Input number general calculated" totalsRowCellStyle="Input text calculated"/>
    <tableColumn id="5" xr3:uid="{42B905BB-8AD7-4B1B-8C11-B5BE3C0DBF6A}" name="Percent consumed" totalsRowDxfId="434" totalsRowCellStyle="Input percent">
      <calculatedColumnFormula>1</calculatedColumnFormula>
    </tableColumn>
    <tableColumn id="1" xr3:uid="{D8BC42B0-C3E9-4A45-ABE6-373180F02630}" name="Amount consumed" totalsRowFunction="custom" totalsRowDxfId="433" dataCellStyle="Input number general calculated" totalsRowCellStyle="Input number 3 decimal places calculated">
      <calculatedColumnFormula>Table_Input_Fuel[[#This Row],[Amount purchased]]*Table_Input_Fuel[[#This Row],[Percent consumed]]*IF(Table_Input_Fuel[[#This Row],[Amount unit]]="L", 10^-3, 1)</calculatedColumnFormula>
      <totalsRowFormula>SUM(Table_Input_Fuel[Amount consumed])</totalsRowFormula>
    </tableColumn>
    <tableColumn id="7" xr3:uid="{5321DE10-6E1A-4790-A7BA-984E0B124F41}" name="Amount consumed unit" totalsRowDxfId="432" dataCellStyle="Input number general calculated"/>
  </tableColumns>
  <tableStyleInfo name="Editable table"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3" xr:uid="{3FFB0EB5-F854-415B-A9F2-684D61F80686}" name="Table_Input_RECSurrendered" displayName="Table_Input_RECSurrendered" ref="D36:I39" totalsRowShown="0" headerRowCellStyle="Input table column header">
  <autoFilter ref="D36:I39" xr:uid="{AB3DA401-69B9-4F52-A3AF-08FA63C556A0}">
    <filterColumn colId="0" hiddenButton="1"/>
    <filterColumn colId="1" hiddenButton="1"/>
    <filterColumn colId="2" hiddenButton="1"/>
    <filterColumn colId="3" hiddenButton="1"/>
    <filterColumn colId="4" hiddenButton="1"/>
    <filterColumn colId="5" hiddenButton="1"/>
  </autoFilter>
  <tableColumns count="6">
    <tableColumn id="1" xr3:uid="{954F1D18-7690-4E5F-9B07-E06657922933}" name="Description"/>
    <tableColumn id="5" xr3:uid="{96327A2D-0D90-4775-B9F3-BEF226A656D9}" name="Source (select)" dataCellStyle="Input select"/>
    <tableColumn id="2" xr3:uid="{9A56AE86-1870-424C-B519-9049160337AC}" name="Generation date" dataDxfId="431"/>
    <tableColumn id="3" xr3:uid="{5C538259-6D40-4C56-A4B5-17CB5CB55F6E}" name="Number of certificates"/>
    <tableColumn id="4" xr3:uid="{9C2F95B6-02FB-4EB6-9F57-4DE0DCCCD050}" name="MWh" dataCellStyle="Input number general calculated">
      <calculatedColumnFormula>Table_Input_RECSurrendered[[#This Row],[Number of certificates]]</calculatedColumnFormula>
    </tableColumn>
    <tableColumn id="7" xr3:uid="{942D35BD-B765-4B5E-9FFE-99C12F023EBA}" name="Elegibility" dataCellStyle="Input number general calculated">
      <calculatedColumnFormula>IF(DATEDIF(Table_Input_RECSurrendered[[#This Row],[Generation date]],DATEVALUE($E$30),"M")&gt;36,"Ineligible - older than 36 months","Elegible")</calculatedColumnFormula>
    </tableColumn>
  </tableColumns>
  <tableStyleInfo name="Editable table"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4" xr:uid="{E2520FE6-EDFA-489E-A9A6-4C2E9C8F5C3A}" name="Table_Input_RECConsumedByEntity" displayName="Table_Input_RECConsumedByEntity" ref="D45:I48" totalsRowShown="0" headerRowCellStyle="Input table column header">
  <autoFilter ref="D45:I48" xr:uid="{58D24162-9496-4032-8FB2-02E312F8AA25}">
    <filterColumn colId="0" hiddenButton="1"/>
    <filterColumn colId="1" hiddenButton="1"/>
    <filterColumn colId="2" hiddenButton="1"/>
    <filterColumn colId="3" hiddenButton="1"/>
    <filterColumn colId="4" hiddenButton="1"/>
    <filterColumn colId="5" hiddenButton="1"/>
  </autoFilter>
  <tableColumns count="6">
    <tableColumn id="1" xr3:uid="{A436F754-B329-4DC5-8C0A-F5BCF096D38F}" name="Description"/>
    <tableColumn id="5" xr3:uid="{C68A9130-2AFB-4497-954D-8176BED7DCC7}" name="Source" dataCellStyle="Input text calculated">
      <calculatedColumnFormula>"Issued for generated electricity"</calculatedColumnFormula>
    </tableColumn>
    <tableColumn id="2" xr3:uid="{87BD3F7C-EADD-464B-99E3-E369D6CF09DA}" name="Generation date" dataDxfId="430"/>
    <tableColumn id="3" xr3:uid="{D70730B9-ED32-45C0-ADF9-B4044EB3BD67}" name="Number of certificates"/>
    <tableColumn id="4" xr3:uid="{B3E764A7-0BF5-4DB0-8461-371D206DE643}" name="MWh" dataCellStyle="Input number general calculated">
      <calculatedColumnFormula>Table_Input_RECConsumedByEntity[[#This Row],[Number of certificates]]</calculatedColumnFormula>
    </tableColumn>
    <tableColumn id="7" xr3:uid="{D10A887C-D15E-4C2C-B899-0B33BF523BED}" name="Elegibility" dataCellStyle="Input number general calculated">
      <calculatedColumnFormula>IF(AND(Table_Input_RECConsumedByEntity[[#This Row],[Generation date]]&gt;=DATEVALUE($E$29), Table_Input_RECConsumedByEntity[[#This Row],[Generation date]]&lt;= DATEVALUE($E$30)), "Elegible", "Ineligible - outside reporting year")</calculatedColumnFormula>
    </tableColumn>
  </tableColumns>
  <tableStyleInfo name="Editable table"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1" xr:uid="{B333C3D2-C70D-4BFB-8B69-7B71FC314147}" name="Table_Input_ChemicalsCleaning" displayName="Table_Input_ChemicalsCleaning" ref="D7:F17" totalsRowShown="0" headerRowCellStyle="Input table column header">
  <autoFilter ref="D7:F17" xr:uid="{4FE24B05-BD40-4784-8F98-E98038ED84BF}">
    <filterColumn colId="0" hiddenButton="1"/>
    <filterColumn colId="1" hiddenButton="1"/>
    <filterColumn colId="2" hiddenButton="1"/>
  </autoFilter>
  <tableColumns count="3">
    <tableColumn id="3" xr3:uid="{3D57B32C-18AB-45A8-88D1-0C6BA02FADCA}" name="Product name" dataCellStyle="Input text"/>
    <tableColumn id="1" xr3:uid="{85B85DAC-549D-43E5-9E58-26C00CD47D9B}" name="Type (select)" dataCellStyle="Input select"/>
    <tableColumn id="2" xr3:uid="{F3D1A07D-D7A5-4A82-9974-2F7D188A327C}" name="Quantity purchased (kg)" dataCellStyle="Input number general"/>
  </tableColumns>
  <tableStyleInfo name="Editable table"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2" xr:uid="{6B9EEAE5-DA65-4591-8D17-A39534097D8F}" name="Table_Input_UncategorisedProductsServices" displayName="Table_Input_UncategorisedProductsServices" ref="D37:F47" totalsRowShown="0" headerRowCellStyle="Input table column header">
  <autoFilter ref="D37:F47" xr:uid="{1E43041F-45A9-4FE7-B27E-F3B8135FFECA}">
    <filterColumn colId="0" hiddenButton="1"/>
    <filterColumn colId="1" hiddenButton="1"/>
    <filterColumn colId="2" hiddenButton="1"/>
  </autoFilter>
  <tableColumns count="3">
    <tableColumn id="1" xr3:uid="{00289E0A-AA2F-4F6D-9C1F-64798A67FDDE}" name="Product / service name" dataCellStyle="Input text"/>
    <tableColumn id="2" xr3:uid="{99DEEAE4-8001-4030-A744-493D3B8E7CCF}" name="Amount" dataCellStyle="Input number general"/>
    <tableColumn id="3" xr3:uid="{65AD00B5-8D5D-48EF-8140-1933B93A4B49}" name="Amount unit" dataCellStyle="Input text"/>
  </tableColumns>
  <tableStyleInfo name="Editable table"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3" xr:uid="{2482D0A4-E343-49AF-A89F-7331A897AF33}" name="Table_Input_ServicesAndContractors" displayName="Table_Input_ServicesAndContractors" ref="D22:G32" totalsRowShown="0">
  <autoFilter ref="D22:G32" xr:uid="{EAE4AE15-2AB9-4C21-9268-5CB94316E6E4}">
    <filterColumn colId="0" hiddenButton="1"/>
    <filterColumn colId="1" hiddenButton="1"/>
    <filterColumn colId="2" hiddenButton="1"/>
    <filterColumn colId="3" hiddenButton="1"/>
  </autoFilter>
  <tableColumns count="4">
    <tableColumn id="1" xr3:uid="{93AA6D92-9DEB-47A2-A151-C5AE06344386}" name="Service provider / contractor" dataCellStyle="Input text"/>
    <tableColumn id="4" xr3:uid="{19573732-124B-4844-92DA-ECBF91CB1303}" name="Activity" dataCellStyle="Input text"/>
    <tableColumn id="2" xr3:uid="{DE0B4D15-45D5-476E-B917-E3DA72C1F611}" name="Total amount" dataCellStyle="Input number general"/>
    <tableColumn id="3" xr3:uid="{331D8FCE-E1A5-430E-A455-5FE11BD0705B}" name="Amount unit" dataCellStyle="Input select"/>
  </tableColumns>
  <tableStyleInfo name="Editable table"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4" xr:uid="{953C8C53-2197-4700-A0DD-25638853F78D}" name="Table_Input_Pesticides" displayName="Table_Input_Pesticides" ref="D9:R19" totalsRowShown="0" headerRowDxfId="429">
  <autoFilter ref="D9:R19" xr:uid="{BA52E4BB-C3D1-441A-A568-0AD50449E880}"/>
  <tableColumns count="15">
    <tableColumn id="1" xr3:uid="{8EDA3FD7-2DD1-47A8-92D1-BBBDD58BDF7D}" name="Product name"/>
    <tableColumn id="2" xr3:uid="{4985ADD7-1356-4A3E-8C6E-7799531BA708}" name="Amount applied per ha"/>
    <tableColumn id="7" xr3:uid="{D007E8BA-6FD9-4E00-8B77-B64D27087EE6}" name="Application unit (select)" dataCellStyle="Input select"/>
    <tableColumn id="6" xr3:uid="{EEE2D144-7619-439D-9E65-EA3AD80A5F2A}" name="Application area (ha)" dataCellStyle="Input number general"/>
    <tableColumn id="3" xr3:uid="{75283A54-2DB5-424A-BB7C-E2424DB35846}" name="Total applied" dataCellStyle="Input number general calculated">
      <calculatedColumnFormula>Table_Input_Pesticides[[#This Row],[Amount applied per ha]]*Table_Input_Pesticides[[#This Row],[Application area (ha)]]</calculatedColumnFormula>
    </tableColumn>
    <tableColumn id="5" xr3:uid="{511AC206-3036-42E0-AD0C-607D6B3E4E13}" name="Constituent unit (select)" dataCellStyle="Input select"/>
    <tableColumn id="4" xr3:uid="{FA9036E8-3C05-4056-8ECB-6AE25F060BB7}" name="Active ingredient 1 (select)" dataCellStyle="Input select"/>
    <tableColumn id="8" xr3:uid="{8F048815-3A5B-4964-AF81-58F644B9DC3C}" name="Active ingredient 1 amount" dataCellStyle="Input number general"/>
    <tableColumn id="16" xr3:uid="{BA7F8B85-9AB9-4EE0-8F00-24161B9C1864}" name="Total active ingredient 1 (kg)" dataCellStyle="Input number general calculated">
      <calculatedColumnFormula>Table_Input_Pesticides[[#This Row],[Total applied]]*Table_Input_Pesticides[[#This Row],[Active ingredient 1 amount]]*IF(Table_Input_Pesticides[[#This Row],[Constituent unit (select)]]="fraction of product", 1, 10^-3)</calculatedColumnFormula>
    </tableColumn>
    <tableColumn id="9" xr3:uid="{D8A11E0E-AB3F-4747-8B1E-505C495A1B3E}" name="Active ingredient 2 (select)" dataCellStyle="Input select"/>
    <tableColumn id="11" xr3:uid="{9F547E8A-9AB9-4491-B0E5-166EF35821A2}" name="Active ingredient 2 amount" dataCellStyle="Input number general"/>
    <tableColumn id="17" xr3:uid="{8D304FFC-7FC6-4F95-B2F0-A7D3F5DDB32E}" name="Total active ingredient 2 (kg)" dataCellStyle="Input number general calculated">
      <calculatedColumnFormula>Table_Input_Pesticides[[#This Row],[Total applied]]*Table_Input_Pesticides[[#This Row],[Active ingredient 2 amount]]*IF(Table_Input_Pesticides[[#This Row],[Constituent unit (select)]]="fraction of product", 1, 10^-3)</calculatedColumnFormula>
    </tableColumn>
    <tableColumn id="12" xr3:uid="{391AC23C-DC70-4DF7-A4B6-113CB130EA07}" name="Active ingredient 3 (select)" dataCellStyle="Input select"/>
    <tableColumn id="14" xr3:uid="{09E1621A-C9DB-400B-8D72-4DE048ABB4D1}" name="Active ingredient 3 amount" dataCellStyle="Input number general"/>
    <tableColumn id="18" xr3:uid="{C9DF065F-3A01-426F-97C7-41C00111E0C9}" name="Total active ingredient 3 (kg)" dataCellStyle="Input number general calculated">
      <calculatedColumnFormula>Table_Input_Pesticides[[#This Row],[Total applied]]*Table_Input_Pesticides[[#This Row],[Active ingredient 3 amount]]*IF(Table_Input_Pesticides[[#This Row],[Constituent unit (select)]]="fraction of product", 1, 10^-3)</calculatedColumnFormula>
    </tableColumn>
  </tableColumns>
  <tableStyleInfo name="Editable table"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5" xr:uid="{B4AFCBA4-6940-4D12-9339-E3E666F5A9C2}" name="Table_Input_FeedBlends" displayName="Table_Input_FeedBlends" ref="D18:Q28" totalsRowShown="0">
  <autoFilter ref="D18:Q28" xr:uid="{6EC3622A-9CA1-4931-8AAA-6FC289090D20}"/>
  <tableColumns count="14">
    <tableColumn id="1" xr3:uid="{C41FEC77-131E-4C61-96D0-C4F8F14B92EE}" name="Feed blend name" dataCellStyle="Input text"/>
    <tableColumn id="2" xr3:uid="{04491820-F8BB-4514-97E2-7BCE1AF746CB}" name="Amount fed (kg)"/>
    <tableColumn id="4" xr3:uid="{AAF96598-0C08-4B1C-B443-582542FC2F50}" name="Ingredient 1 (select)" dataCellStyle="Input select"/>
    <tableColumn id="3" xr3:uid="{0B123B05-9BDB-4D74-A045-697B388DBF5F}" name="Ingredient 1 source region" dataCellStyle="Input select"/>
    <tableColumn id="5" xr3:uid="{933922A0-6F4F-4E6A-A6E5-F1206558EB5C}" name="Ingredient 1 percent"/>
    <tableColumn id="6" xr3:uid="{D18966B6-A661-46C5-8AFD-415CECD95624}" name="Ingredient 2 (select)" dataCellStyle="Input select"/>
    <tableColumn id="14" xr3:uid="{F4C9890F-1E9A-409C-943C-CD9F6173BFC6}" name="Ingredient 2 source region" dataCellStyle="Input select"/>
    <tableColumn id="7" xr3:uid="{9DA751BF-67A7-4431-AE97-6DA307BB9187}" name="Ingredient 2 percent"/>
    <tableColumn id="8" xr3:uid="{D6D85DC8-6D07-4301-A650-DE66A899A85A}" name="Ingredient 3 (select)" dataCellStyle="Input select"/>
    <tableColumn id="15" xr3:uid="{30191BEE-A5B4-4393-B0A6-63B28B6D8ACD}" name="Ingredient 3 source region" dataCellStyle="Input select"/>
    <tableColumn id="9" xr3:uid="{F51AB4CB-CBE1-4C10-B274-782A87C223C2}" name="Ingredient 3 percent"/>
    <tableColumn id="10" xr3:uid="{76A162C3-2DC0-4A62-8A2B-3A676F84AB88}" name="Ingredient 4 (select)" dataCellStyle="Input select"/>
    <tableColumn id="16" xr3:uid="{00FDFC2A-8433-44E7-BBAD-72959F5BB2E6}" name="Ingredient 4 source region" dataCellStyle="Input select"/>
    <tableColumn id="11" xr3:uid="{31B04732-CFFF-4215-9B54-5C2F247061B7}" name="Ingredient 4 percent"/>
  </tableColumns>
  <tableStyleInfo name="Editable table"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6" xr:uid="{AF2D4352-112B-498B-A9EC-ABB2E3A4D8EC}" name="Table_Input_ChemicalsPharmacy" displayName="Table_Input_ChemicalsPharmacy" ref="D32:F42" totalsRowShown="0" headerRowCellStyle="Input table column header">
  <autoFilter ref="D32:F42" xr:uid="{F7DA8543-C7DE-49A8-A739-D82C85B7B828}"/>
  <tableColumns count="3">
    <tableColumn id="3" xr3:uid="{B1917C5D-E67A-4735-AD3D-9050E88460D6}" name="Product name" dataCellStyle="Input text"/>
    <tableColumn id="1" xr3:uid="{23AD1563-263D-450B-92BC-316FC2CA489E}" name="Type (select)" dataDxfId="428" dataCellStyle="Input select"/>
    <tableColumn id="2" xr3:uid="{145AD196-AC0D-4971-88E3-7AEB79E147F4}" name="Number of head treated" dataDxfId="427" dataCellStyle="Input number general"/>
  </tableColumns>
  <tableStyleInfo name="Editable table"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7" xr:uid="{ADA5203F-3339-406A-AFCF-D45BD8EE4172}" name="Table_Input_FreightIncoming" displayName="Table_Input_FreightIncoming" ref="D8:H18" totalsRowShown="0">
  <autoFilter ref="D8:H18" xr:uid="{4DDF930F-94B2-4B93-B728-B92082E231C7}">
    <filterColumn colId="0" hiddenButton="1"/>
    <filterColumn colId="1" hiddenButton="1"/>
    <filterColumn colId="2" hiddenButton="1"/>
    <filterColumn colId="3" hiddenButton="1"/>
    <filterColumn colId="4" hiddenButton="1"/>
  </autoFilter>
  <tableColumns count="5">
    <tableColumn id="1" xr3:uid="{6494EE48-F1BE-4B1C-A654-C241465CC0FB}" name="Route name" dataCellStyle="Input text"/>
    <tableColumn id="2" xr3:uid="{6BAC8C9E-5FDD-4AE7-962C-25CE10395634}" name="Freight type (select)" dataCellStyle="Input select"/>
    <tableColumn id="3" xr3:uid="{18497E06-F670-45B7-B7BD-E6FE71D805D4}" name="Route distance (km)"/>
    <tableColumn id="4" xr3:uid="{2D4D7881-2FFC-4F79-A7B3-9CEEE01F5F13}" name="Average weight of freight per trip (t)"/>
    <tableColumn id="5" xr3:uid="{9ECF98F6-5013-4BF5-BEAA-FFFF20B35625}" name="Number of trips taken"/>
  </tableColumns>
  <tableStyleInfo name="Editable table"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8" xr:uid="{4363667A-7976-4EE9-99E2-173316783784}" name="Table_Input_FreightOutgoing" displayName="Table_Input_FreightOutgoing" ref="D24:H34" totalsRowShown="0">
  <autoFilter ref="D24:H34" xr:uid="{C8AEF287-0BE7-46A0-967D-68ED52A309D6}">
    <filterColumn colId="0" hiddenButton="1"/>
    <filterColumn colId="1" hiddenButton="1"/>
    <filterColumn colId="2" hiddenButton="1"/>
    <filterColumn colId="3" hiddenButton="1"/>
    <filterColumn colId="4" hiddenButton="1"/>
  </autoFilter>
  <tableColumns count="5">
    <tableColumn id="1" xr3:uid="{F8308CF9-AB68-4949-8458-74E448B4780E}" name="Route name" dataCellStyle="Input text"/>
    <tableColumn id="2" xr3:uid="{92B8011C-87A7-472F-B10B-00E59D56E1D8}" name="Freight type (select)" dataCellStyle="Input select"/>
    <tableColumn id="3" xr3:uid="{028C03EC-1EA9-436D-A9CB-8110DD08388D}" name="Route distance (km)"/>
    <tableColumn id="4" xr3:uid="{8D4B6EEE-F455-43DE-96A0-63868780D4B5}" name="Average weight of freight per trip (t)"/>
    <tableColumn id="5" xr3:uid="{0E1655D4-DCBD-4910-A7E8-B02CA7FB4EDF}" name="Number of trips taken"/>
  </tableColumns>
  <tableStyleInfo name="Editable table"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5" xr:uid="{FFD6372E-13BE-454F-9A95-14D2337387DC}" name="Table_Input_SolidWaste" displayName="Table_Input_SolidWaste" ref="D9:I32" totalsRowShown="0" headerRowCellStyle="Input table column header">
  <autoFilter ref="D9:I32" xr:uid="{AB3DA401-69B9-4F52-A3AF-08FA63C556A0}">
    <filterColumn colId="0" hiddenButton="1"/>
    <filterColumn colId="1" hiddenButton="1"/>
    <filterColumn colId="2" hiddenButton="1"/>
    <filterColumn colId="3" hiddenButton="1"/>
    <filterColumn colId="4" hiddenButton="1"/>
    <filterColumn colId="5" hiddenButton="1"/>
  </autoFilter>
  <tableColumns count="6">
    <tableColumn id="1" xr3:uid="{A58564EA-850C-45E8-9C4B-0E0A1819AD8B}" name="Description" dataCellStyle="Input text"/>
    <tableColumn id="5" xr3:uid="{142D6B72-0DFA-433D-85C3-5316CDC761C0}" name="Treatment type (select)" dataCellStyle="Input select"/>
    <tableColumn id="2" xr3:uid="{5E002FAC-7139-4BD9-B352-E3CADA492BE4}" name="Waste type (select)" dataCellStyle="Input select"/>
    <tableColumn id="3" xr3:uid="{5DE41EB4-C059-41D8-91E6-DFEBF5427B49}" name="Treatment location (select)" dataCellStyle="Input select"/>
    <tableColumn id="4" xr3:uid="{10FA05D2-17BA-4436-807D-D86C5788A74C}" name="Amount" dataCellStyle="Input number general"/>
    <tableColumn id="7" xr3:uid="{7D5552BB-3AB4-4E28-8EBC-CE63A3FF550F}" name="Amount unit (select)" dataCellStyle="Input select"/>
  </tableColumns>
  <tableStyleInfo name="Editable table"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28FE180D-09B2-462D-A75A-30AF5B040FF4}" name="Table_Input_DataQuality_Enterprise" displayName="Table_Input_DataQuality_Enterprise" ref="D7:J13" totalsRowShown="0" headerRowCellStyle="Input table column header">
  <autoFilter ref="D7:J13" xr:uid="{28FE180D-09B2-462D-A75A-30AF5B040FF4}"/>
  <tableColumns count="7">
    <tableColumn id="1" xr3:uid="{6891E09C-6D96-4827-89BC-323C45FF3013}" name="Data type" dataCellStyle="Content normal"/>
    <tableColumn id="2" xr3:uid="{68DFCF87-A6F7-4A80-91D7-A13481A1F22D}" name="When was the data sourced?" dataCellStyle="Input select"/>
    <tableColumn id="3" xr3:uid="{A40C00E6-56F7-4C78-BC6A-867F905FFAD9}" name="Where is the data sourced from?" dataCellStyle="Input select"/>
    <tableColumn id="4" xr3:uid="{4EEABB96-25B2-45E4-B55D-CC84B263097B}" name="How much of the data was from direct samples?" dataCellStyle="Input select"/>
    <tableColumn id="5" xr3:uid="{312AABBA-BFD5-4266-9524-F923958169B2}" name="Notes" dataDxfId="529"/>
    <tableColumn id="6" xr3:uid="{11350DC8-38DD-4ED1-9576-EFE00DF98F4A}" name="Evidence files" dataDxfId="528"/>
    <tableColumn id="7" xr3:uid="{CE5261A6-B4FC-4B62-A6AC-54C6FAAD82CB}" name="Score" dataCellStyle="Input number general calculated">
      <calculatedColumnFormula>IFERROR(_xlfn.XLOOKUP(Table_Input_DataQuality_Enterprise[[#This Row],[When was the data sourced?]],#REF!,#REF!)+_xlfn.XLOOKUP(Table_Input_DataQuality_Enterprise[[#This Row],[Where is the data sourced from?]],#REF!,#REF!)+_xlfn.XLOOKUP(Table_Input_DataQuality_Enterprise[[#This Row],[How much of the data was from direct samples?]],#REF!,#REF!), 0)</calculatedColumnFormula>
    </tableColumn>
  </tableColumns>
  <tableStyleInfo name="Editable table"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2C575DA4-A4D3-41A2-B085-8B83737CAEC6}" name="Table_Input_DataQuality_Site" displayName="Table_Input_DataQuality_Site" ref="D18:J24" totalsRowShown="0" headerRowCellStyle="Input table column header">
  <autoFilter ref="D18:J24" xr:uid="{2C575DA4-A4D3-41A2-B085-8B83737CAEC6}"/>
  <tableColumns count="7">
    <tableColumn id="1" xr3:uid="{F4C76991-9400-47EC-8B69-3E0378128164}" name="Data type" dataCellStyle="Content normal"/>
    <tableColumn id="2" xr3:uid="{1143E7AA-62A8-44F3-B5BF-BE2379B4B905}" name="When was the data sourced?" dataCellStyle="Input select"/>
    <tableColumn id="3" xr3:uid="{828C0D88-9EF8-44A0-A6D3-0BE733D06B61}" name="Where is the data sourced from?" dataCellStyle="Input select"/>
    <tableColumn id="4" xr3:uid="{F8C7296B-21A2-4BA8-804A-1A97D5DE5C58}" name="How much of the data was from direct samples?" dataCellStyle="Input select"/>
    <tableColumn id="5" xr3:uid="{54570952-48C1-47E8-B45A-471C0BA7AD1C}" name="Notes" dataDxfId="527"/>
    <tableColumn id="6" xr3:uid="{AB44CE99-224A-437D-A5B1-932D9C46AAB8}" name="Evidence files" dataDxfId="526"/>
    <tableColumn id="7" xr3:uid="{1FE786EC-0690-4DC1-8777-E78069DC2895}" name="Score" dataCellStyle="Input number general calculated">
      <calculatedColumnFormula>IFERROR(_xlfn.XLOOKUP(Table_Input_DataQuality_Site[[#This Row],[When was the data sourced?]],#REF!,#REF!)+_xlfn.XLOOKUP(Table_Input_DataQuality_Site[[#This Row],[Where is the data sourced from?]],#REF!,#REF!)+_xlfn.XLOOKUP(Table_Input_DataQuality_Site[[#This Row],[How much of the data was from direct samples?]],#REF!,#REF!), 0)</calculatedColumnFormula>
    </tableColumn>
  </tableColumns>
  <tableStyleInfo name="Editable table"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2DAF9A96-F977-441F-8621-B54D31D9D7F8}" name="Table_Input_DataQuality_PastureBeef" displayName="Table_Input_DataQuality_PastureBeef" ref="D29:J41" totalsRowShown="0" headerRowCellStyle="Input table column header">
  <autoFilter ref="D29:J41" xr:uid="{2DAF9A96-F977-441F-8621-B54D31D9D7F8}"/>
  <tableColumns count="7">
    <tableColumn id="1" xr3:uid="{7410CAF1-A32D-4D20-9E8D-20497565EE6C}" name="Data type" dataCellStyle="Content normal"/>
    <tableColumn id="2" xr3:uid="{AC0AD7C7-1285-46C1-8760-677E5A7A447B}" name="When was the data sourced?" dataCellStyle="Input select"/>
    <tableColumn id="3" xr3:uid="{E7C35A28-6D7F-443C-BE27-871888F6021C}" name="Where is the data sourced from?" dataCellStyle="Input select"/>
    <tableColumn id="4" xr3:uid="{7CE87797-11C2-4242-9B92-06262C7B78FB}" name="How much of the data was from direct samples?" dataCellStyle="Input select"/>
    <tableColumn id="5" xr3:uid="{FDAFFFA7-0A46-4B10-B5C5-9C9D3BF63530}" name="Notes" dataDxfId="525"/>
    <tableColumn id="6" xr3:uid="{8407DCE3-2C71-4594-89B2-6C5DC5A27F02}" name="Evidence files" dataDxfId="524"/>
    <tableColumn id="7" xr3:uid="{55D19874-2970-424B-BFAA-72F0A3A76D94}" name="Score" dataCellStyle="Input number general calculated">
      <calculatedColumnFormula>IFERROR(_xlfn.XLOOKUP(Table_Input_DataQuality_PastureBeef[[#This Row],[When was the data sourced?]],#REF!,#REF!)+_xlfn.XLOOKUP(Table_Input_DataQuality_PastureBeef[[#This Row],[Where is the data sourced from?]],#REF!,#REF!)+_xlfn.XLOOKUP(Table_Input_DataQuality_PastureBeef[[#This Row],[How much of the data was from direct samples?]],#REF!,#REF!), 0)</calculatedColumnFormula>
    </tableColumn>
  </tableColumns>
  <tableStyleInfo name="Editable table"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311B488B-482B-4D1F-B574-EC6A7C2A7963}" name="Table_Input_DataQuality_PastureManagement" displayName="Table_Input_DataQuality_PastureManagement" ref="D46:J51" totalsRowShown="0" headerRowCellStyle="Input table column header">
  <autoFilter ref="D46:J51" xr:uid="{311B488B-482B-4D1F-B574-EC6A7C2A7963}"/>
  <tableColumns count="7">
    <tableColumn id="1" xr3:uid="{1FF92347-2C85-4DFF-AD7B-1165C35BB5F4}" name="Data type" dataCellStyle="Content normal"/>
    <tableColumn id="2" xr3:uid="{1A35F5F3-7B50-427A-974B-341C1D9579E5}" name="When was the data sourced?" dataCellStyle="Input select"/>
    <tableColumn id="3" xr3:uid="{43931A0A-B807-40B1-9CFF-AB3981E9BF81}" name="Where is the data sourced from?" dataCellStyle="Input select"/>
    <tableColumn id="4" xr3:uid="{085426B4-0983-452B-ABF3-4650427E6FB2}" name="How much of the data was from direct samples?" dataCellStyle="Input select"/>
    <tableColumn id="5" xr3:uid="{540CDA6F-B045-4E43-B004-48C29A66E6C7}" name="Notes" dataDxfId="523"/>
    <tableColumn id="6" xr3:uid="{4E8DFB0B-42BF-4238-AE47-4694D0ABF414}" name="Evidence files" dataDxfId="522"/>
    <tableColumn id="7" xr3:uid="{99FD6CF0-B6A4-43E3-9E7B-C0828CA99963}" name="Score" dataCellStyle="Input number general calculated">
      <calculatedColumnFormula>IFERROR(_xlfn.XLOOKUP(Table_Input_DataQuality_PastureManagement[[#This Row],[When was the data sourced?]],#REF!,#REF!)+_xlfn.XLOOKUP(Table_Input_DataQuality_PastureManagement[[#This Row],[Where is the data sourced from?]],#REF!,#REF!)+_xlfn.XLOOKUP(Table_Input_DataQuality_PastureManagement[[#This Row],[How much of the data was from direct samples?]],#REF!,#REF!), 0)</calculatedColumnFormula>
    </tableColumn>
  </tableColumns>
  <tableStyleInfo name="Editable table"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A934DC06-981B-4CDD-9E4F-DD2783BC3739}" name="Table_Input_DataQuality_FertiliserApplications" displayName="Table_Input_DataQuality_FertiliserApplications" ref="D56:J60" totalsRowShown="0" headerRowCellStyle="Input table column header">
  <autoFilter ref="D56:J60" xr:uid="{A934DC06-981B-4CDD-9E4F-DD2783BC3739}"/>
  <tableColumns count="7">
    <tableColumn id="1" xr3:uid="{C0D29A74-4487-4BD6-B5EC-A6090FC2A710}" name="Data type" dataCellStyle="Content normal"/>
    <tableColumn id="2" xr3:uid="{69E55B12-88FD-4BFF-856B-A38450A42351}" name="When was the data sourced?" dataCellStyle="Input select"/>
    <tableColumn id="3" xr3:uid="{B055C1AD-6B83-432C-9F45-11C649F30314}" name="Where is the data sourced from?" dataCellStyle="Input select"/>
    <tableColumn id="4" xr3:uid="{BF029F0D-7D8D-4D09-A265-6DD56CC2395F}" name="How much of the data was from direct samples?" dataCellStyle="Input select"/>
    <tableColumn id="5" xr3:uid="{719E0D1E-E7A3-4744-BEE9-0CDED15EECF4}" name="Notes" dataDxfId="521"/>
    <tableColumn id="6" xr3:uid="{59BA769D-6DE0-45F8-9AE4-CE630F78ADD3}" name="Evidence files" dataDxfId="520"/>
    <tableColumn id="7" xr3:uid="{AAA07962-65D6-499A-961F-5DA90E26C83A}" name="Score" dataCellStyle="Input number general calculated">
      <calculatedColumnFormula>IFERROR(_xlfn.XLOOKUP(Table_Input_DataQuality_FertiliserApplications[[#This Row],[When was the data sourced?]],#REF!,#REF!)+_xlfn.XLOOKUP(Table_Input_DataQuality_FertiliserApplications[[#This Row],[Where is the data sourced from?]],#REF!,#REF!)+_xlfn.XLOOKUP(Table_Input_DataQuality_FertiliserApplications[[#This Row],[How much of the data was from direct samples?]],#REF!,#REF!), 0)</calculatedColumnFormula>
    </tableColumn>
  </tableColumns>
  <tableStyleInfo name="Editable table"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19A539BB-F05B-4456-BA41-5371F02C7A22}" name="Table_Input_DataQuality_FuelElectricity" displayName="Table_Input_DataQuality_FuelElectricity" ref="D65:J69" totalsRowShown="0" headerRowCellStyle="Input table column header">
  <autoFilter ref="D65:J69" xr:uid="{19A539BB-F05B-4456-BA41-5371F02C7A22}"/>
  <tableColumns count="7">
    <tableColumn id="1" xr3:uid="{6A7C792A-607C-4FD4-96D7-7504D4E4B802}" name="Data type" dataCellStyle="Content normal"/>
    <tableColumn id="2" xr3:uid="{52C64A20-79AA-4425-85FA-8095D6843A30}" name="When was the data sourced?" dataCellStyle="Input select"/>
    <tableColumn id="3" xr3:uid="{1CB192FD-80D3-400C-BB36-D4F7EF70D27C}" name="Where is the data sourced from?" dataCellStyle="Input select"/>
    <tableColumn id="4" xr3:uid="{3B9B8CC5-F3E8-4E1A-8F68-1416E7572F47}" name="How much of the data was from direct samples?" dataCellStyle="Input select"/>
    <tableColumn id="5" xr3:uid="{008AC1CB-FE9D-4303-9F4F-22C168CC47A0}" name="Notes" dataDxfId="519"/>
    <tableColumn id="6" xr3:uid="{5014AEED-6FC3-4D88-9D37-146835135CBE}" name="Evidence files" dataDxfId="518"/>
    <tableColumn id="7" xr3:uid="{1B5A6979-2182-4CA3-8C33-274D46A3229F}" name="Score" dataCellStyle="Input number general calculated">
      <calculatedColumnFormula>IFERROR(_xlfn.XLOOKUP(Table_Input_DataQuality_FuelElectricity[[#This Row],[When was the data sourced?]],Table_SourceData_DataQuality_TemporalRepresentativeness[User friendly description],Table_SourceData_DataQuality_TemporalRepresentativeness[Score])+_xlfn.XLOOKUP(Table_Input_DataQuality_FuelElectricity[[#This Row],[Where is the data sourced from?]],Table_SourceData_DataQuality_SpatialRepresentativeness[User friendly description],Table_SourceData_DataQuality_SpatialRepresentativeness[Score])+_xlfn.XLOOKUP(Table_Input_DataQuality_FuelElectricity[[#This Row],[How much of the data was from direct samples?]],Table_SourceData_DataQuality_SampleSize[User friendly description],Table_SourceData_DataQuality_SampleSize[Score]), 0)</calculatedColumnFormula>
    </tableColumn>
  </tableColumns>
  <tableStyleInfo name="Editable table"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B673E621-7DB1-4295-9961-C61CC800B135}" name="Table_Input_DataQuality_FarmInputsFreightWaste" displayName="Table_Input_DataQuality_FarmInputsFreightWaste" ref="D75:J79" totalsRowShown="0" headerRowCellStyle="Input table column header">
  <autoFilter ref="D75:J79" xr:uid="{B673E621-7DB1-4295-9961-C61CC800B135}"/>
  <tableColumns count="7">
    <tableColumn id="1" xr3:uid="{25477CEA-09D1-4F2E-858D-E5B2B52CA880}" name="Data type" dataCellStyle="Content normal"/>
    <tableColumn id="2" xr3:uid="{8C7E7881-1860-4180-B538-825A80D47FF5}" name="When was the data sourced?" dataCellStyle="Input select"/>
    <tableColumn id="3" xr3:uid="{27F48332-E1B6-4C4D-BBAA-CBFB23977161}" name="Where is the data sourced from?" dataCellStyle="Input select"/>
    <tableColumn id="4" xr3:uid="{BBFCE3B0-5D6C-410D-9626-0A3427B2279C}" name="How much of the data was from direct samples?" dataCellStyle="Input select"/>
    <tableColumn id="5" xr3:uid="{6F18E8CD-2E03-497F-AEA7-2F9200F34478}" name="Notes" dataDxfId="517"/>
    <tableColumn id="6" xr3:uid="{A8148FCB-F76E-4E6E-A140-C2F5CA96A211}" name="Evidence files" dataDxfId="516"/>
    <tableColumn id="7" xr3:uid="{80B2DAE6-FCD5-49CC-8620-FFFC3957CF38}" name="Score" dataCellStyle="Input number general calculated">
      <calculatedColumnFormula>IFERROR(_xlfn.XLOOKUP(Table_Input_DataQuality_FarmInputsFreightWaste[[#This Row],[When was the data sourced?]],Table_SourceData_DataQuality_TemporalRepresentativeness[User friendly description],Table_SourceData_DataQuality_TemporalRepresentativeness[Score])+_xlfn.XLOOKUP(Table_Input_DataQuality_FarmInputsFreightWaste[[#This Row],[Where is the data sourced from?]],Table_SourceData_DataQuality_SpatialRepresentativeness[User friendly description],Table_SourceData_DataQuality_SpatialRepresentativeness[Score])+_xlfn.XLOOKUP(Table_Input_DataQuality_FarmInputsFreightWaste[[#This Row],[How much of the data was from direct samples?]],Table_SourceData_DataQuality_SampleSize[User friendly description],Table_SourceData_DataQuality_SampleSize[Score]), 0)</calculatedColumnFormula>
    </tableColumn>
  </tableColumns>
  <tableStyleInfo name="Editable table"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6DD4031F-063A-4B5A-A366-0D4FAE814556}" name="Table_SourceData_PastureBeef_CropProdSystems" displayName="Table_SourceData_PastureBeef_CropProdSystems" ref="D7:D9" totalsRowShown="0">
  <autoFilter ref="D7:D9" xr:uid="{B6F3FE3A-A0B5-47E7-85B2-8426FB75A7C8}">
    <filterColumn colId="0" hiddenButton="1"/>
  </autoFilter>
  <tableColumns count="1">
    <tableColumn id="1" xr3:uid="{D4547B79-CD87-4C0E-B0E6-642484BA4234}" name="Production system">
      <calculatedColumnFormula>#REF!</calculatedColumnFormula>
    </tableColumn>
  </tableColumns>
  <tableStyleInfo name="Equation table"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584E177F-D3F0-4690-852C-F6D878B1473D}" name="Table_SourceData_PastureBeef_IrrigationMethods" displayName="Table_SourceData_PastureBeef_IrrigationMethods" ref="G7:G12" totalsRowShown="0">
  <autoFilter ref="G7:G12" xr:uid="{FE172B77-CEA3-430C-84BC-392A64D0B8FF}">
    <filterColumn colId="0" hiddenButton="1"/>
  </autoFilter>
  <tableColumns count="1">
    <tableColumn id="1" xr3:uid="{82F38B93-8830-4C7F-B8CF-F25C4BA01BF8}" name="Irrigation method"/>
  </tableColumns>
  <tableStyleInfo name="Equation table"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DAC609EE-927E-4BFD-B2B1-2AB5F3775C3D}" name="Table_SourceData_PastureBeef_Liveweight" displayName="Table_SourceData_PastureBeef_Liveweight" ref="D18:M46" totalsRowShown="0">
  <autoFilter ref="D18:M46" xr:uid="{430B098F-3F00-49E5-81DA-BAED03622D32}">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19F23550-8500-4762-A623-F126BB42185D}" name="State">
      <calculatedColumnFormula array="1">Common_InputFunctions.Utility_DisplayArrayInTable(SourceData_PastureBeef.SourceData_PastureBeef_Liveweight_Data(), Table_SourceData_PastureBeef_Liveweight[[#Headers],[State]], 0)</calculatedColumnFormula>
    </tableColumn>
    <tableColumn id="2" xr3:uid="{B3905617-5E57-46BD-8743-9986F0330E94}" name="Region" dataDxfId="426" dataCellStyle="Content normal">
      <calculatedColumnFormula array="1">Common_InputFunctions.Utility_DisplayArrayInTable(SourceData_PastureBeef.SourceData_PastureBeef_Liveweight_Data(), Table_SourceData_PastureBeef_Liveweight[[#Headers],[State]], 0)</calculatedColumnFormula>
    </tableColumn>
    <tableColumn id="3" xr3:uid="{50C89860-1D0A-4F20-8A2F-FAB8039A942C}" name="Season" dataDxfId="425" dataCellStyle="Content normal">
      <calculatedColumnFormula array="1">Common_InputFunctions.Utility_DisplayArrayInTable(SourceData_PastureBeef.SourceData_PastureBeef_Liveweight_Data(), Table_SourceData_PastureBeef_Liveweight[[#Headers],[State]], 0)</calculatedColumnFormula>
    </tableColumn>
    <tableColumn id="4" xr3:uid="{0712D93F-E750-4FB1-8B45-1380324870BE}" name="Bull &lt; 1" dataDxfId="424" dataCellStyle="Content normal">
      <calculatedColumnFormula array="1">Common_InputFunctions.Utility_DisplayArrayInTable(SourceData_PastureBeef.SourceData_PastureBeef_Liveweight_Data(), Table_SourceData_PastureBeef_Liveweight[[#Headers],[State]], 0)</calculatedColumnFormula>
    </tableColumn>
    <tableColumn id="5" xr3:uid="{C071B89D-036B-40BC-B9AB-460BC91FB66D}" name="Bull &gt; 1" dataDxfId="423" dataCellStyle="Content normal">
      <calculatedColumnFormula array="1">Common_InputFunctions.Utility_DisplayArrayInTable(SourceData_PastureBeef.SourceData_PastureBeef_Liveweight_Data(), Table_SourceData_PastureBeef_Liveweight[[#Headers],[State]], 0)</calculatedColumnFormula>
    </tableColumn>
    <tableColumn id="6" xr3:uid="{23CED020-47C7-4BC9-B670-8B1424EE0EE6}" name="Cow &lt; 1" dataDxfId="422" dataCellStyle="Content normal">
      <calculatedColumnFormula array="1">Common_InputFunctions.Utility_DisplayArrayInTable(SourceData_PastureBeef.SourceData_PastureBeef_Liveweight_Data(), Table_SourceData_PastureBeef_Liveweight[[#Headers],[State]], 0)</calculatedColumnFormula>
    </tableColumn>
    <tableColumn id="7" xr3:uid="{E10571E8-1ACC-47F0-B877-1D287B671A26}" name="Cow 1-2" dataDxfId="421" dataCellStyle="Content normal">
      <calculatedColumnFormula array="1">Common_InputFunctions.Utility_DisplayArrayInTable(SourceData_PastureBeef.SourceData_PastureBeef_Liveweight_Data(), Table_SourceData_PastureBeef_Liveweight[[#Headers],[State]], 0)</calculatedColumnFormula>
    </tableColumn>
    <tableColumn id="8" xr3:uid="{FD2EAA97-3E29-4C1E-B2F5-BF7D44DF5948}" name="Cow &gt; 2" dataDxfId="420" dataCellStyle="Content normal">
      <calculatedColumnFormula array="1">Common_InputFunctions.Utility_DisplayArrayInTable(SourceData_PastureBeef.SourceData_PastureBeef_Liveweight_Data(), Table_SourceData_PastureBeef_Liveweight[[#Headers],[State]], 0)</calculatedColumnFormula>
    </tableColumn>
    <tableColumn id="9" xr3:uid="{C672BBAB-4511-46E7-B460-931C752D909D}" name="Steer &lt; 1" dataDxfId="419" dataCellStyle="Content normal">
      <calculatedColumnFormula array="1">Common_InputFunctions.Utility_DisplayArrayInTable(SourceData_PastureBeef.SourceData_PastureBeef_Liveweight_Data(), Table_SourceData_PastureBeef_Liveweight[[#Headers],[State]], 0)</calculatedColumnFormula>
    </tableColumn>
    <tableColumn id="10" xr3:uid="{0FD6B926-7FD2-4A3F-8373-401A7D6AD915}" name="Steer &gt; 1" dataDxfId="418" dataCellStyle="Content normal">
      <calculatedColumnFormula array="1">Common_InputFunctions.Utility_DisplayArrayInTable(SourceData_PastureBeef.SourceData_PastureBeef_Liveweight_Data(), Table_SourceData_PastureBeef_Liveweight[[#Headers],[State]], 0)</calculatedColumnFormula>
    </tableColumn>
  </tableColumns>
  <tableStyleInfo name="Equation table" showFirstColumn="0"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2F17B544-AFA4-4E71-8D47-F61D8D3C7C44}" name="Table_SourceData_PastureBeef_LiveweightNTQD" displayName="Table_SourceData_PastureBeef_LiveweightNTQD" ref="D53:P81" totalsRowShown="0">
  <autoFilter ref="D53:P81" xr:uid="{56498C6E-3CDA-4A1F-A7E7-3227B1B0C952}">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autoFilter>
  <tableColumns count="13">
    <tableColumn id="1" xr3:uid="{AD06236A-A46B-463E-85D1-744A3A1ADF66}" name="State">
      <calculatedColumnFormula array="1">Common_InputFunctions.Utility_DisplayArrayInTable(SourceData_PastureBeef.SourceData_PastureBeef_LiveweightNTQLD_Data(),Table_SourceData_PastureBeef_LiveweightNTQD[[#Headers],[State]], 0)</calculatedColumnFormula>
    </tableColumn>
    <tableColumn id="2" xr3:uid="{DA5BC7B2-41C5-4B28-BAB0-F6C5F759CF37}" name="Region" dataDxfId="417" dataCellStyle="Content normal">
      <calculatedColumnFormula array="1">Common_InputFunctions.Utility_DisplayArrayInTable(SourceData_PastureBeef.SourceData_PastureBeef_LiveweightNTQLD_Data(),Table_SourceData_PastureBeef_LiveweightNTQD[[#Headers],[State]], 0)</calculatedColumnFormula>
    </tableColumn>
    <tableColumn id="3" xr3:uid="{9C7E7370-2DE5-47D2-9131-A7AC77DD0275}" name="Season" dataDxfId="416" dataCellStyle="Content normal">
      <calculatedColumnFormula array="1">Common_InputFunctions.Utility_DisplayArrayInTable(SourceData_PastureBeef.SourceData_PastureBeef_LiveweightNTQLD_Data(),Table_SourceData_PastureBeef_LiveweightNTQD[[#Headers],[State]], 0)</calculatedColumnFormula>
    </tableColumn>
    <tableColumn id="4" xr3:uid="{DB1C5E87-E00B-4511-82A9-BA06FA9B8BA3}" name="Bull &lt;1" dataDxfId="415" dataCellStyle="Content normal">
      <calculatedColumnFormula array="1">Common_InputFunctions.Utility_DisplayArrayInTable(SourceData_PastureBeef.SourceData_PastureBeef_LiveweightNTQLD_Data(),Table_SourceData_PastureBeef_LiveweightNTQD[[#Headers],[State]], 0)</calculatedColumnFormula>
    </tableColumn>
    <tableColumn id="5" xr3:uid="{1F12E4D5-533C-4058-9BFB-C8968AADF493}" name="Bull &gt;1" dataDxfId="414" dataCellStyle="Content normal">
      <calculatedColumnFormula array="1">Common_InputFunctions.Utility_DisplayArrayInTable(SourceData_PastureBeef.SourceData_PastureBeef_LiveweightNTQLD_Data(),Table_SourceData_PastureBeef_LiveweightNTQD[[#Headers],[State]], 0)</calculatedColumnFormula>
    </tableColumn>
    <tableColumn id="6" xr3:uid="{5AE747C7-C067-498E-9027-0742A1CEF861}" name="Cows &lt;1" dataDxfId="413" dataCellStyle="Content normal">
      <calculatedColumnFormula array="1">Common_InputFunctions.Utility_DisplayArrayInTable(SourceData_PastureBeef.SourceData_PastureBeef_LiveweightNTQLD_Data(),Table_SourceData_PastureBeef_LiveweightNTQD[[#Headers],[State]], 0)</calculatedColumnFormula>
    </tableColumn>
    <tableColumn id="7" xr3:uid="{77ED3188-11AB-45DE-A11F-C353113DA724}" name="Cows 1-2" dataDxfId="412" dataCellStyle="Content normal">
      <calculatedColumnFormula array="1">Common_InputFunctions.Utility_DisplayArrayInTable(SourceData_PastureBeef.SourceData_PastureBeef_LiveweightNTQLD_Data(),Table_SourceData_PastureBeef_LiveweightNTQD[[#Headers],[State]], 0)</calculatedColumnFormula>
    </tableColumn>
    <tableColumn id="8" xr3:uid="{6138FA61-00DB-458A-809E-7AA061AE8697}" name="Cows 2-3" dataDxfId="411" dataCellStyle="Content normal">
      <calculatedColumnFormula array="1">Common_InputFunctions.Utility_DisplayArrayInTable(SourceData_PastureBeef.SourceData_PastureBeef_LiveweightNTQLD_Data(),Table_SourceData_PastureBeef_LiveweightNTQD[[#Headers],[State]], 0)</calculatedColumnFormula>
    </tableColumn>
    <tableColumn id="9" xr3:uid="{46633552-7CAE-43A5-A530-E10160727264}" name="Cows &gt;3" dataDxfId="410" dataCellStyle="Content normal">
      <calculatedColumnFormula array="1">Common_InputFunctions.Utility_DisplayArrayInTable(SourceData_PastureBeef.SourceData_PastureBeef_LiveweightNTQLD_Data(),Table_SourceData_PastureBeef_LiveweightNTQD[[#Headers],[State]], 0)</calculatedColumnFormula>
    </tableColumn>
    <tableColumn id="10" xr3:uid="{E0F23DCC-AA62-4506-8E70-2508FA9E9282}" name="Steer &lt;1" dataDxfId="409" dataCellStyle="Content normal">
      <calculatedColumnFormula array="1">Common_InputFunctions.Utility_DisplayArrayInTable(SourceData_PastureBeef.SourceData_PastureBeef_LiveweightNTQLD_Data(),Table_SourceData_PastureBeef_LiveweightNTQD[[#Headers],[State]], 0)</calculatedColumnFormula>
    </tableColumn>
    <tableColumn id="11" xr3:uid="{04024019-F3F6-4D57-A0C9-568B6B4AF822}" name="Steer 1-2" dataDxfId="408" dataCellStyle="Content normal">
      <calculatedColumnFormula array="1">Common_InputFunctions.Utility_DisplayArrayInTable(SourceData_PastureBeef.SourceData_PastureBeef_LiveweightNTQLD_Data(),Table_SourceData_PastureBeef_LiveweightNTQD[[#Headers],[State]], 0)</calculatedColumnFormula>
    </tableColumn>
    <tableColumn id="12" xr3:uid="{085FD340-CD54-43FE-BA41-5AB7C098C6EB}" name="Steer 2-3" dataDxfId="407" dataCellStyle="Content normal">
      <calculatedColumnFormula array="1">Common_InputFunctions.Utility_DisplayArrayInTable(SourceData_PastureBeef.SourceData_PastureBeef_LiveweightNTQLD_Data(),Table_SourceData_PastureBeef_LiveweightNTQD[[#Headers],[State]], 0)</calculatedColumnFormula>
    </tableColumn>
    <tableColumn id="13" xr3:uid="{48C3D1EB-BDAD-40EB-A44F-3FF9E3D1949E}" name="Steer &gt;3" dataDxfId="406" dataCellStyle="Content normal">
      <calculatedColumnFormula array="1">Common_InputFunctions.Utility_DisplayArrayInTable(SourceData_PastureBeef.SourceData_PastureBeef_LiveweightNTQLD_Data(),Table_SourceData_PastureBeef_LiveweightNTQD[[#Headers],[State]], 0)</calculatedColumnFormula>
    </tableColumn>
  </tableColumns>
  <tableStyleInfo name="Equation table" showFirstColumn="0" showLastColumn="0"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DE6513EF-77F4-4C69-8AF4-CB6AA01226CA}" name="Table_SourceData_PastureBeef_LiveweightAllStates" displayName="Table_SourceData_PastureBeef_LiveweightAllStates" ref="D85:P153" totalsRowShown="0">
  <autoFilter ref="D85:P153" xr:uid="{C5E9D0D1-9D34-431E-BF55-46DC48CCCDFA}">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autoFilter>
  <tableColumns count="13">
    <tableColumn id="1" xr3:uid="{8BD20F15-6462-4BFF-A3CE-6ABE8AB209A9}" name="State"/>
    <tableColumn id="2" xr3:uid="{D9FB8C40-8C7A-40E7-8C3F-DB8EC3C47D4D}" name="Region">
      <calculatedColumnFormula>E22</calculatedColumnFormula>
    </tableColumn>
    <tableColumn id="3" xr3:uid="{A473123F-9AC9-4840-8989-1764423E6FA8}" name="Season">
      <calculatedColumnFormula>F22</calculatedColumnFormula>
    </tableColumn>
    <tableColumn id="4" xr3:uid="{DB5C6FCB-F260-4F41-8113-B97805EBBE92}" name="Bulls &lt; 1 year">
      <calculatedColumnFormula>G22</calculatedColumnFormula>
    </tableColumn>
    <tableColumn id="5" xr3:uid="{0F97FDB7-27DD-4766-BC15-737E4675AC4D}" name="Bulls &gt; 1 year">
      <calculatedColumnFormula>H22</calculatedColumnFormula>
    </tableColumn>
    <tableColumn id="6" xr3:uid="{4D67D277-59A7-417E-A0E1-2F00AD38A6EC}" name="Cows &lt; 1 year">
      <calculatedColumnFormula>I22</calculatedColumnFormula>
    </tableColumn>
    <tableColumn id="7" xr3:uid="{5EE986E7-9B17-417A-A8C0-190816DD1491}" name="Cows 1-2 years">
      <calculatedColumnFormula>J22</calculatedColumnFormula>
    </tableColumn>
    <tableColumn id="8" xr3:uid="{62FB48AE-CFA8-4DC4-AB6A-9451DB74AD1E}" name="Cows 2-3 years">
      <calculatedColumnFormula>K22</calculatedColumnFormula>
    </tableColumn>
    <tableColumn id="9" xr3:uid="{F2866204-481E-4458-8A7E-DEF6FBC521FE}" name="Cows &gt; 3 years">
      <calculatedColumnFormula>L22</calculatedColumnFormula>
    </tableColumn>
    <tableColumn id="10" xr3:uid="{081BAD76-CEF6-4E64-BC5F-8F545B28D644}" name="Steers &lt; 1 year">
      <calculatedColumnFormula>M22</calculatedColumnFormula>
    </tableColumn>
    <tableColumn id="11" xr3:uid="{CE56EC8D-1C0B-453F-9BD5-0E49455A1246}" name="Steers 1-2 years">
      <calculatedColumnFormula>N22</calculatedColumnFormula>
    </tableColumn>
    <tableColumn id="12" xr3:uid="{7B7F6D17-53B4-402B-8289-7323D39E0F12}" name="Steers 2-3 years">
      <calculatedColumnFormula>#REF!</calculatedColumnFormula>
    </tableColumn>
    <tableColumn id="13" xr3:uid="{21DA5CBB-2AB4-4414-AF00-54084A7E749F}" name="Steers &gt;3 years">
      <calculatedColumnFormula>P22</calculatedColumnFormula>
    </tableColumn>
  </tableColumns>
  <tableStyleInfo name="Equation table" showFirstColumn="0" showLastColumn="0" showRowStripes="1"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3650EF07-3E27-4C07-8606-49A38B10C73E}" name="Table_SourceData_PastureBeef_Region_Queensland" displayName="Table_SourceData_PastureBeef_Region_Queensland" ref="Q7:Q11" totalsRowShown="0">
  <autoFilter ref="Q7:Q11" xr:uid="{0152B2C3-CC3B-4554-AC62-87093E6D416E}">
    <filterColumn colId="0" hiddenButton="1"/>
  </autoFilter>
  <tableColumns count="1">
    <tableColumn id="1" xr3:uid="{FF311015-1EF7-40AB-AA13-C4EB983364AC}" name="Region"/>
  </tableColumns>
  <tableStyleInfo name="Equation table" showFirstColumn="0" showLastColumn="0" showRowStripes="1" showColumnStripes="0"/>
</table>
</file>

<file path=xl/tables/table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21E2CC39-18F3-43AA-AD0F-E5C8F66711C3}" name="Table_SourceData_PastureBeef_Region_NorthernTerritory" displayName="Table_SourceData_PastureBeef_Region_NorthernTerritory" ref="O7:O10" totalsRowShown="0">
  <autoFilter ref="O7:O10" xr:uid="{2B557DC2-537E-4888-B9B7-260F5041B425}">
    <filterColumn colId="0" hiddenButton="1"/>
  </autoFilter>
  <tableColumns count="1">
    <tableColumn id="1" xr3:uid="{9DFE0424-92A4-41EE-B54C-758751AEA2C8}" name="Region"/>
  </tableColumns>
  <tableStyleInfo name="Equation table" showFirstColumn="0" showLastColumn="0" showRowStripes="1" showColumnStripes="0"/>
</table>
</file>

<file path=xl/tables/table3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CC72C322-33A5-4565-ACAB-F1D2EB7AE13B}" name="Table_SourceData_PastureBeef_Region_WesternAustralia" displayName="Table_SourceData_PastureBeef_Region_WesternAustralia" ref="M7:M10" totalsRowShown="0">
  <autoFilter ref="M7:M10" xr:uid="{69C19929-4234-4DF1-A517-B50C12615BC1}">
    <filterColumn colId="0" hiddenButton="1"/>
  </autoFilter>
  <tableColumns count="1">
    <tableColumn id="1" xr3:uid="{C3CDD853-D35D-45BC-BC2C-F2723D6ACE3E}" name="Region"/>
  </tableColumns>
  <tableStyleInfo name="Equation table" showFirstColumn="0" showLastColumn="0" showRowStripes="1" showColumnStripes="0"/>
</table>
</file>

<file path=xl/tables/table3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6234C278-7E34-4A41-9E05-58055902978A}" name="Table_SourceData_PastureBeef_Region_Victoria" displayName="Table_SourceData_PastureBeef_Region_Victoria" ref="S7:S8" totalsRowShown="0">
  <autoFilter ref="S7:S8" xr:uid="{7D474D93-C1E0-4898-A434-69585070D0B9}">
    <filterColumn colId="0" hiddenButton="1"/>
  </autoFilter>
  <tableColumns count="1">
    <tableColumn id="1" xr3:uid="{C1CEF661-FD34-4ABE-86D3-FF68E5FA8C96}" name="Region"/>
  </tableColumns>
  <tableStyleInfo name="Equation table" showFirstColumn="0" showLastColumn="0" showRowStripes="1" showColumnStripes="0"/>
</table>
</file>

<file path=xl/tables/table3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563F87D7-654C-413C-B601-688E688D1DF3}" name="Table_SourceData_PastureBeef_Region_NewSouthWales" displayName="Table_SourceData_PastureBeef_Region_NewSouthWales" ref="S12:S13" totalsRowShown="0">
  <autoFilter ref="S12:S13" xr:uid="{C2ECEA10-DD31-42C9-8624-54C901A6DE17}">
    <filterColumn colId="0" hiddenButton="1"/>
  </autoFilter>
  <tableColumns count="1">
    <tableColumn id="1" xr3:uid="{8FA3F5D3-6CB4-46A8-B5F5-14D2D706DA0D}" name="Region"/>
  </tableColumns>
  <tableStyleInfo name="Equation table" showFirstColumn="0" showLastColumn="0" showRowStripes="1" showColumnStripes="0"/>
</table>
</file>

<file path=xl/tables/table3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7985B151-5810-4279-8FB5-8B370C87E307}" name="Table_SourceData_PastureBeef_Region_SouthAustralia" displayName="Table_SourceData_PastureBeef_Region_SouthAustralia" ref="S17:S18" totalsRowShown="0">
  <autoFilter ref="S17:S18" xr:uid="{4B45161F-EF95-4623-81B8-A0254915E4F9}">
    <filterColumn colId="0" hiddenButton="1"/>
  </autoFilter>
  <tableColumns count="1">
    <tableColumn id="1" xr3:uid="{E219A316-BCE8-43BB-B906-222EC1B3080E}" name="Region"/>
  </tableColumns>
  <tableStyleInfo name="Equation table" showFirstColumn="0" showLastColumn="0" showRowStripes="1" showColumnStripes="0"/>
</table>
</file>

<file path=xl/tables/table3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A2D10875-C79C-4E25-BD4F-9260A5E7B542}" name="Table_SourceData_PastureBeef_Region_Tasmania" displayName="Table_SourceData_PastureBeef_Region_Tasmania" ref="S22:S23" totalsRowShown="0">
  <autoFilter ref="S22:S23" xr:uid="{4E5A7E40-F6AE-4323-873A-9AB20571A18A}">
    <filterColumn colId="0" hiddenButton="1"/>
  </autoFilter>
  <tableColumns count="1">
    <tableColumn id="1" xr3:uid="{7EE1EE1B-0E70-4CA3-9D39-4833693E5EF2}" name="Region"/>
  </tableColumns>
  <tableStyleInfo name="Equation table" showFirstColumn="0" showLastColumn="0" showRowStripes="1" showColumnStripes="0"/>
</table>
</file>

<file path=xl/tables/table3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3D35D1E5-FED6-4F98-9A96-1C321E9AC29A}" name="Table_SourceData_PastureBeef_Region_ACT" displayName="Table_SourceData_PastureBeef_Region_ACT" ref="S27:S28" totalsRowShown="0">
  <autoFilter ref="S27:S28" xr:uid="{3655B7FD-A2CC-4B05-9668-16F7A54ED6C1}">
    <filterColumn colId="0" hiddenButton="1"/>
  </autoFilter>
  <tableColumns count="1">
    <tableColumn id="1" xr3:uid="{E6A9BBF5-42FC-4D2E-BEFA-F549FA2B2D30}" name="Region"/>
  </tableColumns>
  <tableStyleInfo name="Equation table" showFirstColumn="0" showLastColumn="0" showRowStripes="1" showColumnStripes="0"/>
</table>
</file>

<file path=xl/tables/table4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D4E0483C-11C8-4480-B7D2-69BA5121F8F4}" name="Table_SourceData_PastureBeef_LiveweightGain" displayName="Table_SourceData_PastureBeef_LiveweightGain" ref="D154:M182" totalsRowShown="0">
  <autoFilter ref="D154:M182" xr:uid="{1BDA4B1D-6D40-4D72-9B20-AC64B61CEA53}">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2DB6E829-5F2B-4975-A2CA-19E9E62EE0D5}" name="State">
      <calculatedColumnFormula array="1">Common_InputFunctions.Utility_DisplayArrayInTable(SourceData_PastureBeef.SourceData_PastureBeef_LiveweightGain_Data(), Table_SourceData_PastureBeef_LiveweightGain[[#Headers],[State]],0)</calculatedColumnFormula>
    </tableColumn>
    <tableColumn id="2" xr3:uid="{5478ACFF-3DEC-4E31-AE98-53CA2BBC9E68}" name="Region" dataDxfId="405" dataCellStyle="Content normal">
      <calculatedColumnFormula array="1">Common_InputFunctions.Utility_DisplayArrayInTable(SourceData_PastureBeef.SourceData_PastureBeef_LiveweightGain_Data(), Table_SourceData_PastureBeef_LiveweightGain[[#Headers],[State]],0)</calculatedColumnFormula>
    </tableColumn>
    <tableColumn id="3" xr3:uid="{F1FF5493-AECD-4ADA-816C-44450F564C1C}" name="Season" dataDxfId="404" dataCellStyle="Content normal">
      <calculatedColumnFormula array="1">Common_InputFunctions.Utility_DisplayArrayInTable(SourceData_PastureBeef.SourceData_PastureBeef_LiveweightGain_Data(), Table_SourceData_PastureBeef_LiveweightGain[[#Headers],[State]],0)</calculatedColumnFormula>
    </tableColumn>
    <tableColumn id="4" xr3:uid="{EE8001FA-4280-46D7-A640-57D8FD30E696}" name="Bull &lt;1" dataDxfId="403" dataCellStyle="Content normal">
      <calculatedColumnFormula array="1">Common_InputFunctions.Utility_DisplayArrayInTable(SourceData_PastureBeef.SourceData_PastureBeef_LiveweightGain_Data(), Table_SourceData_PastureBeef_LiveweightGain[[#Headers],[State]],0)</calculatedColumnFormula>
    </tableColumn>
    <tableColumn id="5" xr3:uid="{79E352C7-B35A-4003-9F47-179AEC884672}" name="Bull &gt;1" dataDxfId="402" dataCellStyle="Content normal">
      <calculatedColumnFormula array="1">Common_InputFunctions.Utility_DisplayArrayInTable(SourceData_PastureBeef.SourceData_PastureBeef_LiveweightGain_Data(), Table_SourceData_PastureBeef_LiveweightGain[[#Headers],[State]],0)</calculatedColumnFormula>
    </tableColumn>
    <tableColumn id="6" xr3:uid="{5429645D-A599-4EC9-BB59-E3F4F7AA56EB}" name="Cow &lt;1" dataDxfId="401" dataCellStyle="Content normal">
      <calculatedColumnFormula array="1">Common_InputFunctions.Utility_DisplayArrayInTable(SourceData_PastureBeef.SourceData_PastureBeef_LiveweightGain_Data(), Table_SourceData_PastureBeef_LiveweightGain[[#Headers],[State]],0)</calculatedColumnFormula>
    </tableColumn>
    <tableColumn id="7" xr3:uid="{C3D4EC41-7AC7-4F04-8A75-ACD4137D9AC2}" name="Cow 1-2" dataDxfId="400" dataCellStyle="Content normal">
      <calculatedColumnFormula array="1">Common_InputFunctions.Utility_DisplayArrayInTable(SourceData_PastureBeef.SourceData_PastureBeef_LiveweightGain_Data(), Table_SourceData_PastureBeef_LiveweightGain[[#Headers],[State]],0)</calculatedColumnFormula>
    </tableColumn>
    <tableColumn id="8" xr3:uid="{FF5B13D1-E04D-4F9C-8A09-FA6E07EE236B}" name="Cow &gt;2" dataDxfId="399" dataCellStyle="Content normal">
      <calculatedColumnFormula array="1">Common_InputFunctions.Utility_DisplayArrayInTable(SourceData_PastureBeef.SourceData_PastureBeef_LiveweightGain_Data(), Table_SourceData_PastureBeef_LiveweightGain[[#Headers],[State]],0)</calculatedColumnFormula>
    </tableColumn>
    <tableColumn id="9" xr3:uid="{31A1C9E9-90CD-4E54-8D11-32B8CD6300D0}" name="Steer &lt;1" dataDxfId="398" dataCellStyle="Content normal">
      <calculatedColumnFormula array="1">Common_InputFunctions.Utility_DisplayArrayInTable(SourceData_PastureBeef.SourceData_PastureBeef_LiveweightGain_Data(), Table_SourceData_PastureBeef_LiveweightGain[[#Headers],[State]],0)</calculatedColumnFormula>
    </tableColumn>
    <tableColumn id="10" xr3:uid="{AD0D1E4D-9CA9-4F11-9A80-E8B1B6E47EBF}" name="Steer &gt;1" dataDxfId="397" dataCellStyle="Content normal">
      <calculatedColumnFormula array="1">Common_InputFunctions.Utility_DisplayArrayInTable(SourceData_PastureBeef.SourceData_PastureBeef_LiveweightGain_Data(), Table_SourceData_PastureBeef_LiveweightGain[[#Headers],[State]],0)</calculatedColumnFormula>
    </tableColumn>
  </tableColumns>
  <tableStyleInfo name="Equation table" showFirstColumn="0" showLastColumn="0" showRowStripes="1" showColumnStripes="0"/>
</table>
</file>

<file path=xl/tables/table4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3E5483C2-1E7D-4642-A554-EEC966105F76}" name="Table_SourceData_PastureBeef_LiveweightGainNTQLD" displayName="Table_SourceData_PastureBeef_LiveweightGainNTQLD" ref="D189:P217" totalsRowShown="0">
  <autoFilter ref="D189:P217" xr:uid="{9BC52070-7B99-44CF-8B4E-32C43FBD96CF}">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autoFilter>
  <tableColumns count="13">
    <tableColumn id="1" xr3:uid="{7088709E-8F6A-4418-8AFE-E1AA71F0E929}" name="State">
      <calculatedColumnFormula array="1">Common_InputFunctions.Utility_DisplayArrayInTable(SourceData_PastureBeef.SourceData_PastureBeef_LiveweightGainNTQLD_Data(),Table_SourceData_PastureBeef_LiveweightGainNTQLD[[#Headers],[State]],0)</calculatedColumnFormula>
    </tableColumn>
    <tableColumn id="2" xr3:uid="{08D915AE-C81E-4A27-B0C4-7B80317D26E3}" name="Region" dataDxfId="396"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3" xr3:uid="{15676697-758B-4538-BFBC-64257C03BC2C}" name="Season" dataDxfId="395"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4" xr3:uid="{92A84285-6C79-421D-AB4F-C97DB809E2D4}" name="Bull &lt;1" dataDxfId="394"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5" xr3:uid="{F9F437C7-BAED-491F-B1E5-C819E7A91F2D}" name="Bull &gt;1" dataDxfId="393"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6" xr3:uid="{7EA1736A-49F2-40D5-886D-23F328FFC211}" name="Cow &lt;1" dataDxfId="392"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7" xr3:uid="{A2EACE81-8009-4E5C-8B02-06ADBAE6C293}" name="Cow 1-2" dataDxfId="391"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8" xr3:uid="{CF8A1D90-135E-4763-86BD-10BF99759B05}" name="Cow 2-3" dataDxfId="390"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9" xr3:uid="{D012CAE8-4DE0-4943-84DA-E1AB0AD44405}" name="Cow &gt;3" dataDxfId="389"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10" xr3:uid="{474EA0C6-4798-4585-A120-58F565BAB0B4}" name="Steer &lt;1" dataDxfId="388"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11" xr3:uid="{9022B83C-5F98-4782-8D38-1EF611952D5F}" name="Steer 1-2" dataDxfId="387"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12" xr3:uid="{4F4DF686-1556-4A54-A86B-99DBD5E10C37}" name="Steer 2-3" dataDxfId="386"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13" xr3:uid="{57DFD7A4-516F-463A-910B-691048ABBDA6}" name="Steer &gt;3" dataDxfId="385"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s>
  <tableStyleInfo name="Equation table" showFirstColumn="0" showLastColumn="0" showRowStripes="1" showColumnStripes="0"/>
</table>
</file>

<file path=xl/tables/table4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0DF7D257-C50C-4DAD-9904-6BE1F11A6E32}" name="Table_SourceData_PastureBeef_LiveweightGainAllStates" displayName="Table_SourceData_PastureBeef_LiveweightGainAllStates" ref="D222:P282" totalsRowShown="0">
  <autoFilter ref="D222:P282" xr:uid="{B94F72DD-5F7F-4594-8B05-AA19A8FE1796}">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autoFilter>
  <tableColumns count="13">
    <tableColumn id="1" xr3:uid="{5FDB9970-4A92-46B3-B0B6-A33993C84AEF}" name="State"/>
    <tableColumn id="2" xr3:uid="{535EF38D-75B6-4D5A-9C97-3B65A41B45CD}" name="Region">
      <calculatedColumnFormula>E159</calculatedColumnFormula>
    </tableColumn>
    <tableColumn id="3" xr3:uid="{4A86A574-6677-49EC-89E9-D087B396D559}" name="Season">
      <calculatedColumnFormula>F159</calculatedColumnFormula>
    </tableColumn>
    <tableColumn id="4" xr3:uid="{D2A51FB0-7B8C-4807-B7A8-8FD973BA364D}" name="Bulls &lt; 1 year">
      <calculatedColumnFormula>G159</calculatedColumnFormula>
    </tableColumn>
    <tableColumn id="5" xr3:uid="{ED8864FA-8F06-48D3-A98C-830A7F8DDC42}" name="Bulls &gt; 1 year">
      <calculatedColumnFormula>H159</calculatedColumnFormula>
    </tableColumn>
    <tableColumn id="6" xr3:uid="{64DB57B2-69B9-466D-A19D-B7DC9927665C}" name="Cows &lt; 1 year">
      <calculatedColumnFormula>I159</calculatedColumnFormula>
    </tableColumn>
    <tableColumn id="7" xr3:uid="{DC2D7E11-6FC7-43AA-B564-CED8114C4085}" name="Cows 1-2 years">
      <calculatedColumnFormula>J159</calculatedColumnFormula>
    </tableColumn>
    <tableColumn id="8" xr3:uid="{C808143A-40AB-40BD-A292-F42375D0E3A7}" name="Cows 2-3 years">
      <calculatedColumnFormula>K159</calculatedColumnFormula>
    </tableColumn>
    <tableColumn id="9" xr3:uid="{31FF8760-6A3C-4CD5-A023-F0993AEC218F}" name="Cows &gt; 3 years">
      <calculatedColumnFormula>L159</calculatedColumnFormula>
    </tableColumn>
    <tableColumn id="10" xr3:uid="{B0A090C9-AD14-4488-8688-1BFD1D7318FD}" name="Steers &lt; 1 year">
      <calculatedColumnFormula>M159</calculatedColumnFormula>
    </tableColumn>
    <tableColumn id="11" xr3:uid="{75C75CAB-8DBA-47EA-9E57-039D19A2FA30}" name="Steers 1-2 years">
      <calculatedColumnFormula>N159</calculatedColumnFormula>
    </tableColumn>
    <tableColumn id="12" xr3:uid="{80915AFA-E6FD-4100-AF2D-9F8C3FE30CB3}" name="Steers 2-3 years">
      <calculatedColumnFormula>O159</calculatedColumnFormula>
    </tableColumn>
    <tableColumn id="13" xr3:uid="{74CE3F56-0EBD-44EF-8FD9-1E8E8A43ADF8}" name="Steers &gt;3 years">
      <calculatedColumnFormula>P159</calculatedColumnFormula>
    </tableColumn>
  </tableColumns>
  <tableStyleInfo name="Equation table" showFirstColumn="0" showLastColumn="0" showRowStripes="1" showColumnStripes="0"/>
</table>
</file>

<file path=xl/tables/table4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C7587A27-D0E4-4D2A-AE57-56305D8C1D33}" name="Table_SourceData_PastureBeef_DryMatterDigestibility" displayName="Table_SourceData_PastureBeef_DryMatterDigestibility" ref="D290:I305" totalsRowShown="0">
  <autoFilter ref="D290:I305" xr:uid="{901924B3-1836-4FF2-9419-A38B530E9158}">
    <filterColumn colId="0" hiddenButton="1"/>
    <filterColumn colId="1" hiddenButton="1"/>
    <filterColumn colId="2" hiddenButton="1"/>
    <filterColumn colId="3" hiddenButton="1"/>
    <filterColumn colId="4" hiddenButton="1"/>
    <filterColumn colId="5" hiddenButton="1"/>
  </autoFilter>
  <tableColumns count="6">
    <tableColumn id="1" xr3:uid="{7B9853E5-098F-4C33-9D64-0A60FDF8AABB}" name="State">
      <calculatedColumnFormula array="1">Common_InputFunctions.Utility_DisplayArrayInTable(SourceData_PastureBeef.SourceData_PastureBeef_DryMatterDigestibility_Data(), Table_SourceData_PastureBeef_DryMatterDigestibility[[#Headers],[State]], 0)</calculatedColumnFormula>
    </tableColumn>
    <tableColumn id="2" xr3:uid="{F484A928-5DCE-4600-BFB6-13F4C14880A5}" name="Region" dataDxfId="384" dataCellStyle="Content normal">
      <calculatedColumnFormula array="1">Common_InputFunctions.Utility_DisplayArrayInTable(SourceData_PastureBeef.SourceData_PastureBeef_DryMatterDigestibility_Data(), Table_SourceData_PastureBeef_DryMatterDigestibility[[#Headers],[State]], 0)</calculatedColumnFormula>
    </tableColumn>
    <tableColumn id="3" xr3:uid="{4E4B1BAA-7977-4F90-967B-C967F3E53DE2}" name="Spring" dataDxfId="383" dataCellStyle="Content normal">
      <calculatedColumnFormula array="1">Common_InputFunctions.Utility_DisplayArrayInTable(SourceData_PastureBeef.SourceData_PastureBeef_DryMatterDigestibility_Data(), Table_SourceData_PastureBeef_DryMatterDigestibility[[#Headers],[State]], 0)</calculatedColumnFormula>
    </tableColumn>
    <tableColumn id="4" xr3:uid="{C2B1F06B-1FEB-4F84-9436-AE0FED3A0F79}" name="Summer" dataDxfId="382" dataCellStyle="Content normal">
      <calculatedColumnFormula array="1">Common_InputFunctions.Utility_DisplayArrayInTable(SourceData_PastureBeef.SourceData_PastureBeef_DryMatterDigestibility_Data(), Table_SourceData_PastureBeef_DryMatterDigestibility[[#Headers],[State]], 0)</calculatedColumnFormula>
    </tableColumn>
    <tableColumn id="5" xr3:uid="{94D1E2A4-6F52-4E2E-925A-F95E38610E42}" name="Autumn" dataDxfId="381" dataCellStyle="Content normal">
      <calculatedColumnFormula array="1">Common_InputFunctions.Utility_DisplayArrayInTable(SourceData_PastureBeef.SourceData_PastureBeef_DryMatterDigestibility_Data(), Table_SourceData_PastureBeef_DryMatterDigestibility[[#Headers],[State]], 0)</calculatedColumnFormula>
    </tableColumn>
    <tableColumn id="6" xr3:uid="{28FE3677-4F51-4F2A-B40F-1B22B5E7A9AC}" name="Winter" dataDxfId="380" dataCellStyle="Content normal">
      <calculatedColumnFormula array="1">Common_InputFunctions.Utility_DisplayArrayInTable(SourceData_PastureBeef.SourceData_PastureBeef_DryMatterDigestibility_Data(), Table_SourceData_PastureBeef_DryMatterDigestibility[[#Headers],[State]], 0)</calculatedColumnFormula>
    </tableColumn>
  </tableColumns>
  <tableStyleInfo name="Equation table" showFirstColumn="0" showLastColumn="0" showRowStripes="1" showColumnStripes="0"/>
</table>
</file>

<file path=xl/tables/table4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763D2C47-2157-4EA9-85BA-06BAE1152232}" name="Table_SourceData_PastureBeef_CrudeProtein" displayName="Table_SourceData_PastureBeef_CrudeProtein" ref="D313:I328" totalsRowShown="0" dataDxfId="379" dataCellStyle="Content normal">
  <autoFilter ref="D313:I328" xr:uid="{75841D5E-1F24-46B7-B5F9-1E024F5554ED}">
    <filterColumn colId="0" hiddenButton="1"/>
    <filterColumn colId="1" hiddenButton="1"/>
    <filterColumn colId="2" hiddenButton="1"/>
    <filterColumn colId="3" hiddenButton="1"/>
    <filterColumn colId="4" hiddenButton="1"/>
    <filterColumn colId="5" hiddenButton="1"/>
  </autoFilter>
  <tableColumns count="6">
    <tableColumn id="1" xr3:uid="{40A28BD4-9C74-4B3D-B80F-2045B2FB249B}" name="State" dataDxfId="378" dataCellStyle="Content normal">
      <calculatedColumnFormula array="1">Common_InputFunctions.Utility_DisplayArrayInTable(SourceData_PastureBeef.SourceData_PastureBeef_CrudeProteinContent_Data(), Table_SourceData_PastureBeef_CrudeProtein[[#Headers],[State]], 0)</calculatedColumnFormula>
    </tableColumn>
    <tableColumn id="2" xr3:uid="{61EC04A3-9E03-4DB2-B20D-4B13A7585C11}" name="Region" dataDxfId="377" dataCellStyle="Content normal">
      <calculatedColumnFormula array="1">Common_InputFunctions.Utility_DisplayArrayInTable(SourceData_PastureBeef.SourceData_PastureBeef_CrudeProteinContent_Data(), Table_SourceData_PastureBeef_CrudeProtein[[#Headers],[State]], 0)</calculatedColumnFormula>
    </tableColumn>
    <tableColumn id="3" xr3:uid="{2875ACB5-90B8-48D2-AF3B-0BE38B31FC14}" name="Spring" dataDxfId="376" dataCellStyle="Content normal">
      <calculatedColumnFormula array="1">Common_InputFunctions.Utility_DisplayArrayInTable(SourceData_PastureBeef.SourceData_PastureBeef_CrudeProteinContent_Data(), Table_SourceData_PastureBeef_CrudeProtein[[#Headers],[State]], 0)</calculatedColumnFormula>
    </tableColumn>
    <tableColumn id="4" xr3:uid="{E65601E5-759C-41B7-8A5A-E8A88E5CA844}" name="Summer" dataDxfId="375" dataCellStyle="Content normal">
      <calculatedColumnFormula array="1">Common_InputFunctions.Utility_DisplayArrayInTable(SourceData_PastureBeef.SourceData_PastureBeef_CrudeProteinContent_Data(), Table_SourceData_PastureBeef_CrudeProtein[[#Headers],[State]], 0)</calculatedColumnFormula>
    </tableColumn>
    <tableColumn id="5" xr3:uid="{B1B97B6D-981B-400F-88CB-12693BB4894D}" name="Autumn" dataDxfId="374" dataCellStyle="Content normal">
      <calculatedColumnFormula array="1">Common_InputFunctions.Utility_DisplayArrayInTable(SourceData_PastureBeef.SourceData_PastureBeef_CrudeProteinContent_Data(), Table_SourceData_PastureBeef_CrudeProtein[[#Headers],[State]], 0)</calculatedColumnFormula>
    </tableColumn>
    <tableColumn id="6" xr3:uid="{32EA8B23-19F9-4D6B-953E-F6207ED8BD36}" name="Winter" dataDxfId="373" dataCellStyle="Content normal">
      <calculatedColumnFormula array="1">Common_InputFunctions.Utility_DisplayArrayInTable(SourceData_PastureBeef.SourceData_PastureBeef_CrudeProteinContent_Data(), Table_SourceData_PastureBeef_CrudeProtein[[#Headers],[State]], 0)</calculatedColumnFormula>
    </tableColumn>
  </tableColumns>
  <tableStyleInfo name="Equation table" showFirstColumn="0" showLastColumn="0" showRowStripes="1" showColumnStripes="0"/>
</table>
</file>

<file path=xl/tables/table4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9" xr:uid="{71300655-4593-4A70-B8AC-7903921EA94F}" name="Table_SourceData_PastureBeef_FeedIntakeAdjustment" displayName="Table_SourceData_PastureBeef_FeedIntakeAdjustment" ref="D334:G342" totalsRowShown="0">
  <autoFilter ref="D334:G342" xr:uid="{821A673E-F16D-473C-802E-953C84454BC9}">
    <filterColumn colId="0" hiddenButton="1"/>
    <filterColumn colId="1" hiddenButton="1"/>
    <filterColumn colId="2" hiddenButton="1"/>
    <filterColumn colId="3" hiddenButton="1"/>
  </autoFilter>
  <tableColumns count="4">
    <tableColumn id="1" xr3:uid="{1FCC59B9-36C3-4915-A1D1-E57D15119601}" name="Breed">
      <calculatedColumnFormula array="1">Common_InputFunctions.Utility_DisplayArrayInTable(SourceData_PastureBeef.SourceData_PastureBeef_FeedAdjustmentAndMilkProduction_Data(), Table_SourceData_PastureBeef_FeedIntakeAdjustment[[#Headers],[Breed]], 0)</calculatedColumnFormula>
    </tableColumn>
    <tableColumn id="2" xr3:uid="{EBAEC921-4D88-44B9-9855-C29894712C14}" name="Season" dataDxfId="372" dataCellStyle="Content normal">
      <calculatedColumnFormula array="1">Common_InputFunctions.Utility_DisplayArrayInTable(SourceData_PastureBeef.SourceData_PastureBeef_FeedAdjustmentAndMilkProduction_Data(), Table_SourceData_PastureBeef_FeedIntakeAdjustment[[#Headers],[Breed]], 0)</calculatedColumnFormula>
    </tableColumn>
    <tableColumn id="3" xr3:uid="{B499C45B-EF14-407F-B49F-454F84864AE2}" name="Feed adjustment" dataDxfId="371" dataCellStyle="Content normal">
      <calculatedColumnFormula array="1">Common_InputFunctions.Utility_DisplayArrayInTable(SourceData_PastureBeef.SourceData_PastureBeef_FeedAdjustmentAndMilkProduction_Data(), Table_SourceData_PastureBeef_FeedIntakeAdjustment[[#Headers],[Breed]], 0)</calculatedColumnFormula>
    </tableColumn>
    <tableColumn id="4" xr3:uid="{FDCD17E5-4EB4-42AC-A174-602F02B24DA4}" name="Milk intake/production" dataDxfId="370" dataCellStyle="Content normal">
      <calculatedColumnFormula array="1">Common_InputFunctions.Utility_DisplayArrayInTable(SourceData_PastureBeef.SourceData_PastureBeef_FeedAdjustmentAndMilkProduction_Data(), Table_SourceData_PastureBeef_FeedIntakeAdjustment[[#Headers],[Breed]], 0)</calculatedColumnFormula>
    </tableColumn>
  </tableColumns>
  <tableStyleInfo name="Equation table" showFirstColumn="0" showLastColumn="0" showRowStripes="1" showColumnStripes="0"/>
</table>
</file>

<file path=xl/tables/table4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0" xr:uid="{9C383FFE-15CB-451C-8543-0615E5CB80D0}" name="Table_SourceData_PastureBeef_StandardReferenceWeights" displayName="Table_SourceData_PastureBeef_StandardReferenceWeights" ref="D350:L358" totalsRowShown="0">
  <autoFilter ref="D350:L358" xr:uid="{BB816EB3-DC71-47F4-AF08-1CE512BD24AC}">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autoFilter>
  <tableColumns count="9">
    <tableColumn id="1" xr3:uid="{D9EC86F3-8FFB-4B97-B0AA-FAC0DCE662A5}" name="State">
      <calculatedColumnFormula array="1">Common_InputFunctions.Utility_DisplayArrayInTable(SourceData_PastureBeef.SourceData_PastureBeef_StandardReferenceWeights_Data(), Table_SourceData_PastureBeef_StandardReferenceWeights[[#Headers],[State]], 0)</calculatedColumnFormula>
    </tableColumn>
    <tableColumn id="2" xr3:uid="{E1F71F85-5202-42A6-9DB6-7E6BD5CF20C5}" name="Bulls &lt;1" dataDxfId="369"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 id="3" xr3:uid="{FA838283-FF19-4179-AC89-C4B5C1D5D95B}" name="Bulls &gt;1" dataDxfId="368"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 id="4" xr3:uid="{3AEBA8AF-BD9E-4BFE-937A-EF7FD754F0FC}" name="Cows &lt;1" dataDxfId="367"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 id="5" xr3:uid="{EF572316-D148-4130-BEFC-CBEBD8FB5CC2}" name="Cows 1-2" dataDxfId="366"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 id="6" xr3:uid="{6FB5F189-0998-4123-B773-6EC5C2BA280A}" name="Cows &gt;2" dataDxfId="365"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 id="7" xr3:uid="{9D7C0538-C0C4-4F11-B1B3-0C39E39F07DD}" name="Steer &lt;1" dataDxfId="364"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 id="8" xr3:uid="{3EF96E95-F346-4585-9F31-54A23FF934C8}" name="Steer &gt;1" dataDxfId="363"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 id="9" xr3:uid="{CE2CBC88-47C3-4765-9E4F-26827FC11468}" name="State abbreviation" dataDxfId="362"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s>
  <tableStyleInfo name="Equation table" showFirstColumn="0" showLastColumn="0" showRowStripes="1" showColumnStripes="0"/>
</table>
</file>

<file path=xl/tables/table4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1" xr:uid="{CD675171-7694-40B7-8D4D-D1EFEC298532}" name="Table_SourceData_PastureBeef_StandardReferenceWeightsExpanded" displayName="Table_SourceData_PastureBeef_StandardReferenceWeightsExpanded" ref="D361:O369" totalsRowShown="0">
  <autoFilter ref="D361:O369" xr:uid="{690C3A79-36FD-46EF-9464-C7837EBBC93B}">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autoFilter>
  <tableColumns count="12">
    <tableColumn id="1" xr3:uid="{8F536A29-D199-444D-AD3C-36006EE3B8AD}" name="State" dataDxfId="361" dataCellStyle="Content normal">
      <calculatedColumnFormula>D351</calculatedColumnFormula>
    </tableColumn>
    <tableColumn id="2" xr3:uid="{6BEACA83-4C43-4D8F-9DD8-EECD1113A6AC}" name="Bulls &lt; 1 year" dataDxfId="360" dataCellStyle="Content normal">
      <calculatedColumnFormula>E351</calculatedColumnFormula>
    </tableColumn>
    <tableColumn id="3" xr3:uid="{231CBCA8-EDE8-4C8E-8929-45CB3AD0222C}" name="Bulls &gt; 1 year" dataDxfId="359" dataCellStyle="Content normal">
      <calculatedColumnFormula>F351</calculatedColumnFormula>
    </tableColumn>
    <tableColumn id="4" xr3:uid="{51E58758-1CE8-4EAD-939A-8FB8D1674EF9}" name="Cows &lt; 1 year" dataDxfId="358" dataCellStyle="Content normal">
      <calculatedColumnFormula>G351</calculatedColumnFormula>
    </tableColumn>
    <tableColumn id="5" xr3:uid="{2D18C71B-83B5-49BF-9DA4-6DD888E8EEF1}" name="Cows 1-2 years" dataDxfId="357" dataCellStyle="Content normal">
      <calculatedColumnFormula>H351</calculatedColumnFormula>
    </tableColumn>
    <tableColumn id="6" xr3:uid="{AA0F4BD6-0EF4-47AF-8DF2-3127009B0DE5}" name="Cows 2-3 years" dataDxfId="356" dataCellStyle="Content normal">
      <calculatedColumnFormula>I351</calculatedColumnFormula>
    </tableColumn>
    <tableColumn id="7" xr3:uid="{5C07D8F6-00C5-4268-A734-4CD41B47C333}" name="Cows &gt; 3 years" dataDxfId="355" dataCellStyle="Content normal">
      <calculatedColumnFormula>I351</calculatedColumnFormula>
    </tableColumn>
    <tableColumn id="8" xr3:uid="{C95DE530-1E78-42FB-8A53-DBAB9C7B9B98}" name="Steers &lt; 1 year" dataDxfId="354" dataCellStyle="Content normal">
      <calculatedColumnFormula>J351</calculatedColumnFormula>
    </tableColumn>
    <tableColumn id="9" xr3:uid="{8FC366DC-4E75-4197-B703-CDC1A1768405}" name="Steers 1-2 years" dataDxfId="353" dataCellStyle="Content normal">
      <calculatedColumnFormula>K351</calculatedColumnFormula>
    </tableColumn>
    <tableColumn id="10" xr3:uid="{916706FF-B749-4A90-B4A4-51B0C73D4723}" name="Steers 2-3 years" dataDxfId="352" dataCellStyle="Content normal">
      <calculatedColumnFormula>K351</calculatedColumnFormula>
    </tableColumn>
    <tableColumn id="11" xr3:uid="{19B2FC16-8DE0-47D0-B3B3-9C7F4A421334}" name="Steers &gt;3 years" dataDxfId="351" dataCellStyle="Content normal">
      <calculatedColumnFormula>K351</calculatedColumnFormula>
    </tableColumn>
    <tableColumn id="12" xr3:uid="{F7BDFA78-0D0A-4383-AC06-CFDBCDE6CD13}" name="State abbreviation" dataDxfId="350" dataCellStyle="Content normal">
      <calculatedColumnFormula>L351</calculatedColumnFormula>
    </tableColumn>
  </tableColumns>
  <tableStyleInfo name="Equation table" showFirstColumn="0" showLastColumn="0" showRowStripes="1" showColumnStripes="0"/>
</table>
</file>

<file path=xl/tables/table4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2" xr:uid="{7808E6C9-1708-4A70-AF8E-C57145AFBD67}" name="Table_SourceData_PastureBeef_FractionManureToMMS" displayName="Table_SourceData_PastureBeef_FractionManureToMMS" ref="D377:G392" totalsRowShown="0">
  <autoFilter ref="D377:G392" xr:uid="{003DF600-7F90-40C8-83F7-83F17E8C8244}">
    <filterColumn colId="0" hiddenButton="1"/>
    <filterColumn colId="1" hiddenButton="1"/>
    <filterColumn colId="2" hiddenButton="1"/>
    <filterColumn colId="3" hiddenButton="1"/>
  </autoFilter>
  <tableColumns count="4">
    <tableColumn id="1" xr3:uid="{B17C0A64-D8ED-450F-BDDC-591E059C2A4B}" name="State">
      <calculatedColumnFormula array="1">Common_InputFunctions.Utility_DisplayArrayInTable(SourceData_PastureBeef.SourceData_PastureBeef_FractionOfManureToMMS_Data(),Table_SourceData_PastureBeef_FractionManureToMMS[[#Headers],[State]], 0)</calculatedColumnFormula>
    </tableColumn>
    <tableColumn id="2" xr3:uid="{40E352FC-5691-4EBE-B8FE-C4D3EC4155B4}" name="Region" dataDxfId="349" dataCellStyle="Content normal">
      <calculatedColumnFormula array="1">Common_InputFunctions.Utility_DisplayArrayInTable(SourceData_PastureBeef.SourceData_PastureBeef_FractionOfManureToMMS_Data(),Table_SourceData_PastureBeef_FractionManureToMMS[[#Headers],[State]], 0)</calculatedColumnFormula>
    </tableColumn>
    <tableColumn id="3" xr3:uid="{A1589741-0DE0-4E2E-8FB2-5D51827A4607}" name="Pasture range and paddock" dataDxfId="348" dataCellStyle="Content normal">
      <calculatedColumnFormula array="1">Common_InputFunctions.Utility_DisplayArrayInTable(SourceData_PastureBeef.SourceData_PastureBeef_FractionOfManureToMMS_Data(),Table_SourceData_PastureBeef_FractionManureToMMS[[#Headers],[State]], 0)</calculatedColumnFormula>
    </tableColumn>
    <tableColumn id="4" xr3:uid="{159BF15A-53BB-4381-8591-12F12C85FE1D}" name="Uncovered Anaerobic lagoon" dataDxfId="347" dataCellStyle="Content normal">
      <calculatedColumnFormula array="1">Common_InputFunctions.Utility_DisplayArrayInTable(SourceData_PastureBeef.SourceData_PastureBeef_FractionOfManureToMMS_Data(),Table_SourceData_PastureBeef_FractionManureToMMS[[#Headers],[State]], 0)</calculatedColumnFormula>
    </tableColumn>
  </tableColumns>
  <tableStyleInfo name="Equation table" showFirstColumn="0" showLastColumn="0" showRowStripes="1" showColumnStripes="0"/>
</table>
</file>

<file path=xl/tables/table4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3" xr:uid="{69C4DF60-15FC-499D-9022-9D82B00CF422}" name="Table_SourceData_PastureBeef_MethaneConversionFactor" displayName="Table_SourceData_PastureBeef_MethaneConversionFactor" ref="D400:G415" totalsRowShown="0" dataDxfId="346" dataCellStyle="Content normal">
  <autoFilter ref="D400:G415" xr:uid="{4418AC31-F58F-4AB7-B02E-51D846B94E9A}">
    <filterColumn colId="0" hiddenButton="1"/>
    <filterColumn colId="1" hiddenButton="1"/>
    <filterColumn colId="2" hiddenButton="1"/>
    <filterColumn colId="3" hiddenButton="1"/>
  </autoFilter>
  <tableColumns count="4">
    <tableColumn id="1" xr3:uid="{1A6525B1-7A96-461E-97B4-8BADE2D2B48D}" name="State" dataDxfId="345" dataCellStyle="Content normal">
      <calculatedColumnFormula array="1">Common_InputFunctions.Utility_DisplayArrayInTable(SourceData_PastureBeef.SourceData_PastureBeef_MethaneConversionFactorPerRegion_Data(), Table_SourceData_PastureBeef_MethaneConversionFactor[[#Headers],[State]], 0)</calculatedColumnFormula>
    </tableColumn>
    <tableColumn id="2" xr3:uid="{3CAB02D6-CAB5-41A5-A089-C5B76180FC15}" name="Region" dataDxfId="344" dataCellStyle="Content normal">
      <calculatedColumnFormula array="1">Common_InputFunctions.Utility_DisplayArrayInTable(SourceData_PastureBeef.SourceData_PastureBeef_MethaneConversionFactorPerRegion_Data(), Table_SourceData_PastureBeef_MethaneConversionFactor[[#Headers],[State]], 0)</calculatedColumnFormula>
    </tableColumn>
    <tableColumn id="3" xr3:uid="{5F6FDB48-CCFB-472F-B83D-EBA03EB44C20}" name="Pasture range and paddock" dataDxfId="343" dataCellStyle="Content normal">
      <calculatedColumnFormula array="1">Common_InputFunctions.Utility_DisplayArrayInTable(SourceData_PastureBeef.SourceData_PastureBeef_MethaneConversionFactorPerRegion_Data(), Table_SourceData_PastureBeef_MethaneConversionFactor[[#Headers],[State]], 0)</calculatedColumnFormula>
    </tableColumn>
    <tableColumn id="4" xr3:uid="{5D6E3AAD-FCB5-41F1-A8B7-41CEF4A6EA8F}" name="Uncovered Anaerobic lagoon" dataDxfId="342" dataCellStyle="Content normal">
      <calculatedColumnFormula array="1">Common_InputFunctions.Utility_DisplayArrayInTable(SourceData_PastureBeef.SourceData_PastureBeef_MethaneConversionFactorPerRegion_Data(), Table_SourceData_PastureBeef_MethaneConversionFactor[[#Headers],[State]], 0)</calculatedColumnFormula>
    </tableColumn>
  </tableColumns>
  <tableStyleInfo name="Equation table" showFirstColumn="0" showLastColumn="0" showRowStripes="1" showColumnStripes="0"/>
</table>
</file>

<file path=xl/tables/table5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4" xr:uid="{D9DB5EF0-ABB2-456E-A3AE-EDC07FCF0B80}" name="Table_SourceData_PastureBeef_FeedIntakeAdjustment_Variation" displayName="Table_SourceData_PastureBeef_FeedIntakeAdjustment_Variation" ref="I334:L338" totalsRowShown="0">
  <autoFilter ref="I334:L338" xr:uid="{04F0ADD4-5226-4095-B178-6A0021B7EFDC}">
    <filterColumn colId="0" hiddenButton="1"/>
    <filterColumn colId="1" hiddenButton="1"/>
    <filterColumn colId="2" hiddenButton="1"/>
    <filterColumn colId="3" hiddenButton="1"/>
  </autoFilter>
  <tableColumns count="4">
    <tableColumn id="1" xr3:uid="{CD2BEDB9-6CF8-4122-A04D-209165598283}" name="Breed">
      <calculatedColumnFormula array="1">Common_InputFunctions.Utility_DisplayArrayInTable(SourceData_PastureBeef.SourceData_PastureBeef_FeedAdjustmentAndMilkProduction_Data(), Table_SourceData_PastureBeef_FeedIntakeAdjustment_Variation[[#Headers],[Breed]], 0)</calculatedColumnFormula>
    </tableColumn>
    <tableColumn id="2" xr3:uid="{539B1A57-0429-43B7-B053-D229373A3937}" name="Season" dataDxfId="341" dataCellStyle="Content normal">
      <calculatedColumnFormula array="1">Common_InputFunctions.Utility_DisplayArrayInTable(SourceData_PastureBeef.SourceData_PastureBeef_FeedAdjustmentAndMilkProduction_Data(), Table_SourceData_PastureBeef_FeedIntakeAdjustment_Variation[[#Headers],[Breed]], 0)</calculatedColumnFormula>
    </tableColumn>
    <tableColumn id="3" xr3:uid="{A701EE21-7C69-4CA3-BD7D-D00B28377468}" name="Feed adjustment" dataDxfId="340" dataCellStyle="Content normal">
      <calculatedColumnFormula array="1">Common_InputFunctions.Utility_DisplayArrayInTable(SourceData_PastureBeef.SourceData_PastureBeef_FeedAdjustmentAndMilkProduction_Data(), Table_SourceData_PastureBeef_FeedIntakeAdjustment_Variation[[#Headers],[Breed]], 0)</calculatedColumnFormula>
    </tableColumn>
    <tableColumn id="4" xr3:uid="{71C7C003-79B4-4240-82D7-C1D74D1572B9}" name="Milk intake/production" dataDxfId="339" dataCellStyle="Content normal">
      <calculatedColumnFormula array="1">Common_InputFunctions.Utility_DisplayArrayInTable(SourceData_PastureBeef.SourceData_PastureBeef_FeedAdjustmentAndMilkProduction_Data(), Table_SourceData_PastureBeef_FeedIntakeAdjustment_Variation[[#Headers],[Breed]], 0)</calculatedColumnFormula>
    </tableColumn>
  </tableColumns>
  <tableStyleInfo name="Equation table" showFirstColumn="0" showLastColumn="0" showRowStripes="1" showColumnStripes="0"/>
</table>
</file>

<file path=xl/tables/table5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5" xr:uid="{10179160-4554-4788-92A0-42B11E6F0BDD}" name="Table_LivestockClasses_Beefcattle" displayName="Table_LivestockClasses_Beefcattle" ref="O18:O28" totalsRowShown="0">
  <autoFilter ref="O18:O28" xr:uid="{13BB371D-1A6A-420B-8F76-A006E7FBF483}">
    <filterColumn colId="0" hiddenButton="1"/>
  </autoFilter>
  <tableColumns count="1">
    <tableColumn id="1" xr3:uid="{F5230889-9147-4FB1-B9B8-EEFCF4DC3189}" name="Livestock class"/>
  </tableColumns>
  <tableStyleInfo name="Equation table" showFirstColumn="0" showLastColumn="0" showRowStripes="1" showColumnStripes="0"/>
</table>
</file>

<file path=xl/tables/table5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6" xr:uid="{5E1B1799-0BB8-444D-93F7-E18A7E3DCA0E}" name="Table_ProductRegions_Beefcattle" displayName="Table_ProductRegions_Beefcattle" ref="O32:P48" totalsRowShown="0">
  <autoFilter ref="O32:P48" xr:uid="{7E277F33-A0AF-471E-A609-92C95103FA9F}">
    <filterColumn colId="0" hiddenButton="1"/>
    <filterColumn colId="1" hiddenButton="1"/>
  </autoFilter>
  <tableColumns count="2">
    <tableColumn id="1" xr3:uid="{B6FE44BD-83EB-4CDD-A91A-AA6E077183F4}" name="Region"/>
    <tableColumn id="2" xr3:uid="{83A897E1-B808-4759-857E-BF48EB07C167}" name="Scope3 region"/>
  </tableColumns>
  <tableStyleInfo name="Equation table" showFirstColumn="0" showLastColumn="0" showRowStripes="1" showColumnStripes="0"/>
</table>
</file>

<file path=xl/tables/table5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7" xr:uid="{54E6E704-7C1D-4282-B2A8-DD4A6205B2A0}" name="Table_SourceData_Scope3_Animals" displayName="Table_SourceData_Scope3_Animals" ref="D442:I483" totalsRowShown="0">
  <autoFilter ref="D442:I483" xr:uid="{D9DE3C9D-252C-4C13-8DB7-2ED55FA88044}">
    <filterColumn colId="0" hiddenButton="1"/>
    <filterColumn colId="1" hiddenButton="1"/>
    <filterColumn colId="2" hiddenButton="1"/>
    <filterColumn colId="3" hiddenButton="1"/>
    <filterColumn colId="4" hiddenButton="1"/>
    <filterColumn colId="5" hiddenButton="1"/>
  </autoFilter>
  <tableColumns count="6">
    <tableColumn id="1" xr3:uid="{1F5C7612-A9D7-4519-A95E-2B9A063EC020}" name="Category" dataDxfId="338" dataCellStyle="Content normal">
      <calculatedColumnFormula array="1">Common_InputFunctions.Utility_DisplayArrayInTable(Scope3_SourceData.Scope3_Livestock_Data(), Table_SourceData_Scope3_Animals[[#Headers],[Category]], 0, 2)</calculatedColumnFormula>
    </tableColumn>
    <tableColumn id="2" xr3:uid="{8C828F54-2DAC-4C54-BE67-60939F96CE67}" name="Product" dataDxfId="337" dataCellStyle="Content normal">
      <calculatedColumnFormula array="1">Common_InputFunctions.Utility_DisplayArrayInTable(Scope3_SourceData.Scope3_Livestock_Data(), Table_SourceData_Scope3_Animals[[#Headers],[Category]], 0, 2)</calculatedColumnFormula>
    </tableColumn>
    <tableColumn id="3" xr3:uid="{944B4035-DFBE-4BE9-9494-71ECCB4A87DC}" name="Region of origin" dataDxfId="336" dataCellStyle="Content normal">
      <calculatedColumnFormula array="1">Common_InputFunctions.Utility_DisplayArrayInTable(Scope3_SourceData.Scope3_Livestock_Data(), Table_SourceData_Scope3_Animals[[#Headers],[Category]], 0, 2)</calculatedColumnFormula>
    </tableColumn>
    <tableColumn id="8" xr3:uid="{15D49BA3-A9FD-4641-BC12-82FA30709CC5}" name="Quantity Unit" dataDxfId="335" dataCellStyle="Content normal">
      <calculatedColumnFormula array="1">Common_InputFunctions.Utility_DisplayArrayInTable(Scope3_SourceData.Scope3_Livestock_Data(), Table_SourceData_Scope3_Animals[[#Headers],[Category]], 0, 2)</calculatedColumnFormula>
    </tableColumn>
    <tableColumn id="9" xr3:uid="{1196CDA1-DE3C-4F6B-8AFA-816AA45F0582}" name="AusLCI Emissions intensity" dataDxfId="334" dataCellStyle="Content normal">
      <calculatedColumnFormula array="1">Common_InputFunctions.Utility_DisplayArrayInTable(Scope3_SourceData.Scope3_Livestock_Data(), Table_SourceData_Scope3_Animals[[#Headers],[Category]], 0, 2)</calculatedColumnFormula>
    </tableColumn>
    <tableColumn id="10" xr3:uid="{7C68AFDA-0723-4F16-BA99-A0FF672DCF9A}" name="System boundary" dataDxfId="333" dataCellStyle="Content normal">
      <calculatedColumnFormula array="1">Common_InputFunctions.Utility_DisplayArrayInTable(Scope3_SourceData.Scope3_Livestock_Data(), Table_SourceData_Scope3_Animals[[#Headers],[Category]], 0, 2)</calculatedColumnFormula>
    </tableColumn>
  </tableColumns>
  <tableStyleInfo name="Equation table" showFirstColumn="0" showLastColumn="0" showRowStripes="1" showColumnStripes="0"/>
</table>
</file>

<file path=xl/tables/table5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2" xr:uid="{C3B31B86-F808-43AF-AB07-61B1451AED81}" name="Table_SourceData_CropAttributes" displayName="Table_SourceData_CropAttributes" ref="D19:L37" totalsRowShown="0">
  <autoFilter ref="D19:L37" xr:uid="{B5F7211C-A71E-4F6D-A358-4E6EB133956B}">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autoFilter>
  <tableColumns count="9">
    <tableColumn id="1" xr3:uid="{BD67C6F9-7539-40BC-AF7B-1DEC626A71C4}" name="Crop type">
      <calculatedColumnFormula array="1">Common_InputFunctions.Utility_DisplayArrayInTable(Agresidue_SourceData.CropAttributes_Data(),Table_SourceData_CropAttributes[[#Headers],[Crop type]], -1)</calculatedColumnFormula>
    </tableColumn>
    <tableColumn id="2" xr3:uid="{40A6E8B4-3DD6-4DEB-B06F-B07270C14155}" name="Residue: Crop ratio">
      <calculatedColumnFormula array="1">Common_InputFunctions.Utility_DisplayArrayInTable(Agresidue_SourceData.CropAttributes_Data(),Table_SourceData_CropAttributes[[#Headers],[Crop type]], -1)</calculatedColumnFormula>
    </tableColumn>
    <tableColumn id="3" xr3:uid="{AC084757-3901-4144-8170-4907C74282C1}" name="Below-ground: above-ground residue ratio">
      <calculatedColumnFormula array="1">Common_InputFunctions.Utility_DisplayArrayInTable(Agresidue_SourceData.CropAttributes_Data(),Table_SourceData_CropAttributes[[#Headers],[Crop type]], -1)</calculatedColumnFormula>
    </tableColumn>
    <tableColumn id="4" xr3:uid="{BA2110AF-E5A2-4EBE-A93C-262F35FF2286}" name="Dry matter content">
      <calculatedColumnFormula array="1">Common_InputFunctions.Utility_DisplayArrayInTable(Agresidue_SourceData.CropAttributes_Data(),Table_SourceData_CropAttributes[[#Headers],[Crop type]], -1)</calculatedColumnFormula>
    </tableColumn>
    <tableColumn id="5" xr3:uid="{18E97977-3CCA-4B2E-904C-EB70F9E8AEC9}" name="Carbon fraction in dry matter">
      <calculatedColumnFormula array="1">Common_InputFunctions.Utility_DisplayArrayInTable(Agresidue_SourceData.CropAttributes_Data(),Table_SourceData_CropAttributes[[#Headers],[Crop type]], -1)</calculatedColumnFormula>
    </tableColumn>
    <tableColumn id="6" xr3:uid="{BDA44D44-8A5D-4D61-9073-AF04B27B2A32}" name="N content above-ground">
      <calculatedColumnFormula array="1">Common_InputFunctions.Utility_DisplayArrayInTable(Agresidue_SourceData.CropAttributes_Data(),Table_SourceData_CropAttributes[[#Headers],[Crop type]], -1)</calculatedColumnFormula>
    </tableColumn>
    <tableColumn id="7" xr3:uid="{CF07DE62-17A5-40DD-BC31-32956C3FDB4E}" name="N content below-ground">
      <calculatedColumnFormula array="1">Common_InputFunctions.Utility_DisplayArrayInTable(Agresidue_SourceData.CropAttributes_Data(),Table_SourceData_CropAttributes[[#Headers],[Crop type]], -1)</calculatedColumnFormula>
    </tableColumn>
    <tableColumn id="8" xr3:uid="{00DCB648-5E53-4890-BA84-772D97DB8017}" name="Fraction of residue remaining at time of burning (b)">
      <calculatedColumnFormula array="1">Common_InputFunctions.Utility_DisplayArrayInTable(Agresidue_SourceData.CropAttributes_Data(),Table_SourceData_CropAttributes[[#Headers],[Crop type]], -1)</calculatedColumnFormula>
    </tableColumn>
    <tableColumn id="9" xr3:uid="{F867BBA6-D96F-4FB6-ABCF-364705873B07}" name="Fraction burnt">
      <calculatedColumnFormula array="1">Common_InputFunctions.Utility_DisplayArrayInTable(Agresidue_SourceData.CropAttributes_Data(),Table_SourceData_CropAttributes[[#Headers],[Crop type]], -1)</calculatedColumnFormula>
    </tableColumn>
  </tableColumns>
  <tableStyleInfo name="Equation table" showFirstColumn="0" showLastColumn="0" showRowStripes="1" showColumnStripes="0"/>
</table>
</file>

<file path=xl/tables/table5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3" xr:uid="{BEC8407D-61B3-4F8F-B61F-5B9948F45DB1}" name="Table76" displayName="Table76" ref="D73:F89" totalsRowShown="0">
  <autoFilter ref="D73:F89" xr:uid="{7CD0B032-9881-4EF1-81E3-483C7C16D9D0}">
    <filterColumn colId="0" hiddenButton="1"/>
    <filterColumn colId="1" hiddenButton="1"/>
    <filterColumn colId="2" hiddenButton="1"/>
  </autoFilter>
  <tableColumns count="3">
    <tableColumn id="1" xr3:uid="{89C574DA-F716-494D-8E55-81AC2ED1FF6A}" name="Crop type c">
      <calculatedColumnFormula array="1">Common_InputFunctions.Utility_DisplayArrayInTable(Agresidue_SourceData.CropFractionRemoved_Data(), Table76[[#Headers],[Crop type c]], 0)</calculatedColumnFormula>
    </tableColumn>
    <tableColumn id="2" xr3:uid="{4588D9A2-8FB5-45D8-84AB-C03DA9FB7D97}" name="State" dataDxfId="332">
      <calculatedColumnFormula array="1">Common_InputFunctions.Utility_DisplayArrayInTable(Agresidue_SourceData.CropFractionRemoved_Data(), Table76[[#Headers],[Crop type c]], 0)</calculatedColumnFormula>
    </tableColumn>
    <tableColumn id="3" xr3:uid="{2BA22208-C6AF-4A8C-A20A-BB87AD55E4FD}" name="Fraction removed" dataDxfId="331">
      <calculatedColumnFormula array="1">Common_InputFunctions.Utility_DisplayArrayInTable(Agresidue_SourceData.CropFractionRemoved_Data(), Table76[[#Headers],[Crop type c]], 0)</calculatedColumnFormula>
    </tableColumn>
  </tableColumns>
  <tableStyleInfo name="Equation table" showFirstColumn="0" showLastColumn="0" showRowStripes="1" showColumnStripes="0"/>
</table>
</file>

<file path=xl/tables/table5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4" xr:uid="{6F9B0BE3-D92C-4204-8CCF-3AB2D18C1C36}" name="Table77" displayName="Table77" ref="D92:F235" totalsRowShown="0">
  <autoFilter ref="D92:F235" xr:uid="{1FA7CC86-1C1E-41FA-9AA1-AAD48AA2EEF0}">
    <filterColumn colId="0" hiddenButton="1"/>
    <filterColumn colId="1" hiddenButton="1"/>
    <filterColumn colId="2" hiddenButton="1"/>
  </autoFilter>
  <tableColumns count="3">
    <tableColumn id="1" xr3:uid="{403067FA-6111-4813-9EB7-8AD440438CA3}" name="Crop type c">
      <calculatedColumnFormula array="1">Common_InputFunctions.Utility_DisplayArrayInTable(Agresidue_SourceData.CropFractionRemoved_CustomisedData(), Table77[[#Headers],[Crop type c]], 0)</calculatedColumnFormula>
    </tableColumn>
    <tableColumn id="2" xr3:uid="{FD8D2E0E-65F8-45F0-A410-7D3EE4A894D5}" name="State" dataDxfId="330">
      <calculatedColumnFormula array="1">Common_InputFunctions.Utility_DisplayArrayInTable(Agresidue_SourceData.CropFractionRemoved_CustomisedData(), Table77[[#Headers],[Crop type c]], 0)</calculatedColumnFormula>
    </tableColumn>
    <tableColumn id="3" xr3:uid="{4E315F43-E84A-48A6-B9AB-0CE453A989E5}" name="Fraction removed" dataDxfId="329">
      <calculatedColumnFormula array="1">Common_InputFunctions.Utility_DisplayArrayInTable(Agresidue_SourceData.CropFractionRemoved_CustomisedData(), Table77[[#Headers],[Crop type c]], 0)</calculatedColumnFormula>
    </tableColumn>
  </tableColumns>
  <tableStyleInfo name="Equation table" showFirstColumn="0" showLastColumn="0" showRowStripes="1" showColumnStripes="0"/>
</table>
</file>

<file path=xl/tables/table5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5" xr:uid="{1A813F65-8B3F-4AE9-B542-6E79BBDA5C3B}" name="Table_SourceData_N2OEFOrganicFert" displayName="Table_SourceData_N2OEFOrganicFert" ref="D43:E45" totalsRowShown="0" dataDxfId="328" dataCellStyle="Content bold">
  <autoFilter ref="D43:E45" xr:uid="{2270AB6D-D03A-4D71-95C0-00BA6BB02732}">
    <filterColumn colId="0" hiddenButton="1"/>
    <filterColumn colId="1" hiddenButton="1"/>
  </autoFilter>
  <tableColumns count="2">
    <tableColumn id="1" xr3:uid="{ACD0B511-EEFF-46FD-8349-77BE4BE9AC29}" name="Climate zone type i" dataDxfId="327" dataCellStyle="Content bold">
      <calculatedColumnFormula array="1">Common_InputFunctions.Utility_DisplayArrayInTable(Agresidue_SourceData.N2OEFOrganicFertiliser_Data(), Table_SourceData_N2OEFOrganicFert[[#Headers],[Climate zone type i]], 0)</calculatedColumnFormula>
    </tableColumn>
    <tableColumn id="2" xr3:uid="{76B86C4A-FAD1-4096-A7D7-54AE3F28931C}" name="EF i N2O" dataDxfId="326" dataCellStyle="Content bold">
      <calculatedColumnFormula array="1">Common_InputFunctions.Utility_DisplayArrayInTable(Agresidue_SourceData.N2OEFOrganicFertiliser_Data(), Table_SourceData_N2OEFOrganicFert[[#Headers],[Climate zone type i]], 0)</calculatedColumnFormula>
    </tableColumn>
  </tableColumns>
  <tableStyleInfo name="Equation table" showFirstColumn="0" showLastColumn="0" showRowStripes="1" showColumnStripes="0"/>
</table>
</file>

<file path=xl/tables/table5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6" xr:uid="{A297CDC1-792C-4E9F-B40C-23136BE77072}" name="Table_SourceData_PastureAttributes" displayName="Table_SourceData_PastureAttributes" ref="D51:I56" totalsRowShown="0" dataDxfId="325" dataCellStyle="Content normal">
  <autoFilter ref="D51:I56" xr:uid="{F6AE5C0F-BD48-43B0-80A1-E554D23A8F67}">
    <filterColumn colId="0" hiddenButton="1"/>
    <filterColumn colId="1" hiddenButton="1"/>
    <filterColumn colId="2" hiddenButton="1"/>
    <filterColumn colId="3" hiddenButton="1"/>
    <filterColumn colId="4" hiddenButton="1"/>
    <filterColumn colId="5" hiddenButton="1"/>
  </autoFilter>
  <tableColumns count="6">
    <tableColumn id="1" xr3:uid="{14844216-3ED5-4D81-B759-A2D531343F1C}" name="Pasture type" dataDxfId="324" dataCellStyle="Content normal">
      <calculatedColumnFormula array="1">Common_InputFunctions.Utility_DisplayArrayInTable(Agresidue_SourceData.PastureAttributes_Data(), Table_SourceData_PastureAttributes[[#Headers],[Pasture type]], 0)</calculatedColumnFormula>
    </tableColumn>
    <tableColumn id="2" xr3:uid="{47E38F78-CEDC-4FAD-B21C-C6A918FC62D5}" name="Average Yield (t DM ha) Yp" dataDxfId="323" dataCellStyle="Content normal">
      <calculatedColumnFormula array="1">Common_InputFunctions.Utility_DisplayArrayInTable(Agresidue_SourceData.PastureAttributes_Data(), Table_SourceData_PastureAttributes[[#Headers],[Pasture type]], 0)</calculatedColumnFormula>
    </tableColumn>
    <tableColumn id="3" xr3:uid="{DB762251-A36A-46B7-9CD8-E23540A95BCA}" name="Below-ground: above-ground residue ratio RBGp" dataDxfId="322" dataCellStyle="Content normal">
      <calculatedColumnFormula array="1">Common_InputFunctions.Utility_DisplayArrayInTable(Agresidue_SourceData.PastureAttributes_Data(), Table_SourceData_PastureAttributes[[#Headers],[Pasture type]], 0)</calculatedColumnFormula>
    </tableColumn>
    <tableColumn id="4" xr3:uid="{06C7D05C-826E-4776-9FCD-D1A4EFBE99A2}" name="N content Above-ground NCAGp" dataDxfId="321" dataCellStyle="Content normal">
      <calculatedColumnFormula array="1">Common_InputFunctions.Utility_DisplayArrayInTable(Agresidue_SourceData.PastureAttributes_Data(), Table_SourceData_PastureAttributes[[#Headers],[Pasture type]], 0)</calculatedColumnFormula>
    </tableColumn>
    <tableColumn id="5" xr3:uid="{0206A98D-0A9B-4988-AA57-CF2BB9780C3C}" name="N content Below-ground NCBGp" dataDxfId="320" dataCellStyle="Content normal">
      <calculatedColumnFormula array="1">Common_InputFunctions.Utility_DisplayArrayInTable(Agresidue_SourceData.PastureAttributes_Data(), Table_SourceData_PastureAttributes[[#Headers],[Pasture type]], 0)</calculatedColumnFormula>
    </tableColumn>
    <tableColumn id="6" xr3:uid="{5806465B-C272-4B1C-912F-FD98011B69A9}" name="Fraction of pasture yield that is removed FFODp" dataDxfId="319" dataCellStyle="Content normal">
      <calculatedColumnFormula array="1">Common_InputFunctions.Utility_DisplayArrayInTable(Agresidue_SourceData.PastureAttributes_Data(), Table_SourceData_PastureAttributes[[#Headers],[Pasture type]], 0)</calculatedColumnFormula>
    </tableColumn>
  </tableColumns>
  <tableStyleInfo name="Equation table" showFirstColumn="0" showLastColumn="0" showRowStripes="1" showColumnStripes="0"/>
</table>
</file>

<file path=xl/tables/table5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7" xr:uid="{51CEE696-7991-4E41-BB0E-FA1902DBA776}" name="Table_SourceData_BurningResidueEFs" displayName="Table_SourceData_BurningResidueEFs" ref="D62:F67" totalsRowShown="0">
  <autoFilter ref="D62:F67" xr:uid="{8F5439AB-496D-443A-987D-2B47D1EC32A7}">
    <filterColumn colId="0" hiddenButton="1"/>
    <filterColumn colId="1" hiddenButton="1"/>
    <filterColumn colId="2" hiddenButton="1"/>
  </autoFilter>
  <tableColumns count="3">
    <tableColumn id="1" xr3:uid="{40CC7D79-9607-4A25-911E-5C8693EAAFC7}" name="Gas species">
      <calculatedColumnFormula array="1">Common_InputFunctions.Utility_DisplayArrayInTable(AgResidues_SourceData.BurningOfAgriculturalResiduesEFs_Data(), Table_SourceData_BurningResidueEFs[[#Headers],[Gas species]], 0)</calculatedColumnFormula>
    </tableColumn>
    <tableColumn id="2" xr3:uid="{059E3981-E931-4520-8DA2-FE5AA97B5574}" name="Emission factor EFg (Gg element in species/ Gg element in fuel burnt)" dataDxfId="318" dataCellStyle="Content normal">
      <calculatedColumnFormula array="1">Common_InputFunctions.Utility_DisplayArrayInTable(AgResidues_SourceData.BurningOfAgriculturalResiduesEFs_Data(), Table_SourceData_BurningResidueEFs[[#Headers],[Gas species]], 0)</calculatedColumnFormula>
    </tableColumn>
    <tableColumn id="3" xr3:uid="{85EF3F84-468E-43D6-97C8-55B49AD415AB}" name="Elemental to molecular mass conversion factor (Cg)" dataDxfId="317" dataCellStyle="Content normal">
      <calculatedColumnFormula array="1">Common_InputFunctions.Utility_DisplayArrayInTable(AgResidues_SourceData.BurningOfAgriculturalResiduesEFs_Data(), Table_SourceData_BurningResidueEFs[[#Headers],[Gas species]], 0)</calculatedColumnFormula>
    </tableColumn>
  </tableColumns>
  <tableStyleInfo name="Equation table" showFirstColumn="0" showLastColumn="0" showRowStripes="1" showColumnStripes="0"/>
</table>
</file>

<file path=xl/tables/table6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8" xr:uid="{605AD5FF-65F1-4029-B025-A5973CC33688}" name="Table_SourceData_CropPurposeAndYields" displayName="Table_SourceData_CropPurposeAndYields" ref="D7:K10" totalsRowShown="0" headerRowDxfId="316">
  <autoFilter ref="D7:K10" xr:uid="{A2BEDD81-DD4E-48EE-9D36-B81EDA1F3FAE}">
    <filterColumn colId="0" hiddenButton="1"/>
    <filterColumn colId="1" hiddenButton="1"/>
    <filterColumn colId="2" hiddenButton="1"/>
    <filterColumn colId="3" hiddenButton="1"/>
    <filterColumn colId="4" hiddenButton="1"/>
    <filterColumn colId="5" hiddenButton="1"/>
    <filterColumn colId="6" hiddenButton="1"/>
    <filterColumn colId="7" hiddenButton="1"/>
  </autoFilter>
  <tableColumns count="8">
    <tableColumn id="1" xr3:uid="{1A1F06F1-BF8B-403B-87FE-455ED74B7BE8}" name="Purpose">
      <calculatedColumnFormula array="1">Common_InputFunctions.Utility_DisplayArrayInTable(Agresidue_SourceData.CropPurposeAndYield_Data(), Table_SourceData_CropPurposeAndYields[[#Headers],[Purpose]], 0)</calculatedColumnFormula>
    </tableColumn>
    <tableColumn id="2" xr3:uid="{20E23AE5-1CA6-4927-87D8-720D9D1A663E}" name="Per hectare unit">
      <calculatedColumnFormula array="1">Common_InputFunctions.Utility_DisplayArrayInTable(Agresidue_SourceData.CropPurposeAndYield_Data(), Table_SourceData_CropPurposeAndYields[[#Headers],[Purpose]], 0)</calculatedColumnFormula>
    </tableColumn>
    <tableColumn id="3" xr3:uid="{811AF593-68B2-4638-A248-97611740A261}" name="harvest term">
      <calculatedColumnFormula array="1">Common_InputFunctions.Utility_DisplayArrayInTable(Agresidue_SourceData.CropPurposeAndYield_Data(), Table_SourceData_CropPurposeAndYields[[#Headers],[Purpose]], 0)</calculatedColumnFormula>
    </tableColumn>
    <tableColumn id="4" xr3:uid="{33C0F754-AAFE-4689-B88A-8E10A6530BFA}" name="harvest endpoint">
      <calculatedColumnFormula array="1">Common_InputFunctions.Utility_DisplayArrayInTable(Agresidue_SourceData.CropPurposeAndYield_Data(), Table_SourceData_CropPurposeAndYields[[#Headers],[Purpose]], 0)</calculatedColumnFormula>
    </tableColumn>
    <tableColumn id="5" xr3:uid="{2580728D-1D2F-400C-B6D2-8F8169B9FB13}" name="Harvest uit">
      <calculatedColumnFormula array="1">Common_InputFunctions.Utility_DisplayArrayInTable(Agresidue_SourceData.CropPurposeAndYield_Data(), Table_SourceData_CropPurposeAndYields[[#Headers],[Purpose]], 0)</calculatedColumnFormula>
    </tableColumn>
    <tableColumn id="6" xr3:uid="{C2458848-E915-4390-96E2-7CABD79A164B}" name="Yield note">
      <calculatedColumnFormula array="1">Common_InputFunctions.Utility_DisplayArrayInTable(Agresidue_SourceData.CropPurposeAndYield_Data(), Table_SourceData_CropPurposeAndYields[[#Headers],[Purpose]], 0)</calculatedColumnFormula>
    </tableColumn>
    <tableColumn id="8" xr3:uid="{786057C9-C3B4-4A60-A9E3-8C027234D71B}" name="Residue crop ratio note">
      <calculatedColumnFormula array="1">Common_InputFunctions.Utility_DisplayArrayInTable(Agresidue_SourceData.CropPurposeAndYield_Data(), Table_SourceData_CropPurposeAndYields[[#Headers],[Purpose]], 0)</calculatedColumnFormula>
    </tableColumn>
    <tableColumn id="9" xr3:uid="{7D63FB3F-D9A7-4893-875C-4630676C8369}" name="Total production note">
      <calculatedColumnFormula array="1">Common_InputFunctions.Utility_DisplayArrayInTable(Agresidue_SourceData.CropPurposeAndYield_Data(), Table_SourceData_CropPurposeAndYields[[#Headers],[Purpose]], 0)</calculatedColumnFormula>
    </tableColumn>
  </tableColumns>
  <tableStyleInfo name="Equation table" showFirstColumn="0" showLastColumn="0" showRowStripes="1" showColumnStripes="0"/>
</table>
</file>

<file path=xl/tables/table6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9" xr:uid="{5270B250-24B1-4A76-8452-D3FD1ABE7E9E}" name="Table_SourceData_Fertiliser_IrrigationMethods100" displayName="Table_SourceData_Fertiliser_IrrigationMethods100" ref="N21:N26" totalsRowShown="0">
  <autoFilter ref="N21:N26" xr:uid="{1AC5909E-E06C-4A79-81E9-C25A0B6D9E90}">
    <filterColumn colId="0" hiddenButton="1"/>
  </autoFilter>
  <tableColumns count="1">
    <tableColumn id="1" xr3:uid="{BFFEB96C-E94C-40D7-BFA5-B88ABF257B5C}" name="Irrigation method"/>
  </tableColumns>
  <tableStyleInfo name="Equation table" showFirstColumn="0" showLastColumn="0" showRowStripes="1" showColumnStripes="0"/>
</table>
</file>

<file path=xl/tables/table6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0" xr:uid="{B57F2439-DD74-40E6-BD41-A34362DC36F7}" name="Table_Data_MMSSymbols" displayName="Table_Data_MMSSymbols" ref="D9:F27" totalsRowShown="0">
  <autoFilter ref="D9:F27" xr:uid="{757CC28B-CF78-4195-86CA-5AEBBA7FA04E}">
    <filterColumn colId="0" hiddenButton="1"/>
    <filterColumn colId="1" hiddenButton="1"/>
    <filterColumn colId="2" hiddenButton="1"/>
  </autoFilter>
  <tableColumns count="3">
    <tableColumn id="1" xr3:uid="{44DB0FCC-B0F1-46F2-8511-DCC5CF49A8BC}" name="Symbol">
      <calculatedColumnFormula array="1">Common_InputFunctions.Utility_DisplayArrayInTable(CommonLivestock_SourceData.SourceData_Livestock_Common_SymbolsMMS_Data(), Table_Data_MMSSymbols[[#Headers],[Symbol]], 0)</calculatedColumnFormula>
    </tableColumn>
    <tableColumn id="2" xr3:uid="{47A4B772-85AD-4B3A-ADE6-8D3127912EAD}" name="Manure management system">
      <calculatedColumnFormula array="1">Common_InputFunctions.Utility_DisplayArrayInTable(CommonLivestock_SourceData.SourceData_Livestock_Common_SymbolsMMS_Data(), Table_Data_MMSSymbols[[#Headers],[Symbol]], 0)</calculatedColumnFormula>
    </tableColumn>
    <tableColumn id="3" xr3:uid="{4B3DA783-FEC6-4F71-A60F-BD7139482F2D}" name="Symbol and MMS">
      <calculatedColumnFormula array="1">Common_InputFunctions.Utility_DisplayArrayInTable(CommonLivestock_SourceData.SourceData_Livestock_Common_SymbolsMMS_Data(), Table_Data_MMSSymbols[[#Headers],[Symbol]], 0)</calculatedColumnFormula>
    </tableColumn>
  </tableColumns>
  <tableStyleInfo name="Equation table" showFirstColumn="0" showLastColumn="0" showRowStripes="1" showColumnStripes="0"/>
</table>
</file>

<file path=xl/tables/table6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1" xr:uid="{381D83E5-410D-4113-96C9-43C8B8DD3E93}" name="Table_SourceData_LivestockProduct_Beefcattle" displayName="Table_SourceData_LivestockProduct_Beefcattle" ref="D31:E39" totalsRowShown="0">
  <autoFilter ref="D31:E39" xr:uid="{953E8E36-CE90-4001-9CFA-9307A0C836A9}"/>
  <tableColumns count="2">
    <tableColumn id="1" xr3:uid="{80BFA3F6-E6B2-4D7D-93E0-A50A5F475115}" name="Product">
      <calculatedColumnFormula array="1">Common_InputFunctions.Utility_DisplayArrayInTable(CommonLivestock_SourceData.SourceData_Livestock_Product_BeefCattle_Data(),Table_SourceData_LivestockProduct_Beefcattle[[#Headers],[Product]],0)</calculatedColumnFormula>
    </tableColumn>
    <tableColumn id="2" xr3:uid="{FE060A17-994E-405D-B5A6-270F72A93DB2}" name="Source region" dataDxfId="315" dataCellStyle="Content normal">
      <calculatedColumnFormula array="1">Common_InputFunctions.Utility_DisplayArrayInTable(CommonLivestock_SourceData.SourceData_Livestock_Product_BeefCattle_Data(),Table_SourceData_LivestockProduct_Beefcattle[[#Headers],[Product]],0)</calculatedColumnFormula>
    </tableColumn>
  </tableColumns>
  <tableStyleInfo name="Equation table" showFirstColumn="0" showLastColumn="0" showRowStripes="1" showColumnStripes="0"/>
</table>
</file>

<file path=xl/tables/table6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2" xr:uid="{D14B86B0-64A1-463A-8ED6-FCBF4E9FC6F5}" name="Table_SourceData_LivestockProduct_Sheep" displayName="Table_SourceData_LivestockProduct_Sheep" ref="D43:E50" totalsRowShown="0" dataDxfId="314" dataCellStyle="Content normal">
  <autoFilter ref="D43:E50" xr:uid="{995536B5-6CA5-4D7D-A704-9B6B595C2491}"/>
  <tableColumns count="2">
    <tableColumn id="1" xr3:uid="{F0DF787C-EEA7-46C9-8F0A-D23AAB3AE576}" name="Product" dataDxfId="313" dataCellStyle="Content normal">
      <calculatedColumnFormula array="1">Common_InputFunctions.Utility_DisplayArrayInTable(CommonLivestock_SourceData.SourceData_Livestock_Product_Sheep_Data(),Table_SourceData_LivestockProduct_Sheep[[#Headers],[Product]],0)</calculatedColumnFormula>
    </tableColumn>
    <tableColumn id="2" xr3:uid="{109CF233-A1ED-43FE-BE9A-B99BEDACA025}" name="Source region" dataDxfId="312" dataCellStyle="Content normal">
      <calculatedColumnFormula array="1">Common_InputFunctions.Utility_DisplayArrayInTable(CommonLivestock_SourceData.SourceData_Livestock_Product_Sheep_Data(),Table_SourceData_LivestockProduct_Sheep[[#Headers],[Product]],0)</calculatedColumnFormula>
    </tableColumn>
  </tableColumns>
  <tableStyleInfo name="Equation table" showFirstColumn="0" showLastColumn="0" showRowStripes="1" showColumnStripes="0"/>
</table>
</file>

<file path=xl/tables/table6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3" xr:uid="{FE588C71-9B76-4FD6-A836-CBD4B31BDA97}" name="Table_SourceData_LivestockProduct_Chickens" displayName="Table_SourceData_LivestockProduct_Chickens" ref="D54:E55" totalsRowShown="0" dataDxfId="311" dataCellStyle="Content normal">
  <autoFilter ref="D54:E55" xr:uid="{257D8456-031C-4EEF-A8C4-474F215C3208}"/>
  <tableColumns count="2">
    <tableColumn id="1" xr3:uid="{80E3EA32-8999-41CE-9F8A-0491D63E29F1}" name="Product" dataDxfId="310" dataCellStyle="Content normal"/>
    <tableColumn id="2" xr3:uid="{0F5ACC58-D52A-432A-8F73-6BDAEA9DB198}" name="Source region" dataDxfId="309" dataCellStyle="Content normal"/>
  </tableColumns>
  <tableStyleInfo name="Equation table" showFirstColumn="0" showLastColumn="0" showRowStripes="1" showColumnStripes="0"/>
</table>
</file>

<file path=xl/tables/table6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4" xr:uid="{BEEAC318-7F1E-4455-89B6-21DAB0815B05}" name="Table_SourceData_LivestockProduct_Dairycattle" displayName="Table_SourceData_LivestockProduct_Dairycattle" ref="D59:E60" totalsRowShown="0" dataDxfId="308" dataCellStyle="Content normal">
  <autoFilter ref="D59:E60" xr:uid="{71833C62-BA2B-4519-92E0-B189E393D12F}"/>
  <tableColumns count="2">
    <tableColumn id="1" xr3:uid="{C4FBF744-0777-402A-9580-0935056B59B7}" name="Product" dataDxfId="307" dataCellStyle="Content normal"/>
    <tableColumn id="2" xr3:uid="{0C6CA9C3-F540-4B1D-AEAD-7AF3DFA49B95}" name="Source region" dataDxfId="306" dataCellStyle="Content normal"/>
  </tableColumns>
  <tableStyleInfo name="Equation table" showFirstColumn="0" showLastColumn="0" showRowStripes="1" showColumnStripes="0"/>
</table>
</file>

<file path=xl/tables/table6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5" xr:uid="{74D36FF7-4E83-4060-AD14-CD90CCA36B75}" name="Table_SourceData_LivestockProduct_Pigs" displayName="Table_SourceData_LivestockProduct_Pigs" ref="D64:E65" totalsRowShown="0" dataDxfId="305" dataCellStyle="Content normal">
  <autoFilter ref="D64:E65" xr:uid="{65FF5EF6-2A75-4137-9345-8328E2DA8F9C}"/>
  <tableColumns count="2">
    <tableColumn id="1" xr3:uid="{1BEA6295-9CAA-4502-880A-8F7B1F5DB321}" name="Product" dataDxfId="304" dataCellStyle="Content normal"/>
    <tableColumn id="2" xr3:uid="{612BDAAD-2237-41AD-91B2-E4F356F76D71}" name="Source region" dataDxfId="303" dataCellStyle="Content normal"/>
  </tableColumns>
  <tableStyleInfo name="Equation table" showFirstColumn="0" showLastColumn="0" showRowStripes="1" showColumnStripes="0"/>
</table>
</file>

<file path=xl/tables/table6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5" xr:uid="{3929B405-8A8F-4B47-A7E4-F5B21C14DEC5}" name="Table_SourceData_ElectricityEFs" displayName="Table_SourceData_ElectricityEFs" ref="D9:F19" totalsRowShown="0" headerRowDxfId="302">
  <autoFilter ref="D9:F19" xr:uid="{3144A982-7A4D-4CF2-8790-1A30DAE3E0A4}">
    <filterColumn colId="0" hiddenButton="1"/>
    <filterColumn colId="1" hiddenButton="1"/>
    <filterColumn colId="2" hiddenButton="1"/>
  </autoFilter>
  <tableColumns count="3">
    <tableColumn id="1" xr3:uid="{ED3713B0-B978-42F2-8839-C35F3BF38E15}" name="State, Territory or grid description">
      <calculatedColumnFormula array="1">Common_InputFunctions.Utility_DisplayArrayInTable(Electricity_SourceData.Electricity_Scope2Scope3LocationBased_Data(), Table_SourceData_ElectricityEFs[[#Headers],[State, Territory or grid description]], 0)</calculatedColumnFormula>
    </tableColumn>
    <tableColumn id="2" xr3:uid="{F5CB1A54-8B07-4507-A6FA-9178544BECB2}" name="Scope 2 Emission Factors (kg CO2-e/kWh)">
      <calculatedColumnFormula array="1">Common_InputFunctions.Utility_DisplayArrayInTable(Electricity_SourceData.Electricity_Scope2Scope3LocationBased_Data(), Table_SourceData_ElectricityEFs[[#Headers],[State, Territory or grid description]], 0)</calculatedColumnFormula>
    </tableColumn>
    <tableColumn id="3" xr3:uid="{676441DB-BB77-4729-BFCE-272D0582BBA7}" name="Scope 3 Emission Factors (kg CO2-e/kWh)">
      <calculatedColumnFormula array="1">Common_InputFunctions.Utility_DisplayArrayInTable(Electricity_SourceData.Electricity_Scope2Scope3LocationBased_Data(), Table_SourceData_ElectricityEFs[[#Headers],[State, Territory or grid description]], 0)</calculatedColumnFormula>
    </tableColumn>
  </tableColumns>
  <tableStyleInfo name="Equation table" showFirstColumn="0" showLastColumn="0" showRowStripes="1" showColumnStripes="0"/>
</table>
</file>

<file path=xl/tables/table6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6" xr:uid="{4B0BD705-8D0C-47E6-A71C-AC605B941785}" name="Table_SourceData_ElectricityEFsMarketBased" displayName="Table_SourceData_ElectricityEFsMarketBased" ref="D24:H25" totalsRowShown="0">
  <autoFilter ref="D24:H25" xr:uid="{87EEFE36-44F1-40A4-8394-9054D486E209}">
    <filterColumn colId="0" hiddenButton="1"/>
    <filterColumn colId="1" hiddenButton="1"/>
    <filterColumn colId="2" hiddenButton="1"/>
    <filterColumn colId="3" hiddenButton="1"/>
    <filterColumn colId="4" hiddenButton="1"/>
  </autoFilter>
  <tableColumns count="5">
    <tableColumn id="1" xr3:uid="{F2D98535-DBB4-440A-B757-56473ACBEA36}" name="State, Territory or grid description"/>
    <tableColumn id="2" xr3:uid="{5B69AF1F-381D-48DA-B2E0-79C0B98F59B2}" name="Scope 2 EF (kg CO2-e/kWh)"/>
    <tableColumn id="3" xr3:uid="{EEE73017-4600-41CD-910B-588A499332CE}" name="Scope 2 EF (kg CO2-e/GJ)"/>
    <tableColumn id="4" xr3:uid="{F5180173-ED12-4CA0-870C-36D56EC9D8DE}" name="Scope 3 EF (kg CO2-e/kWh)"/>
    <tableColumn id="5" xr3:uid="{2EF2AC2C-E02F-482A-8486-387E460A6644}" name="Scope 3 EF (kg CO2-e/GJ)"/>
  </tableColumns>
  <tableStyleInfo name="Equation table" showFirstColumn="0" showLastColumn="0" showRowStripes="1" showColumnStripes="0"/>
</table>
</file>

<file path=xl/tables/table7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2" xr:uid="{AB16130D-DD7A-4A2E-80CF-227D6A7B6BF4}" name="Table_Fertiliser_ChemicalCompounds" displayName="Table_Fertiliser_ChemicalCompounds" ref="D19:I38" totalsRowShown="0">
  <autoFilter ref="D19:I38" xr:uid="{C62DD19F-CBC4-42A0-AD7E-F034180A8AA9}">
    <filterColumn colId="0" hiddenButton="1"/>
    <filterColumn colId="1" hiddenButton="1"/>
    <filterColumn colId="2" hiddenButton="1"/>
    <filterColumn colId="3" hiddenButton="1"/>
    <filterColumn colId="4" hiddenButton="1"/>
    <filterColumn colId="5" hiddenButton="1"/>
  </autoFilter>
  <tableColumns count="6">
    <tableColumn id="1" xr3:uid="{905F99E7-1E96-453E-B08C-10525A1F2FA3}" name="Fertiliser type f">
      <calculatedColumnFormula array="1">Common_InputFunctions.Utility_DisplayArrayInTable(Fertiliser_SourceData.Fertiliser_ChemicalCompoundElements_Data(),Table_Fertiliser_ChemicalCompounds[[#Headers],[Fertiliser type f]], 0)</calculatedColumnFormula>
    </tableColumn>
    <tableColumn id="2" xr3:uid="{D6958E51-0FC3-4B17-ABB2-00C49121608B}" name="FNinorganic f">
      <calculatedColumnFormula array="1">Common_InputFunctions.Utility_DisplayArrayInTable(Fertiliser_SourceData.Fertiliser_ChemicalCompoundElements_Data(),Table_Fertiliser_ChemicalCompounds[[#Headers],[Fertiliser type f]], 0)</calculatedColumnFormula>
    </tableColumn>
    <tableColumn id="3" xr3:uid="{D42A0E77-A032-48D4-B9AF-9CB7642FF27D}" name="FU f">
      <calculatedColumnFormula array="1">Common_InputFunctions.Utility_DisplayArrayInTable(Fertiliser_SourceData.Fertiliser_ChemicalCompoundElements_Data(),Table_Fertiliser_ChemicalCompounds[[#Headers],[Fertiliser type f]], 0)</calculatedColumnFormula>
    </tableColumn>
    <tableColumn id="4" xr3:uid="{34C133AC-C449-44D2-BCB6-7ABB268C3622}" name="Basis">
      <calculatedColumnFormula array="1">Common_InputFunctions.Utility_DisplayArrayInTable(Fertiliser_SourceData.Fertiliser_ChemicalCompoundElements_Data(),Table_Fertiliser_ChemicalCompounds[[#Headers],[Fertiliser type f]], 0)</calculatedColumnFormula>
    </tableColumn>
    <tableColumn id="5" xr3:uid="{758D1D7A-D3D8-41E1-8EB2-F6C9C8CBE605}" name="Lifecycles Scope 3 definition">
      <calculatedColumnFormula array="1">Common_InputFunctions.Utility_DisplayArrayInTable(Fertiliser_SourceData.Fertiliser_ChemicalCompoundElements_Data(),Table_Fertiliser_ChemicalCompounds[[#Headers],[Fertiliser type f]], 0)</calculatedColumnFormula>
    </tableColumn>
    <tableColumn id="6" xr3:uid="{F64571E5-CB5C-45A5-98BC-A883BF89EF0A}" name="Source">
      <calculatedColumnFormula array="1">Common_InputFunctions.Utility_DisplayArrayInTable(Fertiliser_SourceData.Fertiliser_ChemicalCompoundElements_Data(),Table_Fertiliser_ChemicalCompounds[[#Headers],[Fertiliser type f]], 0)</calculatedColumnFormula>
    </tableColumn>
  </tableColumns>
  <tableStyleInfo name="Equation table" showFirstColumn="0" showLastColumn="0" showRowStripes="1" showColumnStripes="0"/>
</table>
</file>

<file path=xl/tables/table7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3" xr:uid="{5ED468E5-D150-487F-B7EB-D5EB598C0136}" name="FertiliserProducts" displayName="FertiliserProducts" ref="D89:AH223">
  <autoFilter ref="D89:AH223" xr:uid="{CF03620B-9968-447A-A13F-E60FF3C81E47}">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autoFilter>
  <tableColumns count="31">
    <tableColumn id="1" xr3:uid="{B33CD9E7-5B65-4991-B6EC-753EE3D430D0}" name="Company" totalsRowFunction="custom" totalsRowDxfId="301">
      <calculatedColumnFormula array="1">Common_InputFunctions.Utility_DisplayArrayInTable(Fertiliser_SourceData.Fertiliser_Products_Data1(),FertiliserProducts[[#Headers],[Company]], -1)</calculatedColumnFormula>
      <totalsRowFormula array="1">Common_InputFunctions.Utility_DisplayArrayInTable(Fertiliser_SourceData.Fertiliser_Products_Data3(), FertiliserProducts[[#Headers],[Company]],61)</totalsRowFormula>
    </tableColumn>
    <tableColumn id="2" xr3:uid="{E2759CBC-885D-4073-8DC1-F4D87BA2BE1B}" name="Product" totalsRowFunction="custom" totalsRowCellStyle="Content normal">
      <calculatedColumnFormula array="1">Common_InputFunctions.Utility_DisplayArrayInTable(Fertiliser_SourceData.Fertiliser_Products_Data1(),FertiliserProducts[[#Headers],[Company]], 0)</calculatedColumnFormula>
      <totalsRowFormula array="1">Common_InputFunctions.Utility_DisplayArrayInTable(Fertiliser_SourceData.Fertiliser_Products_Data3(), FertiliserProducts[[#Headers],[Company]],61)</totalsRowFormula>
    </tableColumn>
    <tableColumn id="3" xr3:uid="{1952D9C5-01C1-411A-BC89-56854DA4DA2C}" name="Unit" totalsRowFunction="custom" totalsRowCellStyle="Content normal">
      <calculatedColumnFormula array="1">Common_InputFunctions.Utility_DisplayArrayInTable(Fertiliser_SourceData.Fertiliser_Products_Data1(),FertiliserProducts[[#Headers],[Company]], 0)</calculatedColumnFormula>
      <totalsRowFormula array="1">Common_InputFunctions.Utility_DisplayArrayInTable(Fertiliser_SourceData.Fertiliser_Products_Data3(), FertiliserProducts[[#Headers],[Company]],61)</totalsRowFormula>
    </tableColumn>
    <tableColumn id="4" xr3:uid="{C6CAED59-38F1-441E-886F-B5188309E659}" name="Density" totalsRowFunction="custom" totalsRowCellStyle="Content normal">
      <calculatedColumnFormula array="1">Common_InputFunctions.Utility_DisplayArrayInTable(Fertiliser_SourceData.Fertiliser_Products_Data1(),FertiliserProducts[[#Headers],[Company]], 0)</calculatedColumnFormula>
      <totalsRowFormula array="1">Common_InputFunctions.Utility_DisplayArrayInTable(Fertiliser_SourceData.Fertiliser_Products_Data3(), FertiliserProducts[[#Headers],[Company]],61)</totalsRowFormula>
    </tableColumn>
    <tableColumn id="5" xr3:uid="{E53468FF-CFB6-4CA2-81BD-184AA14AFF32}" name="Contains inhibitor" totalsRowFunction="custom" totalsRowCellStyle="Content normal">
      <calculatedColumnFormula array="1">Common_InputFunctions.Utility_DisplayArrayInTable(Fertiliser_SourceData.Fertiliser_Products_Data1(),FertiliserProducts[[#Headers],[Company]], 0,4)</calculatedColumnFormula>
      <totalsRowFormula array="1">Common_InputFunctions.Utility_DisplayArrayInTable(Fertiliser_SourceData.Fertiliser_Products_Data3(), FertiliserProducts[[#Headers],[Company]],61)</totalsRowFormula>
    </tableColumn>
    <tableColumn id="6" xr3:uid="{0B711EB9-4E93-4FB6-AAE3-CDE8FE699589}" name="Urea source" totalsRowFunction="custom" totalsRowCellStyle="Content normal">
      <calculatedColumnFormula array="1">Common_InputFunctions.Utility_DisplayArrayInTable(Fertiliser_SourceData.Fertiliser_Products_Data1(),FertiliserProducts[[#Headers],[Company]], 0,4)</calculatedColumnFormula>
      <totalsRowFormula array="1">Common_InputFunctions.Utility_DisplayArrayInTable(Fertiliser_SourceData.Fertiliser_Products_Data3(), FertiliserProducts[[#Headers],[Company]],61)</totalsRowFormula>
    </tableColumn>
    <tableColumn id="7" xr3:uid="{C60DDD9A-FB5D-4FF6-89B0-A9AA35D6756A}" name="Ammonia source" totalsRowFunction="custom" totalsRowCellStyle="Content normal">
      <calculatedColumnFormula array="1">Common_InputFunctions.Utility_DisplayArrayInTable(Fertiliser_SourceData.Fertiliser_Products_Data1(),FertiliserProducts[[#Headers],[Company]], 0,4)</calculatedColumnFormula>
      <totalsRowFormula array="1">Common_InputFunctions.Utility_DisplayArrayInTable(Fertiliser_SourceData.Fertiliser_Products_Data3(), FertiliserProducts[[#Headers],[Company]],61)</totalsRowFormula>
    </tableColumn>
    <tableColumn id="8" xr3:uid="{240BE5CD-8983-4831-BED6-FB94F0601485}" name="N declared" totalsRowFunction="custom" totalsRowCellStyle="Content normal">
      <calculatedColumnFormula array="1">Common_InputFunctions.Utility_DisplayArrayInTable(Fertiliser_SourceData.Fertiliser_Products_Data1(),FertiliserProducts[[#Headers],[Company]], 0,4)</calculatedColumnFormula>
      <totalsRowFormula array="1">Common_InputFunctions.Utility_DisplayArrayInTable(Fertiliser_SourceData.Fertiliser_Products_Data3(), FertiliserProducts[[#Headers],[Company]],61)</totalsRowFormula>
    </tableColumn>
    <tableColumn id="9" xr3:uid="{3D3786DE-2F30-40CD-8A1D-34A414CFFA36}" name="P declared" totalsRowFunction="custom" totalsRowCellStyle="Content normal">
      <calculatedColumnFormula array="1">Common_InputFunctions.Utility_DisplayArrayInTable(Fertiliser_SourceData.Fertiliser_Products_Data1(),FertiliserProducts[[#Headers],[Company]], 0,4)</calculatedColumnFormula>
      <totalsRowFormula array="1">Common_InputFunctions.Utility_DisplayArrayInTable(Fertiliser_SourceData.Fertiliser_Products_Data3(), FertiliserProducts[[#Headers],[Company]],61)</totalsRowFormula>
    </tableColumn>
    <tableColumn id="10" xr3:uid="{AFF37E38-4DB1-42E0-921F-2272FAEC061E}" name="K declared" totalsRowFunction="custom" totalsRowCellStyle="Content normal">
      <calculatedColumnFormula array="1">Common_InputFunctions.Utility_DisplayArrayInTable(Fertiliser_SourceData.Fertiliser_Products_Data1(),FertiliserProducts[[#Headers],[Company]], 0,4)</calculatedColumnFormula>
      <totalsRowFormula array="1">Common_InputFunctions.Utility_DisplayArrayInTable(Fertiliser_SourceData.Fertiliser_Products_Data3(), FertiliserProducts[[#Headers],[Company]],61)</totalsRowFormula>
    </tableColumn>
    <tableColumn id="11" xr3:uid="{AA2F143B-68B3-4488-A7D6-0952CCDC21FA}" name="S declared" totalsRowFunction="custom" totalsRowCellStyle="Content normal">
      <calculatedColumnFormula array="1">Common_InputFunctions.Utility_DisplayArrayInTable(Fertiliser_SourceData.Fertiliser_Products_Data1(),FertiliserProducts[[#Headers],[Company]], 0,4)</calculatedColumnFormula>
      <totalsRowFormula array="1">Common_InputFunctions.Utility_DisplayArrayInTable(Fertiliser_SourceData.Fertiliser_Products_Data3(), FertiliserProducts[[#Headers],[Company]],61)</totalsRowFormula>
    </tableColumn>
    <tableColumn id="27" xr3:uid="{9B0B10C8-15A6-4078-9AA9-9F4CD4E49959}" name="Ingredient 1" totalsRowFunction="custom" totalsRowCellStyle="Content normal">
      <totalsRowFormula array="1">Common_InputFunctions.Utility_DisplayArrayInTable(Fertiliser_SourceData.Fertiliser_Products_Data3(), FertiliserProducts[[#Headers],[Company]],61)</totalsRowFormula>
    </tableColumn>
    <tableColumn id="22" xr3:uid="{4B010C85-83E0-4BD6-9F4E-B1EB3E1CAE99}" name="Ingredient 1 percent" totalsRowFunction="custom" totalsRowCellStyle="Content normal">
      <totalsRowFormula array="1">Common_InputFunctions.Utility_DisplayArrayInTable(Fertiliser_SourceData.Fertiliser_Products_Data3(), FertiliserProducts[[#Headers],[Company]],61)</totalsRowFormula>
    </tableColumn>
    <tableColumn id="12" xr3:uid="{46756088-C812-4F9C-A800-F3DAE9FA65EC}" name="Ingredient 2" totalsRowFunction="custom" totalsRowCellStyle="Content normal">
      <calculatedColumnFormula array="1">Common_InputFunctions.Utility_DisplayArrayInTable(Fertiliser_SourceData.Fertiliser_Products_Data1(),FertiliserProducts[[#Headers],[Company]], 0,4)</calculatedColumnFormula>
      <totalsRowFormula array="1">Common_InputFunctions.Utility_DisplayArrayInTable(Fertiliser_SourceData.Fertiliser_Products_Data3(), FertiliserProducts[[#Headers],[Company]],61)</totalsRowFormula>
    </tableColumn>
    <tableColumn id="13" xr3:uid="{7C9C61CB-CDBD-4676-831A-4763B6FFCC8C}" name="Ingredient 2 percent" totalsRowFunction="custom" totalsRowCellStyle="Content normal">
      <calculatedColumnFormula array="1">Common_InputFunctions.Utility_DisplayArrayInTable(Fertiliser_SourceData.Fertiliser_Products_Data1(),FertiliserProducts[[#Headers],[Company]], 0,4)</calculatedColumnFormula>
      <totalsRowFormula array="1">Common_InputFunctions.Utility_DisplayArrayInTable(Fertiliser_SourceData.Fertiliser_Products_Data3(), FertiliserProducts[[#Headers],[Company]],61)</totalsRowFormula>
    </tableColumn>
    <tableColumn id="14" xr3:uid="{EF451B85-8AF0-4FCB-A465-A5AD9BF0FD9F}" name="Ingredient 3" totalsRowFunction="custom" totalsRowCellStyle="Content normal">
      <calculatedColumnFormula array="1">Common_InputFunctions.Utility_DisplayArrayInTable(Fertiliser_SourceData.Fertiliser_Products_Data1(),FertiliserProducts[[#Headers],[Company]], 0,4)</calculatedColumnFormula>
      <totalsRowFormula array="1">Common_InputFunctions.Utility_DisplayArrayInTable(Fertiliser_SourceData.Fertiliser_Products_Data3(), FertiliserProducts[[#Headers],[Company]],61)</totalsRowFormula>
    </tableColumn>
    <tableColumn id="15" xr3:uid="{5920CC95-7502-4BF5-9CA1-ADD82D92357A}" name="Ingredient 3 percent" totalsRowFunction="custom" totalsRowCellStyle="Content normal">
      <calculatedColumnFormula array="1">Common_InputFunctions.Utility_DisplayArrayInTable(Fertiliser_SourceData.Fertiliser_Products_Data1(),FertiliserProducts[[#Headers],[Company]], 0,4)</calculatedColumnFormula>
      <totalsRowFormula array="1">Common_InputFunctions.Utility_DisplayArrayInTable(Fertiliser_SourceData.Fertiliser_Products_Data3(), FertiliserProducts[[#Headers],[Company]],61)</totalsRowFormula>
    </tableColumn>
    <tableColumn id="16" xr3:uid="{481E6BB6-2E3B-4658-BAB4-78EB8FF1DD68}" name="Ingredient 4" totalsRowFunction="custom" totalsRowCellStyle="Content normal">
      <calculatedColumnFormula array="1">Common_InputFunctions.Utility_DisplayArrayInTable(Fertiliser_SourceData.Fertiliser_Products_Data1(),FertiliserProducts[[#Headers],[Company]], 0,4)</calculatedColumnFormula>
      <totalsRowFormula array="1">Common_InputFunctions.Utility_DisplayArrayInTable(Fertiliser_SourceData.Fertiliser_Products_Data3(), FertiliserProducts[[#Headers],[Company]],61)</totalsRowFormula>
    </tableColumn>
    <tableColumn id="17" xr3:uid="{A9710ECD-9AD0-4399-90BD-96CF1CE4CFA1}" name="Ingredient 4 percent" totalsRowFunction="custom" totalsRowCellStyle="Content normal">
      <calculatedColumnFormula array="1">Common_InputFunctions.Utility_DisplayArrayInTable(Fertiliser_SourceData.Fertiliser_Products_Data1(),FertiliserProducts[[#Headers],[Company]], 0,4)</calculatedColumnFormula>
      <totalsRowFormula array="1">Common_InputFunctions.Utility_DisplayArrayInTable(Fertiliser_SourceData.Fertiliser_Products_Data3(), FertiliserProducts[[#Headers],[Company]],61)</totalsRowFormula>
    </tableColumn>
    <tableColumn id="18" xr3:uid="{EC4B569E-3E4F-4B82-B0AF-384083A0C1A4}" name="Ingredient 5" totalsRowFunction="custom" totalsRowCellStyle="Content normal">
      <calculatedColumnFormula array="1">Common_InputFunctions.Utility_DisplayArrayInTable(Fertiliser_SourceData.Fertiliser_Products_Data1(),FertiliserProducts[[#Headers],[Company]], 0,4)</calculatedColumnFormula>
      <totalsRowFormula array="1">Common_InputFunctions.Utility_DisplayArrayInTable(Fertiliser_SourceData.Fertiliser_Products_Data3(), FertiliserProducts[[#Headers],[Company]],61)</totalsRowFormula>
    </tableColumn>
    <tableColumn id="19" xr3:uid="{BD68D5D4-A433-4154-9F02-CCA97D72392A}" name="Ingredient 5 percent" totalsRowFunction="custom" totalsRowCellStyle="Content normal">
      <calculatedColumnFormula array="1">Common_InputFunctions.Utility_DisplayArrayInTable(Fertiliser_SourceData.Fertiliser_Products_Data1(),FertiliserProducts[[#Headers],[Company]], 0,4)</calculatedColumnFormula>
      <totalsRowFormula array="1">Common_InputFunctions.Utility_DisplayArrayInTable(Fertiliser_SourceData.Fertiliser_Products_Data3(), FertiliserProducts[[#Headers],[Company]],61)</totalsRowFormula>
    </tableColumn>
    <tableColumn id="37" xr3:uid="{45FDA4D0-4010-45DA-84F8-403CF296B210}" name="Ingredient 6" totalsRowFunction="custom" totalsRowCellStyle="Content normal">
      <calculatedColumnFormula array="1">Common_InputFunctions.Utility_DisplayArrayInTable(Fertiliser_SourceData.Fertiliser_Products_Data1(),FertiliserProducts[[#Headers],[Company]], 0,4)</calculatedColumnFormula>
      <totalsRowFormula array="1">Common_InputFunctions.Utility_DisplayArrayInTable(Fertiliser_SourceData.Fertiliser_Products_Data3(), FertiliserProducts[[#Headers],[Company]],61)</totalsRowFormula>
    </tableColumn>
    <tableColumn id="20" xr3:uid="{E37E6590-5433-41DD-9749-1629561D7C25}" name="Ingredient 6 percent" totalsRowFunction="custom" totalsRowCellStyle="Content normal">
      <calculatedColumnFormula array="1">Common_InputFunctions.Utility_DisplayArrayInTable(Fertiliser_SourceData.Fertiliser_Products_Data1(),FertiliserProducts[[#Headers],[Company]], 0,4)</calculatedColumnFormula>
      <totalsRowFormula array="1">Common_InputFunctions.Utility_DisplayArrayInTable(Fertiliser_SourceData.Fertiliser_Products_Data3(), FertiliserProducts[[#Headers],[Company]],61)</totalsRowFormula>
    </tableColumn>
    <tableColumn id="24" xr3:uid="{B6C31CC9-0E7C-49B7-98A6-B8D2D48DBC12}" name="Ingredient 7" totalsRowFunction="custom" totalsRowCellStyle="Content normal">
      <calculatedColumnFormula array="1">Common_InputFunctions.Utility_DisplayArrayInTable(Fertiliser_SourceData.Fertiliser_Products_Data1(),FertiliserProducts[[#Headers],[Company]], 0,4)</calculatedColumnFormula>
      <totalsRowFormula array="1">Common_InputFunctions.Utility_DisplayArrayInTable(Fertiliser_SourceData.Fertiliser_Products_Data3(), FertiliserProducts[[#Headers],[Company]],61)</totalsRowFormula>
    </tableColumn>
    <tableColumn id="23" xr3:uid="{CD439FC4-6D2D-4E3F-9F4A-403E26C9474A}" name="Ingredient 7 percent" totalsRowFunction="custom" totalsRowCellStyle="Content normal">
      <calculatedColumnFormula array="1">Common_InputFunctions.Utility_DisplayArrayInTable(Fertiliser_SourceData.Fertiliser_Products_Data1(),FertiliserProducts[[#Headers],[Company]], 0,4)</calculatedColumnFormula>
      <totalsRowFormula array="1">Common_InputFunctions.Utility_DisplayArrayInTable(Fertiliser_SourceData.Fertiliser_Products_Data3(), FertiliserProducts[[#Headers],[Company]],61)</totalsRowFormula>
    </tableColumn>
    <tableColumn id="26" xr3:uid="{086B0792-E9BE-4922-B1A3-2B4FB07556FD}" name="Ingredient 8" totalsRowFunction="custom" totalsRowCellStyle="Content normal">
      <calculatedColumnFormula array="1">Common_InputFunctions.Utility_DisplayArrayInTable(Fertiliser_SourceData.Fertiliser_Products_Data1(),FertiliserProducts[[#Headers],[Company]], 0,4)</calculatedColumnFormula>
      <totalsRowFormula array="1">Common_InputFunctions.Utility_DisplayArrayInTable(Fertiliser_SourceData.Fertiliser_Products_Data3(), FertiliserProducts[[#Headers],[Company]],61)</totalsRowFormula>
    </tableColumn>
    <tableColumn id="25" xr3:uid="{364C0761-B1F0-4326-93E0-25B7F7AD3A46}" name="Ingredient 8 percent" totalsRowFunction="custom" totalsRowCellStyle="Content normal">
      <calculatedColumnFormula array="1">Common_InputFunctions.Utility_DisplayArrayInTable(Fertiliser_SourceData.Fertiliser_Products_Data1(),FertiliserProducts[[#Headers],[Company]], 0,4)</calculatedColumnFormula>
      <totalsRowFormula array="1">Common_InputFunctions.Utility_DisplayArrayInTable(Fertiliser_SourceData.Fertiliser_Products_Data3(), FertiliserProducts[[#Headers],[Company]],61)</totalsRowFormula>
    </tableColumn>
    <tableColumn id="30" xr3:uid="{EC401506-D787-4894-B598-A7D4C93F5834}" name="Ingredient 9" totalsRowFunction="custom" totalsRowCellStyle="Content normal">
      <calculatedColumnFormula array="1">Common_InputFunctions.Utility_DisplayArrayInTable(Fertiliser_SourceData.Fertiliser_Products_Data1(),FertiliserProducts[[#Headers],[Company]], 0,4)</calculatedColumnFormula>
      <totalsRowFormula array="1">Common_InputFunctions.Utility_DisplayArrayInTable(Fertiliser_SourceData.Fertiliser_Products_Data3(), FertiliserProducts[[#Headers],[Company]],61)</totalsRowFormula>
    </tableColumn>
    <tableColumn id="29" xr3:uid="{EF8247DD-D39E-441C-9FEC-1907440D798E}" name="Ingredient 9 percent" totalsRowFunction="custom" totalsRowCellStyle="Content normal">
      <calculatedColumnFormula array="1">Common_InputFunctions.Utility_DisplayArrayInTable(Fertiliser_SourceData.Fertiliser_Products_Data1(),FertiliserProducts[[#Headers],[Company]], 0,4)</calculatedColumnFormula>
      <totalsRowFormula array="1">Common_InputFunctions.Utility_DisplayArrayInTable(Fertiliser_SourceData.Fertiliser_Products_Data3(), FertiliserProducts[[#Headers],[Company]],61)</totalsRowFormula>
    </tableColumn>
    <tableColumn id="28" xr3:uid="{F8A7777E-11E0-4143-87AA-80A7D45B4C16}" name="Ingredient 10" totalsRowFunction="custom" totalsRowCellStyle="Content normal">
      <calculatedColumnFormula array="1">Common_InputFunctions.Utility_DisplayArrayInTable(Fertiliser_SourceData.Fertiliser_Products_Data1(),FertiliserProducts[[#Headers],[Company]], 0,4)</calculatedColumnFormula>
      <totalsRowFormula array="1">Common_InputFunctions.Utility_DisplayArrayInTable(Fertiliser_SourceData.Fertiliser_Products_Data3(), FertiliserProducts[[#Headers],[Company]],61)</totalsRowFormula>
    </tableColumn>
    <tableColumn id="31" xr3:uid="{A3B54923-12C5-42A9-A5AD-39DE2662398A}" name="Ingredient 10 percent" totalsRowCellStyle="Content normal"/>
  </tableColumns>
  <tableStyleInfo name="Equation table" showFirstColumn="0" showLastColumn="0" showRowStripes="1" showColumnStripes="0"/>
</table>
</file>

<file path=xl/tables/table7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4" xr:uid="{314EB188-5211-4EBA-9EA8-94658F97D09F}" name="Table_SourceData_Fertiliser_FracGASF" displayName="Table_SourceData_Fertiliser_FracGASF" ref="D50:E55" totalsRowShown="0">
  <autoFilter ref="D50:E55" xr:uid="{BA6279EA-7DA2-46FA-80C0-81926E3CFC51}">
    <filterColumn colId="0" hiddenButton="1"/>
    <filterColumn colId="1" hiddenButton="1"/>
  </autoFilter>
  <tableColumns count="2">
    <tableColumn id="1" xr3:uid="{4AAEB5F4-42AE-4CE4-9790-0AE1C1EDD972}" name="Fertiliser type f">
      <calculatedColumnFormula array="1">Common_InputFunctions.Utility_DisplayArrayInTable(Fertiliser_SourceData.Fertiliser_FracGASF_Data(), Table_SourceData_Fertiliser_FracGASF[[#Headers],[Fertiliser type f]], 0)</calculatedColumnFormula>
    </tableColumn>
    <tableColumn id="2" xr3:uid="{81ADCE79-0344-4B02-A342-3BD9072A5CF1}" name="FracGASF f" dataDxfId="300" dataCellStyle="Content normal">
      <calculatedColumnFormula array="1">Common_InputFunctions.Utility_DisplayArrayInTable(Fertiliser_SourceData.Fertiliser_FracGASF_Data(), Table_SourceData_Fertiliser_FracGASF[[#Headers],[Fertiliser type f]], 0)</calculatedColumnFormula>
    </tableColumn>
  </tableColumns>
  <tableStyleInfo name="Equation table" showFirstColumn="0" showLastColumn="0" showRowStripes="1" showColumnStripes="0"/>
</table>
</file>

<file path=xl/tables/table7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5" xr:uid="{91A4BF88-CFA9-4430-BB06-0D495B3DC703}" name="Table_SourceData_Fertiliser_CropProdSystems" displayName="Table_SourceData_Fertiliser_CropProdSystems" ref="D41:D43" totalsRowShown="0">
  <autoFilter ref="D41:D43" xr:uid="{24F3A11E-40F5-4BB9-BFF4-A71FA2ADA0EF}">
    <filterColumn colId="0" hiddenButton="1"/>
  </autoFilter>
  <tableColumns count="1">
    <tableColumn id="1" xr3:uid="{EB0F4296-3B68-4FC4-B551-FAD07D6E1B0C}" name="Production system">
      <calculatedColumnFormula>#REF!</calculatedColumnFormula>
    </tableColumn>
  </tableColumns>
  <tableStyleInfo name="Equation table" showFirstColumn="0" showLastColumn="0" showRowStripes="1" showColumnStripes="0"/>
</table>
</file>

<file path=xl/tables/table7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6" xr:uid="{7003FB2D-482A-4013-9AE5-59BE57036758}" name="Table_SourceData_Fertiliser_IrrigationMethods" displayName="Table_SourceData_Fertiliser_IrrigationMethods" ref="H41:H46" totalsRowShown="0">
  <autoFilter ref="H41:H46" xr:uid="{B6754DF9-B9B7-4777-A419-208519289931}">
    <filterColumn colId="0" hiddenButton="1"/>
  </autoFilter>
  <tableColumns count="1">
    <tableColumn id="1" xr3:uid="{B5BE1F18-E2C1-401B-B281-60A09279A0FE}" name="Irrigation method"/>
  </tableColumns>
  <tableStyleInfo name="Equation table" showFirstColumn="0" showLastColumn="0" showRowStripes="1" showColumnStripes="0"/>
</table>
</file>

<file path=xl/tables/table7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7" xr:uid="{B91BE4FD-5CA0-46A8-847E-C5787582D24B}" name="Table_SourceData_Fertiliser_CropTypes" displayName="Table_SourceData_Fertiliser_CropTypes" ref="F41:F45" totalsRowShown="0">
  <autoFilter ref="F41:F45" xr:uid="{CB5044B5-FA3C-4AA2-B1AB-72F7E61D072F}">
    <filterColumn colId="0" hiddenButton="1"/>
  </autoFilter>
  <tableColumns count="1">
    <tableColumn id="1" xr3:uid="{63408355-FAF3-45FD-BBC1-DAD33FB43DA2}" name="Production system"/>
  </tableColumns>
  <tableStyleInfo name="Equation table" showFirstColumn="0" showLastColumn="0" showRowStripes="1" showColumnStripes="0"/>
</table>
</file>

<file path=xl/tables/table7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8" xr:uid="{EDAA9E12-1809-48B6-830B-9282E08742A4}" name="Table_SourceData_OrganicFertiliserTypes" displayName="Table_SourceData_OrganicFertiliserTypes" ref="J41:J46" totalsRowShown="0">
  <autoFilter ref="J41:J46" xr:uid="{B44627B1-537E-4ABC-92C3-57282CEE5B40}">
    <filterColumn colId="0" hiddenButton="1"/>
  </autoFilter>
  <tableColumns count="1">
    <tableColumn id="1" xr3:uid="{0710AA56-109F-420E-B396-EE9EBA44FB45}" name="Organic fertiliser type"/>
  </tableColumns>
  <tableStyleInfo name="Equation table" showFirstColumn="0" showLastColumn="0" showRowStripes="1" showColumnStripes="0"/>
</table>
</file>

<file path=xl/tables/table7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9" xr:uid="{F159708B-63D0-4355-9621-88D1E0ED7B46}" name="Table_SourceData_Fertiliser_LimeDolomiteConstants" displayName="Table_SourceData_Fertiliser_LimeDolomiteConstants" ref="D65:F68" totalsRowShown="0">
  <autoFilter ref="D65:F68" xr:uid="{300169C1-BC7A-441C-840D-3C2EFD141B42}">
    <filterColumn colId="0" hiddenButton="1"/>
    <filterColumn colId="1" hiddenButton="1"/>
    <filterColumn colId="2" hiddenButton="1"/>
  </autoFilter>
  <tableColumns count="3">
    <tableColumn id="1" xr3:uid="{2005CEE4-82FC-4E98-A435-67BA923C3FB5}" name="Element">
      <calculatedColumnFormula array="1">Common_InputFunctions.Utility_DisplayArrayInTable(Fertiliser_SourceData.Fertiliser_LimeDolomiteGypsumConstants_Data(), Table_SourceData_Fertiliser_LimeDolomiteConstants[[#Headers],[Element]], 0)</calculatedColumnFormula>
    </tableColumn>
    <tableColumn id="2" xr3:uid="{0F73F33E-A583-4536-9175-0A3E90D36221}" name="P" dataDxfId="299" dataCellStyle="Content normal">
      <calculatedColumnFormula array="1">Common_InputFunctions.Utility_DisplayArrayInTable(Fertiliser_SourceData.Fertiliser_LimeDolomiteGypsumConstants_Data(), Table_SourceData_Fertiliser_LimeDolomiteConstants[[#Headers],[Element]], 0)</calculatedColumnFormula>
    </tableColumn>
    <tableColumn id="3" xr3:uid="{491EAE6C-2C6C-4F0D-A3B2-0A4D86BD90CC}" name="EF" dataDxfId="298" dataCellStyle="Content normal">
      <calculatedColumnFormula array="1">Common_InputFunctions.Utility_DisplayArrayInTable(Fertiliser_SourceData.Fertiliser_LimeDolomiteGypsumConstants_Data(), Table_SourceData_Fertiliser_LimeDolomiteConstants[[#Headers],[Element]], 0)</calculatedColumnFormula>
    </tableColumn>
  </tableColumns>
  <tableStyleInfo name="Equation table" showFirstColumn="0" showLastColumn="0" showRowStripes="1" showColumnStripes="0"/>
</table>
</file>

<file path=xl/tables/table7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0" xr:uid="{2066FA9D-F615-41F4-ACEE-64E63C87CD42}" name="Table2" displayName="Table2" ref="K19:L28" totalsRowShown="0" dataDxfId="297" dataCellStyle="Content normal">
  <autoFilter ref="K19:L28" xr:uid="{27B93029-EB1F-4C4A-A946-CD673A8A6C46}">
    <filterColumn colId="0" hiddenButton="1"/>
    <filterColumn colId="1" hiddenButton="1"/>
  </autoFilter>
  <tableColumns count="2">
    <tableColumn id="1" xr3:uid="{72282596-029B-4DB6-B400-D2B43E4BE890}" name="Fertiliser type f" dataDxfId="296" dataCellStyle="Content normal">
      <calculatedColumnFormula array="1">Common_InputFunctions.Utility_DisplayArrayInTable(Fertiliser_SourceData.Fertiliser_FractionNCommonFertilisers_Data(), Table2[[#Headers],[Fertiliser type f]], 0)</calculatedColumnFormula>
    </tableColumn>
    <tableColumn id="2" xr3:uid="{D56174FE-2623-4C4D-9704-167A0EE509AF}" name="FNinorganic f" dataDxfId="295" dataCellStyle="Content normal">
      <calculatedColumnFormula array="1">Common_InputFunctions.Utility_DisplayArrayInTable(Fertiliser_SourceData.Fertiliser_FractionNCommonFertilisers_Data(), Table2[[#Headers],[Fertiliser type f]], 0)</calculatedColumnFormula>
    </tableColumn>
  </tableColumns>
  <tableStyleInfo name="Equation table" showFirstColumn="0" showLastColumn="0" showRowStripes="1" showColumnStripes="0"/>
</table>
</file>

<file path=xl/tables/table7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1" xr:uid="{85E38D14-233B-4D15-AC91-A6F42E4E7EA3}" name="Table28" displayName="Table28" ref="Q19:R28" totalsRowShown="0" dataDxfId="294" dataCellStyle="Content normal">
  <autoFilter ref="Q19:R28" xr:uid="{791CEA59-796C-47AB-86BC-41E8F699030C}">
    <filterColumn colId="0" hiddenButton="1"/>
    <filterColumn colId="1" hiddenButton="1"/>
  </autoFilter>
  <tableColumns count="2">
    <tableColumn id="1" xr3:uid="{D06F0DEA-3AFA-4B7C-B9FC-9510C9C701BD}" name="Fertiliser type f" dataDxfId="293" dataCellStyle="Content normal">
      <calculatedColumnFormula array="1">Common_InputFunctions.Utility_DisplayArrayInTable(Fertiliser_SourceData.Fertiliser_FractionUreaCommonFertilisers_Data(), Table28[[#Headers],[Fertiliser type f]], 0)</calculatedColumnFormula>
    </tableColumn>
    <tableColumn id="2" xr3:uid="{32DEC9B6-C18E-489E-88A4-A4D16E597A7F}" name="FNinorganic f" dataDxfId="292" dataCellStyle="Content normal">
      <calculatedColumnFormula array="1">Common_InputFunctions.Utility_DisplayArrayInTable(Fertiliser_SourceData.Fertiliser_FractionUreaCommonFertilisers_Data(), Table28[[#Headers],[Fertiliser type f]], 0)</calculatedColumnFormula>
    </tableColumn>
  </tableColumns>
  <tableStyleInfo name="Equation table" showFirstColumn="0" showLastColumn="0" showRowStripes="1" showColumnStripes="0"/>
</table>
</file>

<file path=xl/tables/table8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2" xr:uid="{17B21BE8-985C-41F6-968D-D8D693A08291}" name="Table_SourceData_Fertiliser_UreaAmmoniaSources" displayName="Table_SourceData_Fertiliser_UreaAmmoniaSources" ref="V19:V23" totalsRowShown="0">
  <autoFilter ref="V19:V23" xr:uid="{FCD2F96D-F34B-40EA-87DE-66D680DF332D}">
    <filterColumn colId="0" hiddenButton="1"/>
  </autoFilter>
  <tableColumns count="1">
    <tableColumn id="1" xr3:uid="{43EF5DE3-4AA8-402F-AAB1-9759B94AEAEA}" name="Source">
      <calculatedColumnFormula array="1">Common_InputFunctions.Utility_DisplayArrayInTable(Fertiliser_SourceData.Fertiliser_UreaAmmoniaSourceRegions_Data(),Table_SourceData_Fertiliser_UreaAmmoniaSources[[#Headers],[Source]],0)</calculatedColumnFormula>
    </tableColumn>
  </tableColumns>
  <tableStyleInfo name="Equation table" showFirstColumn="0" showLastColumn="0" showRowStripes="1" showColumnStripes="0"/>
</table>
</file>

<file path=xl/tables/table8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8" xr:uid="{21EA0F9B-B8AB-4725-8B30-0F24796B04CC}" name="Table_Fuel_EFs_StationaryLiquid" displayName="Table_Fuel_EFs_StationaryLiquid" ref="D53:K77" totalsRowShown="0" headerRowDxfId="291" dataDxfId="290">
  <autoFilter ref="D53:K77" xr:uid="{2781308E-D97C-445B-A805-DE74F822CC4F}">
    <filterColumn colId="0" hiddenButton="1"/>
    <filterColumn colId="1" hiddenButton="1"/>
    <filterColumn colId="2" hiddenButton="1"/>
    <filterColumn colId="3" hiddenButton="1"/>
    <filterColumn colId="4" hiddenButton="1"/>
    <filterColumn colId="5" hiddenButton="1"/>
    <filterColumn colId="6" hiddenButton="1"/>
    <filterColumn colId="7" hiddenButton="1"/>
  </autoFilter>
  <tableColumns count="8">
    <tableColumn id="1" xr3:uid="{BAA6C03C-3BFE-4762-8043-AF03222CFAF7}" name="Fuel combusted" dataDxfId="289">
      <calculatedColumnFormula array="1">Common_InputFunctions.Utility_DisplayArrayInTable(Fuel_SourceData.Fuel_Scope1Scope3EmissionFactorsStationaryLiquid_Data(), Table_Fuel_EFs_StationaryLiquid[[#Headers],[Fuel combusted]],0)</calculatedColumnFormula>
    </tableColumn>
    <tableColumn id="2" xr3:uid="{DBBA66F7-A811-43E4-AF9C-A66650B4DAC1}" name="Energy Content Factor (GJ per unit of fuel)" dataDxfId="288">
      <calculatedColumnFormula array="1">Common_InputFunctions.Utility_DisplayArrayInTable(Fuel_SourceData.Fuel_Scope1Scope3EmissionFactorsStationaryLiquid_Data(), Table_Fuel_EFs_StationaryLiquid[[#Headers],[Fuel combusted]],0)</calculatedColumnFormula>
    </tableColumn>
    <tableColumn id="3" xr3:uid="{625426D9-F016-475C-8CB4-D53F3F9A0708}" name="Fuel unit" dataDxfId="287">
      <calculatedColumnFormula array="1">Common_InputFunctions.Utility_DisplayArrayInTable(Fuel_SourceData.Fuel_Scope1Scope3EmissionFactorsStationaryLiquid_Data(), Table_Fuel_EFs_StationaryLiquid[[#Headers],[Fuel combusted]],0)</calculatedColumnFormula>
    </tableColumn>
    <tableColumn id="4" xr3:uid="{EA22DBE1-6945-49F6-AB0B-1C28BEB63B4D}" name="Scope 1 Emission Factor (kg CO2 - e / GJ) CO2" dataDxfId="286">
      <calculatedColumnFormula array="1">Common_InputFunctions.Utility_DisplayArrayInTable(Fuel_SourceData.Fuel_Scope1Scope3EmissionFactorsStationaryLiquid_Data(), Table_Fuel_EFs_StationaryLiquid[[#Headers],[Fuel combusted]],0)</calculatedColumnFormula>
    </tableColumn>
    <tableColumn id="5" xr3:uid="{06EA6B00-51A6-40A5-B0E2-401C1C77FF8B}" name="Scope 1 Emission Factor (kg CO2 - e / GJ) CH4" dataDxfId="285">
      <calculatedColumnFormula array="1">Common_InputFunctions.Utility_DisplayArrayInTable(Fuel_SourceData.Fuel_Scope1Scope3EmissionFactorsStationaryLiquid_Data(), Table_Fuel_EFs_StationaryLiquid[[#Headers],[Fuel combusted]],0)</calculatedColumnFormula>
    </tableColumn>
    <tableColumn id="6" xr3:uid="{9EB99B4F-BB73-46A0-B4CF-170FD811F61F}" name="Scope 1 Emission Factor (kg CO2 - e / GJ) N2O" dataDxfId="284">
      <calculatedColumnFormula array="1">Common_InputFunctions.Utility_DisplayArrayInTable(Fuel_SourceData.Fuel_Scope1Scope3EmissionFactorsStationaryLiquid_Data(), Table_Fuel_EFs_StationaryLiquid[[#Headers],[Fuel combusted]],0)</calculatedColumnFormula>
    </tableColumn>
    <tableColumn id="7" xr3:uid="{AA9C2AF4-0BF7-4008-912B-F6A6AE8265D0}" name="Scope 1 Emission Factor (kg CO2 - e / GJ) Combined gases" dataDxfId="283">
      <calculatedColumnFormula array="1">Common_InputFunctions.Utility_DisplayArrayInTable(Fuel_SourceData.Fuel_Scope1Scope3EmissionFactorsStationaryLiquid_Data(), Table_Fuel_EFs_StationaryLiquid[[#Headers],[Fuel combusted]],0)</calculatedColumnFormula>
    </tableColumn>
    <tableColumn id="8" xr3:uid="{4A09F430-F14E-40DD-874F-CEE356001C7F}" name="Scope 3 Emission Factor (kg CO2 - e / GJ)" dataDxfId="282">
      <calculatedColumnFormula array="1">Common_InputFunctions.Utility_DisplayArrayInTable(Fuel_SourceData.Fuel_Scope1Scope3EmissionFactorsStationaryLiquid_Data(), Table_Fuel_EFs_StationaryLiquid[[#Headers],[Fuel combusted]],0)</calculatedColumnFormula>
    </tableColumn>
  </tableColumns>
  <tableStyleInfo name="Equation table" showFirstColumn="0" showLastColumn="0" showRowStripes="1" showColumnStripes="0"/>
</table>
</file>

<file path=xl/tables/table8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9" xr:uid="{5B9718F4-381C-4219-8004-828B3D33D7C3}" name="Table_Fuel_EFs_Transport" displayName="Table_Fuel_EFs_Transport" ref="D9:L34" totalsRowShown="0" headerRowDxfId="281" dataDxfId="280">
  <autoFilter ref="D9:L34" xr:uid="{52589EE1-5F69-4B49-BF30-7629445C4436}">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autoFilter>
  <tableColumns count="9">
    <tableColumn id="1" xr3:uid="{AFB9BEA7-441F-460A-8435-DE10A7BB6042}" name="Transport type" dataDxfId="279">
      <calculatedColumnFormula array="1">Common_InputFunctions.Utility_DisplayArrayInTable(Fuel_SourceData.Fuel_Scope1Scope3EmissionFactorsTransport_Data(), Table_Fuel_EFs_Transport[[#Headers],[Transport type]], 0)</calculatedColumnFormula>
    </tableColumn>
    <tableColumn id="2" xr3:uid="{EEC17ECC-05CB-4964-B9A9-9A56581999E2}" name="Fuel combusted" dataDxfId="278">
      <calculatedColumnFormula array="1">Common_InputFunctions.Utility_DisplayArrayInTable(Fuel_SourceData.Fuel_Scope1Scope3EmissionFactorsTransport_Data(), Table_Fuel_EFs_Transport[[#Headers],[Transport type]], 0)</calculatedColumnFormula>
    </tableColumn>
    <tableColumn id="3" xr3:uid="{48B5A66A-FDCD-4D0D-B46F-BC526BA6D13F}" name="Energy Content Factor (GJ per unit of fuel)" dataDxfId="277">
      <calculatedColumnFormula array="1">Common_InputFunctions.Utility_DisplayArrayInTable(Fuel_SourceData.Fuel_Scope1Scope3EmissionFactorsTransport_Data(), Table_Fuel_EFs_Transport[[#Headers],[Transport type]], 0)</calculatedColumnFormula>
    </tableColumn>
    <tableColumn id="4" xr3:uid="{DCA23CD8-846C-421B-9C82-0E8BE0C2DB98}" name="Fuel unit" dataDxfId="276">
      <calculatedColumnFormula array="1">Common_InputFunctions.Utility_DisplayArrayInTable(Fuel_SourceData.Fuel_Scope1Scope3EmissionFactorsTransport_Data(), Table_Fuel_EFs_Transport[[#Headers],[Transport type]], 0)</calculatedColumnFormula>
    </tableColumn>
    <tableColumn id="8" xr3:uid="{6A7031C0-062B-44B0-A7C0-63D6746BD6F3}" name="Scope 1 Emission Factor (kg CO2 - e / GJ) CO2" dataDxfId="275">
      <calculatedColumnFormula array="1">Common_InputFunctions.Utility_DisplayArrayInTable(Fuel_SourceData.Fuel_Scope1Scope3EmissionFactorsTransport_Data(), Table_Fuel_EFs_Transport[[#Headers],[Transport type]], 0)</calculatedColumnFormula>
    </tableColumn>
    <tableColumn id="9" xr3:uid="{B6586960-7DA4-4D22-9DB8-2ED514CC2E26}" name="Scope 1 Emission Factor (kg CO2 - e / GJ) CH4" dataDxfId="274">
      <calculatedColumnFormula array="1">Common_InputFunctions.Utility_DisplayArrayInTable(Fuel_SourceData.Fuel_Scope1Scope3EmissionFactorsTransport_Data(), Table_Fuel_EFs_Transport[[#Headers],[Transport type]], 0)</calculatedColumnFormula>
    </tableColumn>
    <tableColumn id="10" xr3:uid="{4E5091BB-5C4A-4EA0-981A-DBCDDBA6140F}" name="Scope 1 Emission Factor (kg CO2 - e / GJ) N2O" dataDxfId="273">
      <calculatedColumnFormula array="1">Common_InputFunctions.Utility_DisplayArrayInTable(Fuel_SourceData.Fuel_Scope1Scope3EmissionFactorsTransport_Data(), Table_Fuel_EFs_Transport[[#Headers],[Transport type]], 0)</calculatedColumnFormula>
    </tableColumn>
    <tableColumn id="11" xr3:uid="{B4E53F30-D1C3-429E-AF46-97DAD3D544EC}" name="Scope 1 Emission Factor (kg CO2 - e / GJ) Combined gases" dataDxfId="272">
      <calculatedColumnFormula array="1">Common_InputFunctions.Utility_DisplayArrayInTable(Fuel_SourceData.Fuel_Scope1Scope3EmissionFactorsTransport_Data(), Table_Fuel_EFs_Transport[[#Headers],[Transport type]], 0)</calculatedColumnFormula>
    </tableColumn>
    <tableColumn id="12" xr3:uid="{2E8D39F8-5FA4-4686-BBF7-6289FCC0A12B}" name="Scope 3 Emission Factor (kg CO2 - e / GJ)" dataDxfId="271">
      <calculatedColumnFormula array="1">Common_InputFunctions.Utility_DisplayArrayInTable(Fuel_SourceData.Fuel_Scope1Scope3EmissionFactorsTransport_Data(), Table_Fuel_EFs_Transport[[#Headers],[Transport type]], 0)</calculatedColumnFormula>
    </tableColumn>
  </tableColumns>
  <tableStyleInfo name="Equation table" showFirstColumn="0" showLastColumn="0" showRowStripes="1" showColumnStripes="0"/>
</table>
</file>

<file path=xl/tables/table8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0" xr:uid="{AEEBB235-F18E-4B3E-99FE-49081B0D0DCD}" name="Table_FuelTypesPerUse" displayName="Table_FuelTypesPerUse" ref="D130:I139" totalsRowShown="0" headerRowDxfId="270" dataDxfId="269">
  <autoFilter ref="D130:I139" xr:uid="{5CE27F6B-DBAC-48D7-85B3-77E92E77D6C0}">
    <filterColumn colId="0" hiddenButton="1"/>
    <filterColumn colId="1" hiddenButton="1"/>
    <filterColumn colId="2" hiddenButton="1"/>
    <filterColumn colId="3" hiddenButton="1"/>
    <filterColumn colId="4" hiddenButton="1"/>
    <filterColumn colId="5" hiddenButton="1"/>
  </autoFilter>
  <tableColumns count="6">
    <tableColumn id="1" xr3:uid="{69584187-881D-4F8C-B16D-65C4F2E4FE9B}" name="Generators" dataDxfId="268"/>
    <tableColumn id="2" xr3:uid="{3CD77CE8-26BA-42B9-8F23-AFF85CFEC26A}" name="Power standalone machinery or heating" dataDxfId="267"/>
    <tableColumn id="3" xr3:uid="{0CD36D3E-302E-435F-A2C1-A2E27E70D8CF}" name="Aviation" dataDxfId="266"/>
    <tableColumn id="5" xr3:uid="{476F57C1-A923-4D99-8C07-25F31B0AE497}" name="Cars and light commercial vehicles" dataDxfId="265"/>
    <tableColumn id="7" xr3:uid="{EFAE8741-089F-4CDC-84F1-EBCA63EBF252}" name="Off-road Agriculture and forestry equipment" dataDxfId="264" dataCellStyle="Content bold"/>
    <tableColumn id="8" xr3:uid="{3B6E8AFC-3218-4303-B45E-157FE479D3F1}" name="Vessels" dataDxfId="263" dataCellStyle="Content bold"/>
  </tableColumns>
  <tableStyleInfo name="Equation table" showFirstColumn="0" showLastColumn="0" showRowStripes="1" showColumnStripes="0"/>
</table>
</file>

<file path=xl/tables/table8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1" xr:uid="{DEC5EA04-EE8D-45C2-B7B5-2DE879D1FB6A}" name="Table_Fuel_EFs_StationaryGaseous" displayName="Table_Fuel_EFs_StationaryGaseous" ref="D86:J104" totalsRowShown="0" headerRowDxfId="262" dataDxfId="261">
  <autoFilter ref="D86:J104" xr:uid="{2DFA7F9E-607A-4EC9-89A5-ADF4BF63C858}">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D8F690AD-087C-4F1E-B72E-C579CEA936E8}" name="Fuel combusted" dataDxfId="260">
      <calculatedColumnFormula array="1">Common_InputFunctions.Utility_DisplayArrayInTable(Fuel_SourceData.Fuel_Scope1EmissionFactorsStationaryGaseous_Data(), Table_Fuel_EFs_StationaryGaseous[[#Headers],[Fuel combusted]],0)</calculatedColumnFormula>
    </tableColumn>
    <tableColumn id="2" xr3:uid="{9F811141-FE7C-4955-ABD0-0504A23548D6}" name="Energy Content Factor (GJ per unit of fuel)" dataDxfId="259">
      <calculatedColumnFormula array="1">Common_InputFunctions.Utility_DisplayArrayInTable(Fuel_SourceData.Fuel_Scope1EmissionFactorsStationaryGaseous_Data(), Table_Fuel_EFs_StationaryGaseous[[#Headers],[Fuel combusted]],0)</calculatedColumnFormula>
    </tableColumn>
    <tableColumn id="3" xr3:uid="{56D3121C-01C2-4053-B237-F4283DE8575C}" name="Fuel unit" dataDxfId="258">
      <calculatedColumnFormula array="1">Common_InputFunctions.Utility_DisplayArrayInTable(Fuel_SourceData.Fuel_Scope1EmissionFactorsStationaryGaseous_Data(), Table_Fuel_EFs_StationaryGaseous[[#Headers],[Fuel combusted]],0)</calculatedColumnFormula>
    </tableColumn>
    <tableColumn id="4" xr3:uid="{AEF3A16E-076A-4B99-9060-BBDB03985C05}" name="Scope 1 Emission Factor (kg CO2 - e / GJ) CO2" dataDxfId="257">
      <calculatedColumnFormula array="1">Common_InputFunctions.Utility_DisplayArrayInTable(Fuel_SourceData.Fuel_Scope1EmissionFactorsStationaryGaseous_Data(), Table_Fuel_EFs_StationaryGaseous[[#Headers],[Fuel combusted]],0)</calculatedColumnFormula>
    </tableColumn>
    <tableColumn id="5" xr3:uid="{DFDF9F48-E072-4A0B-9AFC-4F220E79CCAD}" name="Scope 1 Emission Factor (kg CO2 - e / GJ) CH4" dataDxfId="256">
      <calculatedColumnFormula array="1">Common_InputFunctions.Utility_DisplayArrayInTable(Fuel_SourceData.Fuel_Scope1EmissionFactorsStationaryGaseous_Data(), Table_Fuel_EFs_StationaryGaseous[[#Headers],[Fuel combusted]],0)</calculatedColumnFormula>
    </tableColumn>
    <tableColumn id="6" xr3:uid="{1EB46C74-5727-46B7-8195-32F6963D8B4B}" name="Scope 1 Emission Factor (kg CO2 - e / GJ) N2O" dataDxfId="255">
      <calculatedColumnFormula array="1">Common_InputFunctions.Utility_DisplayArrayInTable(Fuel_SourceData.Fuel_Scope1EmissionFactorsStationaryGaseous_Data(), Table_Fuel_EFs_StationaryGaseous[[#Headers],[Fuel combusted]],0)</calculatedColumnFormula>
    </tableColumn>
    <tableColumn id="7" xr3:uid="{552BDB9A-2FEB-4FDE-9BD9-4E714D5A6784}" name="Scope 1 Emission Factor (kg CO2 - e / GJ) Combined gases" dataDxfId="254">
      <calculatedColumnFormula array="1">Common_InputFunctions.Utility_DisplayArrayInTable(Fuel_SourceData.Fuel_Scope1EmissionFactorsStationaryGaseous_Data(), Table_Fuel_EFs_StationaryGaseous[[#Headers],[Fuel combusted]],0)</calculatedColumnFormula>
    </tableColumn>
  </tableColumns>
  <tableStyleInfo name="Equation table" showFirstColumn="0" showLastColumn="0" showRowStripes="1" showColumnStripes="0"/>
</table>
</file>

<file path=xl/tables/table8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2" xr:uid="{A407A742-F949-4E4C-832C-17D3BD9A876C}" name="Table_Fuel_EFs_StationaryGaseous34" displayName="Table_Fuel_EFs_StationaryGaseous34" ref="D112:G120" headerRowDxfId="253" totalsRowDxfId="252">
  <autoFilter ref="D112:G120" xr:uid="{7D6CE29D-2354-4FAC-9965-9A66FFA42416}">
    <filterColumn colId="0" hiddenButton="1"/>
    <filterColumn colId="1" hiddenButton="1"/>
    <filterColumn colId="2" hiddenButton="1"/>
    <filterColumn colId="3" hiddenButton="1"/>
  </autoFilter>
  <tableColumns count="4">
    <tableColumn id="1" xr3:uid="{06DD56C2-762E-4939-BA34-BAE6BC9D5D7B}" name="State or territory" totalsRowDxfId="251">
      <calculatedColumnFormula array="1">Common_InputFunctions.Utility_DisplayArrayInTable(Fuel_SourceData.Fuel_Scope3EmissionFactorsStationaryGaseous_Data(), Table_Fuel_EFs_StationaryGaseous34[[#Headers],[State or territory]],0)</calculatedColumnFormula>
    </tableColumn>
    <tableColumn id="2" xr3:uid="{AB79BF9D-EF56-4C22-84AF-4AEC4DDE8E71}" name="Metro" totalsRowDxfId="250">
      <calculatedColumnFormula array="1">Common_InputFunctions.Utility_DisplayArrayInTable(Fuel_SourceData.Fuel_Scope3EmissionFactorsStationaryGaseous_Data(), Table_Fuel_EFs_StationaryGaseous34[[#Headers],[State or territory]],0)</calculatedColumnFormula>
    </tableColumn>
    <tableColumn id="3" xr3:uid="{C6B12073-9CCD-4132-941D-11B6D0D16A2C}" name="Non-metro" totalsRowDxfId="249">
      <calculatedColumnFormula array="1">Common_InputFunctions.Utility_DisplayArrayInTable(Fuel_SourceData.Fuel_Scope3EmissionFactorsStationaryGaseous_Data(), Table_Fuel_EFs_StationaryGaseous34[[#Headers],[State or territory]],0)</calculatedColumnFormula>
    </tableColumn>
    <tableColumn id="4" xr3:uid="{D65F3712-4B44-404D-86B1-ABC32A2235EB}" name="Column1" dataDxfId="0" totalsRowDxfId="1" dataCellStyle="Content normal"/>
  </tableColumns>
  <tableStyleInfo name="Equation table" showFirstColumn="0" showLastColumn="0" showRowStripes="1" showColumnStripes="0"/>
</table>
</file>

<file path=xl/tables/table8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3" xr:uid="{BDDB9C74-9006-4A62-8AFB-857D1CEA88E1}" name="Table_FuelTypes_Units" displayName="Table_FuelTypes_Units" ref="D142:F162" totalsRowShown="0">
  <autoFilter ref="D142:F162" xr:uid="{74386805-E5CF-44F9-982C-CBCADB323E30}">
    <filterColumn colId="0" hiddenButton="1"/>
    <filterColumn colId="1" hiddenButton="1"/>
    <filterColumn colId="2" hiddenButton="1"/>
  </autoFilter>
  <tableColumns count="3">
    <tableColumn id="1" xr3:uid="{DF5BC1E0-B626-4BA4-A62F-684C948729F7}" name="Fuel type"/>
    <tableColumn id="2" xr3:uid="{C60E316D-3FD9-4C45-8485-9125E69C947D}" name="Unit"/>
    <tableColumn id="3" xr3:uid="{60175D1E-9023-46EB-8A94-A5CBD7F339F3}" name="Input Unit" dataDxfId="248"/>
  </tableColumns>
  <tableStyleInfo name="Equation table" showFirstColumn="0" showLastColumn="0" showRowStripes="1" showColumnStripes="0"/>
</table>
</file>

<file path=xl/tables/table8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4" xr:uid="{A4F53440-F092-40A7-BE7C-91777E35D5F7}" name="Table_SourceData_Fuel_TransportOffroad" displayName="Table_SourceData_Fuel_TransportOffroad" ref="D39:J43" totalsRowShown="0">
  <autoFilter ref="D39:J43" xr:uid="{456A2798-6FBD-4412-969A-03F7173DF55E}">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037B6595-6284-4AC8-B668-F9F8FE8957F2}" name="Transport type t">
      <calculatedColumnFormula array="1">Common_InputFunctions.Utility_DisplayArrayInTable(Fuel_SourceData.Fuel_Scope1Scope3EmissionFactorsTransportOffRoad_Data(), Table_SourceData_Fuel_TransportOffroad[[#Headers],[Transport type t]],0)</calculatedColumnFormula>
    </tableColumn>
    <tableColumn id="2" xr3:uid="{9A934273-1EF2-461B-8F2B-62CE4AEA6507}" name="Fuel type q" dataDxfId="247" dataCellStyle="Content normal">
      <calculatedColumnFormula array="1">Common_InputFunctions.Utility_DisplayArrayInTable(Fuel_SourceData.Fuel_Scope1Scope3EmissionFactorsTransportOffRoad_Data(), Table_SourceData_Fuel_TransportOffroad[[#Headers],[Transport type t]],0)</calculatedColumnFormula>
    </tableColumn>
    <tableColumn id="3" xr3:uid="{C32CFCA0-7ED9-4611-BDC1-912C288CBDD4}" name="ECTrans,q (GJ/kL)" dataDxfId="246" dataCellStyle="Content normal">
      <calculatedColumnFormula array="1">Common_InputFunctions.Utility_DisplayArrayInTable(Fuel_SourceData.Fuel_Scope1Scope3EmissionFactorsTransportOffRoad_Data(), Table_SourceData_Fuel_TransportOffroad[[#Headers],[Transport type t]],0)</calculatedColumnFormula>
    </tableColumn>
    <tableColumn id="4" xr3:uid="{6BF46502-5F1D-4FF5-8769-E0CAB87E04A6}" name="Scope 1 CO2 EFTran,1,tqg (kg CO2-e/GJ)" dataDxfId="245" dataCellStyle="Content normal">
      <calculatedColumnFormula array="1">Common_InputFunctions.Utility_DisplayArrayInTable(Fuel_SourceData.Fuel_Scope1Scope3EmissionFactorsTransportOffRoad_Data(), Table_SourceData_Fuel_TransportOffroad[[#Headers],[Transport type t]],0)</calculatedColumnFormula>
    </tableColumn>
    <tableColumn id="5" xr3:uid="{D2734588-98D7-4613-A9BD-EE4C9CF3DF92}" name="Scope 1 CH4 EFTran,1,tgg (kg CO2-e/GJ)" dataDxfId="244" dataCellStyle="Content normal">
      <calculatedColumnFormula array="1">Common_InputFunctions.Utility_DisplayArrayInTable(Fuel_SourceData.Fuel_Scope1Scope3EmissionFactorsTransportOffRoad_Data(), Table_SourceData_Fuel_TransportOffroad[[#Headers],[Transport type t]],0)</calculatedColumnFormula>
    </tableColumn>
    <tableColumn id="6" xr3:uid="{FACAAE19-C5F6-487B-8C99-12C8F81AA0A1}" name="Scope 1 N2O EFTran,1,tgg (kg CO2-e/GJ)" dataDxfId="243" dataCellStyle="Content normal">
      <calculatedColumnFormula array="1">Common_InputFunctions.Utility_DisplayArrayInTable(Fuel_SourceData.Fuel_Scope1Scope3EmissionFactorsTransportOffRoad_Data(), Table_SourceData_Fuel_TransportOffroad[[#Headers],[Transport type t]],0)</calculatedColumnFormula>
    </tableColumn>
    <tableColumn id="7" xr3:uid="{EBD22F6D-B6CB-46A8-92AA-C6EED8A47566}" name="Scope 3 EFTrans,3,q (kg CO2-e/GJ)" dataDxfId="242" dataCellStyle="Content normal">
      <calculatedColumnFormula array="1">Common_InputFunctions.Utility_DisplayArrayInTable(Fuel_SourceData.Fuel_Scope1Scope3EmissionFactorsTransportOffRoad_Data(), Table_SourceData_Fuel_TransportOffroad[[#Headers],[Transport type t]],0)</calculatedColumnFormula>
    </tableColumn>
  </tableColumns>
  <tableStyleInfo name="Equation table" showFirstColumn="0" showLastColumn="0" showRowStripes="1" showColumnStripes="0"/>
</table>
</file>

<file path=xl/tables/table8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9" xr:uid="{33E01F44-4BC4-4090-A796-16A207972352}" name="Table_SourceData_Scope3_Animals110" displayName="Table_SourceData_Scope3_Animals110" ref="D33:J74" totalsRowShown="0">
  <autoFilter ref="D33:J74" xr:uid="{750CD25E-51AF-4085-A595-601E6358D38C}">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B53D6D2D-006A-45EE-B16C-37EB1B5A8B34}" name="Category" dataDxfId="241" dataCellStyle="Content normal">
      <calculatedColumnFormula array="1">Common_InputFunctions.Utility_DisplayArrayInTable(Scope3_SourceData.Scope3_Livestock_Data(), Table_SourceData_Scope3_Animals110[[#Headers],[Category]], 0, 2)</calculatedColumnFormula>
    </tableColumn>
    <tableColumn id="2" xr3:uid="{FFB97318-A80E-40D9-A011-86AAA3074333}" name="Product" dataDxfId="240" dataCellStyle="Content normal">
      <calculatedColumnFormula array="1">Common_InputFunctions.Utility_DisplayArrayInTable(Scope3_SourceData.Scope3_Livestock_Data(), Table_SourceData_Scope3_Animals110[[#Headers],[Category]], 0, 2)</calculatedColumnFormula>
    </tableColumn>
    <tableColumn id="3" xr3:uid="{1BFE6A54-2793-4453-9F1B-799DEAD76BEF}" name="Region of origin" dataDxfId="239" dataCellStyle="Content normal">
      <calculatedColumnFormula array="1">Common_InputFunctions.Utility_DisplayArrayInTable(Scope3_SourceData.Scope3_Livestock_Data(), Table_SourceData_Scope3_Animals110[[#Headers],[Category]], 0, 2)</calculatedColumnFormula>
    </tableColumn>
    <tableColumn id="8" xr3:uid="{71FB8E98-70BC-4777-B670-F57515E7B8FB}" name="Quantity Unit" dataDxfId="238" dataCellStyle="Content normal">
      <calculatedColumnFormula array="1">Common_InputFunctions.Utility_DisplayArrayInTable(Scope3_SourceData.Scope3_Livestock_Data(), Table_SourceData_Scope3_Animals110[[#Headers],[Category]], 0, 2)</calculatedColumnFormula>
    </tableColumn>
    <tableColumn id="9" xr3:uid="{3B050A40-19DB-4548-B7A2-8B38CAA650C2}" name="Emissions intensity" dataDxfId="237" dataCellStyle="Content normal">
      <calculatedColumnFormula array="1">Common_InputFunctions.Utility_DisplayArrayInTable(Scope3_SourceData.Scope3_Livestock_Data(), Table_SourceData_Scope3_Animals110[[#Headers],[Category]], 0, 2)</calculatedColumnFormula>
    </tableColumn>
    <tableColumn id="10" xr3:uid="{8A3450F0-9C14-49C3-B4AD-1DF21AC0E321}" name="System boundary" dataDxfId="236" dataCellStyle="Content normal">
      <calculatedColumnFormula array="1">Common_InputFunctions.Utility_DisplayArrayInTable(Scope3_SourceData.Scope3_Livestock_Data(), Table_SourceData_Scope3_Animals110[[#Headers],[Category]], 0, 2)</calculatedColumnFormula>
    </tableColumn>
    <tableColumn id="4" xr3:uid="{C0F75DB3-F4B1-477E-8AF2-EEB8C1BF9B7B}" name="Source" dataDxfId="235" dataCellStyle="Content normal"/>
  </tableColumns>
  <tableStyleInfo name="Equation table" showFirstColumn="0" showLastColumn="0" showRowStripes="1" showColumnStripes="0"/>
</table>
</file>

<file path=xl/tables/table8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0" xr:uid="{D00F23A0-8AFF-4391-942A-3D4ADA0000CF}" name="Table_SourceData_Scope3_ChemicalsCleaning" displayName="Table_SourceData_Scope3_ChemicalsCleaning" ref="D77:J80" totalsRowShown="0">
  <autoFilter ref="D77:J80" xr:uid="{10291E5F-4512-44BD-934A-80D446AD4B71}">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EAD075DD-76B4-4533-9BD1-151211BFCBDE}" name="Category" dataDxfId="234" dataCellStyle="Content normal">
      <calculatedColumnFormula array="1">Common_InputFunctions.Utility_DisplayArrayInTable(Scope3_SourceData.Scope3_Chemicals_Data(), Table_SourceData_Scope3_ChemicalsCleaning[[#Headers],[Category]], 0, 2)</calculatedColumnFormula>
    </tableColumn>
    <tableColumn id="2" xr3:uid="{927A6232-73FE-445F-A789-3F18BB947602}" name="Product" dataDxfId="233" dataCellStyle="Content normal">
      <calculatedColumnFormula array="1">Common_InputFunctions.Utility_DisplayArrayInTable(Scope3_SourceData.Scope3_Chemicals_Data(), Table_SourceData_Scope3_ChemicalsCleaning[[#Headers],[Category]], 0, 2)</calculatedColumnFormula>
    </tableColumn>
    <tableColumn id="3" xr3:uid="{D5131F7F-60E3-401C-9F5E-DCD2D35FDDA3}" name="Region of origin" dataDxfId="232" dataCellStyle="Content normal">
      <calculatedColumnFormula array="1">Common_InputFunctions.Utility_DisplayArrayInTable(Scope3_SourceData.Scope3_Chemicals_Data(), Table_SourceData_Scope3_ChemicalsCleaning[[#Headers],[Category]], 0, 2)</calculatedColumnFormula>
    </tableColumn>
    <tableColumn id="8" xr3:uid="{AA298A28-C82E-4243-A78D-798A746EE296}" name="Quantity Unit" dataDxfId="231" dataCellStyle="Content normal">
      <calculatedColumnFormula array="1">Common_InputFunctions.Utility_DisplayArrayInTable(Scope3_SourceData.Scope3_Chemicals_Data(), Table_SourceData_Scope3_ChemicalsCleaning[[#Headers],[Category]], 0, 2)</calculatedColumnFormula>
    </tableColumn>
    <tableColumn id="9" xr3:uid="{B90C5488-A5D2-4024-ABE3-2273D49FC8C8}" name="Emissions intensity" dataDxfId="230" dataCellStyle="Content normal">
      <calculatedColumnFormula array="1">Common_InputFunctions.Utility_DisplayArrayInTable(Scope3_SourceData.Scope3_Chemicals_Data(), Table_SourceData_Scope3_ChemicalsCleaning[[#Headers],[Category]], 0, 2)</calculatedColumnFormula>
    </tableColumn>
    <tableColumn id="10" xr3:uid="{EBDC80CC-E4D4-4981-9629-49BDEF32751E}" name="System boundary" dataDxfId="229" dataCellStyle="Content normal">
      <calculatedColumnFormula array="1">Common_InputFunctions.Utility_DisplayArrayInTable(Scope3_SourceData.Scope3_Chemicals_Data(), Table_SourceData_Scope3_ChemicalsCleaning[[#Headers],[Category]], 0, 2)</calculatedColumnFormula>
    </tableColumn>
    <tableColumn id="4" xr3:uid="{3AA6264D-C160-4903-A9CF-30B982D07129}" name="Source" dataDxfId="228" dataCellStyle="Content normal"/>
  </tableColumns>
  <tableStyleInfo name="Equation table" showFirstColumn="0" showLastColumn="0" showRowStripes="1" showColumnStripes="0"/>
</table>
</file>

<file path=xl/tables/table9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1" xr:uid="{644E4FF8-5608-49B2-9818-D273F711F09F}" name="Table_SourceData_Scope3_Feed" displayName="Table_SourceData_Scope3_Feed" ref="D89:J158" dataDxfId="227" dataCellStyle="Content normal">
  <autoFilter ref="D89:J158" xr:uid="{7C99A3AF-4B60-47B5-BB9C-19833DBDFFC5}">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DD0500F4-CD1E-4145-BF7D-56672441C23C}" name="Category" totalsRowFunction="custom" dataDxfId="226" totalsRowDxfId="225" dataCellStyle="Content normal">
      <calculatedColumnFormula array="1">Common_InputFunctions.Utility_DisplayArrayInTable(Scope3_SourceData.Scope3_Feed_Data(), Table_SourceData_Scope3_Feed[[#Headers],[Category]], 0, 2)</calculatedColumnFormula>
      <totalsRowFormula array="1">Common_InputFunctions.Utility_DisplayArrayInTable(Scope3_SourceData.Scope3_Feed_Data(), Table_SourceData_Scope3_Feed[[#Headers],[Category]], -5, 2)</totalsRowFormula>
    </tableColumn>
    <tableColumn id="2" xr3:uid="{2950A23B-3CDA-431A-9C95-39F88D2D67F2}" name="Product" totalsRowFunction="custom" dataDxfId="224" totalsRowDxfId="223" dataCellStyle="Content normal">
      <calculatedColumnFormula array="1">Common_InputFunctions.Utility_DisplayArrayInTable(Scope3_SourceData.Scope3_Feed_Data(), Table_SourceData_Scope3_Feed[[#Headers],[Category]], 0, 2)</calculatedColumnFormula>
      <totalsRowFormula array="1">Common_InputFunctions.Utility_DisplayArrayInTable(Scope3_SourceData.Scope3_Feed_Data(), Table_SourceData_Scope3_Feed[[#Headers],[Category]], -5, 2)</totalsRowFormula>
    </tableColumn>
    <tableColumn id="3" xr3:uid="{7D2C4AB1-6C5F-4721-B822-A9EA766C4476}" name="Region of origin" totalsRowFunction="custom" dataDxfId="222" totalsRowDxfId="221" dataCellStyle="Content normal">
      <calculatedColumnFormula array="1">Common_InputFunctions.Utility_DisplayArrayInTable(Scope3_SourceData.Scope3_Feed_Data(), Table_SourceData_Scope3_Feed[[#Headers],[Category]], 0, 2)</calculatedColumnFormula>
      <totalsRowFormula array="1">Common_InputFunctions.Utility_DisplayArrayInTable(Scope3_SourceData.Scope3_Feed_Data(), Table_SourceData_Scope3_Feed[[#Headers],[Category]], -5, 2)</totalsRowFormula>
    </tableColumn>
    <tableColumn id="8" xr3:uid="{B5DA063F-076C-4157-ACF6-FAEF79B8FB99}" name="Quantity Unit" totalsRowFunction="custom" dataDxfId="220" totalsRowDxfId="219" dataCellStyle="Content normal">
      <calculatedColumnFormula array="1">Common_InputFunctions.Utility_DisplayArrayInTable(Scope3_SourceData.Scope3_Feed_Data(), Table_SourceData_Scope3_Feed[[#Headers],[Category]], 0, 2)</calculatedColumnFormula>
      <totalsRowFormula array="1">Common_InputFunctions.Utility_DisplayArrayInTable(Scope3_SourceData.Scope3_Feed_Data(), Table_SourceData_Scope3_Feed[[#Headers],[Category]], -5, 2)</totalsRowFormula>
    </tableColumn>
    <tableColumn id="9" xr3:uid="{CFD63B39-8A2E-4662-8A25-B10FC454AB17}" name="Emissions intensity" totalsRowFunction="custom" dataDxfId="218" totalsRowDxfId="217" dataCellStyle="Content normal">
      <calculatedColumnFormula array="1">Common_InputFunctions.Utility_DisplayArrayInTable(Scope3_SourceData.Scope3_Feed_Data(), Table_SourceData_Scope3_Feed[[#Headers],[Category]], 0, 2)</calculatedColumnFormula>
      <totalsRowFormula array="1">Common_InputFunctions.Utility_DisplayArrayInTable(Scope3_SourceData.Scope3_Feed_Data(), Table_SourceData_Scope3_Feed[[#Headers],[Category]], -5, 2)</totalsRowFormula>
    </tableColumn>
    <tableColumn id="10" xr3:uid="{C2820029-2E2E-4DC2-8F03-421E444FEAF7}" name="System boundary" totalsRowFunction="custom" dataDxfId="216" totalsRowDxfId="215" dataCellStyle="Content normal">
      <calculatedColumnFormula array="1">Common_InputFunctions.Utility_DisplayArrayInTable(Scope3_SourceData.Scope3_Feed_Data(), Table_SourceData_Scope3_Feed[[#Headers],[Category]], 0, 2)</calculatedColumnFormula>
      <totalsRowFormula array="1">Common_InputFunctions.Utility_DisplayArrayInTable(Scope3_SourceData.Scope3_Feed_Data(), Table_SourceData_Scope3_Feed[[#Headers],[Category]], -5, 2)</totalsRowFormula>
    </tableColumn>
    <tableColumn id="4" xr3:uid="{D365D885-9143-45A4-B410-87C3FB15085D}" name="Source" totalsRowLabel="GHGEI-MIAFF" dataDxfId="214" totalsRowDxfId="213" dataCellStyle="Content normal"/>
  </tableColumns>
  <tableStyleInfo name="Equation table" showFirstColumn="0" showLastColumn="0" showRowStripes="1" showColumnStripes="0"/>
</table>
</file>

<file path=xl/tables/table9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2" xr:uid="{B3434085-71EC-46A1-AD1D-3A50675A8420}" name="Table_SourceData_Scope3_InorganicFertiliser" displayName="Table_SourceData_Scope3_InorganicFertiliser" ref="D173:N198" totalsRowShown="0">
  <autoFilter ref="D173:N198" xr:uid="{0DD1C989-E9CA-4596-81C6-3E0390BF715B}">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autoFilter>
  <tableColumns count="11">
    <tableColumn id="1" xr3:uid="{786102FA-B1D5-461E-B4CE-B1D2ECE0C84C}" name="Category">
      <calculatedColumnFormula array="1">Common_InputFunctions.Utility_DisplayArrayInTable(Scope3_SourceData.Scope3_InorganicFertilisers_Data(), Table_SourceData_Scope3_InorganicFertiliser[[#Headers],[Category]], 0, 2)</calculatedColumnFormula>
    </tableColumn>
    <tableColumn id="2" xr3:uid="{4C8E9087-9435-4EE5-9B34-C138B1C4E7DE}" name="Product">
      <calculatedColumnFormula array="1">Common_InputFunctions.Utility_DisplayArrayInTable(Scope3_SourceData.Scope3_InorganicFertilisers_Data(), Table_SourceData_Scope3_InorganicFertiliser[[#Headers],[Category]], 0, 2)</calculatedColumnFormula>
    </tableColumn>
    <tableColumn id="3" xr3:uid="{4063C8E8-59F4-4134-B7AF-93450595D4C6}" name="Region of origin">
      <calculatedColumnFormula array="1">Common_InputFunctions.Utility_DisplayArrayInTable(Scope3_SourceData.Scope3_InorganicFertilisers_Data(), Table_SourceData_Scope3_InorganicFertiliser[[#Headers],[Category]], 0, 2)</calculatedColumnFormula>
    </tableColumn>
    <tableColumn id="4" xr3:uid="{06FB7DB5-757C-45E7-993F-DEBF95DEF963}" name="Chemical compound"/>
    <tableColumn id="5" xr3:uid="{03EA1487-70F2-45AB-9D2A-CFE5215CC34C}" name="Urea source"/>
    <tableColumn id="6" xr3:uid="{1FC0662E-B05B-4F0A-BF56-B54A6A196E72}" name="Ammonia source"/>
    <tableColumn id="7" xr3:uid="{91C5E514-C288-403A-8368-60AA71B169FE}" name="Quantity"/>
    <tableColumn id="8" xr3:uid="{A7A9A27E-6FF6-439A-BAED-79D8729671A9}" name="Quantity Unit">
      <calculatedColumnFormula array="1">Common_InputFunctions.Utility_DisplayArrayInTable(Scope3_SourceData.Scope3_InorganicFertilisers_Data(), Table_SourceData_Scope3_InorganicFertiliser[[#Headers],[Category]], 0, -2)</calculatedColumnFormula>
    </tableColumn>
    <tableColumn id="9" xr3:uid="{BF07BB95-91DF-4F47-8296-622B0DF4A53B}" name="Emissions intensity">
      <calculatedColumnFormula array="1">Common_InputFunctions.Utility_DisplayArrayInTable(Scope3_SourceData.Scope3_InorganicFertilisers_Data(), Table_SourceData_Scope3_InorganicFertiliser[[#Headers],[Category]], 0, -2)</calculatedColumnFormula>
    </tableColumn>
    <tableColumn id="10" xr3:uid="{E09E3060-8288-42EB-B318-83B49B905DE9}" name="System boundary" dataDxfId="212" dataCellStyle="Content normal">
      <calculatedColumnFormula array="1">Common_InputFunctions.Utility_DisplayArrayInTable(Scope3_SourceData.Scope3_InorganicFertilisers_Data(), Table_SourceData_Scope3_InorganicFertiliser[[#Headers],[Category]], 0, -2)</calculatedColumnFormula>
    </tableColumn>
    <tableColumn id="11" xr3:uid="{C022E992-D7BD-43C6-8CCE-48877382DF06}" name="Source" dataDxfId="211" dataCellStyle="Content normal"/>
  </tableColumns>
  <tableStyleInfo name="Equation table" showFirstColumn="0" showLastColumn="0" showRowStripes="1" showColumnStripes="0"/>
</table>
</file>

<file path=xl/tables/table9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3" xr:uid="{87CE191C-7C6C-4E62-A1EE-23B2370292D5}" name="Table_SourceData_Scope3_Other" displayName="Table_SourceData_Scope3_Other" ref="D201:J209" totalsRowShown="0" dataDxfId="210" dataCellStyle="Content normal">
  <autoFilter ref="D201:J209" xr:uid="{C703DCE8-2DA9-4607-8111-1323D636A81C}">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442A2CEF-A6F0-47D3-B5AC-F1047442937A}" name="Category" dataDxfId="209" dataCellStyle="Content normal">
      <calculatedColumnFormula array="1">Common_InputFunctions.Utility_DisplayArrayInTable(Scope3_SourceData.Scope3_Other_Data(), Table_SourceData_Scope3_Other[[#Headers],[Category]], 0, 2)</calculatedColumnFormula>
    </tableColumn>
    <tableColumn id="2" xr3:uid="{2270A607-FE7B-40E7-A7F3-B4D4B03E0D70}" name="Product" dataDxfId="208" dataCellStyle="Content normal">
      <calculatedColumnFormula array="1">Common_InputFunctions.Utility_DisplayArrayInTable(Scope3_SourceData.Scope3_Other_Data(), Table_SourceData_Scope3_Other[[#Headers],[Category]], 0, 2)</calculatedColumnFormula>
    </tableColumn>
    <tableColumn id="3" xr3:uid="{392014AA-0775-48A0-B7DC-7A6BDD23349B}" name="Region of origin" dataDxfId="207" dataCellStyle="Content normal">
      <calculatedColumnFormula array="1">Common_InputFunctions.Utility_DisplayArrayInTable(Scope3_SourceData.Scope3_Other_Data(), Table_SourceData_Scope3_Other[[#Headers],[Category]], 0, 2)</calculatedColumnFormula>
    </tableColumn>
    <tableColumn id="8" xr3:uid="{C50AA7B1-B45F-4E84-BDDF-8829A3CDCDC0}" name="Quantity Unit" dataDxfId="206" dataCellStyle="Content normal">
      <calculatedColumnFormula array="1">Common_InputFunctions.Utility_DisplayArrayInTable(Scope3_SourceData.Scope3_Other_Data(), Table_SourceData_Scope3_Other[[#Headers],[Category]], 0, 2)</calculatedColumnFormula>
    </tableColumn>
    <tableColumn id="9" xr3:uid="{FDB86E33-E55D-48A5-9B2E-7A00C122987D}" name="Emissions intensity" dataDxfId="205" dataCellStyle="Content normal">
      <calculatedColumnFormula array="1">Common_InputFunctions.Utility_DisplayArrayInTable(Scope3_SourceData.Scope3_Other_Data(), Table_SourceData_Scope3_Other[[#Headers],[Category]], 0, 2)</calculatedColumnFormula>
    </tableColumn>
    <tableColumn id="10" xr3:uid="{534C83AA-5D30-40B8-8867-B03A7228AA57}" name="System boundary" dataDxfId="204" dataCellStyle="Content normal">
      <calculatedColumnFormula array="1">Common_InputFunctions.Utility_DisplayArrayInTable(Scope3_SourceData.Scope3_Other_Data(), Table_SourceData_Scope3_Other[[#Headers],[Category]], 0, 2)</calculatedColumnFormula>
    </tableColumn>
    <tableColumn id="4" xr3:uid="{458E607E-1E0E-45F4-A4E5-D4A4EFFCD9D4}" name="Source" dataDxfId="203" dataCellStyle="Content normal"/>
  </tableColumns>
  <tableStyleInfo name="Equation table" showFirstColumn="0" showLastColumn="0" showRowStripes="1" showColumnStripes="0"/>
</table>
</file>

<file path=xl/tables/table9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4" xr:uid="{F040E31A-61A2-44D2-8F59-6E18BD29DE50}" name="Table_SourceData_Scope3_Packaging" displayName="Table_SourceData_Scope3_Packaging" ref="D212:J216" totalsRowShown="0" dataDxfId="202" dataCellStyle="Content normal">
  <autoFilter ref="D212:J216" xr:uid="{B95A04D9-DAAA-402E-80F2-94850F70AD8D}">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143E317B-0D62-47E8-BB22-00FEB069195D}" name="Category" dataDxfId="201" dataCellStyle="Content normal">
      <calculatedColumnFormula array="1">Common_InputFunctions.Utility_DisplayArrayInTable(Scope3_SourceData.Scope3_Packaging_Data(), Table_SourceData_Scope3_Packaging[[#Headers],[Category]], 0, 2)</calculatedColumnFormula>
    </tableColumn>
    <tableColumn id="2" xr3:uid="{DEBBF7C2-BB79-4499-9374-562AF7CD6EB7}" name="Product" dataDxfId="200" dataCellStyle="Content normal">
      <calculatedColumnFormula array="1">Common_InputFunctions.Utility_DisplayArrayInTable(Scope3_SourceData.Scope3_Packaging_Data(), Table_SourceData_Scope3_Packaging[[#Headers],[Category]], 0, 2)</calculatedColumnFormula>
    </tableColumn>
    <tableColumn id="3" xr3:uid="{42E06068-0F88-4043-89C8-C8E393DDDB8E}" name="Region of origin" dataDxfId="199" dataCellStyle="Content normal">
      <calculatedColumnFormula array="1">Common_InputFunctions.Utility_DisplayArrayInTable(Scope3_SourceData.Scope3_Packaging_Data(), Table_SourceData_Scope3_Packaging[[#Headers],[Category]], 0, 2)</calculatedColumnFormula>
    </tableColumn>
    <tableColumn id="8" xr3:uid="{54BF4EA5-D8FA-44FB-895D-B245455B330E}" name="Quantity Unit" dataDxfId="198" dataCellStyle="Content normal">
      <calculatedColumnFormula array="1">Common_InputFunctions.Utility_DisplayArrayInTable(Scope3_SourceData.Scope3_Packaging_Data(), Table_SourceData_Scope3_Packaging[[#Headers],[Category]], 0, 2)</calculatedColumnFormula>
    </tableColumn>
    <tableColumn id="9" xr3:uid="{CE688EE8-7591-48F8-BD5E-8CC4AA40AE77}" name="Emissions intensity" dataDxfId="197" dataCellStyle="Content normal">
      <calculatedColumnFormula array="1">Common_InputFunctions.Utility_DisplayArrayInTable(Scope3_SourceData.Scope3_Packaging_Data(), Table_SourceData_Scope3_Packaging[[#Headers],[Category]], 0, 2)</calculatedColumnFormula>
    </tableColumn>
    <tableColumn id="10" xr3:uid="{100B0094-2C1D-469E-8CD1-59364F040F75}" name="System boundary" dataDxfId="196" dataCellStyle="Content normal">
      <calculatedColumnFormula array="1">Common_InputFunctions.Utility_DisplayArrayInTable(Scope3_SourceData.Scope3_Packaging_Data(), Table_SourceData_Scope3_Packaging[[#Headers],[Category]], 0, 2)</calculatedColumnFormula>
    </tableColumn>
    <tableColumn id="4" xr3:uid="{C8DC4047-2CA2-4C27-B759-0D523437479D}" name="Source" dataDxfId="195" dataCellStyle="Content normal"/>
  </tableColumns>
  <tableStyleInfo name="Equation table" showFirstColumn="0" showLastColumn="0" showRowStripes="1" showColumnStripes="0"/>
</table>
</file>

<file path=xl/tables/table9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5" xr:uid="{83427575-295D-4586-9BF4-46F73C1D1046}" name="Table_SourceData_Scope3_Pesticides" displayName="Table_SourceData_Scope3_Pesticides" ref="D219:J231" totalsRowShown="0" dataDxfId="194" dataCellStyle="Content normal">
  <autoFilter ref="D219:J231" xr:uid="{C77460DE-4B5B-491B-885F-B6A288A52BB9}">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A91EBB5A-2816-4D48-8409-4FF3D277592C}" name="Category" dataDxfId="193" dataCellStyle="Content normal">
      <calculatedColumnFormula array="1">Common_InputFunctions.Utility_DisplayArrayInTable(Scope3_SourceData.Scope3_Pesticides_Data(), Table_SourceData_Scope3_Pesticides[[#Headers],[Category]], 0, 2)</calculatedColumnFormula>
    </tableColumn>
    <tableColumn id="2" xr3:uid="{2B698A65-0286-4C0D-A48F-42E1F7EBFE07}" name="Product" dataDxfId="192" dataCellStyle="Content normal">
      <calculatedColumnFormula array="1">Common_InputFunctions.Utility_DisplayArrayInTable(Scope3_SourceData.Scope3_Pesticides_Data(), Table_SourceData_Scope3_Pesticides[[#Headers],[Category]], 0, 2)</calculatedColumnFormula>
    </tableColumn>
    <tableColumn id="3" xr3:uid="{B7015994-5731-4160-91FC-C3AC21734D22}" name="Region of origin" dataDxfId="191" dataCellStyle="Content normal">
      <calculatedColumnFormula array="1">Common_InputFunctions.Utility_DisplayArrayInTable(Scope3_SourceData.Scope3_Pesticides_Data(), Table_SourceData_Scope3_Pesticides[[#Headers],[Category]], 0, 2)</calculatedColumnFormula>
    </tableColumn>
    <tableColumn id="8" xr3:uid="{6ED28727-0A00-48B3-BFB9-988DE473E9BC}" name="Quantity Unit" dataDxfId="190" dataCellStyle="Content normal">
      <calculatedColumnFormula array="1">Common_InputFunctions.Utility_DisplayArrayInTable(Scope3_SourceData.Scope3_Pesticides_Data(), Table_SourceData_Scope3_Pesticides[[#Headers],[Category]], 0, 2)</calculatedColumnFormula>
    </tableColumn>
    <tableColumn id="9" xr3:uid="{49E50DA7-C0E0-4440-BBB9-12AEFF344DDF}" name="Emissions intensity" dataDxfId="189" dataCellStyle="Content normal">
      <calculatedColumnFormula array="1">Common_InputFunctions.Utility_DisplayArrayInTable(Scope3_SourceData.Scope3_Pesticides_Data(), Table_SourceData_Scope3_Pesticides[[#Headers],[Category]], 0, 2)</calculatedColumnFormula>
    </tableColumn>
    <tableColumn id="10" xr3:uid="{8E923CD5-AB8C-433A-AF94-8523F9C8A245}" name="System boundary" dataDxfId="188" dataCellStyle="Content normal">
      <calculatedColumnFormula array="1">Common_InputFunctions.Utility_DisplayArrayInTable(Scope3_SourceData.Scope3_Pesticides_Data(), Table_SourceData_Scope3_Pesticides[[#Headers],[Category]], 0, 2)</calculatedColumnFormula>
    </tableColumn>
    <tableColumn id="4" xr3:uid="{C8440A31-006A-40EF-B4A8-A434A29E8846}" name="Source" dataDxfId="187" dataCellStyle="Content normal"/>
  </tableColumns>
  <tableStyleInfo name="Equation table" showFirstColumn="0" showLastColumn="0" showRowStripes="1" showColumnStripes="0"/>
</table>
</file>

<file path=xl/tables/table9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6" xr:uid="{780BDBBB-1214-466C-AD46-80C772401563}" name="Table_SourceData_Scope3_SoilAmeliorants" displayName="Table_SourceData_Scope3_SoilAmeliorants" ref="D234:J237" totalsRowShown="0" dataDxfId="186" dataCellStyle="Content normal">
  <autoFilter ref="D234:J237" xr:uid="{E06B8FD7-21E4-417D-AAFE-EA3785475B05}">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666C3547-3E9F-44A5-BB2B-946534C16FA0}" name="Category" dataDxfId="185" dataCellStyle="Content normal">
      <calculatedColumnFormula array="1">Common_InputFunctions.Utility_DisplayArrayInTable(Scope3_SourceData.Scope3_SoilAmendments_Data(), Table_SourceData_Scope3_SoilAmeliorants[[#Headers],[Category]], 0, 2)</calculatedColumnFormula>
    </tableColumn>
    <tableColumn id="2" xr3:uid="{518202AB-8478-4FD5-892E-7B2372F36CED}" name="Product" dataDxfId="184" dataCellStyle="Content normal">
      <calculatedColumnFormula array="1">Common_InputFunctions.Utility_DisplayArrayInTable(Scope3_SourceData.Scope3_SoilAmendments_Data(), Table_SourceData_Scope3_SoilAmeliorants[[#Headers],[Category]], 0, 2)</calculatedColumnFormula>
    </tableColumn>
    <tableColumn id="3" xr3:uid="{E6E6CADA-4DD2-4EAC-9A56-E68181E9DEBD}" name="Region of origin" dataDxfId="183" dataCellStyle="Content normal">
      <calculatedColumnFormula array="1">Common_InputFunctions.Utility_DisplayArrayInTable(Scope3_SourceData.Scope3_SoilAmendments_Data(), Table_SourceData_Scope3_SoilAmeliorants[[#Headers],[Category]], 0, 2)</calculatedColumnFormula>
    </tableColumn>
    <tableColumn id="8" xr3:uid="{9C159812-9707-434B-BAF8-9368693CECDF}" name="Quantity Unit" dataDxfId="182" dataCellStyle="Content normal">
      <calculatedColumnFormula array="1">Common_InputFunctions.Utility_DisplayArrayInTable(Scope3_SourceData.Scope3_SoilAmendments_Data(), Table_SourceData_Scope3_SoilAmeliorants[[#Headers],[Category]], 0, 2)</calculatedColumnFormula>
    </tableColumn>
    <tableColumn id="9" xr3:uid="{650E17C4-F7F7-4F82-A31F-92E243FBAB29}" name="Emissions intensity" dataDxfId="181" dataCellStyle="Content normal">
      <calculatedColumnFormula array="1">Common_InputFunctions.Utility_DisplayArrayInTable(Scope3_SourceData.Scope3_SoilAmendments_Data(), Table_SourceData_Scope3_SoilAmeliorants[[#Headers],[Category]], 0, 2)</calculatedColumnFormula>
    </tableColumn>
    <tableColumn id="10" xr3:uid="{124F1E29-DA93-4527-94E2-06DE41DEA1EB}" name="System boundary" dataDxfId="180" dataCellStyle="Content normal">
      <calculatedColumnFormula array="1">Common_InputFunctions.Utility_DisplayArrayInTable(Scope3_SourceData.Scope3_SoilAmendments_Data(), Table_SourceData_Scope3_SoilAmeliorants[[#Headers],[Category]], 0, 2)</calculatedColumnFormula>
    </tableColumn>
    <tableColumn id="4" xr3:uid="{E686D40D-FA77-4015-B18A-CB15ADDEAACF}" name="Source" dataDxfId="179" dataCellStyle="Content normal"/>
  </tableColumns>
  <tableStyleInfo name="Equation table" showFirstColumn="0" showLastColumn="0" showRowStripes="1" showColumnStripes="0"/>
</table>
</file>

<file path=xl/tables/table9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7" xr:uid="{96BB10C6-2C10-4970-8F1E-697F829E9E50}" name="Table_SourceData_Scope3_ChemicalsPharmacy" displayName="Table_SourceData_Scope3_ChemicalsPharmacy" ref="D82:J86" totalsRowShown="0" dataDxfId="178" dataCellStyle="Content normal">
  <autoFilter ref="D82:J86" xr:uid="{C4160DCA-2AAF-4965-B3AD-B53F778A6499}">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1DCB4607-6044-49D0-B412-DA561EF18BEC}" name="Category" dataDxfId="177" dataCellStyle="Content normal">
      <calculatedColumnFormula array="1">Common_InputFunctions.Utility_DisplayArrayInTable(Scope3_SourceData.Scope3_Chemicals_Data(), Table_SourceData_Scope3_ChemicalsPharmacy[[#Headers],[Category]], -3, 2)</calculatedColumnFormula>
    </tableColumn>
    <tableColumn id="2" xr3:uid="{C50EEE19-C217-45E8-9209-A2510A462F22}" name="Product" dataDxfId="176" dataCellStyle="Content normal">
      <calculatedColumnFormula array="1">Common_InputFunctions.Utility_DisplayArrayInTable(Scope3_SourceData.Scope3_Chemicals_Data(), Table_SourceData_Scope3_ChemicalsPharmacy[[#Headers],[Category]], -3, 2)</calculatedColumnFormula>
    </tableColumn>
    <tableColumn id="3" xr3:uid="{082F8EE5-F78B-4FA7-973F-AEDA4264D3CE}" name="Region of origin" dataDxfId="175" dataCellStyle="Content normal">
      <calculatedColumnFormula array="1">Common_InputFunctions.Utility_DisplayArrayInTable(Scope3_SourceData.Scope3_Chemicals_Data(), Table_SourceData_Scope3_ChemicalsPharmacy[[#Headers],[Category]], -3, 2)</calculatedColumnFormula>
    </tableColumn>
    <tableColumn id="8" xr3:uid="{5C807257-E793-4944-A397-2FA80E8B1254}" name="Quantity Unit" dataDxfId="174" dataCellStyle="Content normal">
      <calculatedColumnFormula array="1">Common_InputFunctions.Utility_DisplayArrayInTable(Scope3_SourceData.Scope3_Chemicals_Data(), Table_SourceData_Scope3_ChemicalsPharmacy[[#Headers],[Category]], -3, 2)</calculatedColumnFormula>
    </tableColumn>
    <tableColumn id="9" xr3:uid="{C8CA4E39-4167-44AA-BCF1-53E70601F7BC}" name="Emissions intensity" dataDxfId="173" dataCellStyle="Content normal">
      <calculatedColumnFormula array="1">Common_InputFunctions.Utility_DisplayArrayInTable(Scope3_SourceData.Scope3_Chemicals_Data(), Table_SourceData_Scope3_ChemicalsPharmacy[[#Headers],[Category]], -3, 2)</calculatedColumnFormula>
    </tableColumn>
    <tableColumn id="10" xr3:uid="{73804EF0-CC51-4C89-9C97-DEEAE420E7D5}" name="System boundary" dataDxfId="172" dataCellStyle="Content normal">
      <calculatedColumnFormula array="1">Common_InputFunctions.Utility_DisplayArrayInTable(Scope3_SourceData.Scope3_Chemicals_Data(), Table_SourceData_Scope3_ChemicalsPharmacy[[#Headers],[Category]], -3, 2)</calculatedColumnFormula>
    </tableColumn>
    <tableColumn id="4" xr3:uid="{79A98F53-6E49-48AC-A918-FEAB793B1DA5}" name="Source" dataDxfId="171" dataCellStyle="Content normal"/>
  </tableColumns>
  <tableStyleInfo name="Equation table" showFirstColumn="0" showLastColumn="0" showRowStripes="1" showColumnStripes="0"/>
</table>
</file>

<file path=xl/tables/table9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8" xr:uid="{8D07D5D6-9877-4D64-BEB7-66B044AC52C8}" name="Table_SourceData_Scope3_LickBlocks" displayName="Table_SourceData_Scope3_LickBlocks" ref="D167:J170" totalsRowShown="0" headerRowDxfId="170" headerRowCellStyle="Content normal">
  <autoFilter ref="D167:J170" xr:uid="{606CCDDA-2BB2-4AA5-B657-09AAAA73295A}">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508D7AF4-840F-4B50-BD59-E7C8A964C644}" name="Category" dataDxfId="169" dataCellStyle="Content normal">
      <calculatedColumnFormula array="1">Common_InputFunctions.Utility_DisplayArrayInTable(Scope3_SourceData.Scope3_Feed_Data(), Table_SourceData_Scope3_LickBlocks[[#Headers],[Category]], -73, 2)</calculatedColumnFormula>
    </tableColumn>
    <tableColumn id="2" xr3:uid="{E0C2CEF4-C4A0-4C2C-9E18-B7C517824DA0}" name="Product" dataDxfId="168" dataCellStyle="Content normal">
      <calculatedColumnFormula array="1">Common_InputFunctions.Utility_DisplayArrayInTable(Scope3_SourceData.Scope3_Feed_Data(), Table_SourceData_Scope3_LickBlocks[[#Headers],[Category]], -73, 2)</calculatedColumnFormula>
    </tableColumn>
    <tableColumn id="3" xr3:uid="{E01756E5-2638-4B73-AA97-E10D89468128}" name="Region of origin" dataDxfId="167" dataCellStyle="Content normal">
      <calculatedColumnFormula array="1">Common_InputFunctions.Utility_DisplayArrayInTable(Scope3_SourceData.Scope3_Feed_Data(), Table_SourceData_Scope3_LickBlocks[[#Headers],[Category]], -73, 2)</calculatedColumnFormula>
    </tableColumn>
    <tableColumn id="4" xr3:uid="{14550BD4-BBED-438B-81CA-20FEF1E4329A}" name="Quantity Unit" dataDxfId="166" dataCellStyle="Content normal">
      <calculatedColumnFormula array="1">Common_InputFunctions.Utility_DisplayArrayInTable(Scope3_SourceData.Scope3_Feed_Data(), Table_SourceData_Scope3_LickBlocks[[#Headers],[Category]], -73, 2)</calculatedColumnFormula>
    </tableColumn>
    <tableColumn id="5" xr3:uid="{701CCA1D-3925-401B-B46A-273AF89BA4E0}" name="Emissions intensity" dataDxfId="165" dataCellStyle="Content normal">
      <calculatedColumnFormula array="1">Common_InputFunctions.Utility_DisplayArrayInTable(Scope3_SourceData.Scope3_Feed_Data(), Table_SourceData_Scope3_LickBlocks[[#Headers],[Category]], -73, 2)</calculatedColumnFormula>
    </tableColumn>
    <tableColumn id="6" xr3:uid="{F1EBC557-9009-4697-A9CC-62C4FF82A9C2}" name="System boundary" dataDxfId="164" dataCellStyle="Content normal">
      <calculatedColumnFormula array="1">Common_InputFunctions.Utility_DisplayArrayInTable(Scope3_SourceData.Scope3_Feed_Data(), Table_SourceData_Scope3_LickBlocks[[#Headers],[Category]], -73, 2)</calculatedColumnFormula>
    </tableColumn>
    <tableColumn id="7" xr3:uid="{4D3CB9CE-3738-451E-AA7F-CD1D80385B3F}" name="Source" dataDxfId="163" dataCellStyle="Content normal"/>
  </tableColumns>
  <tableStyleInfo name="Equation table" showFirstColumn="0" showLastColumn="0" showRowStripes="1" showColumnStripes="0"/>
</table>
</file>

<file path=xl/tables/table9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9" xr:uid="{930AFA0A-739A-450B-9379-56FDE3BE9EF1}" name="Table_SourceData_Scope3_MixedRations" displayName="Table_SourceData_Scope3_MixedRations" ref="D161:J165" totalsRowShown="0" headerRowDxfId="162" headerRowCellStyle="Content normal">
  <autoFilter ref="D161:J165" xr:uid="{1D958255-6879-4BEB-9F61-8AFE685165BB}">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E3198B30-5DC3-46CE-A231-EDE92BE80940}" name="Category" dataDxfId="161" dataCellStyle="Content normal">
      <calculatedColumnFormula array="1">Common_InputFunctions.Utility_DisplayArrayInTable(Scope3_SourceData.Scope3_Feed_Data(), Table_SourceData_Scope3_MixedRations[[#Headers],[Category]], -66, 2)</calculatedColumnFormula>
    </tableColumn>
    <tableColumn id="2" xr3:uid="{596624AA-561E-43E0-8EA5-6579C89E4D53}" name="Product" dataDxfId="160" dataCellStyle="Content normal">
      <calculatedColumnFormula array="1">Common_InputFunctions.Utility_DisplayArrayInTable(Scope3_SourceData.Scope3_Feed_Data(), Table_SourceData_Scope3_MixedRations[[#Headers],[Category]], -66, 2)</calculatedColumnFormula>
    </tableColumn>
    <tableColumn id="3" xr3:uid="{15D95398-96D4-4104-85A8-70B2875A9D2C}" name="Region of origin" dataDxfId="159" dataCellStyle="Content normal">
      <calculatedColumnFormula array="1">Common_InputFunctions.Utility_DisplayArrayInTable(Scope3_SourceData.Scope3_Feed_Data(), Table_SourceData_Scope3_MixedRations[[#Headers],[Category]], -66, 2)</calculatedColumnFormula>
    </tableColumn>
    <tableColumn id="4" xr3:uid="{F500DB6B-B08D-4A43-A957-2397B2DC9108}" name="Quantity Unit" dataDxfId="158" dataCellStyle="Content normal">
      <calculatedColumnFormula array="1">Common_InputFunctions.Utility_DisplayArrayInTable(Scope3_SourceData.Scope3_Feed_Data(), Table_SourceData_Scope3_MixedRations[[#Headers],[Category]], -66, 2)</calculatedColumnFormula>
    </tableColumn>
    <tableColumn id="5" xr3:uid="{0ABFD002-87D3-4893-8AB5-74767F1E772E}" name="Emissions intensity" dataDxfId="157" dataCellStyle="Content normal">
      <calculatedColumnFormula array="1">Common_InputFunctions.Utility_DisplayArrayInTable(Scope3_SourceData.Scope3_Feed_Data(), Table_SourceData_Scope3_MixedRations[[#Headers],[Category]], -66, 2)</calculatedColumnFormula>
    </tableColumn>
    <tableColumn id="6" xr3:uid="{8873AF5B-C009-4243-91CE-4DA691AF063F}" name="System boundary" dataDxfId="156" dataCellStyle="Content normal">
      <calculatedColumnFormula array="1">Common_InputFunctions.Utility_DisplayArrayInTable(Scope3_SourceData.Scope3_Feed_Data(), Table_SourceData_Scope3_MixedRations[[#Headers],[Category]], -66, 2)</calculatedColumnFormula>
    </tableColumn>
    <tableColumn id="7" xr3:uid="{1CC1D676-8D82-4362-9D84-8A804CC94683}" name="Source" dataDxfId="155" dataCellStyle="Content normal"/>
  </tableColumns>
  <tableStyleInfo name="Equation table" showFirstColumn="0" showLastColumn="0" showRowStripes="1" showColumnStripes="0"/>
</table>
</file>

<file path=xl/tables/table9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0" xr:uid="{FD8D0C7C-BA40-4E67-84F3-D54BF697F12B}" name="Table_ProductRegions_Sardineswhole" displayName="Table_ProductRegions_Sardineswhole" ref="L241:M243" totalsRowShown="0">
  <autoFilter ref="L241:M243" xr:uid="{CE347908-ACBC-4A97-A54B-325F495C7F74}">
    <filterColumn colId="0" hiddenButton="1"/>
    <filterColumn colId="1" hiddenButton="1"/>
  </autoFilter>
  <tableColumns count="2">
    <tableColumn id="1" xr3:uid="{2A34B438-09E4-4550-8190-B2F4BB563A73}" name="Product">
      <calculatedColumnFormula>Table_SourceData_Scope3_FishFeedAndBait[[#This Row],[Product]]</calculatedColumnFormula>
    </tableColumn>
    <tableColumn id="2" xr3:uid="{08ED2A91-AE95-476E-8A97-BC553BA22FD6}" name="Region">
      <calculatedColumnFormula>Table_SourceData_Scope3_FishFeedAndBait[[#This Row],[Region of origin]]</calculatedColumnFormula>
    </tableColumn>
  </tableColumns>
  <tableStyleInfo name="Equation table" showFirstColumn="0" showLastColumn="0" showRowStripes="1" showColumnStripes="0"/>
</table>
</file>

<file path=xl/tables/table10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1" xr:uid="{CE400117-49C8-4AF7-81D9-EDA8D9D3E789}" name="Table_ProductRegions_Barleygrain" displayName="Table_ProductRegions_Barleygrain" ref="O89:P97" totalsRowShown="0">
  <autoFilter ref="O89:P97" xr:uid="{4CC6C9C2-1CED-45A7-AB1B-72FD8DBB4178}">
    <filterColumn colId="0" hiddenButton="1"/>
    <filterColumn colId="1" hiddenButton="1"/>
  </autoFilter>
  <tableColumns count="2">
    <tableColumn id="1" xr3:uid="{5644E581-949A-40C4-ACF3-DD370E415A8C}" name="Product">
      <calculatedColumnFormula>Table_SourceData_Scope3_Feed[[#This Row],[Product]]</calculatedColumnFormula>
    </tableColumn>
    <tableColumn id="2" xr3:uid="{8AC9999A-E0BA-40F5-864E-4C571E2A6327}" name="Region">
      <calculatedColumnFormula>Table_SourceData_Scope3_Feed[[#This Row],[Region of origin]]</calculatedColumnFormula>
    </tableColumn>
  </tableColumns>
  <tableStyleInfo name="Equation table" showFirstColumn="0" showLastColumn="0" showRowStripes="1" showColumnStripes="0"/>
</table>
</file>

<file path=xl/tables/table10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2" xr:uid="{3E9B9D4F-530F-4407-B4B9-E8334CE22E72}" name="Table_ProductRegions_Maizegrain" displayName="Table_ProductRegions_Maizegrain" ref="L97:M104" totalsRowShown="0" headerRowDxfId="154" headerRowCellStyle="Content normal">
  <autoFilter ref="L97:M104" xr:uid="{70F320A7-5DBE-4A83-91E4-C9B3BDA564BD}">
    <filterColumn colId="0" hiddenButton="1"/>
    <filterColumn colId="1" hiddenButton="1"/>
  </autoFilter>
  <tableColumns count="2">
    <tableColumn id="1" xr3:uid="{088D64E2-AB72-43F0-BEDE-317F97EB5C53}" name="Product">
      <calculatedColumnFormula>Table_SourceData_Scope3_Feed[[#This Row],[Product]]</calculatedColumnFormula>
    </tableColumn>
    <tableColumn id="2" xr3:uid="{5C8B1204-E5F7-4423-805A-C8E3DA341939}" name="Region">
      <calculatedColumnFormula>Table_SourceData_Scope3_Feed[[#This Row],[Region of origin]]</calculatedColumnFormula>
    </tableColumn>
  </tableColumns>
  <tableStyleInfo name="Equation table" showFirstColumn="0" showLastColumn="0" showRowStripes="1" showColumnStripes="0"/>
</table>
</file>

<file path=xl/tables/table10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3" xr:uid="{9B6A3614-641B-4927-9557-BD647A38EF41}" name="Table_ProductRegions_Sorghumgrain" displayName="Table_ProductRegions_Sorghumgrain" ref="O104:P109" totalsRowShown="0" headerRowDxfId="153" headerRowCellStyle="Content normal">
  <autoFilter ref="O104:P109" xr:uid="{90205417-8A77-41A3-A4E2-624BD92B7269}">
    <filterColumn colId="0" hiddenButton="1"/>
    <filterColumn colId="1" hiddenButton="1"/>
  </autoFilter>
  <tableColumns count="2">
    <tableColumn id="1" xr3:uid="{7B96AAA5-3A30-4E4C-8D2A-7CFA8239DC40}" name="Product">
      <calculatedColumnFormula>Table_SourceData_Scope3_Feed[[#This Row],[Product]]</calculatedColumnFormula>
    </tableColumn>
    <tableColumn id="2" xr3:uid="{3D496726-37BA-4A57-AE87-FB1AB528F59A}" name="Region">
      <calculatedColumnFormula>Table_SourceData_Scope3_Feed[[#This Row],[Region of origin]]</calculatedColumnFormula>
    </tableColumn>
  </tableColumns>
  <tableStyleInfo name="Equation table" showFirstColumn="0" showLastColumn="0" showRowStripes="1" showColumnStripes="0"/>
</table>
</file>

<file path=xl/tables/table10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4" xr:uid="{8E2AC8AF-1B3A-485A-83FA-C657D08D884A}" name="Table_ProductRegions_Wheatgrain" displayName="Table_ProductRegions_Wheatgrain" ref="L109:M117" totalsRowShown="0" headerRowDxfId="152" headerRowCellStyle="Content normal">
  <autoFilter ref="L109:M117" xr:uid="{9DD7D3AD-59A1-48FC-B80D-99C25A2A79F5}">
    <filterColumn colId="0" hiddenButton="1"/>
    <filterColumn colId="1" hiddenButton="1"/>
  </autoFilter>
  <tableColumns count="2">
    <tableColumn id="1" xr3:uid="{08113F04-07E1-443E-9981-79A0E7621F1D}" name="Product">
      <calculatedColumnFormula>Table_SourceData_Scope3_Feed[[#This Row],[Product]]</calculatedColumnFormula>
    </tableColumn>
    <tableColumn id="2" xr3:uid="{894E3500-7D9D-4BCE-8B4D-8311104B2BCD}" name="Region">
      <calculatedColumnFormula>Table_SourceData_Scope3_Feed[[#This Row],[Region of origin]]</calculatedColumnFormula>
    </tableColumn>
  </tableColumns>
  <tableStyleInfo name="Equation table" showFirstColumn="0" showLastColumn="0" showRowStripes="1" showColumnStripes="0"/>
</table>
</file>

<file path=xl/tables/table10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5" xr:uid="{98EFA484-CE9A-4E76-BB7F-EE7075FCEC0A}" name="Table_ProductRegions_Cerealhay" displayName="Table_ProductRegions_Cerealhay" ref="O117:P124" totalsRowShown="0">
  <autoFilter ref="O117:P124" xr:uid="{245CC575-8EB6-4B35-B4B5-B1CE9D9C39F8}">
    <filterColumn colId="0" hiddenButton="1"/>
    <filterColumn colId="1" hiddenButton="1"/>
  </autoFilter>
  <tableColumns count="2">
    <tableColumn id="1" xr3:uid="{EE27414F-525C-4986-8384-A0522EEAFDD5}" name="Product">
      <calculatedColumnFormula>Table_SourceData_Scope3_Feed[[#This Row],[Product]]</calculatedColumnFormula>
    </tableColumn>
    <tableColumn id="2" xr3:uid="{A41DC09B-017F-4864-BDEF-39E43426BED6}" name="Region">
      <calculatedColumnFormula>Table_SourceData_Scope3_Feed[[#This Row],[Region of origin]]</calculatedColumnFormula>
    </tableColumn>
  </tableColumns>
  <tableStyleInfo name="Equation table" showFirstColumn="0" showLastColumn="0" showRowStripes="1" showColumnStripes="0"/>
</table>
</file>

<file path=xl/tables/table10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6" xr:uid="{0DD036D6-3026-48A3-B442-0A39671645B3}" name="Table_ProductRegions_Cerealsilage" displayName="Table_ProductRegions_Cerealsilage" ref="L124:M130" totalsRowShown="0">
  <autoFilter ref="L124:M130" xr:uid="{FD45B7F5-0F1B-474D-A048-21B8C1E86239}">
    <filterColumn colId="0" hiddenButton="1"/>
    <filterColumn colId="1" hiddenButton="1"/>
  </autoFilter>
  <tableColumns count="2">
    <tableColumn id="1" xr3:uid="{F844AF71-2CD5-4A0A-A2D8-858E5CDDD97A}" name="Product">
      <calculatedColumnFormula>Table_SourceData_Scope3_Feed[[#This Row],[Product]]</calculatedColumnFormula>
    </tableColumn>
    <tableColumn id="2" xr3:uid="{15E43152-7142-4193-8792-38609289739D}" name="Region">
      <calculatedColumnFormula>Table_SourceData_Scope3_Feed[[#This Row],[Region of origin]]</calculatedColumnFormula>
    </tableColumn>
  </tableColumns>
  <tableStyleInfo name="Equation table" showFirstColumn="0" showLastColumn="0" showRowStripes="1" showColumnStripes="0"/>
</table>
</file>

<file path=xl/tables/table10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7" xr:uid="{142E5130-AA56-40BE-8346-1F56F408EEA7}" name="Table_ProductRegions_Lucernehay" displayName="Table_ProductRegions_Lucernehay" ref="O130:P137" totalsRowShown="0">
  <autoFilter ref="O130:P137" xr:uid="{4DF6C49E-FF29-4EC2-AABA-1FE3CF552A22}">
    <filterColumn colId="0" hiddenButton="1"/>
    <filterColumn colId="1" hiddenButton="1"/>
  </autoFilter>
  <tableColumns count="2">
    <tableColumn id="1" xr3:uid="{8FFF8494-0CD1-40DA-A558-14B65F11A4A5}" name="Product">
      <calculatedColumnFormula>Table_SourceData_Scope3_Feed[[#This Row],[Product]]</calculatedColumnFormula>
    </tableColumn>
    <tableColumn id="2" xr3:uid="{C0DC4DF1-542D-4BB0-88A5-0A8A0F7F6164}" name="Region">
      <calculatedColumnFormula>Table_SourceData_Scope3_Feed[[#This Row],[Region of origin]]</calculatedColumnFormula>
    </tableColumn>
  </tableColumns>
  <tableStyleInfo name="Equation table" showFirstColumn="0" showLastColumn="0" showRowStripes="1" showColumnStripes="0"/>
</table>
</file>

<file path=xl/tables/table10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8" xr:uid="{080DA22A-B7FE-406F-B117-201D2149EE4D}" name="Table_ProductRegions_Oatenhay" displayName="Table_ProductRegions_Oatenhay" ref="L137:M143" totalsRowShown="0">
  <autoFilter ref="L137:M143" xr:uid="{5CE14642-4488-4D3C-A2B0-48CEF5738148}">
    <filterColumn colId="0" hiddenButton="1"/>
    <filterColumn colId="1" hiddenButton="1"/>
  </autoFilter>
  <tableColumns count="2">
    <tableColumn id="1" xr3:uid="{CA3C899B-3698-477F-AF26-218BA9C1E72B}" name="Product">
      <calculatedColumnFormula>Table_SourceData_Scope3_Feed[[#This Row],[Product]]</calculatedColumnFormula>
    </tableColumn>
    <tableColumn id="2" xr3:uid="{AE741C8F-0797-4285-9B05-6849D03687EC}" name="Region">
      <calculatedColumnFormula>Table_SourceData_Scope3_Feed[[#This Row],[Region of origin]]</calculatedColumnFormula>
    </tableColumn>
  </tableColumns>
  <tableStyleInfo name="Equation table" showFirstColumn="0" showLastColumn="0" showRowStripes="1" showColumnStripes="0"/>
</table>
</file>

<file path=xl/tables/table10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9" xr:uid="{36F354BD-ADF8-40B9-AAF6-9E0EEB71F7EC}" name="Table_ProductRegions_Pasturehay" displayName="Table_ProductRegions_Pasturehay" ref="O143:P150" totalsRowShown="0">
  <autoFilter ref="O143:P150" xr:uid="{BD72E544-66B7-4CC1-B2C8-F2136AAB32F7}">
    <filterColumn colId="0" hiddenButton="1"/>
    <filterColumn colId="1" hiddenButton="1"/>
  </autoFilter>
  <tableColumns count="2">
    <tableColumn id="1" xr3:uid="{EFB7FC85-8A4E-4EAF-B0E7-23DB79FB930E}" name="Product">
      <calculatedColumnFormula>Table_SourceData_Scope3_Feed[[#This Row],[Product]]</calculatedColumnFormula>
    </tableColumn>
    <tableColumn id="2" xr3:uid="{39A1A5C0-8FE3-402D-B2F4-E55F85799369}" name="Region">
      <calculatedColumnFormula>Table_SourceData_Scope3_Feed[[#This Row],[Region of origin]]</calculatedColumnFormula>
    </tableColumn>
  </tableColumns>
  <tableStyleInfo name="Equation table" showFirstColumn="0" showLastColumn="0" showRowStripes="1" showColumnStripes="0"/>
</table>
</file>

<file path=xl/tables/table10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0" xr:uid="{D7A5BF3F-700F-4F9C-83C1-20B266C68E7F}" name="Table_ProductRegions_Canolameal" displayName="Table_ProductRegions_Canolameal" ref="L150:M151" totalsRowShown="0" headerRowDxfId="151" headerRowCellStyle="Content normal" dataCellStyle="Content normal">
  <autoFilter ref="L150:M151" xr:uid="{58F78B6F-294E-4D4E-8E3B-BFE4FA85583E}">
    <filterColumn colId="0" hiddenButton="1"/>
    <filterColumn colId="1" hiddenButton="1"/>
  </autoFilter>
  <tableColumns count="2">
    <tableColumn id="1" xr3:uid="{A26C4263-87FC-44CE-93E6-65700030A5B2}" name="Product" dataCellStyle="Content normal">
      <calculatedColumnFormula>Table_SourceData_Scope3_Feed[[#This Row],[Product]]</calculatedColumnFormula>
    </tableColumn>
    <tableColumn id="2" xr3:uid="{EEA6F1A1-7EEF-4D48-9350-B9B1BB06B774}" name="Region" dataCellStyle="Content normal">
      <calculatedColumnFormula>Table_SourceData_Scope3_Feed[[#This Row],[Region of origin]]</calculatedColumnFormula>
    </tableColumn>
  </tableColumns>
  <tableStyleInfo name="Equation table" showFirstColumn="0" showLastColumn="0" showRowStripes="1" showColumnStripes="0"/>
</table>
</file>

<file path=xl/tables/table1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1" xr:uid="{C6CC5F85-17B7-45AC-ACCF-B9D576E9E65D}" name="Table_ProductRegions_Meatmeal" displayName="Table_ProductRegions_Meatmeal" ref="O151:P152" totalsRowShown="0">
  <autoFilter ref="O151:P152" xr:uid="{D9ACC97D-5A56-40C9-A49D-02AE70D1528F}">
    <filterColumn colId="0" hiddenButton="1"/>
    <filterColumn colId="1" hiddenButton="1"/>
  </autoFilter>
  <tableColumns count="2">
    <tableColumn id="1" xr3:uid="{C84B747D-D69A-471A-97C6-89AF074626EA}" name="Product">
      <calculatedColumnFormula>Table_SourceData_Scope3_Feed[[#This Row],[Product]]</calculatedColumnFormula>
    </tableColumn>
    <tableColumn id="2" xr3:uid="{A5EA8FCB-8C23-44C5-914E-AABF11F9E2FF}" name="Region">
      <calculatedColumnFormula>Table_SourceData_Scope3_Feed[[#This Row],[Region of origin]]</calculatedColumnFormula>
    </tableColumn>
  </tableColumns>
  <tableStyleInfo name="Equation table" showFirstColumn="0" showLastColumn="0" showRowStripes="1" showColumnStripes="0"/>
</table>
</file>

<file path=xl/tables/table1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2" xr:uid="{99F76C67-AEBC-4BE3-966D-751A3A633CEC}" name="Table_ProductRegions_Soybeanmeal" displayName="Table_ProductRegions_Soybeanmeal" ref="L152:M153" totalsRowShown="0">
  <autoFilter ref="L152:M153" xr:uid="{1C990ACD-1539-48DE-9CB9-7E6ABD45F865}">
    <filterColumn colId="0" hiddenButton="1"/>
    <filterColumn colId="1" hiddenButton="1"/>
  </autoFilter>
  <tableColumns count="2">
    <tableColumn id="1" xr3:uid="{7515AF05-3A66-46F1-AB0A-4487774A2D18}" name="Product">
      <calculatedColumnFormula>Table_SourceData_Scope3_Feed[[#This Row],[Product]]</calculatedColumnFormula>
    </tableColumn>
    <tableColumn id="2" xr3:uid="{C45E70FC-0097-4528-8660-A50DF9368D52}" name="Region">
      <calculatedColumnFormula>Table_SourceData_Scope3_Feed[[#This Row],[Region of origin]]</calculatedColumnFormula>
    </tableColumn>
  </tableColumns>
  <tableStyleInfo name="Equation table" showFirstColumn="0" showLastColumn="0" showRowStripes="1" showColumnStripes="0"/>
</table>
</file>

<file path=xl/tables/table1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3" xr:uid="{6E3EB204-2818-48CF-9FBF-2DF76DF47D56}" name="Table_ProductRegions_Wheatbran" displayName="Table_ProductRegions_Wheatbran" ref="O153:P154" totalsRowShown="0">
  <autoFilter ref="O153:P154" xr:uid="{27F97D39-363D-44DD-BCB4-6C8D8B6B10B7}">
    <filterColumn colId="0" hiddenButton="1"/>
    <filterColumn colId="1" hiddenButton="1"/>
  </autoFilter>
  <tableColumns count="2">
    <tableColumn id="1" xr3:uid="{4495F9A5-03D9-46A9-A1AC-703AC2D42172}" name="Product">
      <calculatedColumnFormula>Table_SourceData_Scope3_Feed[[#This Row],[Product]]</calculatedColumnFormula>
    </tableColumn>
    <tableColumn id="2" xr3:uid="{4E9DF0A6-B048-4280-93C8-E8A0633EF46B}" name="Region">
      <calculatedColumnFormula>Table_SourceData_Scope3_Feed[[#This Row],[Region of origin]]</calculatedColumnFormula>
    </tableColumn>
  </tableColumns>
  <tableStyleInfo name="Equation table" showFirstColumn="0" showLastColumn="0" showRowStripes="1" showColumnStripes="0"/>
</table>
</file>

<file path=xl/tables/table1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4" xr:uid="{3D572E51-1116-4236-9927-935989EFFC54}" name="Table_ProductRegions_Bentonite" displayName="Table_ProductRegions_Bentonite" ref="L154:M155" totalsRowShown="0">
  <autoFilter ref="L154:M155" xr:uid="{09E4264E-4E86-40F1-AA3A-76335558A05D}">
    <filterColumn colId="0" hiddenButton="1"/>
    <filterColumn colId="1" hiddenButton="1"/>
  </autoFilter>
  <tableColumns count="2">
    <tableColumn id="1" xr3:uid="{0BD9C619-FA1B-463F-BDDC-830D1835E4A2}" name="Product">
      <calculatedColumnFormula>Table_SourceData_Scope3_Feed[[#This Row],[Product]]</calculatedColumnFormula>
    </tableColumn>
    <tableColumn id="2" xr3:uid="{D0A7D418-C391-4C40-B882-37E2FE8A61D8}" name="Region">
      <calculatedColumnFormula>Table_SourceData_Scope3_Feed[[#This Row],[Region of origin]]</calculatedColumnFormula>
    </tableColumn>
  </tableColumns>
  <tableStyleInfo name="Equation table" showFirstColumn="0" showLastColumn="0" showRowStripes="1" showColumnStripes="0"/>
</table>
</file>

<file path=xl/tables/table1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5" xr:uid="{D06B6952-D2AC-492D-B6F1-99D145F7E205}" name="Table_ProductRegions_Canolaoil" displayName="Table_ProductRegions_Canolaoil" ref="O155:P156" totalsRowShown="0">
  <autoFilter ref="O155:P156" xr:uid="{A0E0877F-5B97-438A-89BF-391F139E6C20}">
    <filterColumn colId="0" hiddenButton="1"/>
    <filterColumn colId="1" hiddenButton="1"/>
  </autoFilter>
  <tableColumns count="2">
    <tableColumn id="1" xr3:uid="{88114F69-5340-477F-8764-AA3098E7D6A0}" name="Product">
      <calculatedColumnFormula>Table_SourceData_Scope3_Feed[[#This Row],[Product]]</calculatedColumnFormula>
    </tableColumn>
    <tableColumn id="2" xr3:uid="{0C8B217C-935A-48A9-90C1-BE9EC8FE33A1}" name="Region">
      <calculatedColumnFormula>Table_SourceData_Scope3_Feed[[#This Row],[Region of origin]]</calculatedColumnFormula>
    </tableColumn>
  </tableColumns>
  <tableStyleInfo name="Equation table" showFirstColumn="0" showLastColumn="0" showRowStripes="1" showColumnStripes="0"/>
</table>
</file>

<file path=xl/tables/table1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6" xr:uid="{C8DA0D8B-6C32-460A-AA49-317E8E539549}" name="Table_ProductRegions_Cottonseed" displayName="Table_ProductRegions_Cottonseed" ref="L156:M157" totalsRowShown="0">
  <autoFilter ref="L156:M157" xr:uid="{77EE7649-CF58-45FA-964C-E4A392F4902C}">
    <filterColumn colId="0" hiddenButton="1"/>
    <filterColumn colId="1" hiddenButton="1"/>
  </autoFilter>
  <tableColumns count="2">
    <tableColumn id="1" xr3:uid="{216452B7-0A1C-43C9-AC2E-68E62453E1B2}" name="Product">
      <calculatedColumnFormula>Table_SourceData_Scope3_Feed[[#This Row],[Product]]</calculatedColumnFormula>
    </tableColumn>
    <tableColumn id="2" xr3:uid="{AAE2ACD6-5EDB-4A87-B7C2-2D495B989665}" name="Region">
      <calculatedColumnFormula>Table_SourceData_Scope3_Feed[[#This Row],[Region of origin]]</calculatedColumnFormula>
    </tableColumn>
  </tableColumns>
  <tableStyleInfo name="Equation table" showFirstColumn="0" showLastColumn="0" showRowStripes="1" showColumnStripes="0"/>
</table>
</file>

<file path=xl/tables/table1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7" xr:uid="{2FE98B82-6B56-4817-9B77-3877591627FB}" name="Table_ProductRegions_Molasses" displayName="Table_ProductRegions_Molasses" ref="O157:P158" totalsRowShown="0">
  <autoFilter ref="O157:P158" xr:uid="{EBEFFF0B-F932-4AFC-ABDF-6907D5107FE5}">
    <filterColumn colId="0" hiddenButton="1"/>
    <filterColumn colId="1" hiddenButton="1"/>
  </autoFilter>
  <tableColumns count="2">
    <tableColumn id="1" xr3:uid="{1EABE7B5-E585-4D45-BD7D-96207C6D2F50}" name="Product">
      <calculatedColumnFormula>Table_SourceData_Scope3_Feed[[#This Row],[Product]]</calculatedColumnFormula>
    </tableColumn>
    <tableColumn id="2" xr3:uid="{27EEA1B0-3DC5-4053-897E-9535A5EACA59}" name="Region">
      <calculatedColumnFormula>Table_SourceData_Scope3_Feed[[#This Row],[Region of origin]]</calculatedColumnFormula>
    </tableColumn>
  </tableColumns>
  <tableStyleInfo name="Equation table" showFirstColumn="0" showLastColumn="0" showRowStripes="1" showColumnStripes="0"/>
</table>
</file>

<file path=xl/tables/table1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8" xr:uid="{5963456F-DA8D-4EDA-B861-8A96198366EE}" name="Table_ProductRegions_Beefcattle139" displayName="Table_ProductRegions_Beefcattle139" ref="L33:M49" totalsRowShown="0">
  <autoFilter ref="L33:M49" xr:uid="{77539992-728B-4655-965B-FB28372E4BBC}">
    <filterColumn colId="0" hiddenButton="1"/>
    <filterColumn colId="1" hiddenButton="1"/>
  </autoFilter>
  <tableColumns count="2">
    <tableColumn id="1" xr3:uid="{0307DC46-9572-40B9-8D86-7DC1B000BCEA}" name="Region"/>
    <tableColumn id="2" xr3:uid="{40C56353-614F-4E7D-8376-8F07BF689E85}" name="Scope3 region"/>
  </tableColumns>
  <tableStyleInfo name="Equation table" showFirstColumn="0" showLastColumn="0" showRowStripes="1" showColumnStripes="0"/>
</table>
</file>

<file path=xl/tables/table1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9" xr:uid="{BC644734-B622-441D-8260-604FAEAF014B}" name="Table_SourceData_Scope3_FishFeedAndBait" displayName="Table_SourceData_Scope3_FishFeedAndBait" ref="D241:J247" totalsRowShown="0" dataDxfId="150" dataCellStyle="Content normal">
  <autoFilter ref="D241:J247" xr:uid="{CB2ECEE9-6AEB-4C74-BD8F-E665996241EB}">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6" xr3:uid="{57091DDC-F922-4240-B76E-1ACD9994F81E}" name="Category" dataDxfId="149" dataCellStyle="Content normal">
      <calculatedColumnFormula array="1">Common_InputFunctions.Utility_DisplayArrayInTable(Scope3_SourceData.Scope3_FishFeedAndBait_Data(), Table_SourceData_Scope3_FishFeedAndBait[[#Headers],[Category]], 0, 1)</calculatedColumnFormula>
    </tableColumn>
    <tableColumn id="1" xr3:uid="{A5A5C077-87B7-4DC9-B200-17C77549081A}" name="Product" dataDxfId="148" dataCellStyle="Content normal">
      <calculatedColumnFormula array="1">Common_InputFunctions.Utility_DisplayArrayInTable(Scope3_SourceData.Scope3_FishFeedAndBait_Data(), Table_SourceData_Scope3_FishFeedAndBait[[#Headers],[Category]], 0, 1)</calculatedColumnFormula>
    </tableColumn>
    <tableColumn id="2" xr3:uid="{CBC018EA-972C-4828-ABC7-93FE3D632157}" name="Region of origin" dataDxfId="147" dataCellStyle="Content normal">
      <calculatedColumnFormula array="1">Common_InputFunctions.Utility_DisplayArrayInTable(Scope3_SourceData.Scope3_FishFeedAndBait_Data(), Table_SourceData_Scope3_FishFeedAndBait[[#Headers],[Category]], 0, 1)</calculatedColumnFormula>
    </tableColumn>
    <tableColumn id="3" xr3:uid="{913EEB83-3BF0-4971-8255-7BBE49E6413B}" name="Quantity Unit" dataDxfId="146" dataCellStyle="Content normal">
      <calculatedColumnFormula array="1">Common_InputFunctions.Utility_DisplayArrayInTable(Scope3_SourceData.Scope3_FishFeedAndBait_Data(), Table_SourceData_Scope3_FishFeedAndBait[[#Headers],[Category]], 0, 1)</calculatedColumnFormula>
    </tableColumn>
    <tableColumn id="4" xr3:uid="{1978D1F9-D6D8-4FDE-A5C4-097738F4EC27}" name="Emissions intensity" dataDxfId="145" dataCellStyle="Content normal">
      <calculatedColumnFormula array="1">Common_InputFunctions.Utility_DisplayArrayInTable(Scope3_SourceData.Scope3_FishFeedAndBait_Data(), Table_SourceData_Scope3_FishFeedAndBait[[#Headers],[Category]], 0, 1)</calculatedColumnFormula>
    </tableColumn>
    <tableColumn id="5" xr3:uid="{7FA064FA-ECD4-4426-A8B3-5AAB0B0F84EC}" name="System boundary" dataDxfId="144" dataCellStyle="Content normal">
      <calculatedColumnFormula array="1">Common_InputFunctions.Utility_DisplayArrayInTable(Scope3_SourceData.Scope3_FishFeedAndBait_Data(), Table_SourceData_Scope3_FishFeedAndBait[[#Headers],[Category]], 0, 1)</calculatedColumnFormula>
    </tableColumn>
    <tableColumn id="8" xr3:uid="{17F72BF0-7B36-4BAB-99A0-C494A0EE90A7}" name="Source" dataDxfId="143" dataCellStyle="Content normal"/>
  </tableColumns>
  <tableStyleInfo name="Equation table" showFirstColumn="0" showLastColumn="0" showRowStripes="1" showColumnStripes="0"/>
</table>
</file>

<file path=xl/tables/table1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6" xr:uid="{1A2FDF16-FD3C-4701-A407-5FA6D6DDAE42}" name="Table_SourceData_WasteSolid_WasteTreatmentEFs" displayName="Table_SourceData_WasteSolid_WasteTreatmentEFs" ref="D16:G50" totalsRowShown="0">
  <autoFilter ref="D16:G50" xr:uid="{4AF52C87-665B-4565-984D-010681CEE8B6}">
    <filterColumn colId="0" hiddenButton="1"/>
    <filterColumn colId="1" hiddenButton="1"/>
    <filterColumn colId="2" hiddenButton="1"/>
    <filterColumn colId="3" hiddenButton="1"/>
  </autoFilter>
  <tableColumns count="4">
    <tableColumn id="1" xr3:uid="{E01149C2-4353-4015-B40F-18AB1D8FAD82}" name="Treatment type t">
      <calculatedColumnFormula array="1">Common_InputFunctions.Utility_DisplayArrayInTable(WasteSolid_SourceData.Waste_EmissionFactorsForWasteTreatment_Data(), Table_SourceData_WasteSolid_WasteTreatmentEFs[[#Headers],[Treatment type t]], 0)</calculatedColumnFormula>
    </tableColumn>
    <tableColumn id="2" xr3:uid="{ED587C36-FDB3-4657-8EDD-FFD1CD8AB514}" name="Waste type w" dataDxfId="142" dataCellStyle="Content normal">
      <calculatedColumnFormula array="1">Common_InputFunctions.Utility_DisplayArrayInTable(WasteSolid_SourceData.Waste_EmissionFactorsForWasteTreatment_Data(), Table_SourceData_WasteSolid_WasteTreatmentEFs[[#Headers],[Treatment type t]], 0)</calculatedColumnFormula>
    </tableColumn>
    <tableColumn id="3" xr3:uid="{C33CEC4D-1989-45A0-8E26-BAF8080F5553}" name="EFwt" dataDxfId="141" dataCellStyle="Content normal">
      <calculatedColumnFormula array="1">Common_InputFunctions.Utility_DisplayArrayInTable(WasteSolid_SourceData.Waste_EmissionFactorsForWasteTreatment_Data(), Table_SourceData_WasteSolid_WasteTreatmentEFs[[#Headers],[Treatment type t]], 0)</calculatedColumnFormula>
    </tableColumn>
    <tableColumn id="4" xr3:uid="{160CB309-19C3-463D-AED0-CA7F32A87A02}" name="EF source" dataDxfId="140" dataCellStyle="Content normal">
      <calculatedColumnFormula array="1">Common_InputFunctions.Utility_DisplayArrayInTable(WasteSolid_SourceData.Waste_EmissionFactorsForWasteTreatment_Data(), Table_SourceData_WasteSolid_WasteTreatmentEFs[[#Headers],[Treatment type t]], 0)</calculatedColumnFormula>
    </tableColumn>
  </tableColumns>
  <tableStyleInfo name="Equation table" showFirstColumn="0" showLastColumn="0" showRowStripes="1" showColumnStripes="0"/>
</table>
</file>

<file path=xl/tables/table1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7" xr:uid="{1E6D663A-9C4B-4D0E-8B88-46BA2E0D8B97}" name="Table_SourceData_WasteSolid_VolumeToMassConversion" displayName="Table_SourceData_WasteSolid_VolumeToMassConversion" ref="D57:E68" totalsRowShown="0">
  <autoFilter ref="D57:E68" xr:uid="{7322750E-D63A-47D8-AB88-7693F1AFBB78}">
    <filterColumn colId="0" hiddenButton="1"/>
    <filterColumn colId="1" hiddenButton="1"/>
  </autoFilter>
  <tableColumns count="2">
    <tableColumn id="1" xr3:uid="{46585916-96C7-4485-BFF7-077F423EC0FB}" name="Waste type w">
      <calculatedColumnFormula array="1">Common_InputFunctions.Utility_DisplayArrayInTable(WasteSolid_SourceData.Waste_WasteVolumeToMassConversion_Data(), Table_SourceData_WasteSolid_VolumeToMassConversion[[#Headers],[Waste type w]], 0)</calculatedColumnFormula>
    </tableColumn>
    <tableColumn id="2" xr3:uid="{E81873B7-AF85-4DD2-BD4D-D87AB2129039}" name="VTMw" dataDxfId="139" dataCellStyle="Content normal">
      <calculatedColumnFormula array="1">Common_InputFunctions.Utility_DisplayArrayInTable(WasteSolid_SourceData.Waste_WasteVolumeToMassConversion_Data(), Table_SourceData_WasteSolid_VolumeToMassConversion[[#Headers],[Waste type w]], 0)</calculatedColumnFormula>
    </tableColumn>
  </tableColumns>
  <tableStyleInfo name="Equation table" showFirstColumn="0" showLastColumn="0" showRowStripes="1" showColumnStripes="0"/>
</table>
</file>

<file path=xl/tables/table1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8" xr:uid="{ED4487F6-11C4-4C43-9FEE-9DF8542A2F67}" name="Table_WasteTypes_Landfill" displayName="Table_WasteTypes_Landfill" ref="I16:I27" totalsRowShown="0">
  <autoFilter ref="I16:I27" xr:uid="{99B942E3-1D24-4166-921C-DCC10960718D}">
    <filterColumn colId="0" hiddenButton="1"/>
  </autoFilter>
  <tableColumns count="1">
    <tableColumn id="1" xr3:uid="{1FE7AF67-2FCF-4FD1-8926-C50C3C603C8D}" name="Waste type w">
      <calculatedColumnFormula>Table_SourceData_WasteSolid_WasteTreatmentEFs[[#This Row],[Waste type w]]</calculatedColumnFormula>
    </tableColumn>
  </tableColumns>
  <tableStyleInfo name="Equation table" showFirstColumn="0" showLastColumn="0" showRowStripes="1" showColumnStripes="0"/>
</table>
</file>

<file path=xl/tables/table1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9" xr:uid="{97D06259-C3BE-4371-A696-6039E9EF410C}" name="Table_WasteTypes_Incineration" displayName="Table_WasteTypes_Incineration" ref="K16:K26" totalsRowShown="0" headerRowDxfId="138" headerRowCellStyle="Content normal" dataCellStyle="Content normal">
  <autoFilter ref="K16:K26" xr:uid="{9A900595-7035-4239-9059-ACC16835BF72}">
    <filterColumn colId="0" hiddenButton="1"/>
  </autoFilter>
  <tableColumns count="1">
    <tableColumn id="1" xr3:uid="{833169F7-BB4D-47A8-978B-9B3BFFB1CB5E}" name="Waste type w" dataCellStyle="Content normal">
      <calculatedColumnFormula>E29</calculatedColumnFormula>
    </tableColumn>
  </tableColumns>
  <tableStyleInfo name="Equation table" showFirstColumn="0" showLastColumn="0" showRowStripes="1" showColumnStripes="0"/>
</table>
</file>

<file path=xl/tables/table1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0" xr:uid="{5AA855EE-7B74-48FF-817A-2CCB234C9824}" name="Table_WasteTypes_Composting" displayName="Table_WasteTypes_Composting" ref="M16:M21" totalsRowShown="0" headerRowDxfId="137" headerRowCellStyle="Content normal" dataCellStyle="Content normal">
  <autoFilter ref="M16:M21" xr:uid="{5C8D39D3-1330-49EB-B431-1B2B8C8238DC}">
    <filterColumn colId="0" hiddenButton="1"/>
  </autoFilter>
  <tableColumns count="1">
    <tableColumn id="1" xr3:uid="{24042243-347F-45A6-8DB4-A33207131C04}" name="Waste type w" totalsRowDxfId="136" dataCellStyle="Content normal">
      <calculatedColumnFormula>E40</calculatedColumnFormula>
    </tableColumn>
  </tableColumns>
  <tableStyleInfo name="Equation table" showFirstColumn="0" showLastColumn="0" showRowStripes="1" showColumnStripes="0"/>
</table>
</file>

<file path=xl/tables/table1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1" xr:uid="{67A5FDE0-ED6E-4209-8A60-F8979D1301E5}" name="Table_WasteTypes_Anaerobicdigestion" displayName="Table_WasteTypes_Anaerobicdigestion" ref="O16:O21" totalsRowShown="0" headerRowDxfId="135" headerRowCellStyle="Content normal" dataCellStyle="Content normal">
  <autoFilter ref="O16:O21" xr:uid="{331EC43E-DF68-429F-A2A4-58BFE6216EC3}">
    <filterColumn colId="0" hiddenButton="1"/>
  </autoFilter>
  <tableColumns count="1">
    <tableColumn id="1" xr3:uid="{0C5CD51C-039F-4665-8B6B-E3570EBA9927}" name="Waste type w" totalsRowDxfId="134" dataCellStyle="Content normal">
      <calculatedColumnFormula>E46</calculatedColumnFormula>
    </tableColumn>
  </tableColumns>
  <tableStyleInfo name="Equation table" showFirstColumn="0" showLastColumn="0" showRowStripes="1" showColumnStripes="0"/>
</table>
</file>

<file path=xl/tables/table1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EC720952-9573-49DC-AE17-42B5E4717C73}" name="Table_AustralianStates" displayName="Table_AustralianStates" ref="D6:F14" totalsRowShown="0">
  <autoFilter ref="D6:F14" xr:uid="{E0906749-7FC7-47DE-82F6-F796C4463018}">
    <filterColumn colId="0" hiddenButton="1"/>
    <filterColumn colId="1" hiddenButton="1"/>
    <filterColumn colId="2" hiddenButton="1"/>
  </autoFilter>
  <tableColumns count="3">
    <tableColumn id="1" xr3:uid="{FC6BB80F-2FBD-4189-9CFF-6AB5D66A7738}" name="State/Territory">
      <calculatedColumnFormula array="1">Common_InputFunctions.Utility_DisplayArrayInTable(Common_SourceData.Common_SourceData_AustralianStatesTerritories_Data(),Table_AustralianStates[[#Headers],[State/Territory]],0)</calculatedColumnFormula>
    </tableColumn>
    <tableColumn id="2" xr3:uid="{0C42CDB9-C65B-407F-867C-B8581218C179}" name="Common Name">
      <calculatedColumnFormula array="1">Common_InputFunctions.Utility_DisplayArrayInTable(Common_SourceData.Common_SourceData_AustralianStatesTerritories_Data(),Table_AustralianStates[[#Headers],[State/Territory]],0)</calculatedColumnFormula>
    </tableColumn>
    <tableColumn id="3" xr3:uid="{393D1B98-31B0-48DC-BEE3-2D1FF09DAD54}" name="Abbreviation">
      <calculatedColumnFormula array="1">Common_InputFunctions.Utility_DisplayArrayInTable(Common_SourceData.Common_SourceData_AustralianStatesTerritories_Data(),Table_AustralianStates[[#Headers],[State/Territory]],0)</calculatedColumnFormula>
    </tableColumn>
  </tableColumns>
  <tableStyleInfo name="Equation table" showFirstColumn="0" showLastColumn="0" showRowStripes="1" showColumnStripes="0"/>
</table>
</file>

<file path=xl/tables/table1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A5347D19-8517-44DD-A1D0-08213C68A9AD}" name="Table_WASA4Areas" displayName="Table_WASA4Areas" ref="D20:D30" totalsRowShown="0">
  <autoFilter ref="D20:D30" xr:uid="{5FA81339-C6C8-4D36-BEEA-6C4AEDD9E676}">
    <filterColumn colId="0" hiddenButton="1"/>
  </autoFilter>
  <tableColumns count="1">
    <tableColumn id="1" xr3:uid="{B79AC01B-AD9D-42AB-AE54-83A8143EDB25}" name="SA 4 Name">
      <calculatedColumnFormula array="1">Common_InputFunctions.Utility_DisplayArrayInTable(Common_SourceData.Common_SourceData_WASA4Areas_Data(), Table_WASA4Areas[[#Headers],[SA 4 Name]], 0)</calculatedColumnFormula>
    </tableColumn>
  </tableColumns>
  <tableStyleInfo name="Equation table" showFirstColumn="0" showLastColumn="0" showRowStripes="1" showColumnStripes="0"/>
</table>
</file>

<file path=xl/tables/table1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843446F9-8BAA-41C9-9D82-4D4B2E3388F4}" name="Table_GWPData" displayName="Table_GWPData" ref="D36:E43" totalsRowShown="0">
  <autoFilter ref="D36:E43" xr:uid="{B8E87A66-3E41-4AD3-925D-01EE21B43D7A}">
    <filterColumn colId="0" hiddenButton="1"/>
    <filterColumn colId="1" hiddenButton="1"/>
  </autoFilter>
  <tableColumns count="2">
    <tableColumn id="1" xr3:uid="{3B2AA825-0B55-4971-BB6C-BE8CA13C072B}" name="Gas">
      <calculatedColumnFormula array="1">Common_InputFunctions.Utility_DisplayArrayInTable(Common_SourceData.Common_SourceData_GWP_Data(), Table_GWPData[[#Headers],[Gas]], 0)</calculatedColumnFormula>
    </tableColumn>
    <tableColumn id="2" xr3:uid="{91B57224-483E-453D-8C90-2289203554CB}" name="CO2-e factor">
      <calculatedColumnFormula array="1">Common_InputFunctions.Utility_DisplayArrayInTable(Common_SourceData.Common_SourceData_GWP_Data(), Table_GWPData[[#Headers],[Gas]], 0)</calculatedColumnFormula>
    </tableColumn>
  </tableColumns>
  <tableStyleInfo name="Equation table" showFirstColumn="0" showLastColumn="0" showRowStripes="1" showColumnStripes="0"/>
</table>
</file>

<file path=xl/tables/table1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E82ED490-9500-460F-B609-3C1110E2B69A}" name="Table_GasToMolecularConversionFactor" displayName="Table_GasToMolecularConversionFactor" ref="D47:H54" totalsRowShown="0">
  <autoFilter ref="D47:H54" xr:uid="{C1F562BB-DAA6-45BB-951A-7BAFA5B64B45}">
    <filterColumn colId="0" hiddenButton="1"/>
    <filterColumn colId="1" hiddenButton="1"/>
    <filterColumn colId="2" hiddenButton="1"/>
    <filterColumn colId="3" hiddenButton="1"/>
    <filterColumn colId="4" hiddenButton="1"/>
  </autoFilter>
  <tableColumns count="5">
    <tableColumn id="1" xr3:uid="{9B93A9B8-28D8-4CC1-BCA3-DBC30FFF7CC8}" name="Gas">
      <calculatedColumnFormula array="1">Common_InputFunctions.Utility_DisplayArrayInTable(Common_SourceData.Common_SourceData_ConvertGasElementalToMolecular_Data(),Table_GasToMolecularConversionFactor[[#Headers],[Gas]], 0)</calculatedColumnFormula>
    </tableColumn>
    <tableColumn id="5" xr3:uid="{3A0B26F5-7F8E-4633-B799-B9F17383CD69}" name="Conversion factor">
      <calculatedColumnFormula array="1">Common_InputFunctions.Utility_DisplayArrayInTable(Common_SourceData.Common_SourceData_ConvertGasElementalToMolecular_Data(),Table_GasToMolecularConversionFactor[[#Headers],[Gas]], 0)</calculatedColumnFormula>
    </tableColumn>
    <tableColumn id="2" xr3:uid="{AF072F9B-4B19-411A-9998-A3D08C62C429}" name="Conversion factor 1">
      <calculatedColumnFormula array="1">Common_InputFunctions.Utility_DisplayArrayInTable(Common_SourceData.Common_SourceData_ConvertGasElementalToMolecular_Data(),Table_GasToMolecularConversionFactor[[#Headers],[Gas]], 0)</calculatedColumnFormula>
    </tableColumn>
    <tableColumn id="3" xr3:uid="{020CDD08-9BCA-4B6F-B811-FDAD125373BD}" name="Conversion factor 2">
      <calculatedColumnFormula array="1">Common_InputFunctions.Utility_DisplayArrayInTable(Common_SourceData.Common_SourceData_ConvertGasElementalToMolecular_Data(),Table_GasToMolecularConversionFactor[[#Headers],[Gas]], 0)</calculatedColumnFormula>
    </tableColumn>
    <tableColumn id="4" xr3:uid="{414E2E0C-882D-4C71-9209-12865667B0BE}" name="Conversion factor combined">
      <calculatedColumnFormula>Table_GasToMolecularConversionFactor[[#This Row],[Conversion factor 1]]/Table_GasToMolecularConversionFactor[[#This Row],[Conversion factor 2]]</calculatedColumnFormula>
    </tableColumn>
  </tableColumns>
  <tableStyleInfo name="Equation table" showFirstColumn="0" showLastColumn="0" showRowStripes="1" showColumnStripes="0"/>
</table>
</file>

<file path=xl/tables/table1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9EC03F0C-FF22-407F-9796-8168294B5EEC}" name="Table_SourceData_ClimateZones" displayName="Table_SourceData_ClimateZones" ref="D89:S97" totalsRowShown="0">
  <autoFilter ref="D89:S97" xr:uid="{5A437AE9-7724-4CF2-ACCF-291078682FB9}">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38BB8466-D7CA-45B4-AC88-D0751E36E8E6}" name="Climate zone" totalsRowCellStyle="Content bold">
      <calculatedColumnFormula array="1">Common_InputFunctions.Utility_DisplayArrayInTable(Common_SourceData.Common_SourceData_ClimateZones_Data(), Table_SourceData_ClimateZones[[#Headers],[Climate zone]], 0)</calculatedColumnFormula>
    </tableColumn>
    <tableColumn id="2" xr3:uid="{4C1C41D4-653F-4E49-A6A7-F05E5236EF25}" name="MAT" totalsRowDxfId="133" totalsRowCellStyle="Content bold">
      <calculatedColumnFormula array="1">Common_InputFunctions.Utility_DisplayArrayInTable(Common_SourceData.Common_SourceData_ClimateZones_Data(), Table_SourceData_ClimateZones[[#Headers],[Climate zone]], 0)</calculatedColumnFormula>
    </tableColumn>
    <tableColumn id="3" xr3:uid="{5379A94F-0EDF-4426-9BFA-DAED807DA7C1}" name="MAP" totalsRowDxfId="132" totalsRowCellStyle="Content bold">
      <calculatedColumnFormula array="1">Common_InputFunctions.Utility_DisplayArrayInTable(Common_SourceData.Common_SourceData_ClimateZones_Data(), Table_SourceData_ClimateZones[[#Headers],[Climate zone]], 0)</calculatedColumnFormula>
    </tableColumn>
    <tableColumn id="4" xr3:uid="{E6A06D4F-4AAA-4F0C-A247-F00F53686281}" name="Frost days per year" totalsRowDxfId="131" totalsRowCellStyle="Content bold">
      <calculatedColumnFormula array="1">Common_InputFunctions.Utility_DisplayArrayInTable(Common_SourceData.Common_SourceData_ClimateZones_Data(), Table_SourceData_ClimateZones[[#Headers],[Climate zone]], 0)</calculatedColumnFormula>
    </tableColumn>
    <tableColumn id="5" xr3:uid="{08EBF8F6-53FE-4006-A4C0-B098DC45673D}" name="Elevation" totalsRowDxfId="130" totalsRowCellStyle="Content bold">
      <calculatedColumnFormula array="1">Common_InputFunctions.Utility_DisplayArrayInTable(Common_SourceData.Common_SourceData_ClimateZones_Data(), Table_SourceData_ClimateZones[[#Headers],[Climate zone]], 0)</calculatedColumnFormula>
    </tableColumn>
    <tableColumn id="6" xr3:uid="{BCB4110B-8D19-4649-B51F-2612B4C23752}" name="MAP:PET" totalsRowDxfId="129" totalsRowCellStyle="Content bold">
      <calculatedColumnFormula array="1">Common_InputFunctions.Utility_DisplayArrayInTable(Common_SourceData.Common_SourceData_ClimateZones_Data(), Table_SourceData_ClimateZones[[#Headers],[Climate zone]], 0)</calculatedColumnFormula>
    </tableColumn>
    <tableColumn id="7" xr3:uid="{B42B2105-CFEB-4AEB-8E2F-43F80732FDA0}" name="Min temp" totalsRowDxfId="128" totalsRowCellStyle="Content bold">
      <calculatedColumnFormula array="1">Common_InputFunctions.Utility_DisplayArrayInTable(Common_SourceData.Common_SourceData_ClimateZones_Data(), Table_SourceData_ClimateZones[[#Headers],[Climate zone]], 0)</calculatedColumnFormula>
    </tableColumn>
    <tableColumn id="8" xr3:uid="{B73F0F92-06DA-4E97-8F81-DF24FF23C6AE}" name="Max temp" totalsRowDxfId="127" totalsRowCellStyle="Content bold">
      <calculatedColumnFormula array="1">Common_InputFunctions.Utility_DisplayArrayInTable(Common_SourceData.Common_SourceData_ClimateZones_Data(), Table_SourceData_ClimateZones[[#Headers],[Climate zone]], 0)</calculatedColumnFormula>
    </tableColumn>
    <tableColumn id="9" xr3:uid="{CD8AF126-C330-4BBD-AEF8-CD0E4D054E3D}" name="Min rainfall" totalsRowDxfId="126" totalsRowCellStyle="Content bold">
      <calculatedColumnFormula array="1">Common_InputFunctions.Utility_DisplayArrayInTable(Common_SourceData.Common_SourceData_ClimateZones_Data(), Table_SourceData_ClimateZones[[#Headers],[Climate zone]], 0)</calculatedColumnFormula>
    </tableColumn>
    <tableColumn id="10" xr3:uid="{532985AB-0B3A-47DF-B0D6-F257A88ADB07}" name="Max rainfall" totalsRowDxfId="125" totalsRowCellStyle="Content bold">
      <calculatedColumnFormula array="1">Common_InputFunctions.Utility_DisplayArrayInTable(Common_SourceData.Common_SourceData_ClimateZones_Data(), Table_SourceData_ClimateZones[[#Headers],[Climate zone]], 0)</calculatedColumnFormula>
    </tableColumn>
    <tableColumn id="11" xr3:uid="{75116F98-219B-4E23-B88C-05E5BE44A8C8}" name="Min frost days" totalsRowDxfId="124" totalsRowCellStyle="Content bold">
      <calculatedColumnFormula array="1">Common_InputFunctions.Utility_DisplayArrayInTable(Common_SourceData.Common_SourceData_ClimateZones_Data(), Table_SourceData_ClimateZones[[#Headers],[Climate zone]], 0)</calculatedColumnFormula>
    </tableColumn>
    <tableColumn id="15" xr3:uid="{EB3A0B83-1556-4A52-B561-F1C477FE82A3}" name="Max frost days" totalsRowDxfId="123" totalsRowCellStyle="Content bold">
      <calculatedColumnFormula array="1">Common_InputFunctions.Utility_DisplayArrayInTable(Common_SourceData.Common_SourceData_ClimateZones_Data(), Table_SourceData_ClimateZones[[#Headers],[Climate zone]], 0)</calculatedColumnFormula>
    </tableColumn>
    <tableColumn id="12" xr3:uid="{A0C8EF52-24EB-49B7-A21E-AE71B166B735}" name="Min elevation" totalsRowDxfId="122" totalsRowCellStyle="Content bold">
      <calculatedColumnFormula array="1">Common_InputFunctions.Utility_DisplayArrayInTable(Common_SourceData.Common_SourceData_ClimateZones_Data(), Table_SourceData_ClimateZones[[#Headers],[Climate zone]], 0)</calculatedColumnFormula>
    </tableColumn>
    <tableColumn id="16" xr3:uid="{3D0F61E1-59E6-4B05-80AC-67F9B04BF0B0}" name="Max elevation" totalsRowDxfId="121" totalsRowCellStyle="Content bold">
      <calculatedColumnFormula array="1">Common_InputFunctions.Utility_DisplayArrayInTable(Common_SourceData.Common_SourceData_ClimateZones_Data(), Table_SourceData_ClimateZones[[#Headers],[Climate zone]], 0)</calculatedColumnFormula>
    </tableColumn>
    <tableColumn id="13" xr3:uid="{E1D367ED-4C69-451C-A4C2-A7D9D04C2C00}" name="Min MAP:PET" totalsRowDxfId="120" totalsRowCellStyle="Content bold">
      <calculatedColumnFormula array="1">Common_InputFunctions.Utility_DisplayArrayInTable(Common_SourceData.Common_SourceData_ClimateZones_Data(), Table_SourceData_ClimateZones[[#Headers],[Climate zone]], 0)</calculatedColumnFormula>
    </tableColumn>
    <tableColumn id="17" xr3:uid="{A16257E5-CB70-4141-ADFC-9F07F40D4D6E}" name="Max MAP:PET" totalsRowDxfId="119" totalsRowCellStyle="Content bold">
      <calculatedColumnFormula array="1">Common_InputFunctions.Utility_DisplayArrayInTable(Common_SourceData.Common_SourceData_ClimateZones_Data(), Table_SourceData_ClimateZones[[#Headers],[Climate zone]], 0)</calculatedColumnFormula>
    </tableColumn>
  </tableColumns>
  <tableStyleInfo name="Equation table" showFirstColumn="0" showLastColumn="0" showRowStripes="1" showColumnStripes="0"/>
</table>
</file>

<file path=xl/tables/table1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3B1FBBD1-DF6D-4ABA-9661-65271F24FFF7}" name="Table_SourceData_WetDryZones" displayName="Table_SourceData_WetDryZones" ref="D63:E77" totalsRowShown="0">
  <autoFilter ref="D63:E77" xr:uid="{3597E019-B21E-4B76-BCC8-D02D497BCFA9}">
    <filterColumn colId="0" hiddenButton="1"/>
    <filterColumn colId="1" hiddenButton="1"/>
  </autoFilter>
  <tableColumns count="2">
    <tableColumn id="1" xr3:uid="{08989BD9-AEF4-497A-9908-F768654AAB37}" name="Climate zone" totalsRowCellStyle="Content bold">
      <calculatedColumnFormula array="1">Common_InputFunctions.Utility_DisplayArrayInTable(Common_SourceData.Common_SourceData_WetAndDryZones_Data(), Table_SourceData_WetDryZones[[#Headers],[Climate zone]], 0)</calculatedColumnFormula>
    </tableColumn>
    <tableColumn id="2" xr3:uid="{0A19B872-FB37-48B8-9489-88BEBF884297}" name="Wet or Dry Zone" totalsRowDxfId="118" totalsRowCellStyle="Content bold">
      <calculatedColumnFormula array="1">Common_InputFunctions.Utility_DisplayArrayInTable(Common_SourceData.Common_SourceData_WetAndDryZones_Data(), Table_SourceData_WetDryZones[[#Headers],[Climate zone]], 0)</calculatedColumnFormula>
    </tableColumn>
  </tableColumns>
  <tableStyleInfo name="Equation table" showFirstColumn="0" showLastColumn="0" showRowStripes="1" showColumnStripes="0"/>
</table>
</file>

<file path=xl/tables/table1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4" xr:uid="{35C3254F-969E-4F23-BFEE-B8B2D8E7D6CB}" name="Table_SourceData_TemperatureZones" displayName="Table_SourceData_TemperatureZones" ref="D109:G112" totalsRowShown="0">
  <autoFilter ref="D109:G112" xr:uid="{AB16FEAB-AB03-45E1-BBD4-66D29CD412DF}">
    <filterColumn colId="0" hiddenButton="1"/>
    <filterColumn colId="1" hiddenButton="1"/>
    <filterColumn colId="2" hiddenButton="1"/>
    <filterColumn colId="3" hiddenButton="1"/>
  </autoFilter>
  <tableColumns count="4">
    <tableColumn id="1" xr3:uid="{739EA7CD-71E1-4988-984B-15DB8D0DE01A}" name="Temperature Zone">
      <calculatedColumnFormula array="1">Common_InputFunctions.Utility_DisplayArrayInTable(Common_SourceData.Common_SourceData_TemperatureZones_Data(),Table_SourceData_TemperatureZones[[#Headers],[Temperature Zone]],0)</calculatedColumnFormula>
    </tableColumn>
    <tableColumn id="2" xr3:uid="{D9D81061-255F-491A-8C85-8C6425E90E49}" name="MAT">
      <calculatedColumnFormula array="1">Common_InputFunctions.Utility_DisplayArrayInTable(Common_SourceData.Common_SourceData_TemperatureZones_Data(),Table_SourceData_TemperatureZones[[#Headers],[Temperature Zone]],0)</calculatedColumnFormula>
    </tableColumn>
    <tableColumn id="3" xr3:uid="{116CB086-2F02-436C-BE8C-4F10687F05A2}" name="Min MAT">
      <calculatedColumnFormula array="1">Common_InputFunctions.Utility_DisplayArrayInTable(Common_SourceData.Common_SourceData_TemperatureZones_Data(),Table_SourceData_TemperatureZones[[#Headers],[Temperature Zone]],0)</calculatedColumnFormula>
    </tableColumn>
    <tableColumn id="4" xr3:uid="{175827B5-1C09-4025-B7A6-78EA00E8A220}" name="Max MAT">
      <calculatedColumnFormula array="1">Common_InputFunctions.Utility_DisplayArrayInTable(Common_SourceData.Common_SourceData_TemperatureZones_Data(),Table_SourceData_TemperatureZones[[#Headers],[Temperature Zone]],0)</calculatedColumnFormula>
    </tableColumn>
  </tableColumns>
  <tableStyleInfo name="Equation table" showFirstColumn="0" showLastColumn="0" showRowStripes="1" showColumnStripes="0"/>
</table>
</file>

<file path=xl/tables/table1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 xr:uid="{D7E4EC19-12EC-4534-BA6E-FF6E8E989128}" name="Table_SourceData_RainfallZones" displayName="Table_SourceData_RainfallZones" ref="D119:G121" totalsRowShown="0">
  <autoFilter ref="D119:G121" xr:uid="{E08772F3-2E8C-40A8-B755-08A5BBDF4130}">
    <filterColumn colId="0" hiddenButton="1"/>
    <filterColumn colId="1" hiddenButton="1"/>
    <filterColumn colId="2" hiddenButton="1"/>
    <filterColumn colId="3" hiddenButton="1"/>
  </autoFilter>
  <tableColumns count="4">
    <tableColumn id="1" xr3:uid="{68236EFA-AD23-4F28-8BB9-36AD6FB48737}" name="Rainfall Zone">
      <calculatedColumnFormula array="1">Common_InputFunctions.Utility_DisplayArrayInTable(Common_SourceData.Common_SourceData_RainfallZones_Data(),Table_SourceData_RainfallZones[[#Headers],[Rainfall Zone]],0)</calculatedColumnFormula>
    </tableColumn>
    <tableColumn id="2" xr3:uid="{053CE2E4-656E-4DF0-80E9-713C86453636}" name="Annual rainfall">
      <calculatedColumnFormula array="1">Common_InputFunctions.Utility_DisplayArrayInTable(Common_SourceData.Common_SourceData_RainfallZones_Data(),Table_SourceData_RainfallZones[[#Headers],[Rainfall Zone]],0)</calculatedColumnFormula>
    </tableColumn>
    <tableColumn id="3" xr3:uid="{6ABAD44B-42E6-49C9-9D06-E4D927E3FC2D}" name="Min rainfall">
      <calculatedColumnFormula array="1">Common_InputFunctions.Utility_DisplayArrayInTable(Common_SourceData.Common_SourceData_RainfallZones_Data(),Table_SourceData_RainfallZones[[#Headers],[Rainfall Zone]],0)</calculatedColumnFormula>
    </tableColumn>
    <tableColumn id="4" xr3:uid="{8128E778-32A6-40F5-B3FF-A36C733C0FD2}" name="Max rainfall">
      <calculatedColumnFormula array="1">Common_InputFunctions.Utility_DisplayArrayInTable(Common_SourceData.Common_SourceData_RainfallZones_Data(),Table_SourceData_RainfallZones[[#Headers],[Rainfall Zone]],0)</calculatedColumnFormula>
    </tableColumn>
  </tableColumns>
  <tableStyleInfo name="Equation table" showFirstColumn="0" showLastColumn="0" showRowStripes="1" showColumnStripes="0"/>
</table>
</file>

<file path=xl/tables/table1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6" xr:uid="{2F183465-FC50-4283-BE83-5B1A778BA6BC}" name="Table_SourceData_LeachingZones" displayName="Table_SourceData_LeachingZones" ref="D127:E129" totalsRowShown="0">
  <autoFilter ref="D127:E129" xr:uid="{A159E140-02ED-4547-B6E1-6695D8B16A11}">
    <filterColumn colId="0" hiddenButton="1"/>
    <filterColumn colId="1" hiddenButton="1"/>
  </autoFilter>
  <tableColumns count="2">
    <tableColumn id="1" xr3:uid="{5258EA5E-29F0-4F71-9EF2-63A68C24D6E6}" name="Leaching Zone">
      <calculatedColumnFormula array="1">Common_InputFunctions.Utility_DisplayArrayInTable(Common_SourceData.Common_SourceData_LeachingZones_Data(), Table_SourceData_LeachingZones[[#Headers],[Leaching Zone]], 0)</calculatedColumnFormula>
    </tableColumn>
    <tableColumn id="2" xr3:uid="{16A007DF-3E06-4D5C-99FC-2FA1A74E7958}" name="Leaching criteria">
      <calculatedColumnFormula array="1">Common_InputFunctions.Utility_DisplayArrayInTable(Common_SourceData.Common_SourceData_LeachingZones_Data(), Table_SourceData_LeachingZones[[#Headers],[Leaching Zone]], 0)</calculatedColumnFormula>
    </tableColumn>
  </tableColumns>
  <tableStyleInfo name="Equation table" showFirstColumn="0" showLastColumn="0" showRowStripes="1" showColumnStripes="0"/>
</table>
</file>

<file path=xl/tables/table13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7" xr:uid="{CAE32112-65CD-4D1B-A9A2-15A68D32007C}" name="Table_SourceData_DataScores_Scope3" displayName="Table_SourceData_DataScores_Scope3" ref="D153:E158" totalsRowShown="0">
  <autoFilter ref="D153:E158" xr:uid="{133D42B0-F6D2-470A-858A-37E6A7F5EC2B}">
    <filterColumn colId="0" hiddenButton="1"/>
    <filterColumn colId="1" hiddenButton="1"/>
  </autoFilter>
  <tableColumns count="2">
    <tableColumn id="1" xr3:uid="{9CB32AE6-7894-4FCA-9F6C-07F05AB46621}" name="Data source">
      <calculatedColumnFormula array="1">Common_InputFunctions.Utility_DisplayArrayInTable(Common_SourceData.Common_SourceData_DataScores_Scope3_Data(), Table_SourceData_DataScores_Scope3[[#Headers],[Data source]], 0)</calculatedColumnFormula>
    </tableColumn>
    <tableColumn id="2" xr3:uid="{85604825-49E8-43B9-909C-18E46E7DEC29}" name="Data score">
      <calculatedColumnFormula array="1">Common_InputFunctions.Utility_DisplayArrayInTable(Common_SourceData.Common_SourceData_DataScores_Scope3_Data(), Table_SourceData_DataScores_Scope3[[#Headers],[Data source]], 0)</calculatedColumnFormula>
    </tableColumn>
  </tableColumns>
  <tableStyleInfo name="Equation table" showFirstColumn="0" showLastColumn="0" showRowStripes="1" showColumnStripes="0"/>
</table>
</file>

<file path=xl/tables/table13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8" xr:uid="{672BBF5D-DA92-4264-AD9D-9F5CFFF15CAA}" name="Table_SourceData_FracWET" displayName="Table_SourceData_FracWET" ref="D134:E136" totalsRowShown="0">
  <autoFilter ref="D134:E136" xr:uid="{308E99BE-FE1F-47A4-B2CA-97217277C4E9}">
    <filterColumn colId="0" hiddenButton="1"/>
    <filterColumn colId="1" hiddenButton="1"/>
  </autoFilter>
  <tableColumns count="2">
    <tableColumn id="1" xr3:uid="{CF98DBD3-9591-417B-965C-0B525EC6DBAE}" name="Is in leaching zone">
      <calculatedColumnFormula array="1">Common_InputFunctions.Utility_DisplayArrayInTable(Common_SourceData.Common_SourceData_FracWET_Data(),Table_SourceData_FracWET[[#Headers],[Is in leaching zone]],0)</calculatedColumnFormula>
    </tableColumn>
    <tableColumn id="2" xr3:uid="{5336914D-9858-44A0-8BB8-74081214E619}" name="FracWET" dataDxfId="117">
      <calculatedColumnFormula array="1">Common_InputFunctions.Utility_DisplayArrayInTable(Common_SourceData.Common_SourceData_FracWET_Data(),Table_SourceData_FracWET[[#Headers],[Is in leaching zone]],0)</calculatedColumnFormula>
    </tableColumn>
  </tableColumns>
  <tableStyleInfo name="Equation table" showFirstColumn="0" showLastColumn="0" showRowStripes="1" showColumnStripes="0"/>
</table>
</file>

<file path=xl/tables/table13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9" xr:uid="{A018488E-2D7D-439C-B8D2-56CA39859E5D}" name="Table_SourceData_Common_EFN2O" displayName="Table_SourceData_Common_EFN2O" ref="D186:H199" totalsRowShown="0">
  <autoFilter ref="D186:H199" xr:uid="{D41FBEA4-8379-4DF7-A068-BF94D364F1A2}">
    <filterColumn colId="0" hiddenButton="1"/>
    <filterColumn colId="1" hiddenButton="1"/>
    <filterColumn colId="2" hiddenButton="1"/>
    <filterColumn colId="3" hiddenButton="1"/>
    <filterColumn colId="4" hiddenButton="1"/>
  </autoFilter>
  <tableColumns count="5">
    <tableColumn id="1" xr3:uid="{EA639D26-E0EC-42F1-AA33-B27EA51FDEC7}" name="Production system j">
      <calculatedColumnFormula array="1">Common_InputFunctions.Utility_DisplayArrayInTable(Common_SourceData.Common_SourceData_EFN2O_Data(), Table_SourceData_Common_EFN2O[[#Headers],[Production system j]], 0)</calculatedColumnFormula>
    </tableColumn>
    <tableColumn id="2" xr3:uid="{A9523266-7CD1-4931-9A5C-A497FD079104}" name="EFN2O">
      <calculatedColumnFormula array="1">Common_InputFunctions.Utility_DisplayArrayInTable(Common_SourceData.Common_SourceData_EFN2O_Data(), Table_SourceData_Common_EFN2O[[#Headers],[Production system j]], 0)</calculatedColumnFormula>
    </tableColumn>
    <tableColumn id="3" xr3:uid="{5D50F0E2-2A38-4AB7-9374-699B662BC3E8}" name="Production system only">
      <calculatedColumnFormula array="1">Common_InputFunctions.Utility_DisplayArrayInTable(Common_SourceData.Common_SourceData_EFN2O_Data(), Table_SourceData_Common_EFN2O[[#Headers],[Production system j]], 0)</calculatedColumnFormula>
    </tableColumn>
    <tableColumn id="4" xr3:uid="{00101D00-D208-4EC9-8026-CD6B2675535F}" name="Irrigation method">
      <calculatedColumnFormula array="1">Common_InputFunctions.Utility_DisplayArrayInTable(Common_SourceData.Common_SourceData_EFN2O_Data(), Table_SourceData_Common_EFN2O[[#Headers],[Production system j]], 0)</calculatedColumnFormula>
    </tableColumn>
    <tableColumn id="5" xr3:uid="{F756819C-2D33-45FF-B6CB-8674C3BC3A7B}" name="Rainfall zone">
      <calculatedColumnFormula array="1">Common_InputFunctions.Utility_DisplayArrayInTable(Common_SourceData.Common_SourceData_EFN2O_Data(), Table_SourceData_Common_EFN2O[[#Headers],[Production system j]], 0)</calculatedColumnFormula>
    </tableColumn>
  </tableColumns>
  <tableStyleInfo name="Equation table" showFirstColumn="0" showLastColumn="0" showRowStripes="1" showColumnStripes="0"/>
</table>
</file>

<file path=xl/tables/table13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0" xr:uid="{A13356D3-62E2-43A6-B994-DF33A725CC92}" name="Table_SourceData_FracWETIrrigation" displayName="Table_SourceData_FracWETIrrigation" ref="D142:E147" totalsRowShown="0">
  <autoFilter ref="D142:E147" xr:uid="{1F48CA34-50DE-46D5-B32A-BB3A1E818E37}">
    <filterColumn colId="0" hiddenButton="1"/>
    <filterColumn colId="1" hiddenButton="1"/>
  </autoFilter>
  <tableColumns count="2">
    <tableColumn id="1" xr3:uid="{82CF089F-9220-4CAC-9C36-4B26C49BA6D7}" name="Irrigation type i">
      <calculatedColumnFormula array="1">Common_InputFunctions.Utility_DisplayArrayInTable(Common_SourceData.Common_SourceData_FracWETIrrigation_Data(), Table_SourceData_FracWETIrrigation[[#Headers],[Irrigation type i]], 0)</calculatedColumnFormula>
    </tableColumn>
    <tableColumn id="2" xr3:uid="{F21CFD53-D797-4F63-871C-90B319E85125}" name="FracWET" dataDxfId="116" dataCellStyle="Content normal">
      <calculatedColumnFormula array="1">Common_InputFunctions.Utility_DisplayArrayInTable(Common_SourceData.Common_SourceData_FracWETIrrigation_Data(), Table_SourceData_FracWETIrrigation[[#Headers],[Irrigation type i]], 0)</calculatedColumnFormula>
    </tableColumn>
  </tableColumns>
  <tableStyleInfo name="Equation table" showFirstColumn="0" showLastColumn="0" showRowStripes="1" showColumnStripes="0"/>
</table>
</file>

<file path=xl/tables/table13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1" xr:uid="{C2BC3359-B887-4B92-BA60-37C0DF4B4828}" name="Table_SourceData_EFPastureRangeAndPaddock" displayName="Table_SourceData_EFPastureRangeAndPaddock" ref="D206:E208" totalsRowShown="0">
  <autoFilter ref="D206:E208" xr:uid="{D5BE3F89-D70E-4C53-A71C-E756622DEF38}">
    <filterColumn colId="0" hiddenButton="1"/>
    <filterColumn colId="1" hiddenButton="1"/>
  </autoFilter>
  <tableColumns count="2">
    <tableColumn id="1" xr3:uid="{E28C5760-728E-4EE9-AFCB-5C464A6A1273}" name="Climate zone">
      <calculatedColumnFormula array="1">Common_InputFunctions.Utility_DisplayArrayInTable(Common_SourceData.Common_SourceData_EFPastureRangeAndPaddock_Data(), Table_SourceData_EFPastureRangeAndPaddock[[#Headers],[Climate zone]], 0)</calculatedColumnFormula>
    </tableColumn>
    <tableColumn id="2" xr3:uid="{F2F4118D-7FF1-4279-9E30-379764DA8CBD}" name="EFPRP" dataDxfId="115" dataCellStyle="Content normal">
      <calculatedColumnFormula array="1">Common_InputFunctions.Utility_DisplayArrayInTable(Common_SourceData.Common_SourceData_EFPastureRangeAndPaddock_Data(), Table_SourceData_EFPastureRangeAndPaddock[[#Headers],[Climate zone]], 0)</calculatedColumnFormula>
    </tableColumn>
  </tableColumns>
  <tableStyleInfo name="Equation table" showFirstColumn="0" showLastColumn="0" showRowStripes="1" showColumnStripes="0"/>
</table>
</file>

<file path=xl/tables/table13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2" xr:uid="{C27A6E9A-B90C-453F-809E-9BF272D1F902}" name="Table_SourceData_Common_MonthToSeason" displayName="Table_SourceData_Common_MonthToSeason" ref="D212:E224" totalsRowShown="0">
  <autoFilter ref="D212:E224" xr:uid="{97796C3A-D95E-4077-AA20-A8FE4145DAAD}">
    <filterColumn colId="0" hiddenButton="1"/>
    <filterColumn colId="1" hiddenButton="1"/>
  </autoFilter>
  <tableColumns count="2">
    <tableColumn id="1" xr3:uid="{3CB58693-2CD1-4651-AFBC-81E165DF5F4B}" name="Month">
      <calculatedColumnFormula array="1">Common_InputFunctions.Utility_DisplayArrayInTable(Common_SourceData.Common_SourceData_MonthsToSeasons_Data(), Table_SourceData_Common_MonthToSeason[[#Headers],[Month]], 0)</calculatedColumnFormula>
    </tableColumn>
    <tableColumn id="2" xr3:uid="{E2330CF6-9F69-47B0-88DB-D3C86E1928ED}" name="Season" dataDxfId="114" dataCellStyle="Content normal">
      <calculatedColumnFormula array="1">Common_InputFunctions.Utility_DisplayArrayInTable(Common_SourceData.Common_SourceData_MonthsToSeasons_Data(), Table_SourceData_Common_MonthToSeason[[#Headers],[Month]], 0)</calculatedColumnFormula>
    </tableColumn>
  </tableColumns>
  <tableStyleInfo name="Equation table" showFirstColumn="0" showLastColumn="0" showRowStripes="1" showColumnStripes="0"/>
</table>
</file>

<file path=xl/tables/table14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3" xr:uid="{63FDB8C6-8199-4079-A733-9CABFC45C778}" name="Table_SourceData_Common_MCFTemperatureZone" displayName="Table_SourceData_Common_MCFTemperatureZone" ref="D231:S250" totalsRowShown="0">
  <autoFilter ref="D231:S250" xr:uid="{1D72DD9B-C8FA-48F4-9A11-20231FF87B5A}">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E1F7059D-1B40-4000-8EBB-FAFE398EB870}" name="Temperature zone">
      <calculatedColumnFormula array="1">Common_InputFunctions.Utility_DisplayArrayInTable(Common_SourceData.Common_SourceData_MCFTemperatureZone_Data(),Table_SourceData_Common_MCFTemperatureZone[[#Headers],[Temperature zone]],0)</calculatedColumnFormula>
    </tableColumn>
    <tableColumn id="2" xr3:uid="{DAEC9A89-0D07-41DF-86F4-B26E31E88835}" name="MAT (ºC)" dataDxfId="113"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3" xr3:uid="{D6F91884-5AF4-447A-8520-68A37028F0F0}" name="Anaerobic lagoon" dataDxfId="112"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4" xr3:uid="{25B15192-3151-43E0-97CA-541421A207F6}" name="Digester / covered lagoons" dataDxfId="111"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5" xr3:uid="{1598F438-3373-4E2C-8BF3-CB86BAEB79C0}" name="Liquid systems" dataDxfId="110"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6" xr3:uid="{DF6AD1AB-0114-4923-B5EF-4DCE74757E4C}" name="Daily spread" dataDxfId="109"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7" xr3:uid="{1FD3FE3A-59E1-4EE8-A27D-E212869F1CAD}" name="Composting (passive windrow)" dataDxfId="108"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8" xr3:uid="{16D44CDF-4B93-4D5F-BEC5-B67FBB794EB6}" name="Solid storage" dataDxfId="107"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9" xr3:uid="{9FC413AF-8D15-4345-BAD0-EEE54875709E}" name="Pit storage" dataDxfId="106"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0" xr3:uid="{B790608F-2E65-437F-8796-CC39216C5B45}" name="Deep litter" dataDxfId="105"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1" xr3:uid="{D2EC7D1A-E957-4AB9-8493-A794424A2347}" name="Poultry manure with bedding" dataDxfId="104"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2" xr3:uid="{C945446A-E7FC-48E3-9216-2B02178DD373}" name="Poultry manure without bedding" dataDxfId="103"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3" xr3:uid="{EB0473E9-EA83-4451-9EFA-5B9B54991D93}" name="Direct processing" dataDxfId="102"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4" xr3:uid="{F2C54652-DFAC-452A-8C36-450CDF488E63}" name="Direct application" dataDxfId="101"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5" xr3:uid="{785298AB-9442-4C84-B82C-B84C6E9730EE}" name="Pasture range and paddock" dataDxfId="100"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6" xr3:uid="{AB2CE94B-AD18-40F0-A08E-BDB803D88F8F}" name="MAT raw" dataDxfId="99" dataCellStyle="Content normal">
      <calculatedColumnFormula array="1">Common_InputFunctions.Utility_DisplayArrayInTable(Common_SourceData.Common_SourceData_MCFTemperatureZone_Data(),Table_SourceData_Common_MCFTemperatureZone[[#Headers],[Temperature zone]],0)</calculatedColumnFormula>
    </tableColumn>
  </tableColumns>
  <tableStyleInfo name="Equation table" showFirstColumn="0" showLastColumn="0" showRowStripes="1" showColumnStripes="0"/>
</table>
</file>

<file path=xl/tables/table14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4" xr:uid="{37485C14-9323-435F-B0B7-47C0D0D95379}" name="Table_SourceData_Common_EFOrganicFertCropResidues" displayName="Table_SourceData_Common_EFOrganicFertCropResidues" ref="D257:E259" totalsRowShown="0">
  <autoFilter ref="D257:E259" xr:uid="{56E01C14-1BB8-4015-9158-4CEB4D3B605C}">
    <filterColumn colId="0" hiddenButton="1"/>
    <filterColumn colId="1" hiddenButton="1"/>
  </autoFilter>
  <tableColumns count="2">
    <tableColumn id="1" xr3:uid="{41406DCD-6ABE-4B56-BF50-D3BC23E19416}" name="Climate Zone">
      <calculatedColumnFormula array="1">Common_InputFunctions.Utility_DisplayArrayInTable(Common_SourceData.Common_SourceData_EFOrganicFertiliserAndCropResidues_Data(), Table_SourceData_Common_EFOrganicFertCropResidues[[#Headers],[Climate Zone]], 0)</calculatedColumnFormula>
    </tableColumn>
    <tableColumn id="2" xr3:uid="{971BCC44-6C22-4C4F-915C-2193AD5D8685}" name="EFNi &amp; EFN2Oi" dataDxfId="98" dataCellStyle="Content normal">
      <calculatedColumnFormula array="1">Common_InputFunctions.Utility_DisplayArrayInTable(Common_SourceData.Common_SourceData_EFOrganicFertiliserAndCropResidues_Data(), Table_SourceData_Common_EFOrganicFertCropResidues[[#Headers],[Climate Zone]], 0)</calculatedColumnFormula>
    </tableColumn>
  </tableColumns>
  <tableStyleInfo name="Equation table" showFirstColumn="0" showLastColumn="0" showRowStripes="1" showColumnStripes="0"/>
</table>
</file>

<file path=xl/tables/table14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5" xr:uid="{D650809D-8099-4FBA-B745-76E447C33E18}" name="Table_SourceData_DataQuality_TemporalRepresentativeness" displayName="Table_SourceData_DataQuality_TemporalRepresentativeness" ref="D265:G270" totalsRowShown="0">
  <autoFilter ref="D265:G270" xr:uid="{9AD44602-D2F2-4D97-923C-A32E98F8C17A}">
    <filterColumn colId="0" hiddenButton="1"/>
    <filterColumn colId="1" hiddenButton="1"/>
    <filterColumn colId="2" hiddenButton="1"/>
    <filterColumn colId="3" hiddenButton="1"/>
  </autoFilter>
  <tableColumns count="4">
    <tableColumn id="4" xr3:uid="{FC6515F2-F743-4534-9BA5-E78D8E2F4021}" name="User friendly description" dataDxfId="97" dataCellStyle="Content normal"/>
    <tableColumn id="2" xr3:uid="{FB5C0130-8C56-4920-AC12-9A8601CC1D07}" name="Description" dataDxfId="96" dataCellStyle="Content normal"/>
    <tableColumn id="1" xr3:uid="{0A459D12-E751-4E2E-8CE5-4EF42557A83B}" name="ID"/>
    <tableColumn id="3" xr3:uid="{A0E1B015-C463-41C0-A994-92DCD94CC175}" name="Score"/>
  </tableColumns>
  <tableStyleInfo name="Equation table" showFirstColumn="0" showLastColumn="0" showRowStripes="1" showColumnStripes="0"/>
</table>
</file>

<file path=xl/tables/table14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6" xr:uid="{2D28BB68-385A-4176-892F-EF130CB60F30}" name="Table_SourceData_DataQuality_SpatialRepresentativeness" displayName="Table_SourceData_DataQuality_SpatialRepresentativeness" ref="D274:G279" totalsRowShown="0">
  <autoFilter ref="D274:G279" xr:uid="{95094D65-3E0E-45CE-A3F4-F41E74C11901}">
    <filterColumn colId="0" hiddenButton="1"/>
    <filterColumn colId="1" hiddenButton="1"/>
    <filterColumn colId="2" hiddenButton="1"/>
    <filterColumn colId="3" hiddenButton="1"/>
  </autoFilter>
  <tableColumns count="4">
    <tableColumn id="4" xr3:uid="{84845BE1-D964-448F-8FDA-ADC321E2D81D}" name="User friendly description" dataDxfId="95" dataCellStyle="Content normal"/>
    <tableColumn id="1" xr3:uid="{34EC183C-370B-4DFE-9065-4F9ACAA38F60}" name="Description"/>
    <tableColumn id="2" xr3:uid="{107DA8AE-2247-4881-880C-EEBC8C15B8B3}" name="ID"/>
    <tableColumn id="3" xr3:uid="{AA26A711-CA9E-45E6-A092-5D0A4E1B94B8}" name="Score"/>
  </tableColumns>
  <tableStyleInfo name="Equation table" showFirstColumn="0" showLastColumn="0" showRowStripes="1" showColumnStripes="0"/>
</table>
</file>

<file path=xl/tables/table14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7" xr:uid="{3011D9C8-D9BF-4EC1-8EE4-9FD3825918F4}" name="Table_SourceData_DataQuality_SampleSize" displayName="Table_SourceData_DataQuality_SampleSize" ref="D283:G288" totalsRowShown="0">
  <autoFilter ref="D283:G288" xr:uid="{DE8F748C-E65A-4AA2-81BB-D28A432CF334}">
    <filterColumn colId="0" hiddenButton="1"/>
    <filterColumn colId="1" hiddenButton="1"/>
    <filterColumn colId="2" hiddenButton="1"/>
    <filterColumn colId="3" hiddenButton="1"/>
  </autoFilter>
  <tableColumns count="4">
    <tableColumn id="4" xr3:uid="{BA922920-2934-4E0E-AE24-99194D9AB260}" name="User friendly description" dataDxfId="94" dataCellStyle="Content normal"/>
    <tableColumn id="1" xr3:uid="{BFFF9069-1343-490C-B526-48F6B2753CEC}" name="Description"/>
    <tableColumn id="2" xr3:uid="{BD5206D4-06B4-453B-8520-FEAEDFA43CF6}" name="ID"/>
    <tableColumn id="3" xr3:uid="{C6F41987-4496-4931-B11B-073A5D1BCE2E}" name="Score"/>
  </tableColumns>
  <tableStyleInfo name="Equation table" showFirstColumn="0" showLastColumn="0" showRowStripes="1" showColumnStripes="0"/>
</table>
</file>

<file path=xl/tables/table14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8" xr:uid="{47FCB4AD-32D8-44C1-AD86-01B250CA056A}" name="Table_SourceData_DataQuality_Scope3" displayName="Table_SourceData_DataQuality_Scope3" ref="D292:G297" totalsRowShown="0">
  <autoFilter ref="D292:G297" xr:uid="{43A1C4DA-75D1-45DF-BA9A-1798C2CC5A4B}">
    <filterColumn colId="0" hiddenButton="1"/>
    <filterColumn colId="1" hiddenButton="1"/>
    <filterColumn colId="2" hiddenButton="1"/>
    <filterColumn colId="3" hiddenButton="1"/>
  </autoFilter>
  <tableColumns count="4">
    <tableColumn id="4" xr3:uid="{A94E71AD-9B2C-4435-97A1-F274F1BE2322}" name="User friendly description" dataDxfId="93" dataCellStyle="Content normal"/>
    <tableColumn id="1" xr3:uid="{A275EC0A-2497-4B55-93B7-86FE5C31EA4B}" name="Description"/>
    <tableColumn id="2" xr3:uid="{040B03E7-03D1-4742-A40A-05FC6DF73B1F}" name="ID"/>
    <tableColumn id="3" xr3:uid="{3189ACBE-E25E-4F4A-A8F4-71E3D4EB3829}" name="Score"/>
  </tableColumns>
  <tableStyleInfo name="Equation table" showFirstColumn="0" showLastColumn="0" showRowStripes="1" showColumnStripes="0"/>
</table>
</file>

<file path=xl/theme/theme1.xml><?xml version="1.0" encoding="utf-8"?>
<a:theme xmlns:a="http://schemas.openxmlformats.org/drawingml/2006/main" name="Office Theme">
  <a:themeElements>
    <a:clrScheme name="ZNE-Ag">
      <a:dk1>
        <a:sysClr val="windowText" lastClr="000000"/>
      </a:dk1>
      <a:lt1>
        <a:sysClr val="window" lastClr="FFFFFF"/>
      </a:lt1>
      <a:dk2>
        <a:srgbClr val="0E2841"/>
      </a:dk2>
      <a:lt2>
        <a:srgbClr val="E8E8E8"/>
      </a:lt2>
      <a:accent1>
        <a:srgbClr val="0B769F"/>
      </a:accent1>
      <a:accent2>
        <a:srgbClr val="CC6600"/>
      </a:accent2>
      <a:accent3>
        <a:srgbClr val="008000"/>
      </a:accent3>
      <a:accent4>
        <a:srgbClr val="C4433F"/>
      </a:accent4>
      <a:accent5>
        <a:srgbClr val="4F4789"/>
      </a:accent5>
      <a:accent6>
        <a:srgbClr val="FFCC66"/>
      </a:accent6>
      <a:hlink>
        <a:srgbClr val="467886"/>
      </a:hlink>
      <a:folHlink>
        <a:srgbClr val="894763"/>
      </a:folHlink>
    </a:clrScheme>
    <a:fontScheme name="Custom 1">
      <a:majorFont>
        <a:latin typeface="Arial"/>
        <a:ea typeface=""/>
        <a:cs typeface=""/>
      </a:majorFont>
      <a:minorFont>
        <a:latin typeface="Arial"/>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565" row="4">
    <wetp:webextensionref xmlns:r="http://schemas.openxmlformats.org/officeDocument/2006/relationships" r:id="rId1"/>
  </wetp:taskpane>
</wetp:taskpanes>
</file>

<file path=xl/webextensions/webextension1.xml><?xml version="1.0" encoding="utf-8"?>
<we:webextension xmlns:we="http://schemas.microsoft.com/office/webextensions/webextension/2010/11" id="{B102233F-B6A7-4C5C-980A-848E7A11A33D}">
  <we:reference id="wa200003696" version="1.3.0.0" store="en-US" storeType="OMEX"/>
  <we:alternateReferences>
    <we:reference id="WA200003696" version="1.3.0.0" store="WA200003696" storeType="OMEX"/>
  </we:alternateReferences>
  <we:properties>
    <we:property name="projectV0_1-56c6e055-265e-4713-816e-a646dbb708de" value="{&quot;kind&quot;:&quot;AFEJSONBlobNode&quot;,&quot;id&quot;:&quot;{B6BE249C-20B1-4A62-BBCD-F2A46D88BCAB}&quot;}"/>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_xldudf_LABS_GENERATIVEAI</we:customFunctionIds>
      </we:customFunctionIdList>
    </a:ext>
  </we:extLst>
</we:webextension>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1" Type="http://schemas.openxmlformats.org/officeDocument/2006/relationships/table" Target="../tables/table2.xml"/></Relationships>
</file>

<file path=xl/worksheets/_rels/sheet8.xml.rels><?xml version="1.0" encoding="UTF-8" standalone="yes"?>
<Relationships xmlns="http://schemas.openxmlformats.org/package/2006/relationships"><Relationship Id="rId1" Type="http://schemas.openxmlformats.org/officeDocument/2006/relationships/table" Target="../tables/table3.xm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11.xml.rels><?xml version="1.0" encoding="UTF-8" standalone="yes"?>
<Relationships xmlns="http://schemas.openxmlformats.org/package/2006/relationships"><Relationship Id="rId3" Type="http://schemas.openxmlformats.org/officeDocument/2006/relationships/table" Target="../tables/table5.xml"/><Relationship Id="rId2" Type="http://schemas.openxmlformats.org/officeDocument/2006/relationships/table" Target="../tables/table4.xml"/><Relationship Id="rId1" Type="http://schemas.openxmlformats.org/officeDocument/2006/relationships/printerSettings" Target="../printerSettings/printerSettings4.bin"/><Relationship Id="rId5" Type="http://schemas.openxmlformats.org/officeDocument/2006/relationships/table" Target="../tables/table7.xml"/><Relationship Id="rId4" Type="http://schemas.openxmlformats.org/officeDocument/2006/relationships/table" Target="../tables/table6.xml"/></Relationships>
</file>

<file path=xl/worksheets/_rels/sheet12.xml.rels><?xml version="1.0" encoding="UTF-8" standalone="yes"?>
<Relationships xmlns="http://schemas.openxmlformats.org/package/2006/relationships"><Relationship Id="rId2" Type="http://schemas.openxmlformats.org/officeDocument/2006/relationships/table" Target="../tables/table8.xml"/><Relationship Id="rId1" Type="http://schemas.openxmlformats.org/officeDocument/2006/relationships/printerSettings" Target="../printerSettings/printerSettings5.bin"/></Relationships>
</file>

<file path=xl/worksheets/_rels/sheet13.xml.rels><?xml version="1.0" encoding="UTF-8" standalone="yes"?>
<Relationships xmlns="http://schemas.openxmlformats.org/package/2006/relationships"><Relationship Id="rId3" Type="http://schemas.openxmlformats.org/officeDocument/2006/relationships/table" Target="../tables/table10.xml"/><Relationship Id="rId2" Type="http://schemas.openxmlformats.org/officeDocument/2006/relationships/table" Target="../tables/table9.xml"/><Relationship Id="rId1" Type="http://schemas.openxmlformats.org/officeDocument/2006/relationships/printerSettings" Target="../printerSettings/printerSettings6.bin"/></Relationships>
</file>

<file path=xl/worksheets/_rels/sheet14.xml.rels><?xml version="1.0" encoding="UTF-8" standalone="yes"?>
<Relationships xmlns="http://schemas.openxmlformats.org/package/2006/relationships"><Relationship Id="rId3" Type="http://schemas.openxmlformats.org/officeDocument/2006/relationships/table" Target="../tables/table12.xml"/><Relationship Id="rId2" Type="http://schemas.openxmlformats.org/officeDocument/2006/relationships/table" Target="../tables/table11.xml"/><Relationship Id="rId1" Type="http://schemas.openxmlformats.org/officeDocument/2006/relationships/printerSettings" Target="../printerSettings/printerSettings7.bin"/><Relationship Id="rId4" Type="http://schemas.openxmlformats.org/officeDocument/2006/relationships/table" Target="../tables/table13.xml"/></Relationships>
</file>

<file path=xl/worksheets/_rels/sheet15.xml.rels><?xml version="1.0" encoding="UTF-8" standalone="yes"?>
<Relationships xmlns="http://schemas.openxmlformats.org/package/2006/relationships"><Relationship Id="rId1" Type="http://schemas.openxmlformats.org/officeDocument/2006/relationships/table" Target="../tables/table14.xml"/></Relationships>
</file>

<file path=xl/worksheets/_rels/sheet16.xml.rels><?xml version="1.0" encoding="UTF-8" standalone="yes"?>
<Relationships xmlns="http://schemas.openxmlformats.org/package/2006/relationships"><Relationship Id="rId2" Type="http://schemas.openxmlformats.org/officeDocument/2006/relationships/table" Target="../tables/table16.xml"/><Relationship Id="rId1" Type="http://schemas.openxmlformats.org/officeDocument/2006/relationships/table" Target="../tables/table15.xml"/></Relationships>
</file>

<file path=xl/worksheets/_rels/sheet17.xml.rels><?xml version="1.0" encoding="UTF-8" standalone="yes"?>
<Relationships xmlns="http://schemas.openxmlformats.org/package/2006/relationships"><Relationship Id="rId2" Type="http://schemas.openxmlformats.org/officeDocument/2006/relationships/table" Target="../tables/table18.xml"/><Relationship Id="rId1" Type="http://schemas.openxmlformats.org/officeDocument/2006/relationships/table" Target="../tables/table17.xml"/></Relationships>
</file>

<file path=xl/worksheets/_rels/sheet18.xml.rels><?xml version="1.0" encoding="UTF-8" standalone="yes"?>
<Relationships xmlns="http://schemas.openxmlformats.org/package/2006/relationships"><Relationship Id="rId2" Type="http://schemas.openxmlformats.org/officeDocument/2006/relationships/table" Target="../tables/table19.xml"/><Relationship Id="rId1" Type="http://schemas.openxmlformats.org/officeDocument/2006/relationships/printerSettings" Target="../printerSettings/printerSettings8.bin"/></Relationships>
</file>

<file path=xl/worksheets/_rels/sheet20.xml.rels><?xml version="1.0" encoding="UTF-8" standalone="yes"?>
<Relationships xmlns="http://schemas.openxmlformats.org/package/2006/relationships"><Relationship Id="rId3" Type="http://schemas.openxmlformats.org/officeDocument/2006/relationships/table" Target="../tables/table22.xml"/><Relationship Id="rId7" Type="http://schemas.openxmlformats.org/officeDocument/2006/relationships/table" Target="../tables/table26.xml"/><Relationship Id="rId2" Type="http://schemas.openxmlformats.org/officeDocument/2006/relationships/table" Target="../tables/table21.xml"/><Relationship Id="rId1" Type="http://schemas.openxmlformats.org/officeDocument/2006/relationships/table" Target="../tables/table20.xml"/><Relationship Id="rId6" Type="http://schemas.openxmlformats.org/officeDocument/2006/relationships/table" Target="../tables/table25.xml"/><Relationship Id="rId5" Type="http://schemas.openxmlformats.org/officeDocument/2006/relationships/table" Target="../tables/table24.xml"/><Relationship Id="rId4" Type="http://schemas.openxmlformats.org/officeDocument/2006/relationships/table" Target="../tables/table23.xml"/></Relationships>
</file>

<file path=xl/worksheets/_rels/sheet21.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9.bin"/></Relationships>
</file>

<file path=xl/worksheets/_rels/sheet22.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10.bin"/></Relationships>
</file>

<file path=xl/worksheets/_rels/sheet23.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11.bin"/></Relationships>
</file>

<file path=xl/worksheets/_rels/sheet24.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12.bin"/></Relationships>
</file>

<file path=xl/worksheets/_rels/sheet25.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13.bin"/></Relationships>
</file>

<file path=xl/worksheets/_rels/sheet26.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4.bin"/></Relationships>
</file>

<file path=xl/worksheets/_rels/sheet27.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5.bin"/></Relationships>
</file>

<file path=xl/worksheets/_rels/sheet28.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6.bin"/></Relationships>
</file>

<file path=xl/worksheets/_rels/sheet29.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7.bin"/></Relationships>
</file>

<file path=xl/worksheets/_rels/sheet30.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8.bin"/></Relationships>
</file>

<file path=xl/worksheets/_rels/sheet31.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9.bin"/></Relationships>
</file>

<file path=xl/worksheets/_rels/sheet32.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20.bin"/></Relationships>
</file>

<file path=xl/worksheets/_rels/sheet33.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21.bin"/></Relationships>
</file>

<file path=xl/worksheets/_rels/sheet34.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rinterSettings" Target="../printerSettings/printerSettings22.bin"/></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36.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rinterSettings" Target="../printerSettings/printerSettings23.bin"/></Relationships>
</file>

<file path=xl/worksheets/_rels/sheet37.xml.rels><?xml version="1.0" encoding="UTF-8" standalone="yes"?>
<Relationships xmlns="http://schemas.openxmlformats.org/package/2006/relationships"><Relationship Id="rId2" Type="http://schemas.openxmlformats.org/officeDocument/2006/relationships/drawing" Target="../drawings/drawing19.xml"/><Relationship Id="rId1" Type="http://schemas.openxmlformats.org/officeDocument/2006/relationships/printerSettings" Target="../printerSettings/printerSettings24.bin"/></Relationships>
</file>

<file path=xl/worksheets/_rels/sheet38.xml.rels><?xml version="1.0" encoding="UTF-8" standalone="yes"?>
<Relationships xmlns="http://schemas.openxmlformats.org/package/2006/relationships"><Relationship Id="rId2" Type="http://schemas.openxmlformats.org/officeDocument/2006/relationships/drawing" Target="../drawings/drawing20.xml"/><Relationship Id="rId1" Type="http://schemas.openxmlformats.org/officeDocument/2006/relationships/printerSettings" Target="../printerSettings/printerSettings25.bin"/></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40.xml.rels><?xml version="1.0" encoding="UTF-8" standalone="yes"?>
<Relationships xmlns="http://schemas.openxmlformats.org/package/2006/relationships"><Relationship Id="rId8" Type="http://schemas.openxmlformats.org/officeDocument/2006/relationships/table" Target="../tables/table34.xml"/><Relationship Id="rId13" Type="http://schemas.openxmlformats.org/officeDocument/2006/relationships/table" Target="../tables/table39.xml"/><Relationship Id="rId18" Type="http://schemas.openxmlformats.org/officeDocument/2006/relationships/table" Target="../tables/table44.xml"/><Relationship Id="rId26" Type="http://schemas.openxmlformats.org/officeDocument/2006/relationships/table" Target="../tables/table52.xml"/><Relationship Id="rId3" Type="http://schemas.openxmlformats.org/officeDocument/2006/relationships/table" Target="../tables/table29.xml"/><Relationship Id="rId21" Type="http://schemas.openxmlformats.org/officeDocument/2006/relationships/table" Target="../tables/table47.xml"/><Relationship Id="rId7" Type="http://schemas.openxmlformats.org/officeDocument/2006/relationships/table" Target="../tables/table33.xml"/><Relationship Id="rId12" Type="http://schemas.openxmlformats.org/officeDocument/2006/relationships/table" Target="../tables/table38.xml"/><Relationship Id="rId17" Type="http://schemas.openxmlformats.org/officeDocument/2006/relationships/table" Target="../tables/table43.xml"/><Relationship Id="rId25" Type="http://schemas.openxmlformats.org/officeDocument/2006/relationships/table" Target="../tables/table51.xml"/><Relationship Id="rId2" Type="http://schemas.openxmlformats.org/officeDocument/2006/relationships/table" Target="../tables/table28.xml"/><Relationship Id="rId16" Type="http://schemas.openxmlformats.org/officeDocument/2006/relationships/table" Target="../tables/table42.xml"/><Relationship Id="rId20" Type="http://schemas.openxmlformats.org/officeDocument/2006/relationships/table" Target="../tables/table46.xml"/><Relationship Id="rId1" Type="http://schemas.openxmlformats.org/officeDocument/2006/relationships/table" Target="../tables/table27.xml"/><Relationship Id="rId6" Type="http://schemas.openxmlformats.org/officeDocument/2006/relationships/table" Target="../tables/table32.xml"/><Relationship Id="rId11" Type="http://schemas.openxmlformats.org/officeDocument/2006/relationships/table" Target="../tables/table37.xml"/><Relationship Id="rId24" Type="http://schemas.openxmlformats.org/officeDocument/2006/relationships/table" Target="../tables/table50.xml"/><Relationship Id="rId5" Type="http://schemas.openxmlformats.org/officeDocument/2006/relationships/table" Target="../tables/table31.xml"/><Relationship Id="rId15" Type="http://schemas.openxmlformats.org/officeDocument/2006/relationships/table" Target="../tables/table41.xml"/><Relationship Id="rId23" Type="http://schemas.openxmlformats.org/officeDocument/2006/relationships/table" Target="../tables/table49.xml"/><Relationship Id="rId10" Type="http://schemas.openxmlformats.org/officeDocument/2006/relationships/table" Target="../tables/table36.xml"/><Relationship Id="rId19" Type="http://schemas.openxmlformats.org/officeDocument/2006/relationships/table" Target="../tables/table45.xml"/><Relationship Id="rId4" Type="http://schemas.openxmlformats.org/officeDocument/2006/relationships/table" Target="../tables/table30.xml"/><Relationship Id="rId9" Type="http://schemas.openxmlformats.org/officeDocument/2006/relationships/table" Target="../tables/table35.xml"/><Relationship Id="rId14" Type="http://schemas.openxmlformats.org/officeDocument/2006/relationships/table" Target="../tables/table40.xml"/><Relationship Id="rId22" Type="http://schemas.openxmlformats.org/officeDocument/2006/relationships/table" Target="../tables/table48.xml"/><Relationship Id="rId27" Type="http://schemas.openxmlformats.org/officeDocument/2006/relationships/table" Target="../tables/table53.xml"/></Relationships>
</file>

<file path=xl/worksheets/_rels/sheet41.xml.rels><?xml version="1.0" encoding="UTF-8" standalone="yes"?>
<Relationships xmlns="http://schemas.openxmlformats.org/package/2006/relationships"><Relationship Id="rId8" Type="http://schemas.openxmlformats.org/officeDocument/2006/relationships/table" Target="../tables/table60.xml"/><Relationship Id="rId3" Type="http://schemas.openxmlformats.org/officeDocument/2006/relationships/table" Target="../tables/table55.xml"/><Relationship Id="rId7" Type="http://schemas.openxmlformats.org/officeDocument/2006/relationships/table" Target="../tables/table59.xml"/><Relationship Id="rId2" Type="http://schemas.openxmlformats.org/officeDocument/2006/relationships/table" Target="../tables/table54.xml"/><Relationship Id="rId1" Type="http://schemas.openxmlformats.org/officeDocument/2006/relationships/printerSettings" Target="../printerSettings/printerSettings26.bin"/><Relationship Id="rId6" Type="http://schemas.openxmlformats.org/officeDocument/2006/relationships/table" Target="../tables/table58.xml"/><Relationship Id="rId5" Type="http://schemas.openxmlformats.org/officeDocument/2006/relationships/table" Target="../tables/table57.xml"/><Relationship Id="rId4" Type="http://schemas.openxmlformats.org/officeDocument/2006/relationships/table" Target="../tables/table56.xml"/><Relationship Id="rId9" Type="http://schemas.openxmlformats.org/officeDocument/2006/relationships/table" Target="../tables/table61.xml"/></Relationships>
</file>

<file path=xl/worksheets/_rels/sheet42.xml.rels><?xml version="1.0" encoding="UTF-8" standalone="yes"?>
<Relationships xmlns="http://schemas.openxmlformats.org/package/2006/relationships"><Relationship Id="rId3" Type="http://schemas.openxmlformats.org/officeDocument/2006/relationships/table" Target="../tables/table63.xml"/><Relationship Id="rId7" Type="http://schemas.openxmlformats.org/officeDocument/2006/relationships/table" Target="../tables/table67.xml"/><Relationship Id="rId2" Type="http://schemas.openxmlformats.org/officeDocument/2006/relationships/table" Target="../tables/table62.xml"/><Relationship Id="rId1" Type="http://schemas.openxmlformats.org/officeDocument/2006/relationships/printerSettings" Target="../printerSettings/printerSettings27.bin"/><Relationship Id="rId6" Type="http://schemas.openxmlformats.org/officeDocument/2006/relationships/table" Target="../tables/table66.xml"/><Relationship Id="rId5" Type="http://schemas.openxmlformats.org/officeDocument/2006/relationships/table" Target="../tables/table65.xml"/><Relationship Id="rId4" Type="http://schemas.openxmlformats.org/officeDocument/2006/relationships/table" Target="../tables/table64.xml"/></Relationships>
</file>

<file path=xl/worksheets/_rels/sheet43.xml.rels><?xml version="1.0" encoding="UTF-8" standalone="yes"?>
<Relationships xmlns="http://schemas.openxmlformats.org/package/2006/relationships"><Relationship Id="rId2" Type="http://schemas.openxmlformats.org/officeDocument/2006/relationships/table" Target="../tables/table69.xml"/><Relationship Id="rId1" Type="http://schemas.openxmlformats.org/officeDocument/2006/relationships/table" Target="../tables/table68.xml"/></Relationships>
</file>

<file path=xl/worksheets/_rels/sheet44.xml.rels><?xml version="1.0" encoding="UTF-8" standalone="yes"?>
<Relationships xmlns="http://schemas.openxmlformats.org/package/2006/relationships"><Relationship Id="rId8" Type="http://schemas.openxmlformats.org/officeDocument/2006/relationships/table" Target="../tables/table76.xml"/><Relationship Id="rId3" Type="http://schemas.openxmlformats.org/officeDocument/2006/relationships/table" Target="../tables/table71.xml"/><Relationship Id="rId7" Type="http://schemas.openxmlformats.org/officeDocument/2006/relationships/table" Target="../tables/table75.xml"/><Relationship Id="rId12" Type="http://schemas.openxmlformats.org/officeDocument/2006/relationships/table" Target="../tables/table80.xml"/><Relationship Id="rId2" Type="http://schemas.openxmlformats.org/officeDocument/2006/relationships/table" Target="../tables/table70.xml"/><Relationship Id="rId1" Type="http://schemas.openxmlformats.org/officeDocument/2006/relationships/printerSettings" Target="../printerSettings/printerSettings28.bin"/><Relationship Id="rId6" Type="http://schemas.openxmlformats.org/officeDocument/2006/relationships/table" Target="../tables/table74.xml"/><Relationship Id="rId11" Type="http://schemas.openxmlformats.org/officeDocument/2006/relationships/table" Target="../tables/table79.xml"/><Relationship Id="rId5" Type="http://schemas.openxmlformats.org/officeDocument/2006/relationships/table" Target="../tables/table73.xml"/><Relationship Id="rId10" Type="http://schemas.openxmlformats.org/officeDocument/2006/relationships/table" Target="../tables/table78.xml"/><Relationship Id="rId4" Type="http://schemas.openxmlformats.org/officeDocument/2006/relationships/table" Target="../tables/table72.xml"/><Relationship Id="rId9" Type="http://schemas.openxmlformats.org/officeDocument/2006/relationships/table" Target="../tables/table77.xml"/></Relationships>
</file>

<file path=xl/worksheets/_rels/sheet45.xml.rels><?xml version="1.0" encoding="UTF-8" standalone="yes"?>
<Relationships xmlns="http://schemas.openxmlformats.org/package/2006/relationships"><Relationship Id="rId3" Type="http://schemas.openxmlformats.org/officeDocument/2006/relationships/table" Target="../tables/table83.xml"/><Relationship Id="rId7" Type="http://schemas.openxmlformats.org/officeDocument/2006/relationships/table" Target="../tables/table87.xml"/><Relationship Id="rId2" Type="http://schemas.openxmlformats.org/officeDocument/2006/relationships/table" Target="../tables/table82.xml"/><Relationship Id="rId1" Type="http://schemas.openxmlformats.org/officeDocument/2006/relationships/table" Target="../tables/table81.xml"/><Relationship Id="rId6" Type="http://schemas.openxmlformats.org/officeDocument/2006/relationships/table" Target="../tables/table86.xml"/><Relationship Id="rId5" Type="http://schemas.openxmlformats.org/officeDocument/2006/relationships/table" Target="../tables/table85.xml"/><Relationship Id="rId4" Type="http://schemas.openxmlformats.org/officeDocument/2006/relationships/table" Target="../tables/table84.xml"/></Relationships>
</file>

<file path=xl/worksheets/_rels/sheet46.xml.rels><?xml version="1.0" encoding="UTF-8" standalone="yes"?>
<Relationships xmlns="http://schemas.openxmlformats.org/package/2006/relationships"><Relationship Id="rId8" Type="http://schemas.openxmlformats.org/officeDocument/2006/relationships/table" Target="../tables/table95.xml"/><Relationship Id="rId13" Type="http://schemas.openxmlformats.org/officeDocument/2006/relationships/table" Target="../tables/table100.xml"/><Relationship Id="rId18" Type="http://schemas.openxmlformats.org/officeDocument/2006/relationships/table" Target="../tables/table105.xml"/><Relationship Id="rId26" Type="http://schemas.openxmlformats.org/officeDocument/2006/relationships/table" Target="../tables/table113.xml"/><Relationship Id="rId3" Type="http://schemas.openxmlformats.org/officeDocument/2006/relationships/table" Target="../tables/table90.xml"/><Relationship Id="rId21" Type="http://schemas.openxmlformats.org/officeDocument/2006/relationships/table" Target="../tables/table108.xml"/><Relationship Id="rId7" Type="http://schemas.openxmlformats.org/officeDocument/2006/relationships/table" Target="../tables/table94.xml"/><Relationship Id="rId12" Type="http://schemas.openxmlformats.org/officeDocument/2006/relationships/table" Target="../tables/table99.xml"/><Relationship Id="rId17" Type="http://schemas.openxmlformats.org/officeDocument/2006/relationships/table" Target="../tables/table104.xml"/><Relationship Id="rId25" Type="http://schemas.openxmlformats.org/officeDocument/2006/relationships/table" Target="../tables/table112.xml"/><Relationship Id="rId2" Type="http://schemas.openxmlformats.org/officeDocument/2006/relationships/table" Target="../tables/table89.xml"/><Relationship Id="rId16" Type="http://schemas.openxmlformats.org/officeDocument/2006/relationships/table" Target="../tables/table103.xml"/><Relationship Id="rId20" Type="http://schemas.openxmlformats.org/officeDocument/2006/relationships/table" Target="../tables/table107.xml"/><Relationship Id="rId29" Type="http://schemas.openxmlformats.org/officeDocument/2006/relationships/table" Target="../tables/table116.xml"/><Relationship Id="rId1" Type="http://schemas.openxmlformats.org/officeDocument/2006/relationships/table" Target="../tables/table88.xml"/><Relationship Id="rId6" Type="http://schemas.openxmlformats.org/officeDocument/2006/relationships/table" Target="../tables/table93.xml"/><Relationship Id="rId11" Type="http://schemas.openxmlformats.org/officeDocument/2006/relationships/table" Target="../tables/table98.xml"/><Relationship Id="rId24" Type="http://schemas.openxmlformats.org/officeDocument/2006/relationships/table" Target="../tables/table111.xml"/><Relationship Id="rId5" Type="http://schemas.openxmlformats.org/officeDocument/2006/relationships/table" Target="../tables/table92.xml"/><Relationship Id="rId15" Type="http://schemas.openxmlformats.org/officeDocument/2006/relationships/table" Target="../tables/table102.xml"/><Relationship Id="rId23" Type="http://schemas.openxmlformats.org/officeDocument/2006/relationships/table" Target="../tables/table110.xml"/><Relationship Id="rId28" Type="http://schemas.openxmlformats.org/officeDocument/2006/relationships/table" Target="../tables/table115.xml"/><Relationship Id="rId10" Type="http://schemas.openxmlformats.org/officeDocument/2006/relationships/table" Target="../tables/table97.xml"/><Relationship Id="rId19" Type="http://schemas.openxmlformats.org/officeDocument/2006/relationships/table" Target="../tables/table106.xml"/><Relationship Id="rId31" Type="http://schemas.openxmlformats.org/officeDocument/2006/relationships/table" Target="../tables/table118.xml"/><Relationship Id="rId4" Type="http://schemas.openxmlformats.org/officeDocument/2006/relationships/table" Target="../tables/table91.xml"/><Relationship Id="rId9" Type="http://schemas.openxmlformats.org/officeDocument/2006/relationships/table" Target="../tables/table96.xml"/><Relationship Id="rId14" Type="http://schemas.openxmlformats.org/officeDocument/2006/relationships/table" Target="../tables/table101.xml"/><Relationship Id="rId22" Type="http://schemas.openxmlformats.org/officeDocument/2006/relationships/table" Target="../tables/table109.xml"/><Relationship Id="rId27" Type="http://schemas.openxmlformats.org/officeDocument/2006/relationships/table" Target="../tables/table114.xml"/><Relationship Id="rId30" Type="http://schemas.openxmlformats.org/officeDocument/2006/relationships/table" Target="../tables/table117.xml"/></Relationships>
</file>

<file path=xl/worksheets/_rels/sheet47.xml.rels><?xml version="1.0" encoding="UTF-8" standalone="yes"?>
<Relationships xmlns="http://schemas.openxmlformats.org/package/2006/relationships"><Relationship Id="rId3" Type="http://schemas.openxmlformats.org/officeDocument/2006/relationships/table" Target="../tables/table120.xml"/><Relationship Id="rId7" Type="http://schemas.openxmlformats.org/officeDocument/2006/relationships/table" Target="../tables/table124.xml"/><Relationship Id="rId2" Type="http://schemas.openxmlformats.org/officeDocument/2006/relationships/table" Target="../tables/table119.xml"/><Relationship Id="rId1" Type="http://schemas.openxmlformats.org/officeDocument/2006/relationships/printerSettings" Target="../printerSettings/printerSettings29.bin"/><Relationship Id="rId6" Type="http://schemas.openxmlformats.org/officeDocument/2006/relationships/table" Target="../tables/table123.xml"/><Relationship Id="rId5" Type="http://schemas.openxmlformats.org/officeDocument/2006/relationships/table" Target="../tables/table122.xml"/><Relationship Id="rId4" Type="http://schemas.openxmlformats.org/officeDocument/2006/relationships/table" Target="../tables/table121.xml"/></Relationships>
</file>

<file path=xl/worksheets/_rels/sheet48.xml.rels><?xml version="1.0" encoding="UTF-8" standalone="yes"?>
<Relationships xmlns="http://schemas.openxmlformats.org/package/2006/relationships"><Relationship Id="rId8" Type="http://schemas.openxmlformats.org/officeDocument/2006/relationships/table" Target="../tables/table131.xml"/><Relationship Id="rId13" Type="http://schemas.openxmlformats.org/officeDocument/2006/relationships/table" Target="../tables/table136.xml"/><Relationship Id="rId18" Type="http://schemas.openxmlformats.org/officeDocument/2006/relationships/table" Target="../tables/table141.xml"/><Relationship Id="rId3" Type="http://schemas.openxmlformats.org/officeDocument/2006/relationships/table" Target="../tables/table126.xml"/><Relationship Id="rId21" Type="http://schemas.openxmlformats.org/officeDocument/2006/relationships/table" Target="../tables/table144.xml"/><Relationship Id="rId7" Type="http://schemas.openxmlformats.org/officeDocument/2006/relationships/table" Target="../tables/table130.xml"/><Relationship Id="rId12" Type="http://schemas.openxmlformats.org/officeDocument/2006/relationships/table" Target="../tables/table135.xml"/><Relationship Id="rId17" Type="http://schemas.openxmlformats.org/officeDocument/2006/relationships/table" Target="../tables/table140.xml"/><Relationship Id="rId2" Type="http://schemas.openxmlformats.org/officeDocument/2006/relationships/table" Target="../tables/table125.xml"/><Relationship Id="rId16" Type="http://schemas.openxmlformats.org/officeDocument/2006/relationships/table" Target="../tables/table139.xml"/><Relationship Id="rId20" Type="http://schemas.openxmlformats.org/officeDocument/2006/relationships/table" Target="../tables/table143.xml"/><Relationship Id="rId1" Type="http://schemas.openxmlformats.org/officeDocument/2006/relationships/printerSettings" Target="../printerSettings/printerSettings30.bin"/><Relationship Id="rId6" Type="http://schemas.openxmlformats.org/officeDocument/2006/relationships/table" Target="../tables/table129.xml"/><Relationship Id="rId11" Type="http://schemas.openxmlformats.org/officeDocument/2006/relationships/table" Target="../tables/table134.xml"/><Relationship Id="rId5" Type="http://schemas.openxmlformats.org/officeDocument/2006/relationships/table" Target="../tables/table128.xml"/><Relationship Id="rId15" Type="http://schemas.openxmlformats.org/officeDocument/2006/relationships/table" Target="../tables/table138.xml"/><Relationship Id="rId10" Type="http://schemas.openxmlformats.org/officeDocument/2006/relationships/table" Target="../tables/table133.xml"/><Relationship Id="rId19" Type="http://schemas.openxmlformats.org/officeDocument/2006/relationships/table" Target="../tables/table142.xml"/><Relationship Id="rId4" Type="http://schemas.openxmlformats.org/officeDocument/2006/relationships/table" Target="../tables/table127.xml"/><Relationship Id="rId9" Type="http://schemas.openxmlformats.org/officeDocument/2006/relationships/table" Target="../tables/table132.xml"/><Relationship Id="rId14" Type="http://schemas.openxmlformats.org/officeDocument/2006/relationships/table" Target="../tables/table137.xml"/><Relationship Id="rId22" Type="http://schemas.openxmlformats.org/officeDocument/2006/relationships/table" Target="../tables/table14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CF26AA-F4FA-460F-9B3A-C19960195F0B}">
  <sheetPr>
    <tabColor rgb="FF0C769E"/>
  </sheetPr>
  <dimension ref="A1:A60"/>
  <sheetViews>
    <sheetView zoomScaleNormal="100" workbookViewId="0">
      <pane xSplit="1" topLeftCell="B1" activePane="topRight" state="frozen"/>
      <selection pane="topRight" activeCell="A59" sqref="A59"/>
    </sheetView>
  </sheetViews>
  <sheetFormatPr defaultRowHeight="20.100000000000001" customHeight="1" x14ac:dyDescent="0.2"/>
  <cols>
    <col min="1" max="1" width="36.7109375" customWidth="1"/>
  </cols>
  <sheetData>
    <row r="1" spans="1:1" ht="30" customHeight="1" x14ac:dyDescent="0.35">
      <c r="A1" s="10" t="e" vm="1">
        <v>#VALUE!</v>
      </c>
    </row>
    <row r="3" spans="1:1" ht="20.100000000000001" customHeight="1" x14ac:dyDescent="0.2">
      <c r="A3" s="262" t="str">
        <f>HYPERLINK("#'Home'!A1", "Home")</f>
        <v>Home</v>
      </c>
    </row>
    <row r="4" spans="1:1" ht="20.100000000000001" customHeight="1" x14ac:dyDescent="0.2">
      <c r="A4" s="5" t="str">
        <f>HYPERLINK("#'Results - Activity period'!A1", "Results - Activity period")</f>
        <v>Results - Activity period</v>
      </c>
    </row>
    <row r="5" spans="1:1" ht="20.100000000000001" customHeight="1" x14ac:dyDescent="0.2">
      <c r="A5" s="5" t="str">
        <f>HYPERLINK("#'Results - Product EI'!A1", "Results - Product Emissions Intensity")</f>
        <v>Results - Product Emissions Intensity</v>
      </c>
    </row>
    <row r="8" spans="1:1" ht="20.100000000000001" customHeight="1" x14ac:dyDescent="0.2">
      <c r="A8" s="7" t="s">
        <v>0</v>
      </c>
    </row>
    <row r="9" spans="1:1" ht="20.100000000000001" customHeight="1" x14ac:dyDescent="0.2">
      <c r="A9" s="5" t="str">
        <f>HYPERLINK("#'Input - Enterprise'!A1", "Enterprise")</f>
        <v>Enterprise</v>
      </c>
    </row>
    <row r="10" spans="1:1" ht="20.100000000000001" customHeight="1" x14ac:dyDescent="0.2">
      <c r="A10" s="5" t="str">
        <f>HYPERLINK("#'Input - Site'!A1", "Site")</f>
        <v>Site</v>
      </c>
    </row>
    <row r="11" spans="1:1" ht="20.100000000000001" customHeight="1" x14ac:dyDescent="0.2">
      <c r="A11" s="5" t="str">
        <f>HYPERLINK("#'Input - Pasture Beef'!A1", "Pasture Beef")</f>
        <v>Pasture Beef</v>
      </c>
    </row>
    <row r="12" spans="1:1" ht="20.100000000000001" customHeight="1" x14ac:dyDescent="0.2">
      <c r="A12" s="5" t="str">
        <f>HYPERLINK("#'Input - Livestock sales'!A1", "Livestock sales")</f>
        <v>Livestock sales</v>
      </c>
    </row>
    <row r="13" spans="1:1" ht="20.100000000000001" customHeight="1" x14ac:dyDescent="0.2">
      <c r="A13" s="5" t="str">
        <f>HYPERLINK("#'Input - Beef cattle purchases'!A1", "Beef cattle purchases")</f>
        <v>Beef cattle purchases</v>
      </c>
    </row>
    <row r="14" spans="1:1" ht="20.100000000000001" customHeight="1" x14ac:dyDescent="0.2">
      <c r="A14" s="5" t="str">
        <f>HYPERLINK("#'Input - Pasture'!A1", "Pasture")</f>
        <v>Pasture</v>
      </c>
    </row>
    <row r="15" spans="1:1" ht="20.100000000000001" customHeight="1" x14ac:dyDescent="0.2">
      <c r="A15" s="5" t="str">
        <f>HYPERLINK("#'Input - Fert Prod System'!A1", "Fert Prod System")</f>
        <v>Fert Prod System</v>
      </c>
    </row>
    <row r="16" spans="1:1" ht="20.100000000000001" customHeight="1" x14ac:dyDescent="0.2">
      <c r="A16" s="5" t="str">
        <f>HYPERLINK("#'Input - Fertiliser'!A1", "Fertiliser")</f>
        <v>Fertiliser</v>
      </c>
    </row>
    <row r="17" spans="1:1" ht="20.100000000000001" customHeight="1" x14ac:dyDescent="0.2">
      <c r="A17" s="5" t="str">
        <f>HYPERLINK("#'Input - Fuel'!A1", "Fuel")</f>
        <v>Fuel</v>
      </c>
    </row>
    <row r="18" spans="1:1" ht="20.100000000000001" customHeight="1" x14ac:dyDescent="0.2">
      <c r="A18" s="5" t="str">
        <f>HYPERLINK("#'Input - Electricity'!A1", "Electricity")</f>
        <v>Electricity</v>
      </c>
    </row>
    <row r="19" spans="1:1" ht="20.100000000000001" customHeight="1" x14ac:dyDescent="0.2">
      <c r="A19" s="5" t="str">
        <f>HYPERLINK("#'Input - Common farm inputs'!A1", "Common farm inputs")</f>
        <v>Common farm inputs</v>
      </c>
    </row>
    <row r="20" spans="1:1" ht="20.100000000000001" customHeight="1" x14ac:dyDescent="0.2">
      <c r="A20" s="5" t="str">
        <f>HYPERLINK("#'Input - Crop pasture farm input'!A1", "Crop pasture farm input")</f>
        <v>Crop pasture farm input</v>
      </c>
    </row>
    <row r="21" spans="1:1" ht="20.100000000000001" customHeight="1" x14ac:dyDescent="0.2">
      <c r="A21" s="5" t="str">
        <f>HYPERLINK("#'Input - Livestock farm Inputs'!A1", "Livestock farm Inputs")</f>
        <v>Livestock farm Inputs</v>
      </c>
    </row>
    <row r="22" spans="1:1" ht="20.100000000000001" customHeight="1" x14ac:dyDescent="0.2">
      <c r="A22" s="5" t="str">
        <f>HYPERLINK("#'Input - Freight'!A1", "Freight")</f>
        <v>Freight</v>
      </c>
    </row>
    <row r="23" spans="1:1" ht="20.100000000000001" customHeight="1" x14ac:dyDescent="0.2">
      <c r="A23" s="5" t="str">
        <f>HYPERLINK("#'Input - Solid waste'!A1", "Solid waste")</f>
        <v>Solid waste</v>
      </c>
    </row>
    <row r="24" spans="1:1" ht="20.100000000000001" customHeight="1" x14ac:dyDescent="0.2">
      <c r="A24" s="5" t="str">
        <f>HYPERLINK("#'Input - Manure sent off-site'!A1", "Manure sent off-site")</f>
        <v>Manure sent off-site</v>
      </c>
    </row>
    <row r="25" spans="1:1" ht="20.100000000000001" customHeight="1" x14ac:dyDescent="0.2">
      <c r="A25" s="5" t="str">
        <f>HYPERLINK("#'Input - Data quality'!A1", "Data quality")</f>
        <v>Data quality</v>
      </c>
    </row>
    <row r="28" spans="1:1" ht="20.100000000000001" customHeight="1" x14ac:dyDescent="0.2">
      <c r="A28" s="6" t="s">
        <v>2</v>
      </c>
    </row>
    <row r="29" spans="1:1" ht="20.100000000000001" customHeight="1" x14ac:dyDescent="0.2">
      <c r="A29" s="5" t="str">
        <f>HYPERLINK("#'3.2.1.1-2 Enteric Methane'!A1", "3.2.1.1-2 Enteric Methane")</f>
        <v>3.2.1.1-2 Enteric Methane</v>
      </c>
    </row>
    <row r="30" spans="1:1" ht="20.100000000000001" customHeight="1" x14ac:dyDescent="0.2">
      <c r="A30" s="5" t="str">
        <f>HYPERLINK("#'4.2.1.1-2 Methane'!A1", "4.2.1.1-2 Manure methane")</f>
        <v>4.2.1.1-2 Manure methane</v>
      </c>
    </row>
    <row r="31" spans="1:1" ht="20.100000000000001" customHeight="1" x14ac:dyDescent="0.2">
      <c r="A31" s="5" t="str">
        <f>HYPERLINK("#'4.2.1.3-4 Soil direct N20'!A1", "4.2.1.3-4 Soil direct N2O")</f>
        <v>4.2.1.3-4 Soil direct N2O</v>
      </c>
    </row>
    <row r="32" spans="1:1" ht="20.100000000000001" customHeight="1" x14ac:dyDescent="0.2">
      <c r="A32" s="5" t="str">
        <f>HYPERLINK("#'4.2.1.5-6 Soil Atmos Dep'!A1", "4.2.1.5-6 Soil atm. deposition")</f>
        <v>4.2.1.5-6 Soil atm. deposition</v>
      </c>
    </row>
    <row r="33" spans="1:1" ht="20.100000000000001" customHeight="1" x14ac:dyDescent="0.2">
      <c r="A33" s="5" t="str">
        <f>HYPERLINK("#'4.2.1.7-8 Soil leach runoff'!A1", "4.2.1.7-8 Soil leach &amp; runoff")</f>
        <v>4.2.1.7-8 Soil leach &amp; runoff</v>
      </c>
    </row>
    <row r="34" spans="1:1" ht="20.100000000000001" customHeight="1" x14ac:dyDescent="0.2">
      <c r="A34" s="5" t="str">
        <f>HYPERLINK("#'5.1.1.1-2 Inorganic fert N2O'!A1", "5.1.1.1-2 Inorganic fert N2O")</f>
        <v>5.1.1.1-2 Inorganic fert N2O</v>
      </c>
    </row>
    <row r="35" spans="1:1" ht="20.100000000000001" customHeight="1" x14ac:dyDescent="0.2">
      <c r="A35" s="5" t="str">
        <f>HYPERLINK("#'5.1.1.3-4 Inorganic fert CO2'!A1", "5.1.1.3-4 Inorganic fert CO2")</f>
        <v>5.1.1.3-4 Inorganic fert CO2</v>
      </c>
    </row>
    <row r="36" spans="1:1" ht="20.100000000000001" customHeight="1" x14ac:dyDescent="0.2">
      <c r="A36" s="5" t="str">
        <f>HYPERLINK("#'5.2.1.1-2 Organic Fert N2O'!A1", "5.2.1.1-2 Organic fert N2O")</f>
        <v>5.2.1.1-2 Organic fert N2O</v>
      </c>
    </row>
    <row r="37" spans="1:1" ht="20.100000000000001" customHeight="1" x14ac:dyDescent="0.2">
      <c r="A37" s="5" t="str">
        <f>HYPERLINK("#'5.3.1.1-2 Lime CO2'!A1", "5.3.1.1-2 Lime CO2")</f>
        <v>5.3.1.1-2 Lime CO2</v>
      </c>
    </row>
    <row r="38" spans="1:1" ht="20.100000000000001" customHeight="1" x14ac:dyDescent="0.2">
      <c r="A38" s="5" t="str">
        <f>HYPERLINK("#'5.4.1.1-4 Atmos deposition'!A1", "5.4.1.1-4 Atmos. deposition")</f>
        <v>5.4.1.1-4 Atmos. deposition</v>
      </c>
    </row>
    <row r="39" spans="1:1" ht="20.100000000000001" customHeight="1" x14ac:dyDescent="0.2">
      <c r="A39" s="5" t="str">
        <f>HYPERLINK("#'5.5.1.1-2 Leaching and runoff'!A1", "5.5.1.1-2 Leaching &amp; runoff")</f>
        <v>5.5.1.1-2 Leaching &amp; runoff</v>
      </c>
    </row>
    <row r="40" spans="1:1" ht="20.100000000000001" customHeight="1" x14ac:dyDescent="0.2">
      <c r="A40" s="5" t="str">
        <f>HYPERLINK("#'6.2.1.1-2 Pasture residue N2O'!A1", "6.2.1.1-2 Pasture residue N2O")</f>
        <v>6.2.1.1-2 Pasture residue N2O</v>
      </c>
    </row>
    <row r="41" spans="1:1" ht="20.100000000000001" customHeight="1" x14ac:dyDescent="0.2">
      <c r="A41" s="5" t="str">
        <f>HYPERLINK("#'6.3.1.1-2 Leach runoff pasture'!A1", "6.3.1.1-2 Leach &amp; runoff (pasture)")</f>
        <v>6.3.1.1-2 Leach &amp; runoff (pasture)</v>
      </c>
    </row>
    <row r="42" spans="1:1" ht="20.100000000000001" customHeight="1" x14ac:dyDescent="0.2">
      <c r="A42" s="5" t="str">
        <f>HYPERLINK("#'8.1.1.1-2 Transport fuel'!A1", "8.1.1.1-2 Transport fuel")</f>
        <v>8.1.1.1-2 Transport fuel</v>
      </c>
    </row>
    <row r="43" spans="1:1" ht="20.100000000000001" customHeight="1" x14ac:dyDescent="0.2">
      <c r="A43" s="5" t="str">
        <f>HYPERLINK("#'8.2.1.1-2 Stationary fuel'!A1", "8.2.1.1-2 Stationary fuel")</f>
        <v>8.2.1.1-2 Stationary fuel</v>
      </c>
    </row>
    <row r="44" spans="1:1" ht="20.100000000000001" customHeight="1" x14ac:dyDescent="0.2">
      <c r="A44" s="5" t="str">
        <f>HYPERLINK("#'10.1.1-2 Solid waste treatment'!A1", "10.1.1.1-2 Solid waste")</f>
        <v>10.1.1.1-2 Solid waste</v>
      </c>
    </row>
    <row r="45" spans="1:1" ht="20.100000000000001" customHeight="1" x14ac:dyDescent="0.2">
      <c r="A45" s="5" t="str">
        <f>HYPERLINK("#'14.1.1-2 Purchased electricity'!A1", "14.1.1-2 Purchased electricity")</f>
        <v>14.1.1-2 Purchased electricity</v>
      </c>
    </row>
    <row r="46" spans="1:1" ht="20.100000000000001" customHeight="1" x14ac:dyDescent="0.2">
      <c r="A46" s="5" t="str">
        <f>HYPERLINK("#'15 Scope 3'!A1", "15 Scope 3")</f>
        <v>15 Scope 3</v>
      </c>
    </row>
    <row r="47" spans="1:1" ht="20.100000000000001" customHeight="1" x14ac:dyDescent="0.2">
      <c r="A47" s="5" t="str">
        <f>HYPERLINK("#'Calcs - Manure sent off-site'!A1", "Calcs - Manure sent off-site")</f>
        <v>Calcs - Manure sent off-site</v>
      </c>
    </row>
    <row r="50" spans="1:1" ht="20.100000000000001" customHeight="1" x14ac:dyDescent="0.2">
      <c r="A50" s="85" t="s">
        <v>1</v>
      </c>
    </row>
    <row r="51" spans="1:1" ht="20.100000000000001" customHeight="1" x14ac:dyDescent="0.2">
      <c r="A51" s="5" t="str">
        <f>HYPERLINK("#'Constants - Pasture Beef'!A1", "Constants - Pasture Beef")</f>
        <v>Constants - Pasture Beef</v>
      </c>
    </row>
    <row r="52" spans="1:1" ht="20.100000000000001" customHeight="1" x14ac:dyDescent="0.2">
      <c r="A52" s="5" t="str">
        <f>HYPERLINK("#'Constants - Ag Residue'!A1", "Constants - Ag residue")</f>
        <v>Constants - Ag residue</v>
      </c>
    </row>
    <row r="53" spans="1:1" ht="20.100000000000001" customHeight="1" x14ac:dyDescent="0.2">
      <c r="A53" s="5" t="str">
        <f>HYPERLINK("#'Constants - Common Livestock'!A1", "Constants - Common Livestock")</f>
        <v>Constants - Common Livestock</v>
      </c>
    </row>
    <row r="54" spans="1:1" ht="20.100000000000001" customHeight="1" x14ac:dyDescent="0.2">
      <c r="A54" s="5" t="str">
        <f>HYPERLINK("#'Constants - Electricity'!A1", "Constants - Electricity")</f>
        <v>Constants - Electricity</v>
      </c>
    </row>
    <row r="55" spans="1:1" ht="20.100000000000001" customHeight="1" x14ac:dyDescent="0.2">
      <c r="A55" s="5" t="str">
        <f>HYPERLINK("#'Constants - Fertiliser'!A1", "Constants - Fertiliser")</f>
        <v>Constants - Fertiliser</v>
      </c>
    </row>
    <row r="56" spans="1:1" ht="20.100000000000001" customHeight="1" x14ac:dyDescent="0.2">
      <c r="A56" s="5" t="str">
        <f>HYPERLINK("#'Constants - Fuel'!A1", "Constants - Fuel")</f>
        <v>Constants - Fuel</v>
      </c>
    </row>
    <row r="57" spans="1:1" ht="20.100000000000001" customHeight="1" x14ac:dyDescent="0.2">
      <c r="A57" s="5" t="str">
        <f>HYPERLINK("#'Constants - Scope 3'!A1", "Constants - Scope 3")</f>
        <v>Constants - Scope 3</v>
      </c>
    </row>
    <row r="58" spans="1:1" ht="20.100000000000001" customHeight="1" x14ac:dyDescent="0.2">
      <c r="A58" s="5" t="str">
        <f>HYPERLINK("#'Constants - Solid Waste'!A1", "Constants - Solid Waste")</f>
        <v>Constants - Solid Waste</v>
      </c>
    </row>
    <row r="59" spans="1:1" ht="20.100000000000001" customHeight="1" x14ac:dyDescent="0.2">
      <c r="A59" s="5" t="str">
        <f>HYPERLINK("#'Constants - Common'!A1", "Constants - Common")</f>
        <v>Constants - Common</v>
      </c>
    </row>
    <row r="60" spans="1:1" ht="20.100000000000001" customHeight="1" x14ac:dyDescent="0.2">
      <c r="A60" s="5" t="str">
        <f>HYPERLINK("#'Acknowledgements'!A1", "Acknowledgements")</f>
        <v>Acknowledgements</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E30AE0-5101-4331-B8DF-043DE9AAFBA8}">
  <sheetPr>
    <tabColor rgb="FF0C769E"/>
    <pageSetUpPr autoPageBreaks="0"/>
  </sheetPr>
  <dimension ref="A1:K68"/>
  <sheetViews>
    <sheetView showGridLines="0" topLeftCell="A46" zoomScaleNormal="100" workbookViewId="0">
      <pane xSplit="1" topLeftCell="B1" activePane="topRight" state="frozen"/>
      <selection pane="topRight" activeCell="F67" sqref="F67"/>
    </sheetView>
  </sheetViews>
  <sheetFormatPr defaultRowHeight="20.100000000000001" customHeight="1" x14ac:dyDescent="0.2"/>
  <cols>
    <col min="1" max="1" width="36.7109375" customWidth="1"/>
    <col min="2" max="2" width="2.7109375" customWidth="1"/>
    <col min="3" max="3" width="2.7109375" style="1" customWidth="1"/>
    <col min="4" max="4" width="78.42578125" style="1" customWidth="1"/>
    <col min="5" max="10" width="30.7109375" style="1" customWidth="1"/>
    <col min="11" max="11" width="7.42578125" style="1" customWidth="1"/>
    <col min="12" max="26" width="28.7109375" customWidth="1"/>
  </cols>
  <sheetData>
    <row r="1" spans="1:11" s="10" customFormat="1" ht="30" customHeight="1" x14ac:dyDescent="0.35">
      <c r="A1" s="10" t="e" vm="1">
        <v>#VALUE!</v>
      </c>
      <c r="C1" s="92" t="s">
        <v>280</v>
      </c>
      <c r="D1" s="92"/>
      <c r="E1" s="92"/>
      <c r="F1" s="92"/>
      <c r="G1" s="92"/>
      <c r="H1" s="92"/>
      <c r="I1" s="92"/>
      <c r="J1" s="92"/>
      <c r="K1" s="92"/>
    </row>
    <row r="2" spans="1:11" s="3" customFormat="1" ht="20.100000000000001" customHeight="1" x14ac:dyDescent="0.2">
      <c r="A2"/>
    </row>
    <row r="3" spans="1:11" ht="20.100000000000001" customHeight="1" x14ac:dyDescent="0.2">
      <c r="A3" s="5" t="str">
        <f>HYPERLINK("#'Home'!A1", "Home")</f>
        <v>Home</v>
      </c>
    </row>
    <row r="4" spans="1:11" ht="20.100000000000001" customHeight="1" x14ac:dyDescent="0.2">
      <c r="A4" s="262" t="str">
        <f>HYPERLINK("#'Results - Activity period'!A1", "Results - Activity period")</f>
        <v>Results - Activity period</v>
      </c>
      <c r="D4" s="2" t="str">
        <f>"Emissions breakdown for activities running between " &amp; TEXT(X_Cell_Site_StartDate, "d mmmm yyyy") &amp; " and " &amp; TEXT(X_Cell_Site_EndDate, "d mmmm yyyy")</f>
        <v>Emissions breakdown for activities running between 0 January 1900 and 30 December 1900</v>
      </c>
    </row>
    <row r="5" spans="1:11" ht="20.100000000000001" customHeight="1" x14ac:dyDescent="0.2">
      <c r="A5" s="5" t="str">
        <f>HYPERLINK("#'Results - Product EI'!A1", "Results - Product Emissions Intensity")</f>
        <v>Results - Product Emissions Intensity</v>
      </c>
    </row>
    <row r="6" spans="1:11" ht="20.100000000000001" customHeight="1" x14ac:dyDescent="0.2">
      <c r="D6" s="79" t="s">
        <v>297</v>
      </c>
    </row>
    <row r="8" spans="1:11" ht="20.100000000000001" customHeight="1" x14ac:dyDescent="0.2">
      <c r="A8" s="7" t="s">
        <v>0</v>
      </c>
      <c r="D8" s="11" t="s">
        <v>3</v>
      </c>
      <c r="E8" s="11" t="s">
        <v>7</v>
      </c>
      <c r="F8" s="11" t="s">
        <v>8</v>
      </c>
      <c r="G8" s="11" t="s">
        <v>4</v>
      </c>
      <c r="H8" s="11" t="s">
        <v>9</v>
      </c>
      <c r="I8" s="11" t="s">
        <v>10</v>
      </c>
      <c r="J8" s="11"/>
    </row>
    <row r="9" spans="1:11" ht="20.100000000000001" customHeight="1" x14ac:dyDescent="0.2">
      <c r="A9" s="5" t="str">
        <f>HYPERLINK("#'Input - Enterprise'!A1", "Enterprise")</f>
        <v>Enterprise</v>
      </c>
      <c r="D9" s="1" t="s">
        <v>141</v>
      </c>
      <c r="E9" s="1" t="e" cm="1">
        <f t="array" aca="1" ref="E9" ca="1">VEERG_3_2_1_1__1_TotalAnnualMethaneFromEntericFermentation_Result_Method1</f>
        <v>#N/A</v>
      </c>
      <c r="F9" s="1" t="e" cm="1">
        <f t="array" aca="1" ref="F9" ca="1">VEERG_3_2_1_1__1_TotalAnnualMethaneFromEntericFermentation_Result_Method2</f>
        <v>#N/A</v>
      </c>
      <c r="G9" s="9" t="s">
        <v>5</v>
      </c>
      <c r="H9" s="1" t="e" cm="1">
        <f t="array" aca="1" ref="H9" ca="1">Common_Equations.Common_ConvertCH4ToCO2e(E9,_xlfn.XLOOKUP("CH4", Table_GWPData[Gas],Table_GWPData[CO2-e factor]))</f>
        <v>#N/A</v>
      </c>
      <c r="I9" s="1" t="e" cm="1">
        <f t="array" aca="1" ref="I9" ca="1">Common_Equations.Common_ConvertCH4ToCO2e(F9,_xlfn.XLOOKUP("CH4", Table_GWPData[Gas],Table_GWPData[CO2-e factor]))</f>
        <v>#N/A</v>
      </c>
      <c r="J9" s="9" t="s">
        <v>6</v>
      </c>
    </row>
    <row r="10" spans="1:11" ht="20.100000000000001" customHeight="1" x14ac:dyDescent="0.2">
      <c r="A10" s="5" t="str">
        <f>HYPERLINK("#'Input - Site'!A1", "Site")</f>
        <v>Site</v>
      </c>
      <c r="D10" s="1" t="s">
        <v>11</v>
      </c>
      <c r="E10" s="1" t="e" cm="1">
        <f t="array" aca="1" ref="E10" ca="1">VEERG_4_2_1_1__1_TotalAnnualMethaneProductionFromManureManagement_Result_Method1</f>
        <v>#N/A</v>
      </c>
      <c r="F10" s="1" t="e" cm="1">
        <f t="array" aca="1" ref="F10" ca="1">VEERG_4_2_1_1__1_TotalAnnualMethaneProductionFromManureManagement_Result_Method2</f>
        <v>#N/A</v>
      </c>
      <c r="G10" s="9" t="s">
        <v>5</v>
      </c>
      <c r="H10" s="1" t="e" cm="1">
        <f t="array" aca="1" ref="H10" ca="1">Common_Equations.Common_ConvertCH4ToCO2e(E10,_xlfn.XLOOKUP("CH4", Table_GWPData[Gas],Table_GWPData[CO2-e factor]))</f>
        <v>#N/A</v>
      </c>
      <c r="I10" s="1" t="e" cm="1">
        <f t="array" aca="1" ref="I10" ca="1">Common_Equations.Common_ConvertCH4ToCO2e(F10,_xlfn.XLOOKUP("CH4", Table_GWPData[Gas],Table_GWPData[CO2-e factor]))</f>
        <v>#N/A</v>
      </c>
      <c r="J10" s="9" t="s">
        <v>6</v>
      </c>
    </row>
    <row r="11" spans="1:11" ht="20.100000000000001" customHeight="1" x14ac:dyDescent="0.2">
      <c r="A11" s="5" t="str">
        <f>HYPERLINK("#'Input - Pasture Beef'!A1", "Pasture Beef")</f>
        <v>Pasture Beef</v>
      </c>
      <c r="D11" s="1" t="s">
        <v>13</v>
      </c>
      <c r="E11" s="1" t="e" cm="1">
        <f t="array" aca="1" ref="E11" ca="1">VEERG_4_2_1_3__1_DirectNitrousOxideEmissionsOnPasture_Result_Method1</f>
        <v>#N/A</v>
      </c>
      <c r="F11" s="1" t="e" cm="1">
        <f t="array" aca="1" ref="F11" ca="1">VEERG_4_2_1_3__1_DirectNitrousOxideEmissionsOnPasture_Result_Method2</f>
        <v>#N/A</v>
      </c>
      <c r="G11" s="9" t="s">
        <v>12</v>
      </c>
      <c r="H11" s="1" t="e" cm="1">
        <f t="array" aca="1" ref="H11" ca="1">Common_Equations.Common_ConvertN2OToCO2e(E11,_xlfn.XLOOKUP("N2O", Table_GWPData[Gas],Table_GWPData[CO2-e factor]))</f>
        <v>#N/A</v>
      </c>
      <c r="I11" s="1" t="e" cm="1">
        <f t="array" aca="1" ref="I11" ca="1">Common_Equations.Common_ConvertN2OToCO2e(F11,_xlfn.XLOOKUP("N2O", Table_GWPData[Gas],Table_GWPData[CO2-e factor]))</f>
        <v>#N/A</v>
      </c>
      <c r="J11" s="9" t="s">
        <v>6</v>
      </c>
    </row>
    <row r="12" spans="1:11" ht="20.100000000000001" customHeight="1" x14ac:dyDescent="0.2">
      <c r="A12" s="5" t="str">
        <f>HYPERLINK("#'Input - Livestock sales'!A1", "Livestock sales")</f>
        <v>Livestock sales</v>
      </c>
      <c r="D12" s="1" t="s">
        <v>14</v>
      </c>
      <c r="E12" s="1" t="e" cm="1">
        <f t="array" aca="1" ref="E12" ca="1">VEERG_4_2_1_5__1_AtmosphericDepositionEmissionsFromUrineAndDungOnPasture_Result_Method1</f>
        <v>#N/A</v>
      </c>
      <c r="F12" s="1" t="e" cm="1">
        <f t="array" aca="1" ref="F12" ca="1">VEERG_4_2_1_5__1_AtmosphericDepositionEmissionsFromUrineAndDungOnPasture_Result_Method2</f>
        <v>#N/A</v>
      </c>
      <c r="G12" s="9" t="s">
        <v>12</v>
      </c>
      <c r="H12" s="1" t="e" cm="1">
        <f t="array" aca="1" ref="H12" ca="1">Common_Equations.Common_ConvertN2OToCO2e(E12,_xlfn.XLOOKUP("N2O", Table_GWPData[Gas],Table_GWPData[CO2-e factor]))</f>
        <v>#N/A</v>
      </c>
      <c r="I12" s="1" t="e" cm="1">
        <f t="array" aca="1" ref="I12" ca="1">Common_Equations.Common_ConvertN2OToCO2e(F12,_xlfn.XLOOKUP("N2O", Table_GWPData[Gas],Table_GWPData[CO2-e factor]))</f>
        <v>#N/A</v>
      </c>
      <c r="J12" s="9" t="s">
        <v>6</v>
      </c>
    </row>
    <row r="13" spans="1:11" ht="20.100000000000001" customHeight="1" x14ac:dyDescent="0.2">
      <c r="A13" s="5" t="str">
        <f>HYPERLINK("#'Input - Beef cattle purchases'!A1", "Beef cattle purchases")</f>
        <v>Beef cattle purchases</v>
      </c>
      <c r="D13" s="1" t="s">
        <v>15</v>
      </c>
      <c r="E13" s="1" t="e" cm="1">
        <f t="array" aca="1" ref="E13" ca="1">VEERG_4_2_1_7__1_LeachingAndRunoffEmissionsFromUrineAndDungOnPasture_Result_Method1</f>
        <v>#N/A</v>
      </c>
      <c r="F13" s="1" t="e" cm="1">
        <f t="array" aca="1" ref="F13" ca="1">VEERG_4_2_1_7__1_LeachingAndRunoffEmissionsFromUrineAndDungOnPasture_Result_Method2</f>
        <v>#N/A</v>
      </c>
      <c r="G13" s="9" t="s">
        <v>12</v>
      </c>
      <c r="H13" s="1" t="e" cm="1">
        <f t="array" aca="1" ref="H13" ca="1">Common_Equations.Common_ConvertN2OToCO2e(E13,_xlfn.XLOOKUP("N2O", Table_GWPData[Gas],Table_GWPData[CO2-e factor]))</f>
        <v>#N/A</v>
      </c>
      <c r="I13" s="1" t="e" cm="1">
        <f t="array" aca="1" ref="I13" ca="1">Common_Equations.Common_ConvertN2OToCO2e(F13,_xlfn.XLOOKUP("N2O", Table_GWPData[Gas],Table_GWPData[CO2-e factor]))</f>
        <v>#N/A</v>
      </c>
      <c r="J13" s="9" t="s">
        <v>6</v>
      </c>
    </row>
    <row r="14" spans="1:11" ht="20.100000000000001" customHeight="1" x14ac:dyDescent="0.2">
      <c r="A14" s="5" t="str">
        <f>HYPERLINK("#'Input - Pasture'!A1", "Pasture")</f>
        <v>Pasture</v>
      </c>
      <c r="D14" s="1" t="s">
        <v>142</v>
      </c>
      <c r="E14" s="1" t="e" cm="1">
        <f t="array" ref="E14">VEERG_5_1_1_1__1_InorganicFertiliserApplicationN2OEmissions_Result_Method1</f>
        <v>#N/A</v>
      </c>
      <c r="F14" s="1" t="e" cm="1">
        <f t="array" ref="F14">VEERG_5_1_1_1__1_InorganicFertiliserApplicationN2OEmissions_Result_Method2</f>
        <v>#N/A</v>
      </c>
      <c r="G14" s="9" t="s">
        <v>12</v>
      </c>
      <c r="H14" s="1" t="e" cm="1">
        <f t="array" ref="H14">Common_Equations.Common_ConvertN2OToCO2e(E14,_xlfn.XLOOKUP("N2O", Table_GWPData[Gas],Table_GWPData[CO2-e factor]))</f>
        <v>#N/A</v>
      </c>
      <c r="I14" s="1" t="e" cm="1">
        <f t="array" ref="I14">Common_Equations.Common_ConvertN2OToCO2e(F14,_xlfn.XLOOKUP("N2O", Table_GWPData[Gas],Table_GWPData[CO2-e factor]))</f>
        <v>#N/A</v>
      </c>
      <c r="J14" s="9" t="s">
        <v>6</v>
      </c>
    </row>
    <row r="15" spans="1:11" ht="20.100000000000001" customHeight="1" x14ac:dyDescent="0.2">
      <c r="A15" s="5" t="str">
        <f>HYPERLINK("#'Input - Fert Prod System'!A1", "Fert Prod System")</f>
        <v>Fert Prod System</v>
      </c>
      <c r="D15" s="1" t="s">
        <v>143</v>
      </c>
      <c r="E15" s="1" cm="1">
        <f t="array" ref="E15">VEERG_5_1_1_3__1_InorganicFertiliserApplicationCO2Emissions_Result_Method1</f>
        <v>0</v>
      </c>
      <c r="F15" s="1">
        <f>E15</f>
        <v>0</v>
      </c>
      <c r="G15" s="9" t="s">
        <v>133</v>
      </c>
      <c r="H15" s="1">
        <f>E15</f>
        <v>0</v>
      </c>
      <c r="I15" s="1">
        <f>F15</f>
        <v>0</v>
      </c>
      <c r="J15" s="9" t="s">
        <v>6</v>
      </c>
    </row>
    <row r="16" spans="1:11" ht="20.100000000000001" customHeight="1" x14ac:dyDescent="0.2">
      <c r="A16" s="5" t="str">
        <f>HYPERLINK("#'Input - Fertiliser'!A1", "Fertiliser")</f>
        <v>Fertiliser</v>
      </c>
      <c r="D16" s="1" t="s">
        <v>144</v>
      </c>
      <c r="E16" s="1" cm="1">
        <f t="array" ref="E16">VEERG_5_2_1_1__2_MassOfNitrogenInOrganicFertiliser_Result_Method1</f>
        <v>0</v>
      </c>
      <c r="F16" s="1">
        <f>E16</f>
        <v>0</v>
      </c>
      <c r="G16" s="9" t="s">
        <v>12</v>
      </c>
      <c r="H16" s="1" cm="1">
        <f t="array" ref="H16">Common_Equations.Common_ConvertN2OToCO2e(E16,_xlfn.XLOOKUP("N2O", Table_GWPData[Gas],Table_GWPData[CO2-e factor]))</f>
        <v>0</v>
      </c>
      <c r="I16" s="1" cm="1">
        <f t="array" ref="I16">Common_Equations.Common_ConvertN2OToCO2e(F16,_xlfn.XLOOKUP("N2O", Table_GWPData[Gas],Table_GWPData[CO2-e factor]))</f>
        <v>0</v>
      </c>
      <c r="J16" s="9" t="s">
        <v>6</v>
      </c>
    </row>
    <row r="17" spans="1:10" ht="20.100000000000001" customHeight="1" x14ac:dyDescent="0.2">
      <c r="A17" s="5" t="str">
        <f>HYPERLINK("#'Input - Fuel'!A1", "Fuel")</f>
        <v>Fuel</v>
      </c>
      <c r="D17" s="1" t="s">
        <v>145</v>
      </c>
      <c r="E17" s="1" cm="1">
        <f t="array" ref="E17">VEERG_5_3_1_1__1_LimeApplicationCO2Emissions_Result_Method1</f>
        <v>0</v>
      </c>
      <c r="F17" s="1">
        <f>E17</f>
        <v>0</v>
      </c>
      <c r="G17" s="9" t="s">
        <v>133</v>
      </c>
      <c r="H17" s="1">
        <f>E17</f>
        <v>0</v>
      </c>
      <c r="I17" s="1">
        <f>F17</f>
        <v>0</v>
      </c>
      <c r="J17" s="9" t="s">
        <v>6</v>
      </c>
    </row>
    <row r="18" spans="1:10" ht="20.100000000000001" customHeight="1" x14ac:dyDescent="0.2">
      <c r="A18" s="5" t="str">
        <f>HYPERLINK("#'Input - Electricity'!A1", "Electricity")</f>
        <v>Electricity</v>
      </c>
      <c r="D18" s="1" t="s">
        <v>146</v>
      </c>
      <c r="E18" s="1" t="e" cm="1">
        <f t="array" ref="E18">VEERG_5_4_1_3__1_OrganicFertiliserAtmosphericDepositionN2OEmissions_Result_Method1</f>
        <v>#N/A</v>
      </c>
      <c r="F18" s="1" t="e">
        <f>E18</f>
        <v>#N/A</v>
      </c>
      <c r="G18" s="9" t="s">
        <v>12</v>
      </c>
      <c r="H18" s="1" t="e" cm="1">
        <f t="array" ref="H18">Common_Equations.Common_ConvertN2OToCO2e(E18,_xlfn.XLOOKUP("N2O", Table_GWPData[Gas],Table_GWPData[CO2-e factor]))</f>
        <v>#N/A</v>
      </c>
      <c r="I18" s="1" t="e" cm="1">
        <f t="array" ref="I18">Common_Equations.Common_ConvertN2OToCO2e(F18,_xlfn.XLOOKUP("N2O", Table_GWPData[Gas],Table_GWPData[CO2-e factor]))</f>
        <v>#N/A</v>
      </c>
      <c r="J18" s="9" t="s">
        <v>6</v>
      </c>
    </row>
    <row r="19" spans="1:10" ht="20.100000000000001" customHeight="1" x14ac:dyDescent="0.2">
      <c r="A19" s="5" t="str">
        <f>HYPERLINK("#'Input - Common farm inputs'!A1", "Common farm inputs")</f>
        <v>Common farm inputs</v>
      </c>
      <c r="D19" s="1" t="s">
        <v>147</v>
      </c>
      <c r="E19" s="1" cm="1">
        <f t="array" ref="E19">VEERG_5_5_1_1__1_FertiliserLeachingAndRunoffN2OEmissions_result_Method1</f>
        <v>0</v>
      </c>
      <c r="F19" s="1">
        <f>E19</f>
        <v>0</v>
      </c>
      <c r="G19" s="9" t="s">
        <v>12</v>
      </c>
      <c r="H19" s="1" cm="1">
        <f t="array" ref="H19">Common_Equations.Common_ConvertN2OToCO2e(E19,_xlfn.XLOOKUP("N2O", Table_GWPData[Gas],Table_GWPData[CO2-e factor]))</f>
        <v>0</v>
      </c>
      <c r="I19" s="1" cm="1">
        <f t="array" ref="I19">Common_Equations.Common_ConvertN2OToCO2e(F19,_xlfn.XLOOKUP("N2O", Table_GWPData[Gas],Table_GWPData[CO2-e factor]))</f>
        <v>0</v>
      </c>
      <c r="J19" s="9" t="s">
        <v>6</v>
      </c>
    </row>
    <row r="20" spans="1:10" ht="20.100000000000001" customHeight="1" x14ac:dyDescent="0.2">
      <c r="A20" s="5" t="str">
        <f>HYPERLINK("#'Input - Crop pasture farm input'!A1", "Crop pasture farm input")</f>
        <v>Crop pasture farm input</v>
      </c>
      <c r="D20" s="1" t="s">
        <v>148</v>
      </c>
      <c r="E20" s="1" cm="1">
        <f t="array" ref="E20">VEERG_6_2_1_1__1__NitrousOxideEmissionsFromPastureResidues_Result_Method1</f>
        <v>0</v>
      </c>
      <c r="F20" s="1" t="e" cm="1">
        <f t="array" ref="F20">VEERG_6_2_1_1__1__NitrousOxideEmissionsFromPastureResidues_Result_Method2</f>
        <v>#N/A</v>
      </c>
      <c r="G20" s="9" t="s">
        <v>12</v>
      </c>
      <c r="H20" s="1" cm="1">
        <f t="array" ref="H20">Common_Equations.Common_ConvertN2OToCO2e(E20,_xlfn.XLOOKUP("N2O", Table_GWPData[Gas],Table_GWPData[CO2-e factor]))</f>
        <v>0</v>
      </c>
      <c r="I20" s="1" t="e" cm="1">
        <f t="array" ref="I20">Common_Equations.Common_ConvertN2OToCO2e(F20,_xlfn.XLOOKUP("N2O", Table_GWPData[Gas],Table_GWPData[CO2-e factor]))</f>
        <v>#N/A</v>
      </c>
      <c r="J20" s="9" t="s">
        <v>6</v>
      </c>
    </row>
    <row r="21" spans="1:10" ht="20.100000000000001" customHeight="1" x14ac:dyDescent="0.2">
      <c r="A21" s="5" t="str">
        <f>HYPERLINK("#'Input - Livestock farm Inputs'!A1", "Livestock farm Inputs")</f>
        <v>Livestock farm Inputs</v>
      </c>
      <c r="D21" s="1" t="s">
        <v>149</v>
      </c>
      <c r="E21" s="1" cm="1">
        <f t="array" ref="E21">VEERG_6_3_1_1__1__LeachingAndRunoffEmissionsCropAndPastureResidue_PastureOnly_Result_Method1</f>
        <v>0</v>
      </c>
      <c r="F21" s="1" t="e" cm="1">
        <f t="array" ref="F21">VEERG_6_3_1_1__1__LeachingAndRunoffEmissionsCropAndPastureResidue_PastureOnly_Result_Method2</f>
        <v>#N/A</v>
      </c>
      <c r="G21" s="9" t="s">
        <v>12</v>
      </c>
      <c r="H21" s="1" cm="1">
        <f t="array" ref="H21">Common_Equations.Common_ConvertN2OToCO2e(E21,_xlfn.XLOOKUP("N2O", Table_GWPData[Gas],Table_GWPData[CO2-e factor]))</f>
        <v>0</v>
      </c>
      <c r="I21" s="1" t="e" cm="1">
        <f t="array" ref="I21">Common_Equations.Common_ConvertN2OToCO2e(F21,_xlfn.XLOOKUP("N2O", Table_GWPData[Gas],Table_GWPData[CO2-e factor]))</f>
        <v>#N/A</v>
      </c>
      <c r="J21" s="9" t="s">
        <v>6</v>
      </c>
    </row>
    <row r="22" spans="1:10" ht="20.100000000000001" customHeight="1" x14ac:dyDescent="0.2">
      <c r="A22" s="5" t="str">
        <f>HYPERLINK("#'Input - Freight'!A1", "Freight")</f>
        <v>Freight</v>
      </c>
      <c r="D22" s="1" t="s">
        <v>150</v>
      </c>
      <c r="E22" s="1" cm="1">
        <f t="array" ref="E22">VEERG_8_1_1_1__1_FuelCombustionTransport_Result_CO2</f>
        <v>0</v>
      </c>
      <c r="F22" s="1">
        <f>E22</f>
        <v>0</v>
      </c>
      <c r="G22" s="9" t="s">
        <v>133</v>
      </c>
      <c r="H22" s="1">
        <f>E22</f>
        <v>0</v>
      </c>
      <c r="I22" s="1">
        <f>F22</f>
        <v>0</v>
      </c>
      <c r="J22" s="9" t="s">
        <v>6</v>
      </c>
    </row>
    <row r="23" spans="1:10" ht="20.100000000000001" customHeight="1" x14ac:dyDescent="0.2">
      <c r="A23" s="5" t="str">
        <f>HYPERLINK("#'Input - Solid waste'!A1", "Solid waste")</f>
        <v>Solid waste</v>
      </c>
      <c r="D23" s="1" t="s">
        <v>152</v>
      </c>
      <c r="E23" s="1" cm="1">
        <f t="array" ref="E23">VEERG_8_1_1_1__1_FuelCombustionTransport_Result_CH4</f>
        <v>0</v>
      </c>
      <c r="F23" s="1">
        <f>E23</f>
        <v>0</v>
      </c>
      <c r="G23" s="9" t="s">
        <v>5</v>
      </c>
      <c r="H23" s="1" cm="1">
        <f t="array" ref="H23">Common_Equations.Common_ConvertCH4ToCO2e(E23,_xlfn.XLOOKUP("CH4", Table_GWPData[Gas],Table_GWPData[CO2-e factor]))</f>
        <v>0</v>
      </c>
      <c r="I23" s="1" cm="1">
        <f t="array" ref="I23">Common_Equations.Common_ConvertCH4ToCO2e(F23,_xlfn.XLOOKUP("CH4", Table_GWPData[Gas],Table_GWPData[CO2-e factor]))</f>
        <v>0</v>
      </c>
      <c r="J23" s="9" t="s">
        <v>6</v>
      </c>
    </row>
    <row r="24" spans="1:10" ht="20.100000000000001" customHeight="1" x14ac:dyDescent="0.2">
      <c r="A24" s="5" t="str">
        <f>HYPERLINK("#'Input - Manure sent off-site'!A1", "Manure sent off-site")</f>
        <v>Manure sent off-site</v>
      </c>
      <c r="D24" s="1" t="s">
        <v>151</v>
      </c>
      <c r="E24" s="1" cm="1">
        <f t="array" ref="E24">VEERG_8_1_1_1__1_FuelCombustionTransport_Result_N2O</f>
        <v>0</v>
      </c>
      <c r="F24" s="1">
        <f>E24</f>
        <v>0</v>
      </c>
      <c r="G24" s="9" t="s">
        <v>12</v>
      </c>
      <c r="H24" s="1" cm="1">
        <f t="array" ref="H24">Common_Equations.Common_ConvertN2OToCO2e(E24,_xlfn.XLOOKUP("N2O", Table_GWPData[Gas],Table_GWPData[CO2-e factor]))</f>
        <v>0</v>
      </c>
      <c r="I24" s="1" cm="1">
        <f t="array" ref="I24">Common_Equations.Common_ConvertN2OToCO2e(F24,_xlfn.XLOOKUP("N2O", Table_GWPData[Gas],Table_GWPData[CO2-e factor]))</f>
        <v>0</v>
      </c>
      <c r="J24" s="9" t="s">
        <v>6</v>
      </c>
    </row>
    <row r="25" spans="1:10" ht="20.100000000000001" customHeight="1" x14ac:dyDescent="0.2">
      <c r="A25" s="5" t="str">
        <f>HYPERLINK("#'Input - Data quality'!A1", "Data quality")</f>
        <v>Data quality</v>
      </c>
      <c r="D25" s="1" t="s">
        <v>153</v>
      </c>
      <c r="E25" s="1" cm="1">
        <f t="array" ref="E25">VEERG_8_2_1_1__1_FuelCombustionStationary_Result_CO2</f>
        <v>0</v>
      </c>
      <c r="F25" s="1">
        <f>E25</f>
        <v>0</v>
      </c>
      <c r="G25" s="9" t="s">
        <v>133</v>
      </c>
      <c r="H25" s="1">
        <f>E25</f>
        <v>0</v>
      </c>
      <c r="I25" s="1">
        <f>F25</f>
        <v>0</v>
      </c>
      <c r="J25" s="9" t="s">
        <v>6</v>
      </c>
    </row>
    <row r="26" spans="1:10" ht="20.100000000000001" customHeight="1" x14ac:dyDescent="0.2">
      <c r="D26" s="1" t="s">
        <v>154</v>
      </c>
      <c r="E26" s="1" cm="1">
        <f t="array" ref="E26">VEERG_8_2_1_1__1_FuelCombustionStationary_Result_CH4</f>
        <v>0</v>
      </c>
      <c r="F26" s="1">
        <f t="shared" ref="F26:F27" si="0">E26</f>
        <v>0</v>
      </c>
      <c r="G26" s="9" t="s">
        <v>5</v>
      </c>
      <c r="H26" s="1" cm="1">
        <f t="array" ref="H26">Common_Equations.Common_ConvertCH4ToCO2e(E26,_xlfn.XLOOKUP("CH4", Table_GWPData[Gas],Table_GWPData[CO2-e factor]))</f>
        <v>0</v>
      </c>
      <c r="I26" s="1" cm="1">
        <f t="array" ref="I26">Common_Equations.Common_ConvertCH4ToCO2e(F26,_xlfn.XLOOKUP("CH4", Table_GWPData[Gas],Table_GWPData[CO2-e factor]))</f>
        <v>0</v>
      </c>
      <c r="J26" s="9" t="s">
        <v>6</v>
      </c>
    </row>
    <row r="27" spans="1:10" ht="20.100000000000001" customHeight="1" x14ac:dyDescent="0.2">
      <c r="D27" s="1" t="s">
        <v>155</v>
      </c>
      <c r="E27" s="1" cm="1">
        <f t="array" ref="E27">VEERG_8_2_1_1__1_FuelCombustionStationary_Result_N2O</f>
        <v>0</v>
      </c>
      <c r="F27" s="1">
        <f t="shared" si="0"/>
        <v>0</v>
      </c>
      <c r="G27" s="9" t="s">
        <v>12</v>
      </c>
      <c r="H27" s="1" cm="1">
        <f t="array" ref="H27">Common_Equations.Common_ConvertN2OToCO2e(E27,_xlfn.XLOOKUP("N2O", Table_GWPData[Gas],Table_GWPData[CO2-e factor]))</f>
        <v>0</v>
      </c>
      <c r="I27" s="1" cm="1">
        <f t="array" ref="I27">Common_Equations.Common_ConvertN2OToCO2e(F27,_xlfn.XLOOKUP("N2O", Table_GWPData[Gas],Table_GWPData[CO2-e factor]))</f>
        <v>0</v>
      </c>
      <c r="J27" s="9" t="s">
        <v>6</v>
      </c>
    </row>
    <row r="28" spans="1:10" ht="20.100000000000001" customHeight="1" x14ac:dyDescent="0.2">
      <c r="A28" s="6" t="s">
        <v>2</v>
      </c>
      <c r="D28" s="90" t="s">
        <v>293</v>
      </c>
      <c r="E28" s="91"/>
      <c r="F28" s="91"/>
      <c r="G28" s="91"/>
      <c r="H28" s="90" t="e">
        <f ca="1">SUM(H9:H27)</f>
        <v>#N/A</v>
      </c>
      <c r="I28" s="90" t="e">
        <f ca="1">SUM(I9:I27)</f>
        <v>#N/A</v>
      </c>
      <c r="J28" s="95" t="s">
        <v>6</v>
      </c>
    </row>
    <row r="29" spans="1:10" ht="20.100000000000001" customHeight="1" x14ac:dyDescent="0.2">
      <c r="A29" s="5" t="str">
        <f>HYPERLINK("#'3.2.1.1-2 Enteric Methane'!A1", "3.2.1.1-2 Enteric Methane")</f>
        <v>3.2.1.1-2 Enteric Methane</v>
      </c>
    </row>
    <row r="30" spans="1:10" ht="20.100000000000001" customHeight="1" x14ac:dyDescent="0.2">
      <c r="A30" s="5" t="str">
        <f>HYPERLINK("#'4.2.1.1-2 Methane'!A1", "4.2.1.1-2 Manure methane")</f>
        <v>4.2.1.1-2 Manure methane</v>
      </c>
    </row>
    <row r="31" spans="1:10" ht="20.100000000000001" customHeight="1" x14ac:dyDescent="0.2">
      <c r="A31" s="5" t="str">
        <f>HYPERLINK("#'4.2.1.3-4 Soil direct N20'!A1", "4.2.1.3-4 Soil direct N2O")</f>
        <v>4.2.1.3-4 Soil direct N2O</v>
      </c>
      <c r="D31" s="79" t="s">
        <v>294</v>
      </c>
    </row>
    <row r="32" spans="1:10" ht="20.100000000000001" customHeight="1" x14ac:dyDescent="0.2">
      <c r="A32" s="5" t="str">
        <f>HYPERLINK("#'4.2.1.5-6 Soil Atmos Dep'!A1", "4.2.1.5-6 Soil atm. deposition")</f>
        <v>4.2.1.5-6 Soil atm. deposition</v>
      </c>
    </row>
    <row r="33" spans="1:10" ht="20.100000000000001" customHeight="1" x14ac:dyDescent="0.2">
      <c r="A33" s="5" t="str">
        <f>HYPERLINK("#'4.2.1.7-8 Soil leach runoff'!A1", "4.2.1.7-8 Soil leach &amp; runoff")</f>
        <v>4.2.1.7-8 Soil leach &amp; runoff</v>
      </c>
      <c r="D33" s="11" t="s">
        <v>295</v>
      </c>
      <c r="E33" s="11" t="s">
        <v>7</v>
      </c>
      <c r="F33" s="11" t="s">
        <v>8</v>
      </c>
      <c r="G33" s="11" t="s">
        <v>4</v>
      </c>
      <c r="H33" s="11" t="s">
        <v>9</v>
      </c>
      <c r="I33" s="11" t="s">
        <v>10</v>
      </c>
      <c r="J33" s="11"/>
    </row>
    <row r="34" spans="1:10" ht="20.100000000000001" customHeight="1" x14ac:dyDescent="0.2">
      <c r="A34" s="5" t="str">
        <f>HYPERLINK("#'5.1.1.1-2 Inorganic fert N2O'!A1", "5.1.1.1-2 Inorganic fert N2O")</f>
        <v>5.1.1.1-2 Inorganic fert N2O</v>
      </c>
      <c r="D34" s="1" t="str" cm="1">
        <f t="array" ref="D34">"14.1.1-2 Purchased electricity " &amp; IF(X_Cell_Electricity_CalculationMethod="Location-based (simpler)", "(Location-based)", "(Market-based)")</f>
        <v>14.1.1-2 Purchased electricity (Market-based)</v>
      </c>
      <c r="E34" s="1" cm="1">
        <f t="array" ref="E34">IF(X_Cell_Electricity_CalculationMethod="Location-based (simpler)", VEERG_14_1_1__1_LocationBasedScopeElectricityEmissions_Result_Method1, VEERG_14_1_2__1_MarketBasedScopeElectricityEmissionsVariation_Result_Method1)</f>
        <v>0</v>
      </c>
      <c r="F34" s="1">
        <f>E34</f>
        <v>0</v>
      </c>
      <c r="G34" s="9" t="s">
        <v>6</v>
      </c>
      <c r="H34" s="1">
        <f>E34</f>
        <v>0</v>
      </c>
      <c r="I34" s="1">
        <f>F34</f>
        <v>0</v>
      </c>
      <c r="J34" s="9" t="s">
        <v>6</v>
      </c>
    </row>
    <row r="35" spans="1:10" ht="20.100000000000001" customHeight="1" x14ac:dyDescent="0.2">
      <c r="A35" s="5" t="str">
        <f>HYPERLINK("#'5.1.1.3-4 Inorganic fert CO2'!A1", "5.1.1.3-4 Inorganic fert CO2")</f>
        <v>5.1.1.3-4 Inorganic fert CO2</v>
      </c>
      <c r="D35" s="90" t="s">
        <v>296</v>
      </c>
      <c r="E35" s="91"/>
      <c r="F35" s="91"/>
      <c r="G35" s="91"/>
      <c r="H35" s="90">
        <f>SUM(H34:H34)</f>
        <v>0</v>
      </c>
      <c r="I35" s="90">
        <f>SUM(I34:I34)</f>
        <v>0</v>
      </c>
      <c r="J35" s="95" t="s">
        <v>6</v>
      </c>
    </row>
    <row r="36" spans="1:10" ht="20.100000000000001" customHeight="1" x14ac:dyDescent="0.2">
      <c r="A36" s="5" t="str">
        <f>HYPERLINK("#'5.2.1.1-2 Organic Fert N2O'!A1", "5.2.1.1-2 Organic fert N2O")</f>
        <v>5.2.1.1-2 Organic fert N2O</v>
      </c>
    </row>
    <row r="37" spans="1:10" ht="20.100000000000001" customHeight="1" x14ac:dyDescent="0.2">
      <c r="A37" s="5" t="str">
        <f>HYPERLINK("#'5.3.1.1-2 Lime CO2'!A1", "5.3.1.1-2 Lime CO2")</f>
        <v>5.3.1.1-2 Lime CO2</v>
      </c>
    </row>
    <row r="38" spans="1:10" ht="20.100000000000001" customHeight="1" x14ac:dyDescent="0.2">
      <c r="A38" s="5" t="str">
        <f>HYPERLINK("#'5.4.1.1-4 Atmos deposition'!A1", "5.4.1.1-4 Atmos. deposition")</f>
        <v>5.4.1.1-4 Atmos. deposition</v>
      </c>
      <c r="D38" s="79" t="s">
        <v>298</v>
      </c>
    </row>
    <row r="39" spans="1:10" ht="20.100000000000001" customHeight="1" x14ac:dyDescent="0.2">
      <c r="A39" s="5" t="str">
        <f>HYPERLINK("#'5.5.1.1-2 Leaching and runoff'!A1", "5.5.1.1-2 Leaching &amp; runoff")</f>
        <v>5.5.1.1-2 Leaching &amp; runoff</v>
      </c>
      <c r="D39" s="11" t="s">
        <v>299</v>
      </c>
      <c r="E39" s="11" t="s">
        <v>7</v>
      </c>
      <c r="F39" s="11" t="s">
        <v>8</v>
      </c>
      <c r="G39" s="11" t="s">
        <v>4</v>
      </c>
      <c r="H39" s="11" t="s">
        <v>9</v>
      </c>
      <c r="I39" s="11" t="s">
        <v>10</v>
      </c>
      <c r="J39" s="11"/>
    </row>
    <row r="40" spans="1:10" ht="20.100000000000001" customHeight="1" x14ac:dyDescent="0.2">
      <c r="A40" s="5" t="str">
        <f>HYPERLINK("#'6.2.1.1-2 Pasture residue N2O'!A1", "6.2.1.1-2 Pasture residue N2O")</f>
        <v>6.2.1.1-2 Pasture residue N2O</v>
      </c>
      <c r="D40" s="1" t="s">
        <v>300</v>
      </c>
      <c r="E40" s="1" cm="1">
        <f t="array" ref="E40">VEERG_15_1_1_1__1_EmissionsFromPurchasedLivestock_Result_Method1</f>
        <v>0</v>
      </c>
      <c r="F40" s="1" cm="1">
        <f t="array" ref="F40">VEERG_15_1_1_1__1_EmissionsFromPurchasedLivestock_Result_Method2</f>
        <v>0</v>
      </c>
      <c r="G40" s="9" t="s">
        <v>6</v>
      </c>
      <c r="H40" s="1">
        <f>E40</f>
        <v>0</v>
      </c>
      <c r="I40" s="1">
        <f>F40</f>
        <v>0</v>
      </c>
      <c r="J40" s="9" t="s">
        <v>6</v>
      </c>
    </row>
    <row r="41" spans="1:10" ht="20.100000000000001" customHeight="1" x14ac:dyDescent="0.2">
      <c r="A41" s="5" t="str">
        <f>HYPERLINK("#'6.3.1.1-2 Leach runoff pasture'!A1", "6.3.1.1-2 Leach &amp; runoff (pasture)")</f>
        <v>6.3.1.1-2 Leach &amp; runoff (pasture)</v>
      </c>
      <c r="D41" s="1" t="s">
        <v>301</v>
      </c>
      <c r="E41" s="1" cm="1">
        <f t="array" ref="E41">VEERG_15_2_1_1__1_EmissionsFromPurchasedFeed_Result_Method1</f>
        <v>0</v>
      </c>
      <c r="F41" s="1" cm="1">
        <f t="array" ref="F41">VEERG_15_2_1_1__1_EmissionsFromPurchasedFeed_Result_Method2</f>
        <v>0</v>
      </c>
      <c r="G41" s="9" t="s">
        <v>6</v>
      </c>
      <c r="H41" s="1">
        <f t="shared" ref="H41:H52" si="1">E41</f>
        <v>0</v>
      </c>
      <c r="I41" s="1">
        <f t="shared" ref="I41:I52" si="2">F41</f>
        <v>0</v>
      </c>
      <c r="J41" s="9" t="s">
        <v>6</v>
      </c>
    </row>
    <row r="42" spans="1:10" ht="20.100000000000001" customHeight="1" x14ac:dyDescent="0.2">
      <c r="A42" s="5" t="str">
        <f>HYPERLINK("#'8.1.1.1-2 Transport fuel'!A1", "8.1.1.1-2 Transport fuel")</f>
        <v>8.1.1.1-2 Transport fuel</v>
      </c>
      <c r="D42" s="1" t="s">
        <v>302</v>
      </c>
      <c r="E42" s="1" cm="1">
        <f t="array" ref="E42">VEERG_15_3_1_1__1_EmissionsFromPurchasedMineralSupplements_Result_Method1</f>
        <v>0</v>
      </c>
      <c r="F42" s="1" cm="1">
        <f t="array" ref="F42">VEERG_15_3_1_1__1_EmissionsFromPurchasedMineralSupplements_Result_Method2</f>
        <v>0</v>
      </c>
      <c r="G42" s="9" t="s">
        <v>6</v>
      </c>
      <c r="H42" s="1">
        <f t="shared" si="1"/>
        <v>0</v>
      </c>
      <c r="I42" s="1">
        <f t="shared" si="2"/>
        <v>0</v>
      </c>
      <c r="J42" s="9" t="s">
        <v>6</v>
      </c>
    </row>
    <row r="43" spans="1:10" ht="20.100000000000001" customHeight="1" x14ac:dyDescent="0.2">
      <c r="A43" s="5" t="str">
        <f>HYPERLINK("#'8.2.1.1-2 Stationary fuel'!A1", "8.2.1.1-2 Stationary fuel")</f>
        <v>8.2.1.1-2 Stationary fuel</v>
      </c>
      <c r="D43" s="1" t="s">
        <v>303</v>
      </c>
      <c r="E43" s="1" cm="1">
        <f t="array" ref="E43">VEERG_15_4_1_1__2_EmissionsFromPurchasedFertiliserComponentsVariation_Result_Method1</f>
        <v>0</v>
      </c>
      <c r="F43" s="1" cm="1">
        <f t="array" ref="F43">VEERG_15_4_1_1__2_EmissionsFromPurchasedFertiliserComponentsVariation_Result_Method2</f>
        <v>0</v>
      </c>
      <c r="G43" s="9" t="s">
        <v>6</v>
      </c>
      <c r="H43" s="1">
        <f t="shared" si="1"/>
        <v>0</v>
      </c>
      <c r="I43" s="1">
        <f t="shared" si="2"/>
        <v>0</v>
      </c>
      <c r="J43" s="9" t="s">
        <v>6</v>
      </c>
    </row>
    <row r="44" spans="1:10" ht="20.100000000000001" customHeight="1" x14ac:dyDescent="0.2">
      <c r="A44" s="5" t="str">
        <f>HYPERLINK("#'10.1.1-2 Solid waste treatment'!A1", "10.1.1.1-2 Solid waste")</f>
        <v>10.1.1.1-2 Solid waste</v>
      </c>
      <c r="D44" s="1" t="s">
        <v>304</v>
      </c>
      <c r="E44" s="1" cm="1">
        <f t="array" ref="E44">VEERG_15_5_1_1__1_EmissionsFromPurchasedAgrichemicals_Result_Method1</f>
        <v>0</v>
      </c>
      <c r="F44" s="1" cm="1">
        <f t="array" ref="F44">VEERG_15_5_1_1__1_EmissionsFromPurchasedAgrichemicals_Result_Method2</f>
        <v>0</v>
      </c>
      <c r="G44" s="9" t="s">
        <v>6</v>
      </c>
      <c r="H44" s="1">
        <f t="shared" si="1"/>
        <v>0</v>
      </c>
      <c r="I44" s="1">
        <f t="shared" si="2"/>
        <v>0</v>
      </c>
      <c r="J44" s="9" t="s">
        <v>6</v>
      </c>
    </row>
    <row r="45" spans="1:10" ht="20.100000000000001" customHeight="1" x14ac:dyDescent="0.2">
      <c r="A45" s="5" t="str">
        <f>HYPERLINK("#'14.1.1-2 Purchased electricity'!A1", "14.1.1-2 Purchased electricity")</f>
        <v>14.1.1-2 Purchased electricity</v>
      </c>
      <c r="D45" s="1" t="s">
        <v>305</v>
      </c>
      <c r="E45" s="1" cm="1">
        <f t="array" ref="E45">VEERG_15_6_1_1__1_EmissionsFromPurchasedLime_Result_Method1</f>
        <v>0</v>
      </c>
      <c r="F45" s="1" cm="1">
        <f t="array" ref="F45">VEERG_15_6_1_1__1_EmissionsFromPurchasedLime_Result_Method2</f>
        <v>0</v>
      </c>
      <c r="G45" s="9" t="s">
        <v>6</v>
      </c>
      <c r="H45" s="1">
        <f t="shared" si="1"/>
        <v>0</v>
      </c>
      <c r="I45" s="1">
        <f t="shared" si="2"/>
        <v>0</v>
      </c>
      <c r="J45" s="9" t="s">
        <v>6</v>
      </c>
    </row>
    <row r="46" spans="1:10" ht="20.100000000000001" customHeight="1" x14ac:dyDescent="0.2">
      <c r="A46" s="5" t="str">
        <f>HYPERLINK("#'15 Scope 3'!A1", "15 Scope 3")</f>
        <v>15 Scope 3</v>
      </c>
      <c r="D46" s="1" t="s">
        <v>306</v>
      </c>
      <c r="E46" s="1" t="str" cm="1">
        <f t="array" ref="E46">VEERG_15_7_1_1__1_EmissionsFromPurchasedServices_Result_Method1</f>
        <v>No data</v>
      </c>
      <c r="F46" s="1" cm="1">
        <f t="array" ref="F46">VEERG_15_7_1_1__1_EmissionsFromPurchasedServices_Result_Method2</f>
        <v>0</v>
      </c>
      <c r="G46" s="9" t="s">
        <v>6</v>
      </c>
      <c r="H46" s="1" t="str">
        <f t="shared" si="1"/>
        <v>No data</v>
      </c>
      <c r="I46" s="1">
        <f t="shared" si="2"/>
        <v>0</v>
      </c>
      <c r="J46" s="9" t="s">
        <v>6</v>
      </c>
    </row>
    <row r="47" spans="1:10" ht="20.100000000000001" customHeight="1" x14ac:dyDescent="0.2">
      <c r="A47" s="5" t="str">
        <f>HYPERLINK("#'Calcs - Manure sent off-site'!A1", "Calcs - Manure sent off-site")</f>
        <v>Calcs - Manure sent off-site</v>
      </c>
      <c r="D47" s="1" t="s">
        <v>307</v>
      </c>
      <c r="E47" s="1" cm="1">
        <f t="array" ref="E47">VEERG_15_10_1_1__1_OtherPurchasedGoodsAndServices_CleaningChemicals_Result_Method1</f>
        <v>0</v>
      </c>
      <c r="F47" s="1" cm="1">
        <f t="array" ref="F47">VEERG_15_10_1_1__1_OtherPurchasedGoodsAndServices_CleaningChemicals_Result_Method2</f>
        <v>0</v>
      </c>
      <c r="G47" s="9" t="s">
        <v>6</v>
      </c>
      <c r="H47" s="1">
        <f t="shared" si="1"/>
        <v>0</v>
      </c>
      <c r="I47" s="1">
        <f t="shared" si="2"/>
        <v>0</v>
      </c>
      <c r="J47" s="9" t="s">
        <v>6</v>
      </c>
    </row>
    <row r="48" spans="1:10" ht="20.100000000000001" customHeight="1" x14ac:dyDescent="0.2">
      <c r="D48" s="1" t="s">
        <v>308</v>
      </c>
      <c r="E48" s="1" cm="1">
        <f t="array" ref="E48">VEERG_15_10_1_1__1_OtherPurchasedGoodsAndServices_PharmacyChemicals_Result_Method1</f>
        <v>0</v>
      </c>
      <c r="F48" s="1" cm="1">
        <f t="array" ref="F48">VEERG_15_10_1_1__1_OtherPurchasedGoodsAndServices_PharmacyChemicals_Result_Method2</f>
        <v>0</v>
      </c>
      <c r="G48" s="9" t="s">
        <v>6</v>
      </c>
      <c r="H48" s="1">
        <f t="shared" si="1"/>
        <v>0</v>
      </c>
      <c r="I48" s="1">
        <f t="shared" si="2"/>
        <v>0</v>
      </c>
      <c r="J48" s="9" t="s">
        <v>6</v>
      </c>
    </row>
    <row r="49" spans="1:10" ht="20.100000000000001" customHeight="1" x14ac:dyDescent="0.2">
      <c r="D49" s="1" t="s">
        <v>309</v>
      </c>
      <c r="E49" s="1" cm="1">
        <f t="array" ref="E49">VEERG_15_10_1_1__1_OtherPurchasedGoodsAndServices_Misc_Result_Method1</f>
        <v>0</v>
      </c>
      <c r="F49" s="1" cm="1">
        <f t="array" ref="F49">VEERG_15_10_1_1__1_OtherPurchasedGoodsAndServices_Misc_Result_Method2</f>
        <v>0</v>
      </c>
      <c r="G49" s="9" t="s">
        <v>6</v>
      </c>
      <c r="H49" s="1">
        <f t="shared" si="1"/>
        <v>0</v>
      </c>
      <c r="I49" s="1">
        <f t="shared" si="2"/>
        <v>0</v>
      </c>
      <c r="J49" s="9" t="s">
        <v>6</v>
      </c>
    </row>
    <row r="50" spans="1:10" ht="20.100000000000001" customHeight="1" x14ac:dyDescent="0.2">
      <c r="A50" s="85" t="s">
        <v>1</v>
      </c>
      <c r="D50" s="1" t="s">
        <v>310</v>
      </c>
      <c r="E50" s="1" t="str" cm="1">
        <f t="array" ref="E50">VEERG_15_10_1_1__1_OtherPurchasedGoodsAndServices_Uncategorised_Result_Method1</f>
        <v>No data</v>
      </c>
      <c r="F50" s="1" cm="1">
        <f t="array" ref="F50">VEERG_15_10_1_1__1_OtherPurchasedGoodsAndServices_Uncategorised_Result_Method2</f>
        <v>0</v>
      </c>
      <c r="G50" s="9" t="s">
        <v>6</v>
      </c>
      <c r="H50" s="1" t="str">
        <f t="shared" si="1"/>
        <v>No data</v>
      </c>
      <c r="I50" s="1">
        <f t="shared" si="2"/>
        <v>0</v>
      </c>
      <c r="J50" s="9" t="s">
        <v>6</v>
      </c>
    </row>
    <row r="51" spans="1:10" ht="20.100000000000001" customHeight="1" x14ac:dyDescent="0.2">
      <c r="A51" s="5" t="str">
        <f>HYPERLINK("#'Constants - Pasture Beef'!A1", "Constants - Pasture Beef")</f>
        <v>Constants - Pasture Beef</v>
      </c>
      <c r="D51" s="1" t="s">
        <v>311</v>
      </c>
      <c r="E51" s="1" cm="1">
        <f t="array" ref="E51">VEERG_15_11_1_1__1_TotalUpstreamEmissionsFromFuel_Result</f>
        <v>0</v>
      </c>
      <c r="F51" s="1">
        <f>E51</f>
        <v>0</v>
      </c>
      <c r="G51" s="9" t="s">
        <v>6</v>
      </c>
      <c r="H51" s="1">
        <f t="shared" si="1"/>
        <v>0</v>
      </c>
      <c r="I51" s="1">
        <f t="shared" si="2"/>
        <v>0</v>
      </c>
      <c r="J51" s="9" t="s">
        <v>6</v>
      </c>
    </row>
    <row r="52" spans="1:10" ht="20.100000000000001" customHeight="1" x14ac:dyDescent="0.2">
      <c r="A52" s="5" t="str">
        <f>HYPERLINK("#'Constants - Ag Residue'!A1", "Constants - Ag residue")</f>
        <v>Constants - Ag residue</v>
      </c>
      <c r="D52" s="1" t="str" cm="1">
        <f t="array" ref="D52">"15.12.1.1 Purchased electricity " &amp; IF(X_Cell_Electricity_CalculationMethod="Location-based (simpler)", "(Location-based)", "(Market-based)")</f>
        <v>15.12.1.1 Purchased electricity (Market-based)</v>
      </c>
      <c r="E52" s="1" t="e" cm="1">
        <f t="array" ref="E52">IF(X_Cell_Electricity_CalculationMethod="Location-based (simpler)", VEERG_15_12_1_1__1_UpstreamPurchasedElectricityLocationBased_Result, VEERG_15_12_1_1__1_UpstreamPurchasedElectricityMarketBased_Result)</f>
        <v>#NAME?</v>
      </c>
      <c r="F52" s="1" t="e">
        <f>E52</f>
        <v>#NAME?</v>
      </c>
      <c r="G52" s="9" t="s">
        <v>6</v>
      </c>
      <c r="H52" s="1" t="e">
        <f t="shared" si="1"/>
        <v>#NAME?</v>
      </c>
      <c r="I52" s="1" t="e">
        <f t="shared" si="2"/>
        <v>#NAME?</v>
      </c>
      <c r="J52" s="9" t="s">
        <v>6</v>
      </c>
    </row>
    <row r="53" spans="1:10" ht="20.100000000000001" customHeight="1" x14ac:dyDescent="0.2">
      <c r="A53" s="5" t="str">
        <f>HYPERLINK("#'Constants - Common Livestock'!A1", "Constants - Common Livestock")</f>
        <v>Constants - Common Livestock</v>
      </c>
      <c r="D53" s="1" t="s">
        <v>312</v>
      </c>
      <c r="E53" s="1" t="str" cm="1">
        <f t="array" ref="E53">VEERG_15_14_1_1__1_EmbeddedEmissionsFromUpstreamFreight_Incoming_Result_Method1</f>
        <v>No data</v>
      </c>
      <c r="F53" s="1" cm="1">
        <f t="array" ref="F53">VEERG_15_14_1_1__1_EmbeddedEmissionsFromUpstreamFreight_Incoming_Result_Method2</f>
        <v>0</v>
      </c>
      <c r="G53" s="9" t="s">
        <v>6</v>
      </c>
      <c r="H53" s="1" t="str">
        <f>E53</f>
        <v>No data</v>
      </c>
      <c r="I53" s="1">
        <f>F53</f>
        <v>0</v>
      </c>
      <c r="J53" s="9" t="s">
        <v>6</v>
      </c>
    </row>
    <row r="54" spans="1:10" ht="20.100000000000001" customHeight="1" x14ac:dyDescent="0.2">
      <c r="A54" s="5" t="str">
        <f>HYPERLINK("#'Constants - Electricity'!A1", "Constants - Electricity")</f>
        <v>Constants - Electricity</v>
      </c>
      <c r="D54" s="1" t="s">
        <v>313</v>
      </c>
      <c r="E54" s="1" cm="1">
        <f t="array" ref="E54">VEERG_10_1_1_1__1_EmissionsFromWasteManagement_Scope3_Result_Method1</f>
        <v>0</v>
      </c>
      <c r="F54" s="1">
        <f>E54</f>
        <v>0</v>
      </c>
      <c r="G54" s="9" t="s">
        <v>6</v>
      </c>
      <c r="H54" s="1">
        <f t="shared" ref="H54:H55" si="3">E54</f>
        <v>0</v>
      </c>
      <c r="I54" s="1">
        <f t="shared" ref="I54:I55" si="4">F54</f>
        <v>0</v>
      </c>
      <c r="J54" s="9" t="s">
        <v>6</v>
      </c>
    </row>
    <row r="55" spans="1:10" ht="20.100000000000001" customHeight="1" x14ac:dyDescent="0.2">
      <c r="A55" s="5" t="str">
        <f>HYPERLINK("#'Constants - Fertiliser'!A1", "Constants - Fertiliser")</f>
        <v>Constants - Fertiliser</v>
      </c>
      <c r="D55" s="1" t="s">
        <v>314</v>
      </c>
      <c r="E55" s="1" t="str" cm="1">
        <f t="array" ref="E55">VEERG_15_14_1_1__1_EmbeddedEmissionsFromUpstreamFreight_Outgoing_Result_Method1</f>
        <v>No data</v>
      </c>
      <c r="F55" s="1" cm="1">
        <f t="array" ref="F55">VEERG_15_14_1_1__1_EmbeddedEmissionsFromUpstreamFreight_Outgoing_Result_Method2</f>
        <v>0</v>
      </c>
      <c r="G55" s="9" t="s">
        <v>6</v>
      </c>
      <c r="H55" s="1" t="str">
        <f t="shared" si="3"/>
        <v>No data</v>
      </c>
      <c r="I55" s="1">
        <f t="shared" si="4"/>
        <v>0</v>
      </c>
      <c r="J55" s="9" t="s">
        <v>6</v>
      </c>
    </row>
    <row r="56" spans="1:10" ht="20.100000000000001" customHeight="1" x14ac:dyDescent="0.2">
      <c r="A56" s="5" t="str">
        <f>HYPERLINK("#'Constants - Fuel'!A1", "Constants - Fuel")</f>
        <v>Constants - Fuel</v>
      </c>
      <c r="D56" s="90" t="s">
        <v>315</v>
      </c>
      <c r="E56" s="91"/>
      <c r="F56" s="91"/>
      <c r="G56" s="91"/>
      <c r="H56" s="90" t="e">
        <f>SUM(H40:H55)</f>
        <v>#NAME?</v>
      </c>
      <c r="I56" s="90" t="e">
        <f>SUM(I40:I55)</f>
        <v>#NAME?</v>
      </c>
      <c r="J56" s="95" t="s">
        <v>6</v>
      </c>
    </row>
    <row r="57" spans="1:10" ht="20.100000000000001" customHeight="1" x14ac:dyDescent="0.2">
      <c r="A57" s="5" t="str">
        <f>HYPERLINK("#'Constants - Scope 3'!A1", "Constants - Scope 3")</f>
        <v>Constants - Scope 3</v>
      </c>
    </row>
    <row r="58" spans="1:10" ht="20.100000000000001" customHeight="1" x14ac:dyDescent="0.2">
      <c r="A58" s="5" t="str">
        <f>HYPERLINK("#'Constants - Solid Waste'!A1", "Constants - Solid Waste")</f>
        <v>Constants - Solid Waste</v>
      </c>
    </row>
    <row r="59" spans="1:10" ht="20.100000000000001" customHeight="1" x14ac:dyDescent="0.2">
      <c r="A59" s="5" t="str">
        <f>HYPERLINK("#'Constants - Common'!A1", "Constants - Common")</f>
        <v>Constants - Common</v>
      </c>
      <c r="D59" s="79" t="str">
        <f>"Carbon removals from plantings for the activity period " &amp; TEXT(X_Cell_Site_StartDate, "d mmmm yyyy") &amp; " and " &amp; TEXT(X_Cell_Site_EndDate, "d mmmm yyyy")</f>
        <v>Carbon removals from plantings for the activity period 0 January 1900 and 30 December 1900</v>
      </c>
    </row>
    <row r="60" spans="1:10" ht="20.100000000000001" customHeight="1" x14ac:dyDescent="0.2">
      <c r="A60" s="5" t="str">
        <f>HYPERLINK("#'Acknowledgements'!A1", "Acknowledgements")</f>
        <v>Acknowledgements</v>
      </c>
    </row>
    <row r="61" spans="1:10" ht="20.100000000000001" customHeight="1" x14ac:dyDescent="0.2">
      <c r="D61" s="90" t="s">
        <v>290</v>
      </c>
      <c r="E61" s="91">
        <f>SUM(Table_Input_Enterprise_PlantingRemovals[Removal allocated to this enterprise])</f>
        <v>0</v>
      </c>
      <c r="F61" s="95" t="s">
        <v>133</v>
      </c>
    </row>
    <row r="64" spans="1:10" ht="20.100000000000001" customHeight="1" x14ac:dyDescent="0.2">
      <c r="D64" s="79" t="str">
        <f>"Net emissions for the activity period " &amp; TEXT(X_Cell_Site_StartDate, "d mmmm yyyy") &amp; " and " &amp; TEXT(X_Cell_Site_EndDate, "d mmmm yyyy")</f>
        <v>Net emissions for the activity period 0 January 1900 and 30 December 1900</v>
      </c>
    </row>
    <row r="66" spans="4:7" ht="20.100000000000001" customHeight="1" x14ac:dyDescent="0.2">
      <c r="D66" s="11"/>
      <c r="E66" s="11" t="s">
        <v>136</v>
      </c>
      <c r="F66" s="11" t="s">
        <v>137</v>
      </c>
    </row>
    <row r="67" spans="4:7" ht="20.100000000000001" customHeight="1" x14ac:dyDescent="0.2">
      <c r="D67" s="88" t="s">
        <v>1207</v>
      </c>
      <c r="E67" s="89" t="e">
        <f ca="1">Result_Enterprise_Scope1_Method1+Result_Enterprise_Scope2_Method1+Result_Enterprise_Scope3_Method1</f>
        <v>#N/A</v>
      </c>
      <c r="F67" s="89" t="e">
        <f ca="1">Result_Enterprise_Scope1_Method2+Result_Enterprise_Scope2_Method2+Result_Enterprise_Scope3_Method2</f>
        <v>#N/A</v>
      </c>
      <c r="G67" s="96" t="s">
        <v>292</v>
      </c>
    </row>
    <row r="68" spans="4:7" ht="20.100000000000001" customHeight="1" x14ac:dyDescent="0.2">
      <c r="D68" s="88" t="s">
        <v>291</v>
      </c>
      <c r="E68" s="89" t="e">
        <f ca="1">Result_Enterprise_Scope1_Method1-Result_Enterprise_Removals</f>
        <v>#N/A</v>
      </c>
      <c r="F68" s="89" t="e">
        <f ca="1">Result_Enterprise_Scope1_Method2-Result_Enterprise_Removals</f>
        <v>#N/A</v>
      </c>
      <c r="G68" s="96" t="s">
        <v>292</v>
      </c>
    </row>
  </sheetData>
  <pageMargins left="0.7" right="0.7" top="0.75" bottom="0.75" header="0.3" footer="0.3"/>
  <pageSetup paperSize="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53731B-2C8B-468C-A81B-20D996BF6F6B}">
  <sheetPr>
    <tabColor rgb="FF0C769E"/>
  </sheetPr>
  <dimension ref="A1:R60"/>
  <sheetViews>
    <sheetView showGridLines="0" topLeftCell="A18" zoomScaleNormal="100" workbookViewId="0">
      <pane xSplit="1" topLeftCell="B1" activePane="topRight" state="frozen"/>
      <selection pane="topRight" activeCell="A25" sqref="A25"/>
    </sheetView>
  </sheetViews>
  <sheetFormatPr defaultRowHeight="20.100000000000001" customHeight="1" x14ac:dyDescent="0.2"/>
  <cols>
    <col min="1" max="1" width="36.7109375" customWidth="1"/>
    <col min="2" max="2" width="4.7109375" customWidth="1"/>
    <col min="3" max="3" width="4.7109375" style="1" customWidth="1"/>
    <col min="4" max="4" width="60" style="1" customWidth="1"/>
    <col min="5" max="12" width="30.7109375" style="1" customWidth="1"/>
    <col min="13" max="13" width="4.7109375" style="1" customWidth="1"/>
    <col min="14" max="18" width="9.140625" style="1"/>
  </cols>
  <sheetData>
    <row r="1" spans="1:18" s="92" customFormat="1" ht="30" customHeight="1" x14ac:dyDescent="0.35">
      <c r="C1" s="92" t="s">
        <v>279</v>
      </c>
    </row>
    <row r="2" spans="1:18" s="3" customFormat="1" ht="20.100000000000001" customHeight="1" x14ac:dyDescent="0.2">
      <c r="A2"/>
    </row>
    <row r="3" spans="1:18" ht="20.100000000000001" customHeight="1" x14ac:dyDescent="0.2">
      <c r="A3" s="5" t="str">
        <f>HYPERLINK("#'Home'!A1", "Home")</f>
        <v>Home</v>
      </c>
      <c r="C3" s="97"/>
      <c r="D3" s="97"/>
      <c r="E3" s="97"/>
      <c r="F3" s="97"/>
      <c r="G3" s="97"/>
      <c r="H3" s="97"/>
      <c r="I3" s="97"/>
      <c r="J3" s="97"/>
      <c r="K3" s="97"/>
      <c r="L3" s="97"/>
      <c r="M3" s="97"/>
      <c r="N3" s="97"/>
      <c r="O3" s="97"/>
      <c r="P3" s="97"/>
      <c r="Q3" s="97"/>
      <c r="R3" s="97"/>
    </row>
    <row r="4" spans="1:18" ht="20.100000000000001" customHeight="1" x14ac:dyDescent="0.2">
      <c r="A4" s="5" t="str">
        <f>HYPERLINK("#'Results - Activity period'!A1", "Results - Activity period")</f>
        <v>Results - Activity period</v>
      </c>
    </row>
    <row r="5" spans="1:18" ht="20.100000000000001" customHeight="1" x14ac:dyDescent="0.2">
      <c r="A5" s="262" t="str">
        <f>HYPERLINK("#'Results - Product EI'!A1", "Results - Product Emissions Intensity")</f>
        <v>Results - Product Emissions Intensity</v>
      </c>
    </row>
    <row r="8" spans="1:18" ht="20.100000000000001" customHeight="1" x14ac:dyDescent="0.2">
      <c r="A8" s="7" t="s">
        <v>0</v>
      </c>
    </row>
    <row r="9" spans="1:18" ht="20.100000000000001" customHeight="1" x14ac:dyDescent="0.2">
      <c r="A9" s="5" t="str">
        <f>HYPERLINK("#'Input - Enterprise'!A1", "Enterprise")</f>
        <v>Enterprise</v>
      </c>
    </row>
    <row r="10" spans="1:18" ht="20.100000000000001" customHeight="1" x14ac:dyDescent="0.2">
      <c r="A10" s="5" t="str">
        <f>HYPERLINK("#'Input - Site'!A1", "Site")</f>
        <v>Site</v>
      </c>
    </row>
    <row r="11" spans="1:18" ht="20.100000000000001" customHeight="1" x14ac:dyDescent="0.2">
      <c r="A11" s="5" t="str">
        <f>HYPERLINK("#'Input - Pasture Beef'!A1", "Pasture Beef")</f>
        <v>Pasture Beef</v>
      </c>
    </row>
    <row r="12" spans="1:18" ht="20.100000000000001" customHeight="1" x14ac:dyDescent="0.2">
      <c r="A12" s="5" t="str">
        <f>HYPERLINK("#'Input - Livestock sales'!A1", "Livestock sales")</f>
        <v>Livestock sales</v>
      </c>
    </row>
    <row r="13" spans="1:18" ht="20.100000000000001" customHeight="1" x14ac:dyDescent="0.2">
      <c r="A13" s="5" t="str">
        <f>HYPERLINK("#'Input - Beef cattle purchases'!A1", "Beef cattle purchases")</f>
        <v>Beef cattle purchases</v>
      </c>
    </row>
    <row r="14" spans="1:18" ht="20.100000000000001" customHeight="1" x14ac:dyDescent="0.2">
      <c r="A14" s="5" t="str">
        <f>HYPERLINK("#'Input - Pasture'!A1", "Pasture")</f>
        <v>Pasture</v>
      </c>
    </row>
    <row r="15" spans="1:18" ht="20.100000000000001" customHeight="1" x14ac:dyDescent="0.2">
      <c r="A15" s="5" t="str">
        <f>HYPERLINK("#'Input - Fert Prod System'!A1", "Fert Prod System")</f>
        <v>Fert Prod System</v>
      </c>
    </row>
    <row r="16" spans="1:18" ht="20.100000000000001" customHeight="1" x14ac:dyDescent="0.2">
      <c r="A16" s="5" t="str">
        <f>HYPERLINK("#'Input - Fertiliser'!A1", "Fertiliser")</f>
        <v>Fertiliser</v>
      </c>
    </row>
    <row r="17" spans="1:4" ht="20.100000000000001" customHeight="1" x14ac:dyDescent="0.2">
      <c r="A17" s="5" t="str">
        <f>HYPERLINK("#'Input - Fuel'!A1", "Fuel")</f>
        <v>Fuel</v>
      </c>
    </row>
    <row r="18" spans="1:4" ht="20.100000000000001" customHeight="1" x14ac:dyDescent="0.2">
      <c r="A18" s="5" t="str">
        <f>HYPERLINK("#'Input - Electricity'!A1", "Electricity")</f>
        <v>Electricity</v>
      </c>
    </row>
    <row r="19" spans="1:4" ht="20.100000000000001" customHeight="1" x14ac:dyDescent="0.2">
      <c r="A19" s="5" t="str">
        <f>HYPERLINK("#'Input - Common farm inputs'!A1", "Common farm inputs")</f>
        <v>Common farm inputs</v>
      </c>
    </row>
    <row r="20" spans="1:4" ht="20.100000000000001" customHeight="1" x14ac:dyDescent="0.2">
      <c r="A20" s="5" t="str">
        <f>HYPERLINK("#'Input - Crop pasture farm input'!A1", "Crop pasture farm input")</f>
        <v>Crop pasture farm input</v>
      </c>
    </row>
    <row r="21" spans="1:4" ht="20.100000000000001" customHeight="1" x14ac:dyDescent="0.2">
      <c r="A21" s="5" t="str">
        <f>HYPERLINK("#'Input - Livestock farm Inputs'!A1", "Livestock farm Inputs")</f>
        <v>Livestock farm Inputs</v>
      </c>
    </row>
    <row r="22" spans="1:4" ht="20.100000000000001" customHeight="1" x14ac:dyDescent="0.2">
      <c r="A22" s="5" t="str">
        <f>HYPERLINK("#'Input - Freight'!A1", "Freight")</f>
        <v>Freight</v>
      </c>
    </row>
    <row r="23" spans="1:4" ht="20.100000000000001" customHeight="1" x14ac:dyDescent="0.2">
      <c r="A23" s="5" t="str">
        <f>HYPERLINK("#'Input - Solid waste'!A1", "Solid waste")</f>
        <v>Solid waste</v>
      </c>
    </row>
    <row r="24" spans="1:4" ht="20.100000000000001" customHeight="1" x14ac:dyDescent="0.2">
      <c r="A24" s="5" t="str">
        <f>HYPERLINK("#'Input - Manure sent off-site'!A1", "Manure sent off-site")</f>
        <v>Manure sent off-site</v>
      </c>
    </row>
    <row r="25" spans="1:4" ht="20.100000000000001" customHeight="1" x14ac:dyDescent="0.2">
      <c r="A25" s="5" t="str">
        <f>HYPERLINK("#'Input - Data quality'!A1", "Data quality")</f>
        <v>Data quality</v>
      </c>
    </row>
    <row r="28" spans="1:4" ht="20.100000000000001" customHeight="1" x14ac:dyDescent="0.2">
      <c r="A28" s="6" t="s">
        <v>2</v>
      </c>
    </row>
    <row r="29" spans="1:4" ht="20.100000000000001" customHeight="1" x14ac:dyDescent="0.2">
      <c r="A29" s="5" t="str">
        <f>HYPERLINK("#'3.2.1.1-2 Enteric Methane'!A1", "3.2.1.1-2 Enteric Methane")</f>
        <v>3.2.1.1-2 Enteric Methane</v>
      </c>
    </row>
    <row r="30" spans="1:4" ht="20.100000000000001" customHeight="1" x14ac:dyDescent="0.2">
      <c r="A30" s="5" t="str">
        <f>HYPERLINK("#'4.2.1.1-2 Methane'!A1", "4.2.1.1-2 Manure methane")</f>
        <v>4.2.1.1-2 Manure methane</v>
      </c>
    </row>
    <row r="31" spans="1:4" ht="20.100000000000001" customHeight="1" x14ac:dyDescent="0.2">
      <c r="A31" s="5" t="str">
        <f>HYPERLINK("#'4.2.1.3-4 Soil direct N20'!A1", "4.2.1.3-4 Soil direct N2O")</f>
        <v>4.2.1.3-4 Soil direct N2O</v>
      </c>
    </row>
    <row r="32" spans="1:4" ht="20.100000000000001" customHeight="1" x14ac:dyDescent="0.2">
      <c r="A32" s="5" t="str">
        <f>HYPERLINK("#'4.2.1.5-6 Soil Atmos Dep'!A1", "4.2.1.5-6 Soil atm. deposition")</f>
        <v>4.2.1.5-6 Soil atm. deposition</v>
      </c>
      <c r="D32" s="2" t="str">
        <f>"Emissions for whole production cycle running between " &amp; TEXT(X_Cell_Enterprise_ProductionTimeframeStart, "d mmmm yyyy") &amp; " and " &amp; TEXT(X_Cell_Enterprise_ProductionTimeframeEnd, "d mmmm yyyy")</f>
        <v>Emissions for whole production cycle running between 0 January 1900 and 0 January 1900</v>
      </c>
    </row>
    <row r="33" spans="1:12" ht="20.100000000000001" customHeight="1" x14ac:dyDescent="0.2">
      <c r="A33" s="5" t="str">
        <f>HYPERLINK("#'4.2.1.7-8 Soil leach runoff'!A1", "4.2.1.7-8 Soil leach &amp; runoff")</f>
        <v>4.2.1.7-8 Soil leach &amp; runoff</v>
      </c>
    </row>
    <row r="34" spans="1:12" ht="20.100000000000001" customHeight="1" x14ac:dyDescent="0.2">
      <c r="A34" s="5" t="str">
        <f>HYPERLINK("#'5.1.1.1-2 Inorganic fert N2O'!A1", "5.1.1.1-2 Inorganic fert N2O")</f>
        <v>5.1.1.1-2 Inorganic fert N2O</v>
      </c>
    </row>
    <row r="35" spans="1:12" ht="20.100000000000001" customHeight="1" x14ac:dyDescent="0.2">
      <c r="A35" s="5" t="str">
        <f>HYPERLINK("#'5.1.1.3-4 Inorganic fert CO2'!A1", "5.1.1.3-4 Inorganic fert CO2")</f>
        <v>5.1.1.3-4 Inorganic fert CO2</v>
      </c>
      <c r="D35" s="11"/>
      <c r="E35" s="11" t="s">
        <v>136</v>
      </c>
      <c r="F35" s="11" t="s">
        <v>137</v>
      </c>
      <c r="G35" s="11"/>
    </row>
    <row r="36" spans="1:12" ht="20.100000000000001" customHeight="1" x14ac:dyDescent="0.2">
      <c r="A36" s="5" t="str">
        <f>HYPERLINK("#'5.2.1.1-2 Organic Fert N2O'!A1", "5.2.1.1-2 Organic fert N2O")</f>
        <v>5.2.1.1-2 Organic fert N2O</v>
      </c>
      <c r="D36" s="77" t="s">
        <v>289</v>
      </c>
      <c r="E36" s="1">
        <f>Result_EmissionsForWholeProductionCycle_Method1</f>
        <v>0</v>
      </c>
      <c r="F36" s="1">
        <f>Result_EmissionsForWholeProductionCycle_Method2</f>
        <v>0</v>
      </c>
      <c r="G36" s="9" t="s">
        <v>6</v>
      </c>
    </row>
    <row r="37" spans="1:12" ht="20.100000000000001" customHeight="1" x14ac:dyDescent="0.2">
      <c r="A37" s="5" t="str">
        <f>HYPERLINK("#'5.3.1.1-2 Lime CO2'!A1", "5.3.1.1-2 Lime CO2")</f>
        <v>5.3.1.1-2 Lime CO2</v>
      </c>
      <c r="D37" s="77" t="s">
        <v>281</v>
      </c>
      <c r="E37" s="1">
        <f>Result_EmissionsForWholeProductionCycle_Method1-Result_CarbonRemovalsFromPlantings</f>
        <v>0</v>
      </c>
      <c r="F37" s="1">
        <f>Result_EmissionsForWholeProductionCycle_Method2-Result_CarbonRemovalsFromPlantings</f>
        <v>0</v>
      </c>
      <c r="G37" s="9" t="s">
        <v>6</v>
      </c>
    </row>
    <row r="38" spans="1:12" ht="20.100000000000001" customHeight="1" x14ac:dyDescent="0.2">
      <c r="A38" s="5" t="str">
        <f>HYPERLINK("#'5.4.1.1-4 Atmos deposition'!A1", "5.4.1.1-4 Atmos. deposition")</f>
        <v>5.4.1.1-4 Atmos. deposition</v>
      </c>
    </row>
    <row r="39" spans="1:12" ht="20.100000000000001" customHeight="1" x14ac:dyDescent="0.2">
      <c r="A39" s="5" t="str">
        <f>HYPERLINK("#'5.5.1.1-2 Leaching and runoff'!A1", "5.5.1.1-2 Leaching &amp; runoff")</f>
        <v>5.5.1.1-2 Leaching &amp; runoff</v>
      </c>
      <c r="D39" s="87"/>
      <c r="E39" s="87"/>
      <c r="F39" s="87"/>
      <c r="G39" s="87"/>
      <c r="H39" s="87"/>
      <c r="I39" s="87"/>
      <c r="J39" s="87"/>
    </row>
    <row r="40" spans="1:12" ht="20.100000000000001" customHeight="1" x14ac:dyDescent="0.2">
      <c r="A40" s="5" t="str">
        <f>HYPERLINK("#'6.2.1.1-2 Pasture residue N2O'!A1", "6.2.1.1-2 Pasture residue N2O")</f>
        <v>6.2.1.1-2 Pasture residue N2O</v>
      </c>
      <c r="D40" s="2" t="str">
        <f>"Product emissions intensity for whole production cycle running between " &amp; TEXT(X_Cell_Enterprise_ProductionTimeframeStart, "d mmmm yyyy") &amp; " and " &amp; TEXT(X_Cell_Enterprise_ProductionTimeframeEnd, "d mmmm yyyy")</f>
        <v>Product emissions intensity for whole production cycle running between 0 January 1900 and 0 January 1900</v>
      </c>
    </row>
    <row r="41" spans="1:12" ht="20.100000000000001" customHeight="1" x14ac:dyDescent="0.2">
      <c r="A41" s="5" t="str">
        <f>HYPERLINK("#'6.3.1.1-2 Leach runoff pasture'!A1", "6.3.1.1-2 Leach &amp; runoff (pasture)")</f>
        <v>6.3.1.1-2 Leach &amp; runoff (pasture)</v>
      </c>
    </row>
    <row r="42" spans="1:12" ht="20.100000000000001" customHeight="1" x14ac:dyDescent="0.2">
      <c r="A42" s="5" t="str">
        <f>HYPERLINK("#'8.1.1.1-2 Transport fuel'!A1", "8.1.1.1-2 Transport fuel")</f>
        <v>8.1.1.1-2 Transport fuel</v>
      </c>
      <c r="D42" s="79" t="s">
        <v>162</v>
      </c>
    </row>
    <row r="43" spans="1:12" ht="20.100000000000001" customHeight="1" x14ac:dyDescent="0.2">
      <c r="A43" s="5" t="str">
        <f>HYPERLINK("#'8.2.1.1-2 Stationary fuel'!A1", "8.2.1.1-2 Stationary fuel")</f>
        <v>8.2.1.1-2 Stationary fuel</v>
      </c>
      <c r="D43" s="11" t="s">
        <v>139</v>
      </c>
      <c r="E43" s="11" t="s">
        <v>126</v>
      </c>
      <c r="F43" s="11" t="s">
        <v>316</v>
      </c>
      <c r="G43" s="11" t="s">
        <v>317</v>
      </c>
      <c r="H43" s="11" t="s">
        <v>318</v>
      </c>
      <c r="I43" s="11" t="s">
        <v>319</v>
      </c>
      <c r="J43" s="11" t="s">
        <v>124</v>
      </c>
      <c r="K43" s="11" t="s">
        <v>125</v>
      </c>
      <c r="L43" s="11" t="s">
        <v>121</v>
      </c>
    </row>
    <row r="44" spans="1:12" ht="20.100000000000001" customHeight="1" x14ac:dyDescent="0.2">
      <c r="A44" s="5" t="str">
        <f>HYPERLINK("#'10.1.1-2 Solid waste treatment'!A1", "10.1.1.1-2 Solid waste")</f>
        <v>10.1.1.1-2 Solid waste</v>
      </c>
      <c r="D44" s="1" t="s">
        <v>166</v>
      </c>
      <c r="E44" s="1" t="s">
        <v>127</v>
      </c>
      <c r="F44" s="1">
        <f>X_Cell_Enterprise_LiveweightSold</f>
        <v>0</v>
      </c>
      <c r="G44" s="1">
        <f>X_Cell_Enterprise_LiveweightSold</f>
        <v>0</v>
      </c>
      <c r="H44" s="1" t="e">
        <f ca="1">F44/(F44+F46)</f>
        <v>#DIV/0!</v>
      </c>
      <c r="I44" s="1" t="e">
        <f ca="1">G44/(G44+G46)</f>
        <v>#DIV/0!</v>
      </c>
      <c r="J44" s="1" t="e">
        <f ca="1">(Result_EmissionsForWholeProductionCycle_Method1/F44)*H44</f>
        <v>#DIV/0!</v>
      </c>
      <c r="K44" s="1" t="e">
        <f ca="1">(Result_EmissionsForWholeProductionCycle_Method2/G44)*I44</f>
        <v>#DIV/0!</v>
      </c>
      <c r="L44" s="9" t="s">
        <v>122</v>
      </c>
    </row>
    <row r="45" spans="1:12" ht="20.100000000000001" customHeight="1" x14ac:dyDescent="0.2">
      <c r="A45" s="5" t="str">
        <f>HYPERLINK("#'14.1.1-2 Purchased electricity'!A1", "14.1.1-2 Purchased electricity")</f>
        <v>14.1.1-2 Purchased electricity</v>
      </c>
      <c r="D45" s="1" t="s">
        <v>167</v>
      </c>
      <c r="E45" s="1" t="s">
        <v>127</v>
      </c>
      <c r="F45" s="1">
        <f>F44</f>
        <v>0</v>
      </c>
      <c r="G45" s="1">
        <f>G44</f>
        <v>0</v>
      </c>
      <c r="H45" s="1" t="e">
        <f ca="1">H44</f>
        <v>#DIV/0!</v>
      </c>
      <c r="I45" s="1" t="e">
        <f ca="1">I44</f>
        <v>#DIV/0!</v>
      </c>
      <c r="J45" s="1" t="e">
        <f ca="1">(Result_NetEmissions_Method1/F45)*H45</f>
        <v>#DIV/0!</v>
      </c>
      <c r="K45" s="1" t="e">
        <f ca="1">(Result_NetEmissions_Method2/G45)*I45</f>
        <v>#DIV/0!</v>
      </c>
      <c r="L45" s="9" t="s">
        <v>122</v>
      </c>
    </row>
    <row r="46" spans="1:12" ht="20.100000000000001" customHeight="1" x14ac:dyDescent="0.2">
      <c r="A46" s="5" t="str">
        <f>HYPERLINK("#'15 Scope 3'!A1", "15 Scope 3")</f>
        <v>15 Scope 3</v>
      </c>
      <c r="D46" s="1" t="s">
        <v>168</v>
      </c>
      <c r="E46" s="1" t="s">
        <v>128</v>
      </c>
      <c r="F46" s="1">
        <f ca="1">X_Cell_Enteprise_ManureProduced_Method1*X_Cell_Enteprise_PercentManureSold</f>
        <v>0</v>
      </c>
      <c r="G46" s="1">
        <f ca="1">X_Cell_Enteprise_ManureProduced_Method2*X_Cell_Enteprise_PercentManureSold</f>
        <v>0</v>
      </c>
      <c r="H46" s="1" t="e">
        <f ca="1">F46/(F44+F46)</f>
        <v>#DIV/0!</v>
      </c>
      <c r="I46" s="1" t="e">
        <f ca="1">G46/(G44+G46)</f>
        <v>#DIV/0!</v>
      </c>
      <c r="J46" s="1" t="e">
        <f ca="1">(Result_EmissionsForWholeProductionCycle_Method1/F46)*H46</f>
        <v>#DIV/0!</v>
      </c>
      <c r="K46" s="1" t="e">
        <f ca="1">(Result_EmissionsForWholeProductionCycle_Method2/G46)*I46</f>
        <v>#DIV/0!</v>
      </c>
      <c r="L46" s="9" t="s">
        <v>123</v>
      </c>
    </row>
    <row r="47" spans="1:12" ht="20.100000000000001" customHeight="1" x14ac:dyDescent="0.2">
      <c r="A47" s="5" t="str">
        <f>HYPERLINK("#'Calcs - Manure sent off-site'!A1", "Calcs - Manure sent off-site")</f>
        <v>Calcs - Manure sent off-site</v>
      </c>
      <c r="D47" s="1" t="s">
        <v>169</v>
      </c>
      <c r="E47" s="1" t="s">
        <v>128</v>
      </c>
      <c r="F47" s="1">
        <f ca="1">F46</f>
        <v>0</v>
      </c>
      <c r="G47" s="1">
        <f ca="1">G46</f>
        <v>0</v>
      </c>
      <c r="H47" s="1" t="e">
        <f ca="1">H46</f>
        <v>#DIV/0!</v>
      </c>
      <c r="I47" s="1" t="e">
        <f ca="1">I46</f>
        <v>#DIV/0!</v>
      </c>
      <c r="J47" s="1" t="e">
        <f ca="1">(Result_NetEmissions_Method1/F47)*H47</f>
        <v>#DIV/0!</v>
      </c>
      <c r="K47" s="1" t="e">
        <f ca="1">(Result_NetEmissions_Method2/G47)*I47</f>
        <v>#DIV/0!</v>
      </c>
      <c r="L47" s="9" t="s">
        <v>123</v>
      </c>
    </row>
    <row r="48" spans="1:12" ht="20.100000000000001" customHeight="1" x14ac:dyDescent="0.2">
      <c r="D48" s="1" t="s">
        <v>129</v>
      </c>
      <c r="E48" s="1" t="s">
        <v>131</v>
      </c>
      <c r="F48" s="1">
        <f ca="1">X_Cell_Enteprise_ManureProduced_Method1*X_Cell_Enteprise_PercentManureAppliedAsFertiliserOwnFarm</f>
        <v>0</v>
      </c>
      <c r="G48" s="1">
        <f ca="1">X_Cell_Enteprise_ManureProduced_Method2*X_Cell_Enteprise_PercentManureAppliedAsFertiliserOwnFarm</f>
        <v>0</v>
      </c>
      <c r="H48" s="1" t="s">
        <v>130</v>
      </c>
      <c r="I48" s="1" t="s">
        <v>130</v>
      </c>
      <c r="J48" s="1" t="s">
        <v>130</v>
      </c>
      <c r="K48" s="1" t="s">
        <v>130</v>
      </c>
      <c r="L48" s="9"/>
    </row>
    <row r="50" spans="1:12" ht="20.100000000000001" customHeight="1" x14ac:dyDescent="0.2">
      <c r="A50" s="85" t="s">
        <v>1</v>
      </c>
      <c r="D50" s="79" t="s">
        <v>163</v>
      </c>
    </row>
    <row r="51" spans="1:12" ht="20.100000000000001" customHeight="1" x14ac:dyDescent="0.2">
      <c r="A51" s="5" t="str">
        <f>HYPERLINK("#'Constants - Pasture Beef'!A1", "Constants - Pasture Beef")</f>
        <v>Constants - Pasture Beef</v>
      </c>
      <c r="D51" s="11" t="s">
        <v>139</v>
      </c>
      <c r="E51" s="11" t="s">
        <v>126</v>
      </c>
      <c r="F51" s="11" t="s">
        <v>316</v>
      </c>
      <c r="G51" s="11" t="s">
        <v>317</v>
      </c>
      <c r="H51" s="11" t="s">
        <v>164</v>
      </c>
      <c r="I51" s="11"/>
      <c r="J51" s="11" t="s">
        <v>124</v>
      </c>
      <c r="K51" s="11" t="s">
        <v>125</v>
      </c>
      <c r="L51" s="11" t="s">
        <v>121</v>
      </c>
    </row>
    <row r="52" spans="1:12" ht="20.100000000000001" customHeight="1" x14ac:dyDescent="0.2">
      <c r="A52" s="5" t="str">
        <f>HYPERLINK("#'Constants - Ag Residue'!A1", "Constants - Ag residue")</f>
        <v>Constants - Ag residue</v>
      </c>
      <c r="D52" s="1" t="s">
        <v>166</v>
      </c>
      <c r="E52" s="1" t="s">
        <v>127</v>
      </c>
      <c r="F52" s="1">
        <f t="shared" ref="F52:G56" si="0">F44</f>
        <v>0</v>
      </c>
      <c r="G52" s="1">
        <f t="shared" si="0"/>
        <v>0</v>
      </c>
      <c r="H52" s="1">
        <f>X_Cell_Enteprise_PercentIncomeFromLiveweight</f>
        <v>0</v>
      </c>
      <c r="J52" s="1" t="e">
        <f>(Result_EmissionsForWholeProductionCycle_Method1/F52)*H52</f>
        <v>#DIV/0!</v>
      </c>
      <c r="K52" s="1" t="e">
        <f>(Result_EmissionsForWholeProductionCycle_Method2/G52)*H52</f>
        <v>#DIV/0!</v>
      </c>
      <c r="L52" s="9" t="s">
        <v>122</v>
      </c>
    </row>
    <row r="53" spans="1:12" ht="20.100000000000001" customHeight="1" x14ac:dyDescent="0.2">
      <c r="A53" s="5" t="str">
        <f>HYPERLINK("#'Constants - Common Livestock'!A1", "Constants - Common Livestock")</f>
        <v>Constants - Common Livestock</v>
      </c>
      <c r="D53" s="1" t="s">
        <v>167</v>
      </c>
      <c r="E53" s="1" t="s">
        <v>127</v>
      </c>
      <c r="F53" s="1">
        <f t="shared" si="0"/>
        <v>0</v>
      </c>
      <c r="G53" s="1">
        <f t="shared" si="0"/>
        <v>0</v>
      </c>
      <c r="H53" s="1">
        <f>H52</f>
        <v>0</v>
      </c>
      <c r="J53" s="1" t="e">
        <f>(Result_NetEmissions_Method1/F53)*H53</f>
        <v>#DIV/0!</v>
      </c>
      <c r="K53" s="1" t="e">
        <f>(Result_NetEmissions_Method2/G53)*H53</f>
        <v>#DIV/0!</v>
      </c>
      <c r="L53" s="9" t="s">
        <v>122</v>
      </c>
    </row>
    <row r="54" spans="1:12" ht="20.100000000000001" customHeight="1" x14ac:dyDescent="0.2">
      <c r="A54" s="5" t="str">
        <f>HYPERLINK("#'Constants - Electricity'!A1", "Constants - Electricity")</f>
        <v>Constants - Electricity</v>
      </c>
      <c r="D54" s="1" t="s">
        <v>168</v>
      </c>
      <c r="E54" s="1" t="s">
        <v>128</v>
      </c>
      <c r="F54" s="1">
        <f t="shared" ca="1" si="0"/>
        <v>0</v>
      </c>
      <c r="G54" s="1">
        <f t="shared" ca="1" si="0"/>
        <v>0</v>
      </c>
      <c r="H54" s="1">
        <f>X_Cell_Enteprise_PercentIncomeFromManure</f>
        <v>0</v>
      </c>
      <c r="J54" s="1" t="e">
        <f ca="1">(Result_EmissionsForWholeProductionCycle_Method1/F54)*H54</f>
        <v>#DIV/0!</v>
      </c>
      <c r="K54" s="1" t="e">
        <f ca="1">(Result_EmissionsForWholeProductionCycle_Method2/G54)*H54</f>
        <v>#DIV/0!</v>
      </c>
      <c r="L54" s="9" t="s">
        <v>123</v>
      </c>
    </row>
    <row r="55" spans="1:12" ht="20.100000000000001" customHeight="1" x14ac:dyDescent="0.2">
      <c r="A55" s="5" t="str">
        <f>HYPERLINK("#'Constants - Fertiliser'!A1", "Constants - Fertiliser")</f>
        <v>Constants - Fertiliser</v>
      </c>
      <c r="D55" s="1" t="s">
        <v>169</v>
      </c>
      <c r="E55" s="1" t="s">
        <v>128</v>
      </c>
      <c r="F55" s="1">
        <f t="shared" ca="1" si="0"/>
        <v>0</v>
      </c>
      <c r="G55" s="1">
        <f t="shared" ca="1" si="0"/>
        <v>0</v>
      </c>
      <c r="H55" s="1">
        <f>H54</f>
        <v>0</v>
      </c>
      <c r="J55" s="1" t="e">
        <f ca="1">(Result_NetEmissions_Method1/F55)*H55</f>
        <v>#DIV/0!</v>
      </c>
      <c r="K55" s="1" t="e">
        <f ca="1">(Result_NetEmissions_Method2/G55)*H55</f>
        <v>#DIV/0!</v>
      </c>
      <c r="L55" s="9" t="s">
        <v>123</v>
      </c>
    </row>
    <row r="56" spans="1:12" ht="20.100000000000001" customHeight="1" x14ac:dyDescent="0.2">
      <c r="A56" s="5" t="str">
        <f>HYPERLINK("#'Constants - Fuel'!A1", "Constants - Fuel")</f>
        <v>Constants - Fuel</v>
      </c>
      <c r="D56" s="1" t="s">
        <v>129</v>
      </c>
      <c r="E56" s="1" t="s">
        <v>131</v>
      </c>
      <c r="F56" s="1">
        <f t="shared" ca="1" si="0"/>
        <v>0</v>
      </c>
      <c r="G56" s="1">
        <f t="shared" ca="1" si="0"/>
        <v>0</v>
      </c>
      <c r="H56" s="1" t="s">
        <v>130</v>
      </c>
      <c r="J56" s="1" t="s">
        <v>130</v>
      </c>
      <c r="K56" s="1" t="s">
        <v>130</v>
      </c>
      <c r="L56" s="9"/>
    </row>
    <row r="57" spans="1:12" ht="20.100000000000001" customHeight="1" x14ac:dyDescent="0.2">
      <c r="A57" s="5" t="str">
        <f>HYPERLINK("#'Constants - Scope 3'!A1", "Constants - Scope 3")</f>
        <v>Constants - Scope 3</v>
      </c>
    </row>
    <row r="58" spans="1:12" ht="20.100000000000001" customHeight="1" x14ac:dyDescent="0.2">
      <c r="A58" s="5" t="str">
        <f>HYPERLINK("#'Constants - Solid Waste'!A1", "Constants - Solid Waste")</f>
        <v>Constants - Solid Waste</v>
      </c>
      <c r="D58" s="79" t="s">
        <v>165</v>
      </c>
    </row>
    <row r="59" spans="1:12" ht="20.100000000000001" customHeight="1" x14ac:dyDescent="0.2">
      <c r="A59" s="5" t="str">
        <f>HYPERLINK("#'Constants - Common'!A1", "Constants - Common")</f>
        <v>Constants - Common</v>
      </c>
      <c r="D59" s="11" t="s">
        <v>139</v>
      </c>
      <c r="E59" s="11" t="s">
        <v>126</v>
      </c>
      <c r="F59" s="11" t="s">
        <v>316</v>
      </c>
      <c r="G59" s="11" t="s">
        <v>317</v>
      </c>
      <c r="H59" s="11"/>
      <c r="I59" s="11"/>
      <c r="J59" s="11" t="s">
        <v>124</v>
      </c>
      <c r="K59" s="11" t="s">
        <v>125</v>
      </c>
      <c r="L59" s="11" t="s">
        <v>121</v>
      </c>
    </row>
    <row r="60" spans="1:12" ht="20.100000000000001" customHeight="1" x14ac:dyDescent="0.2">
      <c r="A60" s="5" t="str">
        <f>HYPERLINK("#'Acknowledgements'!A1", "Acknowledgements")</f>
        <v>Acknowledgements</v>
      </c>
      <c r="D60" s="1" t="s">
        <v>138</v>
      </c>
      <c r="E60" s="1" t="s">
        <v>130</v>
      </c>
      <c r="F60" s="1">
        <f>X_Cell_Enteprise_LiveweightGrown_Method1</f>
        <v>0</v>
      </c>
      <c r="G60" s="1">
        <f>X_Cell_Enteprise_LiveweightGrown_Method2</f>
        <v>0</v>
      </c>
      <c r="J60" s="1" t="e">
        <f>Result_NetEmissions_Method1/F60</f>
        <v>#DIV/0!</v>
      </c>
      <c r="K60" s="1" t="e">
        <f>Result_NetEmissions_Method1/G60</f>
        <v>#DIV/0!</v>
      </c>
      <c r="L60" s="9" t="s">
        <v>140</v>
      </c>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0171F5-957D-4D10-AA21-0CE17EC217CD}">
  <sheetPr>
    <tabColor rgb="FFCC6600"/>
  </sheetPr>
  <dimension ref="A1:J73"/>
  <sheetViews>
    <sheetView showGridLines="0" zoomScaleNormal="100" workbookViewId="0">
      <pane xSplit="1" topLeftCell="B1" activePane="topRight" state="frozen"/>
      <selection pane="topRight" activeCell="A59" sqref="A59"/>
      <extLst>
        <ext xmlns:xlsdti="http://schemas.microsoft.com/office/spreadsheetml/2023/showDataTypeIcons" uri="{77bfe23e-c014-4d31-8a63-9c772dbf06b6}">
          <xlsdti:showDataTypeIcons visible="0"/>
        </ext>
      </extLst>
    </sheetView>
  </sheetViews>
  <sheetFormatPr defaultRowHeight="20.100000000000001" customHeight="1" x14ac:dyDescent="0.2"/>
  <cols>
    <col min="1" max="1" width="36.7109375" customWidth="1"/>
    <col min="2" max="2" width="4.7109375" customWidth="1"/>
    <col min="3" max="3" width="4.7109375" style="1" customWidth="1"/>
    <col min="4" max="4" width="69.28515625" style="1" customWidth="1"/>
    <col min="5" max="5" width="30.7109375" style="1" customWidth="1"/>
    <col min="6" max="6" width="36.28515625" style="1" customWidth="1"/>
    <col min="7" max="7" width="36.140625" style="1" customWidth="1"/>
    <col min="8" max="9" width="30.7109375" style="1" customWidth="1"/>
    <col min="10" max="10" width="4.7109375" style="1" customWidth="1"/>
    <col min="11" max="11" width="30.7109375" customWidth="1"/>
  </cols>
  <sheetData>
    <row r="1" spans="1:10" ht="30" customHeight="1" x14ac:dyDescent="0.35">
      <c r="A1" s="10" t="e" vm="1">
        <v>#VALUE!</v>
      </c>
      <c r="C1" s="28" t="s">
        <v>156</v>
      </c>
      <c r="D1" s="22"/>
      <c r="E1" s="22"/>
      <c r="F1" s="22"/>
      <c r="G1" s="22"/>
      <c r="H1" s="22"/>
      <c r="I1" s="22"/>
      <c r="J1" s="22"/>
    </row>
    <row r="2" spans="1:10" ht="20.100000000000001" customHeight="1" x14ac:dyDescent="0.2">
      <c r="C2" s="3"/>
      <c r="D2" s="3"/>
      <c r="E2" s="3"/>
      <c r="F2" s="3"/>
      <c r="G2" s="3"/>
      <c r="H2" s="3"/>
      <c r="I2" s="3"/>
      <c r="J2" s="3"/>
    </row>
    <row r="3" spans="1:10" ht="20.100000000000001" customHeight="1" x14ac:dyDescent="0.2">
      <c r="A3" s="5" t="str">
        <f>HYPERLINK("#'Home'!A1", "Home")</f>
        <v>Home</v>
      </c>
      <c r="C3" s="29"/>
      <c r="D3" s="29"/>
      <c r="E3" s="29"/>
      <c r="F3" s="29"/>
      <c r="G3" s="29"/>
      <c r="H3" s="29"/>
      <c r="I3" s="29"/>
      <c r="J3" s="29"/>
    </row>
    <row r="4" spans="1:10" ht="20.100000000000001" customHeight="1" x14ac:dyDescent="0.2">
      <c r="A4" s="5" t="str">
        <f>HYPERLINK("#'Results - Activity period'!A1", "Results - Activity period")</f>
        <v>Results - Activity period</v>
      </c>
    </row>
    <row r="5" spans="1:10" ht="20.100000000000001" customHeight="1" x14ac:dyDescent="0.2">
      <c r="A5" s="5" t="str">
        <f>HYPERLINK("#'Results - Product EI'!A1", "Results - Product Emissions Intensity")</f>
        <v>Results - Product Emissions Intensity</v>
      </c>
      <c r="D5" s="2" t="s">
        <v>96</v>
      </c>
      <c r="E5" s="25"/>
      <c r="F5" s="25"/>
      <c r="G5" s="25"/>
    </row>
    <row r="6" spans="1:10" ht="20.100000000000001" customHeight="1" x14ac:dyDescent="0.2">
      <c r="D6" s="32"/>
      <c r="E6" s="25"/>
      <c r="F6" s="25"/>
      <c r="G6" s="25"/>
    </row>
    <row r="7" spans="1:10" ht="20.100000000000001" customHeight="1" x14ac:dyDescent="0.2">
      <c r="D7" s="1" t="s">
        <v>97</v>
      </c>
      <c r="E7" s="34"/>
      <c r="F7" s="16"/>
      <c r="G7" s="25"/>
    </row>
    <row r="8" spans="1:10" ht="20.100000000000001" customHeight="1" x14ac:dyDescent="0.2">
      <c r="A8" s="7" t="s">
        <v>0</v>
      </c>
      <c r="D8" s="12" t="s">
        <v>98</v>
      </c>
      <c r="E8" s="34"/>
      <c r="F8" s="25"/>
      <c r="G8" s="25"/>
    </row>
    <row r="9" spans="1:10" ht="20.100000000000001" customHeight="1" x14ac:dyDescent="0.2">
      <c r="A9" s="99" t="str">
        <f>HYPERLINK("#'Input - Enterprise'!A1", "Enterprise")</f>
        <v>Enterprise</v>
      </c>
      <c r="D9" s="25"/>
      <c r="E9" s="25"/>
      <c r="F9" s="25"/>
      <c r="G9" s="25"/>
    </row>
    <row r="10" spans="1:10" ht="20.100000000000001" customHeight="1" x14ac:dyDescent="0.2">
      <c r="A10" s="5" t="str">
        <f>HYPERLINK("#'Input - Site'!A1", "Site")</f>
        <v>Site</v>
      </c>
      <c r="D10" s="36" t="s">
        <v>99</v>
      </c>
      <c r="E10" s="37"/>
      <c r="F10" s="38"/>
      <c r="G10" s="39"/>
    </row>
    <row r="11" spans="1:10" ht="20.100000000000001" customHeight="1" x14ac:dyDescent="0.2">
      <c r="A11" s="5" t="str">
        <f>HYPERLINK("#'Input - Pasture Beef'!A1", "Pasture Beef")</f>
        <v>Pasture Beef</v>
      </c>
      <c r="D11" s="25"/>
      <c r="E11" s="25"/>
      <c r="F11" s="25"/>
      <c r="G11" s="25"/>
    </row>
    <row r="12" spans="1:10" ht="20.100000000000001" customHeight="1" x14ac:dyDescent="0.2">
      <c r="A12" s="5" t="str">
        <f>HYPERLINK("#'Input - Livestock sales'!A1", "Livestock sales")</f>
        <v>Livestock sales</v>
      </c>
      <c r="D12" s="12" t="s">
        <v>19</v>
      </c>
      <c r="E12" s="14"/>
      <c r="F12" s="16" t="s">
        <v>100</v>
      </c>
      <c r="G12" s="25"/>
    </row>
    <row r="13" spans="1:10" ht="20.100000000000001" customHeight="1" x14ac:dyDescent="0.2">
      <c r="A13" s="5" t="str">
        <f>HYPERLINK("#'Input - Beef cattle purchases'!A1", "Beef cattle purchases")</f>
        <v>Beef cattle purchases</v>
      </c>
      <c r="D13" s="12" t="s">
        <v>20</v>
      </c>
      <c r="E13" s="41">
        <f>DATE(YEAR(E12)+1,MONTH(E12),DAY(E12))-1</f>
        <v>365</v>
      </c>
      <c r="F13" s="16" t="s">
        <v>101</v>
      </c>
      <c r="G13" s="25"/>
    </row>
    <row r="14" spans="1:10" ht="20.100000000000001" customHeight="1" x14ac:dyDescent="0.2">
      <c r="A14" s="5" t="str">
        <f>HYPERLINK("#'Input - Pasture'!A1", "Pasture")</f>
        <v>Pasture</v>
      </c>
      <c r="F14" s="25"/>
      <c r="G14" s="25"/>
    </row>
    <row r="15" spans="1:10" ht="20.100000000000001" customHeight="1" x14ac:dyDescent="0.2">
      <c r="A15" s="5" t="str">
        <f>HYPERLINK("#'Input - Fert Prod System'!A1", "Fert Prod System")</f>
        <v>Fert Prod System</v>
      </c>
    </row>
    <row r="16" spans="1:10" ht="20.100000000000001" customHeight="1" x14ac:dyDescent="0.2">
      <c r="A16" s="5" t="str">
        <f>HYPERLINK("#'Input - Fertiliser'!A1", "Fertiliser")</f>
        <v>Fertiliser</v>
      </c>
      <c r="D16" s="2" t="s">
        <v>21</v>
      </c>
    </row>
    <row r="17" spans="1:7" ht="20.100000000000001" customHeight="1" x14ac:dyDescent="0.2">
      <c r="A17" s="5" t="str">
        <f>HYPERLINK("#'Input - Fuel'!A1", "Fuel")</f>
        <v>Fuel</v>
      </c>
    </row>
    <row r="18" spans="1:7" ht="20.100000000000001" customHeight="1" x14ac:dyDescent="0.2">
      <c r="A18" s="5" t="str">
        <f>HYPERLINK("#'Input - Electricity'!A1", "Electricity")</f>
        <v>Electricity</v>
      </c>
      <c r="D18" s="1" t="s">
        <v>16</v>
      </c>
      <c r="E18" s="14"/>
      <c r="F18" s="16" t="s">
        <v>100</v>
      </c>
    </row>
    <row r="19" spans="1:7" ht="20.100000000000001" customHeight="1" x14ac:dyDescent="0.2">
      <c r="A19" s="5" t="str">
        <f>HYPERLINK("#'Input - Common farm inputs'!A1", "Common farm inputs")</f>
        <v>Common farm inputs</v>
      </c>
      <c r="D19" s="1" t="s">
        <v>17</v>
      </c>
      <c r="E19" s="14"/>
      <c r="F19" s="16" t="s">
        <v>100</v>
      </c>
    </row>
    <row r="20" spans="1:7" ht="20.100000000000001" customHeight="1" x14ac:dyDescent="0.2">
      <c r="A20" s="5" t="str">
        <f>HYPERLINK("#'Input - Crop pasture farm input'!A1", "Crop pasture farm input")</f>
        <v>Crop pasture farm input</v>
      </c>
      <c r="D20" s="1" t="s">
        <v>18</v>
      </c>
      <c r="E20" s="15">
        <f>DATEDIF(E18,E19+1,"m")</f>
        <v>0</v>
      </c>
      <c r="F20" s="16" t="s">
        <v>120</v>
      </c>
    </row>
    <row r="21" spans="1:7" ht="20.100000000000001" customHeight="1" x14ac:dyDescent="0.2">
      <c r="A21" s="5" t="str">
        <f>HYPERLINK("#'Input - Livestock farm Inputs'!A1", "Livestock farm Inputs")</f>
        <v>Livestock farm Inputs</v>
      </c>
    </row>
    <row r="22" spans="1:7" ht="20.100000000000001" customHeight="1" x14ac:dyDescent="0.2">
      <c r="A22" s="5" t="str">
        <f>HYPERLINK("#'Input - Freight'!A1", "Freight")</f>
        <v>Freight</v>
      </c>
      <c r="D22" s="1" t="s">
        <v>22</v>
      </c>
      <c r="E22" s="78">
        <f>SUM(Table_Input_LivestockSales[Total liveweight sold])*10^-3</f>
        <v>0</v>
      </c>
      <c r="G22" s="16" t="s">
        <v>28</v>
      </c>
    </row>
    <row r="23" spans="1:7" ht="20.100000000000001" customHeight="1" x14ac:dyDescent="0.2">
      <c r="A23" s="5" t="str">
        <f>HYPERLINK("#'Input - Solid waste'!A1", "Solid waste")</f>
        <v>Solid waste</v>
      </c>
      <c r="D23" s="1" t="s">
        <v>23</v>
      </c>
      <c r="E23" s="78">
        <f>SUM(Enterprise_PastureBeef_InputFunctions.multiplyCorrespondingCells([0]!X_Table_PastureBeef_Head_Method1, [0]!X_Table_PastureBeef_Duration_Method1, [0]!X_Table_PastureBeef_LiveweightGain_Method1))*10^-3</f>
        <v>0</v>
      </c>
      <c r="G23" s="16" t="s">
        <v>28</v>
      </c>
    </row>
    <row r="24" spans="1:7" ht="20.100000000000001" customHeight="1" x14ac:dyDescent="0.2">
      <c r="A24" s="5" t="str">
        <f>HYPERLINK("#'Input - Manure sent off-site'!A1", "Manure sent off-site")</f>
        <v>Manure sent off-site</v>
      </c>
      <c r="D24" s="1" t="s">
        <v>24</v>
      </c>
      <c r="E24" s="78">
        <f>SUM(Enterprise_PastureBeef_InputFunctions.multiplyCorrespondingCells([0]!X_Table_PastureBeef_Head_Method2, [0]!X_Table_PastureBeef_Duration_Method2, [0]!X_Table_PastureBeef_LiveweightGain_Method2))*10^-3</f>
        <v>0</v>
      </c>
      <c r="G24" s="16" t="s">
        <v>28</v>
      </c>
    </row>
    <row r="25" spans="1:7" ht="20.100000000000001" customHeight="1" x14ac:dyDescent="0.2">
      <c r="A25" s="5" t="str">
        <f>HYPERLINK("#'Input - Data quality'!A1", "Data quality")</f>
        <v>Data quality</v>
      </c>
      <c r="D25" s="1" t="s">
        <v>158</v>
      </c>
      <c r="E25" s="78">
        <f ca="1">SUM(Enterprise_PastureBeef_InputFunctions.multiplyCorrespondingCells([0]!X_Table_PastureBeef_Head_Method1, [0]!X_Table_PastureBeef_Duration_Method1, [0]!M1_Table_VS_j_k_l))*10^-3</f>
        <v>0</v>
      </c>
      <c r="G25" s="16" t="s">
        <v>28</v>
      </c>
    </row>
    <row r="26" spans="1:7" ht="20.100000000000001" customHeight="1" x14ac:dyDescent="0.2">
      <c r="D26" s="1" t="s">
        <v>159</v>
      </c>
      <c r="E26" s="78">
        <f ca="1">SUM(Enterprise_PastureBeef_InputFunctions.multiplyCorrespondingCells([0]!X_Table_PastureBeef_Head_Method2, [0]!X_Table_PastureBeef_Duration_Method2, M2_Table_VS_j_k_l))*10^-3</f>
        <v>0</v>
      </c>
      <c r="G26" s="16" t="s">
        <v>28</v>
      </c>
    </row>
    <row r="27" spans="1:7" ht="20.100000000000001" customHeight="1" x14ac:dyDescent="0.2">
      <c r="D27" s="1" t="s">
        <v>25</v>
      </c>
      <c r="E27" s="18"/>
      <c r="G27" s="16" t="s">
        <v>157</v>
      </c>
    </row>
    <row r="28" spans="1:7" ht="20.100000000000001" customHeight="1" x14ac:dyDescent="0.2">
      <c r="A28" s="6" t="s">
        <v>2</v>
      </c>
      <c r="D28" s="1" t="s">
        <v>26</v>
      </c>
      <c r="E28" s="18"/>
      <c r="G28" s="16" t="s">
        <v>157</v>
      </c>
    </row>
    <row r="29" spans="1:7" ht="20.100000000000001" customHeight="1" x14ac:dyDescent="0.2">
      <c r="A29" s="5" t="str">
        <f>HYPERLINK("#'3.2.1.1-2 Enteric Methane'!A1", "3.2.1.1-2 Enteric Methane")</f>
        <v>3.2.1.1-2 Enteric Methane</v>
      </c>
      <c r="D29" s="1" t="s">
        <v>27</v>
      </c>
      <c r="E29" s="19">
        <f>100%-E27-E28</f>
        <v>1</v>
      </c>
      <c r="G29" s="16" t="s">
        <v>157</v>
      </c>
    </row>
    <row r="30" spans="1:7" ht="20.100000000000001" customHeight="1" x14ac:dyDescent="0.2">
      <c r="A30" s="5" t="str">
        <f>HYPERLINK("#'4.2.1.1-2 Methane'!A1", "4.2.1.1-2 Manure methane")</f>
        <v>4.2.1.1-2 Manure methane</v>
      </c>
    </row>
    <row r="31" spans="1:7" ht="20.100000000000001" customHeight="1" x14ac:dyDescent="0.2">
      <c r="A31" s="5" t="str">
        <f>HYPERLINK("#'4.2.1.3-4 Soil direct N20'!A1", "4.2.1.3-4 Soil direct N2O")</f>
        <v>4.2.1.3-4 Soil direct N2O</v>
      </c>
      <c r="D31" s="1" t="s">
        <v>160</v>
      </c>
      <c r="E31" s="18"/>
      <c r="G31" s="16" t="s">
        <v>157</v>
      </c>
    </row>
    <row r="32" spans="1:7" ht="20.100000000000001" customHeight="1" x14ac:dyDescent="0.2">
      <c r="A32" s="5" t="str">
        <f>HYPERLINK("#'4.2.1.5-6 Soil Atmos Dep'!A1", "4.2.1.5-6 Soil atm. deposition")</f>
        <v>4.2.1.5-6 Soil atm. deposition</v>
      </c>
      <c r="D32" s="1" t="s">
        <v>161</v>
      </c>
      <c r="E32" s="18"/>
      <c r="G32" s="16" t="s">
        <v>157</v>
      </c>
    </row>
    <row r="33" spans="1:7" ht="20.100000000000001" customHeight="1" x14ac:dyDescent="0.2">
      <c r="A33" s="5" t="str">
        <f>HYPERLINK("#'4.2.1.7-8 Soil leach runoff'!A1", "4.2.1.7-8 Soil leach &amp; runoff")</f>
        <v>4.2.1.7-8 Soil leach &amp; runoff</v>
      </c>
    </row>
    <row r="34" spans="1:7" ht="20.100000000000001" customHeight="1" x14ac:dyDescent="0.2">
      <c r="A34" s="5" t="str">
        <f>HYPERLINK("#'5.1.1.1-2 Inorganic fert N2O'!A1", "5.1.1.1-2 Inorganic fert N2O")</f>
        <v>5.1.1.1-2 Inorganic fert N2O</v>
      </c>
    </row>
    <row r="35" spans="1:7" ht="20.100000000000001" customHeight="1" x14ac:dyDescent="0.2">
      <c r="A35" s="5" t="str">
        <f>HYPERLINK("#'5.1.1.3-4 Inorganic fert CO2'!A1", "5.1.1.3-4 Inorganic fert CO2")</f>
        <v>5.1.1.3-4 Inorganic fert CO2</v>
      </c>
    </row>
    <row r="36" spans="1:7" ht="20.100000000000001" customHeight="1" x14ac:dyDescent="0.2">
      <c r="A36" s="5" t="str">
        <f>HYPERLINK("#'5.2.1.1-2 Organic Fert N2O'!A1", "5.2.1.1-2 Organic fert N2O")</f>
        <v>5.2.1.1-2 Organic fert N2O</v>
      </c>
    </row>
    <row r="37" spans="1:7" ht="20.100000000000001" customHeight="1" x14ac:dyDescent="0.2">
      <c r="A37" s="5" t="str">
        <f>HYPERLINK("#'5.3.1.1-2 Lime CO2'!A1", "5.3.1.1-2 Lime CO2")</f>
        <v>5.3.1.1-2 Lime CO2</v>
      </c>
      <c r="D37" s="2" t="s">
        <v>287</v>
      </c>
    </row>
    <row r="38" spans="1:7" ht="20.100000000000001" customHeight="1" x14ac:dyDescent="0.2">
      <c r="A38" s="5" t="str">
        <f>HYPERLINK("#'5.4.1.1-4 Atmos deposition'!A1", "5.4.1.1-4 Atmos. deposition")</f>
        <v>5.4.1.1-4 Atmos. deposition</v>
      </c>
    </row>
    <row r="39" spans="1:7" ht="20.100000000000001" customHeight="1" x14ac:dyDescent="0.2">
      <c r="A39" s="5" t="str">
        <f>HYPERLINK("#'5.5.1.1-2 Leaching and runoff'!A1", "5.5.1.1-2 Leaching &amp; runoff")</f>
        <v>5.5.1.1-2 Leaching &amp; runoff</v>
      </c>
    </row>
    <row r="40" spans="1:7" ht="20.100000000000001" customHeight="1" x14ac:dyDescent="0.2">
      <c r="A40" s="5" t="str">
        <f>HYPERLINK("#'6.2.1.1-2 Pasture residue N2O'!A1", "6.2.1.1-2 Pasture residue N2O")</f>
        <v>6.2.1.1-2 Pasture residue N2O</v>
      </c>
      <c r="D40" s="79" t="str">
        <f>"Carbon captured from " &amp; TEXT(X_Cell_Site_StartDate, "d mmmm yyyy") &amp; " to " &amp; TEXT(X_Cell_Site_EndDate, "d, mmmm, yyyy") &amp; " from environmental plantings"</f>
        <v>Carbon captured from 0 January 1900 to 30, December, 1900 from environmental plantings</v>
      </c>
    </row>
    <row r="41" spans="1:7" ht="20.100000000000001" customHeight="1" x14ac:dyDescent="0.2">
      <c r="A41" s="5" t="str">
        <f>HYPERLINK("#'6.3.1.1-2 Leach runoff pasture'!A1", "6.3.1.1-2 Leach &amp; runoff (pasture)")</f>
        <v>6.3.1.1-2 Leach &amp; runoff (pasture)</v>
      </c>
    </row>
    <row r="42" spans="1:7" ht="20.100000000000001" customHeight="1" x14ac:dyDescent="0.2">
      <c r="A42" s="5" t="str">
        <f>HYPERLINK("#'8.1.1.1-2 Transport fuel'!A1", "8.1.1.1-2 Transport fuel")</f>
        <v>8.1.1.1-2 Transport fuel</v>
      </c>
      <c r="D42" s="20" t="s">
        <v>282</v>
      </c>
      <c r="E42" s="20" t="s">
        <v>283</v>
      </c>
      <c r="F42" s="20" t="s">
        <v>284</v>
      </c>
      <c r="G42" s="82" t="s">
        <v>286</v>
      </c>
    </row>
    <row r="43" spans="1:7" ht="20.100000000000001" customHeight="1" x14ac:dyDescent="0.2">
      <c r="A43" s="5" t="str">
        <f>HYPERLINK("#'8.2.1.1-2 Stationary fuel'!A1", "8.2.1.1-2 Stationary fuel")</f>
        <v>8.2.1.1-2 Stationary fuel</v>
      </c>
      <c r="D43" s="34"/>
      <c r="E43" s="76"/>
      <c r="F43" s="18"/>
      <c r="G43" s="1">
        <f>Table_Input_Enterprise_PlantingRemovals[[#This Row],[Total removed CO2]]*Table_Input_Enterprise_PlantingRemovals[[#This Row],[Percent allocated to this enterprise]]</f>
        <v>0</v>
      </c>
    </row>
    <row r="44" spans="1:7" ht="20.100000000000001" customHeight="1" x14ac:dyDescent="0.2">
      <c r="A44" s="5" t="str">
        <f>HYPERLINK("#'10.1.1-2 Solid waste treatment'!A1", "10.1.1.1-2 Solid waste")</f>
        <v>10.1.1.1-2 Solid waste</v>
      </c>
    </row>
    <row r="45" spans="1:7" ht="20.100000000000001" customHeight="1" x14ac:dyDescent="0.2">
      <c r="A45" s="5" t="str">
        <f>HYPERLINK("#'14.1.1-2 Purchased electricity'!A1", "14.1.1-2 Purchased electricity")</f>
        <v>14.1.1-2 Purchased electricity</v>
      </c>
    </row>
    <row r="46" spans="1:7" ht="20.100000000000001" customHeight="1" x14ac:dyDescent="0.2">
      <c r="A46" s="5" t="str">
        <f>HYPERLINK("#'15 Scope 3'!A1", "15 Scope 3")</f>
        <v>15 Scope 3</v>
      </c>
    </row>
    <row r="47" spans="1:7" ht="20.100000000000001" customHeight="1" x14ac:dyDescent="0.2">
      <c r="A47" s="5" t="str">
        <f>HYPERLINK("#'Calcs - Manure sent off-site'!A1", "Calcs - Manure sent off-site")</f>
        <v>Calcs - Manure sent off-site</v>
      </c>
      <c r="D47" s="2" t="s">
        <v>288</v>
      </c>
    </row>
    <row r="49" spans="1:7" ht="20.100000000000001" customHeight="1" x14ac:dyDescent="0.2">
      <c r="D49" s="79" t="str">
        <f>"Gross emissions from other activity periods in the production timeframe " &amp; TEXT(X_Cell_Enterprise_ProductionTimeframeStart, "d mmmm yyyy") &amp; " to " &amp; TEXT(X_Cell_Enterprise_ProductionTimeframeEnd, "d mmmm yyyy")</f>
        <v>Gross emissions from other activity periods in the production timeframe 0 January 1900 to 0 January 1900</v>
      </c>
    </row>
    <row r="50" spans="1:7" ht="20.100000000000001" customHeight="1" x14ac:dyDescent="0.2">
      <c r="A50" s="85" t="s">
        <v>1</v>
      </c>
    </row>
    <row r="51" spans="1:7" ht="20.100000000000001" customHeight="1" x14ac:dyDescent="0.2">
      <c r="A51" s="5" t="str">
        <f>HYPERLINK("#'Constants - Pasture Beef'!A1", "Constants - Pasture Beef")</f>
        <v>Constants - Pasture Beef</v>
      </c>
      <c r="D51" s="80" t="e" cm="1">
        <f t="array" ref="D51">"There are " &amp; Common_InputFunctions.getOverlappingReportingCycles(X_Cell_Enterprise_ProductionTimeframeStart,X_Cell_Enterprise_ProductionTimeframeEnd,X_Cell_Site_StartDate) &amp; " emissions calculation periods that need to be completed before total product emissions can be determined."</f>
        <v>#NUM!</v>
      </c>
    </row>
    <row r="52" spans="1:7" ht="20.100000000000001" customHeight="1" x14ac:dyDescent="0.2">
      <c r="A52" s="5" t="str">
        <f>HYPERLINK("#'Constants - Ag Residue'!A1", "Constants - Ag residue")</f>
        <v>Constants - Ag residue</v>
      </c>
      <c r="D52" s="1" t="s">
        <v>285</v>
      </c>
    </row>
    <row r="53" spans="1:7" ht="20.100000000000001" customHeight="1" x14ac:dyDescent="0.2">
      <c r="A53" s="5" t="str">
        <f>HYPERLINK("#'Constants - Common Livestock'!A1", "Constants - Common Livestock")</f>
        <v>Constants - Common Livestock</v>
      </c>
    </row>
    <row r="54" spans="1:7" ht="20.100000000000001" customHeight="1" x14ac:dyDescent="0.2">
      <c r="A54" s="5" t="str">
        <f>HYPERLINK("#'Constants - Electricity'!A1", "Constants - Electricity")</f>
        <v>Constants - Electricity</v>
      </c>
      <c r="D54" s="82" t="s">
        <v>119</v>
      </c>
      <c r="E54" s="82" t="s">
        <v>9</v>
      </c>
      <c r="F54" s="82" t="s">
        <v>10</v>
      </c>
    </row>
    <row r="55" spans="1:7" ht="20.100000000000001" customHeight="1" x14ac:dyDescent="0.2">
      <c r="A55" s="5" t="str">
        <f>HYPERLINK("#'Constants - Fertiliser'!A1", "Constants - Fertiliser")</f>
        <v>Constants - Fertiliser</v>
      </c>
      <c r="D55" s="1" t="e" cm="1">
        <f t="array" ref="D55">Common_InputFunctions.getOverlappingReportingPeriods(X_Cell_Enterprise_ProductionTimeframeStart,X_Cell_Enterprise_ProductionTimeframeEnd,X_Cell_Site_StartDate)</f>
        <v>#NUM!</v>
      </c>
      <c r="E55" s="76" t="str">
        <f>IF(ISBLANK($D55), 0, IF(ISNUMBER(SEARCH("reporting", $D55)), Result_Enterprise_Scope1_Method1, "Enter value"))</f>
        <v>Enter value</v>
      </c>
      <c r="F55" s="76" t="str">
        <f>IF(ISBLANK($D55), 0, IF(ISNUMBER(SEARCH("reporting", $D55)), Result_Enterprise_Scope1_Method2, "Enter value"))</f>
        <v>Enter value</v>
      </c>
      <c r="G55" s="9" t="s">
        <v>6</v>
      </c>
    </row>
    <row r="56" spans="1:7" ht="20.100000000000001" customHeight="1" x14ac:dyDescent="0.2">
      <c r="A56" s="5" t="str">
        <f>HYPERLINK("#'Constants - Fuel'!A1", "Constants - Fuel")</f>
        <v>Constants - Fuel</v>
      </c>
      <c r="E56" s="76">
        <f>IF(ISBLANK($D56), 0, IF(ISNUMBER(SEARCH("reporting", $D56)), Result_Enterprise_Scope1_Method1, "Enter value"))</f>
        <v>0</v>
      </c>
      <c r="F56" s="76">
        <f>IF(ISBLANK($D56), 0, IF(ISNUMBER(SEARCH("reporting", $D56)), Result_Enterprise_Scope1_Method2, "Enter value"))</f>
        <v>0</v>
      </c>
      <c r="G56" s="9" t="s">
        <v>6</v>
      </c>
    </row>
    <row r="57" spans="1:7" ht="20.100000000000001" customHeight="1" x14ac:dyDescent="0.2">
      <c r="A57" s="5" t="str">
        <f>HYPERLINK("#'Constants - Scope 3'!A1", "Constants - Scope 3")</f>
        <v>Constants - Scope 3</v>
      </c>
      <c r="E57" s="76">
        <f>IF(ISBLANK($D57), 0, IF(ISNUMBER(SEARCH("reporting", $D57)), Result_Enterprise_Scope1_Method1, "Enter value"))</f>
        <v>0</v>
      </c>
      <c r="F57" s="76">
        <f>IF(ISBLANK($D57), 0, IF(ISNUMBER(SEARCH("reporting", $D57)), Result_Enterprise_Scope1_Method2, "Enter value"))</f>
        <v>0</v>
      </c>
      <c r="G57" s="9" t="s">
        <v>6</v>
      </c>
    </row>
    <row r="58" spans="1:7" ht="20.100000000000001" customHeight="1" x14ac:dyDescent="0.2">
      <c r="A58" s="5" t="str">
        <f>HYPERLINK("#'Constants - Solid Waste'!A1", "Constants - Solid Waste")</f>
        <v>Constants - Solid Waste</v>
      </c>
      <c r="E58" s="76">
        <f>IF(ISBLANK($D58), 0, IF(ISNUMBER(SEARCH("reporting", $D58)), Result_Enterprise_Scope1_Method1, "Enter value"))</f>
        <v>0</v>
      </c>
      <c r="F58" s="76">
        <f>IF(ISBLANK($D58), 0, IF(ISNUMBER(SEARCH("reporting", $D58)), Result_Enterprise_Scope1_Method2, "Enter value"))</f>
        <v>0</v>
      </c>
      <c r="G58" s="9" t="s">
        <v>6</v>
      </c>
    </row>
    <row r="59" spans="1:7" ht="20.100000000000001" customHeight="1" x14ac:dyDescent="0.2">
      <c r="A59" s="5" t="str">
        <f>HYPERLINK("#'Constants - Common'!A1", "Constants - Common")</f>
        <v>Constants - Common</v>
      </c>
      <c r="E59" s="76">
        <f>IF(ISBLANK($D59), 0, IF(ISNUMBER(SEARCH("reporting", $D59)), Result_Enterprise_Scope1_Method1, "Enter value"))</f>
        <v>0</v>
      </c>
      <c r="F59" s="76">
        <f>IF(ISBLANK($D59), 0, IF(ISNUMBER(SEARCH("reporting", $D59)), Result_Enterprise_Scope1_Method2, "Enter value"))</f>
        <v>0</v>
      </c>
      <c r="G59" s="9" t="s">
        <v>6</v>
      </c>
    </row>
    <row r="60" spans="1:7" ht="20.100000000000001" customHeight="1" x14ac:dyDescent="0.2">
      <c r="A60" s="5" t="str">
        <f>HYPERLINK("#'Acknowledgements'!A1", "Acknowledgements")</f>
        <v>Acknowledgements</v>
      </c>
      <c r="D60" s="93" t="s">
        <v>134</v>
      </c>
      <c r="E60" s="87">
        <f>SUM(E55:E59)</f>
        <v>0</v>
      </c>
      <c r="F60" s="87">
        <f>SUM(F55:F59)</f>
        <v>0</v>
      </c>
      <c r="G60" s="94" t="s">
        <v>6</v>
      </c>
    </row>
    <row r="65" spans="4:6" ht="20.100000000000001" customHeight="1" x14ac:dyDescent="0.2">
      <c r="D65" s="79" t="str">
        <f>"Carbon removals from environmental plantings for whole production cycle running between " &amp; TEXT(X_Cell_Enterprise_ProductionTimeframeStart, "d mmmm yyyy") &amp; " and " &amp; TEXT(X_Cell_Enterprise_ProductionTimeframeEnd, "d mmmm yyyy")</f>
        <v>Carbon removals from environmental plantings for whole production cycle running between 0 January 1900 and 0 January 1900</v>
      </c>
    </row>
    <row r="67" spans="4:6" ht="20.100000000000001" customHeight="1" x14ac:dyDescent="0.2">
      <c r="D67" s="82" t="s">
        <v>119</v>
      </c>
      <c r="E67" s="82" t="s">
        <v>132</v>
      </c>
      <c r="F67" s="82"/>
    </row>
    <row r="68" spans="4:6" ht="20.100000000000001" customHeight="1" x14ac:dyDescent="0.2">
      <c r="D68" s="1" t="e" cm="1">
        <f t="array" ref="D68">Common_InputFunctions.getOverlappingReportingPeriods(X_Cell_Enterprise_ProductionTimeframeStart,X_Cell_Enterprise_ProductionTimeframeEnd,X_Cell_Site_StartDate)</f>
        <v>#NUM!</v>
      </c>
      <c r="E68" s="76" t="str">
        <f>IF(ISBLANK($D68), 0, IF(ISNUMBER(SEARCH("reporting", $D68)), SUM(Table_Input_Enterprise_PlantingRemovals[Removal allocated to this enterprise]), "Enter value"))</f>
        <v>Enter value</v>
      </c>
      <c r="F68" s="9" t="s">
        <v>133</v>
      </c>
    </row>
    <row r="69" spans="4:6" ht="20.100000000000001" customHeight="1" x14ac:dyDescent="0.2">
      <c r="E69" s="76">
        <f>IF(ISBLANK($D69), 0, IF(ISNUMBER(SEARCH("reporting", $D69)), SUM(Table_Input_Enterprise_PlantingRemovals[Removal allocated to this enterprise]), "Enter value"))</f>
        <v>0</v>
      </c>
      <c r="F69" s="9" t="s">
        <v>133</v>
      </c>
    </row>
    <row r="70" spans="4:6" ht="20.100000000000001" customHeight="1" x14ac:dyDescent="0.2">
      <c r="E70" s="76">
        <f>IF(ISBLANK($D70), 0, IF(ISNUMBER(SEARCH("reporting", $D70)), SUM(Table_Input_Enterprise_PlantingRemovals[Removal allocated to this enterprise]), "Enter value"))</f>
        <v>0</v>
      </c>
      <c r="F70" s="9" t="s">
        <v>133</v>
      </c>
    </row>
    <row r="71" spans="4:6" ht="20.100000000000001" customHeight="1" x14ac:dyDescent="0.2">
      <c r="E71" s="76">
        <f>IF(ISBLANK($D71), 0, IF(ISNUMBER(SEARCH("reporting", $D71)), SUM(Table_Input_Enterprise_PlantingRemovals[Removal allocated to this enterprise]), "Enter value"))</f>
        <v>0</v>
      </c>
      <c r="F71" s="9" t="s">
        <v>133</v>
      </c>
    </row>
    <row r="72" spans="4:6" ht="20.100000000000001" customHeight="1" x14ac:dyDescent="0.2">
      <c r="E72" s="76">
        <f>IF(ISBLANK($D72), 0, IF(ISNUMBER(SEARCH("reporting", $D72)), SUM(Table_Input_Enterprise_PlantingRemovals[Removal allocated to this enterprise]), "Enter value"))</f>
        <v>0</v>
      </c>
      <c r="F72" s="9" t="s">
        <v>133</v>
      </c>
    </row>
    <row r="73" spans="4:6" ht="20.100000000000001" customHeight="1" x14ac:dyDescent="0.2">
      <c r="D73" s="93" t="s">
        <v>135</v>
      </c>
      <c r="E73" s="87">
        <f>SUM(E68:E72)</f>
        <v>0</v>
      </c>
      <c r="F73" s="94" t="s">
        <v>133</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791D62-75BF-4814-B1FA-242161A163DA}">
  <sheetPr>
    <tabColor rgb="FFCC6600"/>
    <pageSetUpPr autoPageBreaks="0"/>
  </sheetPr>
  <dimension ref="A1:AA160"/>
  <sheetViews>
    <sheetView showGridLines="0" zoomScaleNormal="100" workbookViewId="0">
      <pane xSplit="1" topLeftCell="B1" activePane="topRight" state="frozen"/>
      <selection pane="topRight" activeCell="A11" sqref="A11"/>
    </sheetView>
  </sheetViews>
  <sheetFormatPr defaultColWidth="9.140625" defaultRowHeight="20.100000000000001" customHeight="1" x14ac:dyDescent="0.2"/>
  <cols>
    <col min="1" max="1" width="36.7109375" style="4" customWidth="1"/>
    <col min="2" max="2" width="4.7109375" style="22" customWidth="1"/>
    <col min="3" max="3" width="4.7109375" style="25" customWidth="1"/>
    <col min="4" max="4" width="60.7109375" style="25" customWidth="1"/>
    <col min="5" max="5" width="50.7109375" style="25" customWidth="1"/>
    <col min="6" max="11" width="28.7109375" style="25" customWidth="1"/>
    <col min="12" max="25" width="28.7109375" style="22" customWidth="1"/>
    <col min="26" max="27" width="9.140625" style="22"/>
    <col min="28" max="16384" width="9.140625" style="25"/>
  </cols>
  <sheetData>
    <row r="1" spans="1:24" s="22" customFormat="1" ht="30" customHeight="1" x14ac:dyDescent="0.35">
      <c r="A1" s="10" t="e" vm="1">
        <v>#VALUE!</v>
      </c>
      <c r="C1" s="28" t="s">
        <v>95</v>
      </c>
    </row>
    <row r="2" spans="1:24" s="22" customFormat="1" ht="20.100000000000001" customHeight="1" x14ac:dyDescent="0.2">
      <c r="A2"/>
      <c r="C2" s="3"/>
      <c r="D2" s="3"/>
      <c r="E2" s="3"/>
      <c r="F2" s="3"/>
      <c r="G2" s="3"/>
      <c r="H2" s="3"/>
      <c r="I2" s="3"/>
      <c r="J2" s="3"/>
    </row>
    <row r="3" spans="1:24" ht="20.100000000000001" customHeight="1" x14ac:dyDescent="0.2">
      <c r="A3" s="5" t="str">
        <f>HYPERLINK("#'Home'!A1", "Home")</f>
        <v>Home</v>
      </c>
      <c r="C3" s="29"/>
      <c r="D3" s="29"/>
      <c r="E3" s="29"/>
      <c r="F3" s="29"/>
      <c r="G3" s="29"/>
      <c r="H3" s="29"/>
      <c r="I3" s="29"/>
      <c r="J3" s="29"/>
      <c r="K3" s="29"/>
      <c r="M3" s="24"/>
      <c r="N3" s="24"/>
      <c r="O3" s="24"/>
      <c r="P3" s="24"/>
      <c r="Q3" s="24"/>
      <c r="R3" s="24"/>
      <c r="S3" s="24"/>
      <c r="T3" s="24"/>
      <c r="U3" s="24"/>
      <c r="V3" s="24"/>
      <c r="W3" s="24"/>
      <c r="X3" s="24"/>
    </row>
    <row r="4" spans="1:24" ht="20.100000000000001" customHeight="1" x14ac:dyDescent="0.2">
      <c r="A4" s="5" t="str">
        <f>HYPERLINK("#'Results - Activity period'!A1", "Results - Activity period")</f>
        <v>Results - Activity period</v>
      </c>
      <c r="C4" s="30"/>
      <c r="D4" s="30"/>
      <c r="E4" s="30"/>
      <c r="F4" s="30"/>
      <c r="G4" s="30"/>
      <c r="H4" s="30"/>
      <c r="I4" s="30"/>
      <c r="J4" s="30"/>
      <c r="K4" s="30"/>
    </row>
    <row r="5" spans="1:24" ht="20.100000000000001" customHeight="1" x14ac:dyDescent="0.2">
      <c r="A5" s="5" t="str">
        <f>HYPERLINK("#'Results - Product EI'!A1", "Results - Product Emissions Intensity")</f>
        <v>Results - Product Emissions Intensity</v>
      </c>
      <c r="D5" s="2" t="s">
        <v>102</v>
      </c>
      <c r="N5" s="31"/>
    </row>
    <row r="6" spans="1:24" ht="20.100000000000001" customHeight="1" x14ac:dyDescent="0.2">
      <c r="A6"/>
      <c r="N6" s="33"/>
    </row>
    <row r="7" spans="1:24" ht="20.100000000000001" customHeight="1" x14ac:dyDescent="0.2">
      <c r="A7"/>
      <c r="D7" s="43" t="s">
        <v>103</v>
      </c>
      <c r="E7" s="44"/>
      <c r="F7" s="44"/>
      <c r="G7" s="45"/>
    </row>
    <row r="8" spans="1:24" ht="20.100000000000001" customHeight="1" x14ac:dyDescent="0.2">
      <c r="A8" s="7" t="s">
        <v>0</v>
      </c>
      <c r="D8" s="46" t="s">
        <v>104</v>
      </c>
      <c r="E8" s="47"/>
      <c r="F8" s="47"/>
      <c r="G8" s="48"/>
    </row>
    <row r="9" spans="1:24" ht="20.100000000000001" customHeight="1" x14ac:dyDescent="0.2">
      <c r="A9" s="5" t="str">
        <f>HYPERLINK("#'Input - Enterprise'!A1", "Enterprise")</f>
        <v>Enterprise</v>
      </c>
      <c r="D9" s="1"/>
      <c r="E9" s="49"/>
      <c r="F9" s="16"/>
      <c r="N9" s="35"/>
    </row>
    <row r="10" spans="1:24" ht="20.100000000000001" customHeight="1" x14ac:dyDescent="0.2">
      <c r="A10" s="99" t="str">
        <f>HYPERLINK("#'Input - Site'!A1", "Site")</f>
        <v>Site</v>
      </c>
      <c r="D10" s="1" t="s">
        <v>105</v>
      </c>
      <c r="E10" s="13"/>
      <c r="F10" s="16" t="s">
        <v>106</v>
      </c>
      <c r="N10" s="35"/>
    </row>
    <row r="11" spans="1:24" ht="20.100000000000001" customHeight="1" x14ac:dyDescent="0.2">
      <c r="A11" s="5" t="str">
        <f>HYPERLINK("#'Input - Pasture Beef'!A1", "Pasture Beef")</f>
        <v>Pasture Beef</v>
      </c>
      <c r="D11" s="1" t="s">
        <v>107</v>
      </c>
      <c r="E11" s="13"/>
      <c r="F11" s="16" t="s">
        <v>106</v>
      </c>
      <c r="G11" s="1"/>
      <c r="N11" s="40"/>
    </row>
    <row r="12" spans="1:24" ht="20.100000000000001" customHeight="1" x14ac:dyDescent="0.2">
      <c r="A12" s="5" t="str">
        <f>HYPERLINK("#'Input - Livestock sales'!A1", "Livestock sales")</f>
        <v>Livestock sales</v>
      </c>
      <c r="D12" s="1" t="s">
        <v>108</v>
      </c>
      <c r="E12" s="13"/>
      <c r="F12" s="16" t="s">
        <v>106</v>
      </c>
    </row>
    <row r="13" spans="1:24" ht="20.100000000000001" customHeight="1" x14ac:dyDescent="0.2">
      <c r="A13" s="5" t="str">
        <f>HYPERLINK("#'Input - Beef cattle purchases'!A1", "Beef cattle purchases")</f>
        <v>Beef cattle purchases</v>
      </c>
      <c r="D13" s="1" t="s">
        <v>45</v>
      </c>
      <c r="E13" s="34"/>
      <c r="F13" s="16" t="s">
        <v>109</v>
      </c>
      <c r="N13" s="42"/>
      <c r="O13" s="42"/>
    </row>
    <row r="14" spans="1:24" ht="20.100000000000001" customHeight="1" x14ac:dyDescent="0.2">
      <c r="A14" s="5" t="str">
        <f>HYPERLINK("#'Input - Pasture'!A1", "Pasture")</f>
        <v>Pasture</v>
      </c>
      <c r="D14" s="1" t="s">
        <v>110</v>
      </c>
      <c r="E14" s="34"/>
      <c r="F14" s="16" t="s">
        <v>111</v>
      </c>
      <c r="N14" s="42"/>
      <c r="O14" s="42"/>
    </row>
    <row r="15" spans="1:24" ht="20.100000000000001" customHeight="1" x14ac:dyDescent="0.2">
      <c r="A15" s="5" t="str">
        <f>HYPERLINK("#'Input - Fert Prod System'!A1", "Fert Prod System")</f>
        <v>Fert Prod System</v>
      </c>
      <c r="D15" s="1" t="s">
        <v>112</v>
      </c>
      <c r="E15" s="34"/>
      <c r="F15" s="16" t="s">
        <v>113</v>
      </c>
      <c r="N15" s="42"/>
      <c r="O15" s="42"/>
    </row>
    <row r="16" spans="1:24" ht="20.100000000000001" customHeight="1" x14ac:dyDescent="0.2">
      <c r="A16" s="5" t="str">
        <f>HYPERLINK("#'Input - Fertiliser'!A1", "Fertiliser")</f>
        <v>Fertiliser</v>
      </c>
      <c r="D16" s="12" t="s">
        <v>114</v>
      </c>
      <c r="E16" s="34"/>
      <c r="F16" s="16" t="s">
        <v>113</v>
      </c>
      <c r="N16" s="42"/>
      <c r="O16" s="42"/>
    </row>
    <row r="17" spans="1:25" ht="20.100000000000001" customHeight="1" x14ac:dyDescent="0.2">
      <c r="A17" s="5" t="str">
        <f>HYPERLINK("#'Input - Fuel'!A1", "Fuel")</f>
        <v>Fuel</v>
      </c>
      <c r="D17" s="1" t="s">
        <v>115</v>
      </c>
      <c r="E17" s="34"/>
      <c r="F17" s="16" t="s">
        <v>116</v>
      </c>
    </row>
    <row r="18" spans="1:25" ht="20.100000000000001" customHeight="1" x14ac:dyDescent="0.2">
      <c r="A18" s="5" t="str">
        <f>HYPERLINK("#'Input - Electricity'!A1", "Electricity")</f>
        <v>Electricity</v>
      </c>
      <c r="D18" s="12" t="s">
        <v>117</v>
      </c>
      <c r="E18" s="15" t="e">
        <f>E15/E16</f>
        <v>#DIV/0!</v>
      </c>
      <c r="F18" s="16"/>
    </row>
    <row r="19" spans="1:25" ht="20.100000000000001" customHeight="1" x14ac:dyDescent="0.2">
      <c r="A19" s="5" t="str">
        <f>HYPERLINK("#'Input - Common farm inputs'!A1", "Common farm inputs")</f>
        <v>Common farm inputs</v>
      </c>
      <c r="D19" s="12" t="s">
        <v>73</v>
      </c>
      <c r="E19" s="15" t="str">
        <f>Common_InputFunctions.Utility_LookupItemFromMinMax(E15,Table_SourceData_RainfallZones[Min rainfall],Table_SourceData_RainfallZones[Max rainfall],Table_SourceData_RainfallZones[Rainfall Zone])</f>
        <v>Low rainfall</v>
      </c>
      <c r="G19" s="50"/>
      <c r="N19" s="31"/>
    </row>
    <row r="20" spans="1:25" ht="20.100000000000001" customHeight="1" x14ac:dyDescent="0.2">
      <c r="A20" s="5" t="str">
        <f>HYPERLINK("#'Input - Crop pasture farm input'!A1", "Crop pasture farm input")</f>
        <v>Crop pasture farm input</v>
      </c>
      <c r="D20" s="1" t="s">
        <v>40</v>
      </c>
      <c r="E20" s="15" t="e">
        <f>Common_InputFunctions.Utility_GetClimateZone(E14,E15,E17,E13,E18,Table_SourceData_ClimateZones[Min temp],Table_SourceData_ClimateZones[Max temp],Table_SourceData_ClimateZones[Min rainfall],Table_SourceData_ClimateZones[Max rainfall],Table_SourceData_ClimateZones[Min frost days],Table_SourceData_ClimateZones[Max frost days],Table_SourceData_ClimateZones[Min elevation],Table_SourceData_ClimateZones[Max elevation],Table_SourceData_ClimateZones[Min MAP:PET],Table_SourceData_ClimateZones[Max MAP:PET],Table_SourceData_ClimateZones[Climate zone])</f>
        <v>#DIV/0!</v>
      </c>
      <c r="F20" s="1"/>
      <c r="G20" s="49"/>
      <c r="N20" s="33"/>
    </row>
    <row r="21" spans="1:25" ht="20.100000000000001" customHeight="1" x14ac:dyDescent="0.2">
      <c r="A21" s="5" t="str">
        <f>HYPERLINK("#'Input - Livestock farm Inputs'!A1", "Livestock farm Inputs")</f>
        <v>Livestock farm Inputs</v>
      </c>
      <c r="D21" s="1" t="s">
        <v>118</v>
      </c>
      <c r="E21" s="15" t="e">
        <f>Common_InputFunctions.Utility_LookupValueInTable($E$20,Table_SourceData_WetDryZones[Climate zone],Table_SourceData_WetDryZones[Wet or Dry Zone])</f>
        <v>#DIV/0!</v>
      </c>
      <c r="F21" s="1"/>
      <c r="G21" s="49"/>
    </row>
    <row r="22" spans="1:25" ht="20.100000000000001" customHeight="1" x14ac:dyDescent="0.2">
      <c r="A22" s="5" t="str">
        <f>HYPERLINK("#'Input - Freight'!A1", "Freight")</f>
        <v>Freight</v>
      </c>
      <c r="D22" s="1" t="s">
        <v>77</v>
      </c>
      <c r="E22" s="15" t="str">
        <f>Common_InputFunctions.Utility_LookupItemFromMinMax(E14,Table_SourceData_TemperatureZones[Min MAT],Table_SourceData_TemperatureZones[Max MAT],Table_SourceData_TemperatureZones[Temperature Zone])</f>
        <v>Cool</v>
      </c>
      <c r="G22" s="53"/>
    </row>
    <row r="23" spans="1:25" ht="20.100000000000001" customHeight="1" x14ac:dyDescent="0.2">
      <c r="A23" s="5" t="str">
        <f>HYPERLINK("#'Input - Solid waste'!A1", "Solid waste")</f>
        <v>Solid waste</v>
      </c>
    </row>
    <row r="24" spans="1:25" ht="20.100000000000001" customHeight="1" x14ac:dyDescent="0.2">
      <c r="A24" s="5" t="str">
        <f>HYPERLINK("#'Input - Manure sent off-site'!A1", "Manure sent off-site")</f>
        <v>Manure sent off-site</v>
      </c>
    </row>
    <row r="25" spans="1:25" ht="20.100000000000001" customHeight="1" x14ac:dyDescent="0.2">
      <c r="A25" s="5" t="str">
        <f>HYPERLINK("#'Input - Data quality'!A1", "Data quality")</f>
        <v>Data quality</v>
      </c>
      <c r="N25" s="33"/>
    </row>
    <row r="26" spans="1:25" ht="20.100000000000001" customHeight="1" x14ac:dyDescent="0.2">
      <c r="A26"/>
    </row>
    <row r="27" spans="1:25" ht="20.100000000000001" customHeight="1" x14ac:dyDescent="0.2">
      <c r="A27"/>
    </row>
    <row r="28" spans="1:25" ht="20.100000000000001" customHeight="1" x14ac:dyDescent="0.2">
      <c r="A28" s="6" t="s">
        <v>2</v>
      </c>
    </row>
    <row r="29" spans="1:25" ht="20.100000000000001" customHeight="1" x14ac:dyDescent="0.2">
      <c r="A29" s="5" t="str">
        <f>HYPERLINK("#'3.2.1.1-2 Enteric Methane'!A1", "3.2.1.1-2 Enteric Methane")</f>
        <v>3.2.1.1-2 Enteric Methane</v>
      </c>
    </row>
    <row r="30" spans="1:25" ht="20.100000000000001" customHeight="1" x14ac:dyDescent="0.2">
      <c r="A30" s="5" t="str">
        <f>HYPERLINK("#'4.2.1.1-2 Methane'!A1", "4.2.1.1-2 Manure methane")</f>
        <v>4.2.1.1-2 Manure methane</v>
      </c>
      <c r="L30" s="51"/>
      <c r="M30" s="51"/>
      <c r="N30" s="51"/>
      <c r="O30" s="51"/>
      <c r="P30" s="51"/>
      <c r="Q30" s="51"/>
      <c r="R30" s="51"/>
      <c r="S30" s="51"/>
      <c r="T30" s="51"/>
      <c r="U30" s="51"/>
      <c r="V30" s="51"/>
      <c r="W30" s="51"/>
      <c r="X30" s="51"/>
      <c r="Y30" s="51"/>
    </row>
    <row r="31" spans="1:25" ht="20.100000000000001" customHeight="1" x14ac:dyDescent="0.2">
      <c r="A31" s="5" t="str">
        <f>HYPERLINK("#'4.2.1.3-4 Soil direct N20'!A1", "4.2.1.3-4 Soil direct N2O")</f>
        <v>4.2.1.3-4 Soil direct N2O</v>
      </c>
      <c r="L31" s="52"/>
      <c r="M31" s="52"/>
      <c r="N31" s="52"/>
      <c r="O31" s="52"/>
      <c r="P31" s="52"/>
      <c r="Q31" s="52"/>
      <c r="R31" s="52"/>
      <c r="S31" s="52"/>
      <c r="T31" s="52"/>
      <c r="U31" s="52"/>
      <c r="V31" s="52"/>
      <c r="W31" s="52"/>
      <c r="X31" s="52"/>
      <c r="Y31" s="52"/>
    </row>
    <row r="32" spans="1:25" ht="20.100000000000001" customHeight="1" x14ac:dyDescent="0.2">
      <c r="A32" s="5" t="str">
        <f>HYPERLINK("#'4.2.1.5-6 Soil Atmos Dep'!A1", "4.2.1.5-6 Soil atm. deposition")</f>
        <v>4.2.1.5-6 Soil atm. deposition</v>
      </c>
      <c r="L32" s="52"/>
      <c r="M32" s="52"/>
      <c r="N32" s="52"/>
      <c r="O32" s="52"/>
      <c r="P32" s="52"/>
      <c r="Q32" s="52"/>
      <c r="R32" s="52"/>
      <c r="S32" s="52"/>
      <c r="T32" s="52"/>
      <c r="U32" s="52"/>
      <c r="V32" s="52"/>
      <c r="W32" s="52"/>
      <c r="X32" s="52"/>
      <c r="Y32" s="52"/>
    </row>
    <row r="33" spans="1:25" ht="20.100000000000001" customHeight="1" x14ac:dyDescent="0.2">
      <c r="A33" s="5" t="str">
        <f>HYPERLINK("#'4.2.1.7-8 Soil leach runoff'!A1", "4.2.1.7-8 Soil leach &amp; runoff")</f>
        <v>4.2.1.7-8 Soil leach &amp; runoff</v>
      </c>
      <c r="L33" s="52"/>
      <c r="M33" s="52"/>
      <c r="N33" s="52"/>
      <c r="O33" s="52"/>
      <c r="P33" s="52"/>
      <c r="Q33" s="52"/>
      <c r="R33" s="52"/>
      <c r="S33" s="52"/>
      <c r="T33" s="52"/>
      <c r="U33" s="52"/>
      <c r="V33" s="52"/>
      <c r="W33" s="52"/>
      <c r="X33" s="52"/>
      <c r="Y33" s="52"/>
    </row>
    <row r="34" spans="1:25" ht="20.100000000000001" customHeight="1" x14ac:dyDescent="0.2">
      <c r="A34" s="5" t="str">
        <f>HYPERLINK("#'5.1.1.1-2 Inorganic fert N2O'!A1", "5.1.1.1-2 Inorganic fert N2O")</f>
        <v>5.1.1.1-2 Inorganic fert N2O</v>
      </c>
      <c r="J34" s="54"/>
      <c r="K34" s="55"/>
      <c r="L34" s="52"/>
      <c r="M34" s="52"/>
      <c r="N34" s="52"/>
      <c r="O34" s="52"/>
      <c r="P34" s="52"/>
      <c r="Q34" s="52"/>
      <c r="R34" s="52"/>
      <c r="S34" s="52"/>
      <c r="T34" s="52"/>
      <c r="U34" s="52"/>
      <c r="V34" s="52"/>
      <c r="W34" s="52"/>
      <c r="X34" s="52"/>
      <c r="Y34" s="52"/>
    </row>
    <row r="35" spans="1:25" ht="20.100000000000001" customHeight="1" x14ac:dyDescent="0.2">
      <c r="A35" s="5" t="str">
        <f>HYPERLINK("#'5.1.1.3-4 Inorganic fert CO2'!A1", "5.1.1.3-4 Inorganic fert CO2")</f>
        <v>5.1.1.3-4 Inorganic fert CO2</v>
      </c>
      <c r="J35" s="54"/>
      <c r="K35" s="55"/>
      <c r="L35" s="52"/>
      <c r="M35" s="52"/>
      <c r="N35" s="52"/>
      <c r="O35" s="52"/>
      <c r="P35" s="52"/>
      <c r="Q35" s="52"/>
      <c r="R35" s="52"/>
      <c r="S35" s="52"/>
      <c r="T35" s="52"/>
      <c r="U35" s="52"/>
      <c r="V35" s="52"/>
      <c r="W35" s="52"/>
      <c r="X35" s="52"/>
      <c r="Y35" s="52"/>
    </row>
    <row r="36" spans="1:25" ht="20.100000000000001" customHeight="1" x14ac:dyDescent="0.2">
      <c r="A36" s="5" t="str">
        <f>HYPERLINK("#'5.2.1.1-2 Organic Fert N2O'!A1", "5.2.1.1-2 Organic fert N2O")</f>
        <v>5.2.1.1-2 Organic fert N2O</v>
      </c>
      <c r="D36" s="56"/>
      <c r="E36" s="56"/>
      <c r="F36" s="57"/>
      <c r="G36" s="54"/>
      <c r="H36" s="54"/>
      <c r="I36" s="58"/>
      <c r="J36" s="54"/>
      <c r="K36" s="55"/>
      <c r="L36" s="52"/>
      <c r="M36" s="52"/>
      <c r="N36" s="52"/>
      <c r="O36" s="52"/>
      <c r="P36" s="52"/>
      <c r="Q36" s="52"/>
      <c r="R36" s="52"/>
      <c r="S36" s="52"/>
      <c r="T36" s="52"/>
      <c r="U36" s="52"/>
      <c r="V36" s="52"/>
      <c r="W36" s="52"/>
      <c r="X36" s="52"/>
      <c r="Y36" s="52"/>
    </row>
    <row r="37" spans="1:25" ht="20.100000000000001" customHeight="1" x14ac:dyDescent="0.2">
      <c r="A37" s="5" t="str">
        <f>HYPERLINK("#'5.3.1.1-2 Lime CO2'!A1", "5.3.1.1-2 Lime CO2")</f>
        <v>5.3.1.1-2 Lime CO2</v>
      </c>
      <c r="D37" s="56"/>
      <c r="E37" s="56"/>
      <c r="F37" s="57"/>
      <c r="G37" s="54"/>
      <c r="H37" s="54"/>
      <c r="I37" s="58"/>
      <c r="J37" s="54"/>
      <c r="K37" s="55"/>
      <c r="L37" s="52"/>
      <c r="M37" s="52"/>
      <c r="N37" s="52"/>
      <c r="O37" s="52"/>
      <c r="P37" s="52"/>
      <c r="Q37" s="52"/>
      <c r="R37" s="52"/>
      <c r="S37" s="52"/>
      <c r="T37" s="52"/>
      <c r="U37" s="52"/>
      <c r="V37" s="52"/>
      <c r="W37" s="52"/>
      <c r="X37" s="52"/>
      <c r="Y37" s="52"/>
    </row>
    <row r="38" spans="1:25" ht="20.100000000000001" customHeight="1" x14ac:dyDescent="0.2">
      <c r="A38" s="5" t="str">
        <f>HYPERLINK("#'5.4.1.1-4 Atmos deposition'!A1", "5.4.1.1-4 Atmos. deposition")</f>
        <v>5.4.1.1-4 Atmos. deposition</v>
      </c>
      <c r="D38" s="56"/>
      <c r="E38" s="56"/>
      <c r="F38" s="57"/>
      <c r="G38" s="54"/>
      <c r="H38" s="54"/>
      <c r="I38" s="58"/>
      <c r="J38" s="54"/>
      <c r="K38" s="55"/>
      <c r="L38" s="52"/>
      <c r="M38" s="52"/>
      <c r="N38" s="52"/>
      <c r="O38" s="52"/>
      <c r="P38" s="52"/>
      <c r="Q38" s="52"/>
      <c r="R38" s="52"/>
      <c r="S38" s="52"/>
      <c r="T38" s="52"/>
      <c r="U38" s="52"/>
      <c r="V38" s="52"/>
      <c r="W38" s="52"/>
      <c r="X38" s="52"/>
      <c r="Y38" s="52"/>
    </row>
    <row r="39" spans="1:25" ht="20.100000000000001" customHeight="1" x14ac:dyDescent="0.2">
      <c r="A39" s="5" t="str">
        <f>HYPERLINK("#'5.5.1.1-2 Leaching and runoff'!A1", "5.5.1.1-2 Leaching &amp; runoff")</f>
        <v>5.5.1.1-2 Leaching &amp; runoff</v>
      </c>
      <c r="D39" s="56"/>
      <c r="E39" s="56"/>
      <c r="F39" s="57"/>
      <c r="G39" s="54"/>
      <c r="H39" s="54"/>
      <c r="I39" s="58"/>
      <c r="J39" s="54"/>
      <c r="K39" s="55"/>
      <c r="L39" s="52"/>
      <c r="M39" s="52"/>
      <c r="N39" s="52"/>
      <c r="O39" s="52"/>
      <c r="P39" s="52"/>
      <c r="Q39" s="52"/>
      <c r="R39" s="52"/>
      <c r="S39" s="52"/>
      <c r="T39" s="52"/>
      <c r="U39" s="52"/>
      <c r="V39" s="52"/>
      <c r="W39" s="52"/>
      <c r="X39" s="52"/>
      <c r="Y39" s="52"/>
    </row>
    <row r="40" spans="1:25" ht="20.100000000000001" customHeight="1" x14ac:dyDescent="0.2">
      <c r="A40" s="5" t="str">
        <f>HYPERLINK("#'6.2.1.1-2 Pasture residue N2O'!A1", "6.2.1.1-2 Pasture residue N2O")</f>
        <v>6.2.1.1-2 Pasture residue N2O</v>
      </c>
      <c r="D40" s="59"/>
      <c r="E40" s="59"/>
      <c r="F40" s="59"/>
      <c r="G40" s="60"/>
      <c r="H40" s="61"/>
      <c r="I40" s="61"/>
      <c r="J40" s="61"/>
      <c r="K40" s="61"/>
      <c r="L40" s="62"/>
      <c r="M40" s="62"/>
      <c r="N40" s="62"/>
      <c r="O40" s="62"/>
      <c r="P40" s="62"/>
      <c r="Q40" s="62"/>
      <c r="R40" s="62"/>
      <c r="S40" s="62"/>
      <c r="T40" s="62"/>
      <c r="U40" s="62"/>
      <c r="V40" s="62"/>
      <c r="W40" s="62"/>
      <c r="X40" s="62"/>
      <c r="Y40" s="62"/>
    </row>
    <row r="41" spans="1:25" ht="20.100000000000001" customHeight="1" x14ac:dyDescent="0.2">
      <c r="A41" s="5" t="str">
        <f>HYPERLINK("#'6.3.1.1-2 Leach runoff pasture'!A1", "6.3.1.1-2 Leach &amp; runoff (pasture)")</f>
        <v>6.3.1.1-2 Leach &amp; runoff (pasture)</v>
      </c>
    </row>
    <row r="42" spans="1:25" ht="20.100000000000001" customHeight="1" x14ac:dyDescent="0.2">
      <c r="A42" s="5" t="str">
        <f>HYPERLINK("#'8.1.1.1-2 Transport fuel'!A1", "8.1.1.1-2 Transport fuel")</f>
        <v>8.1.1.1-2 Transport fuel</v>
      </c>
    </row>
    <row r="43" spans="1:25" ht="20.100000000000001" customHeight="1" x14ac:dyDescent="0.2">
      <c r="A43" s="5" t="str">
        <f>HYPERLINK("#'8.2.1.1-2 Stationary fuel'!A1", "8.2.1.1-2 Stationary fuel")</f>
        <v>8.2.1.1-2 Stationary fuel</v>
      </c>
    </row>
    <row r="44" spans="1:25" ht="20.100000000000001" customHeight="1" x14ac:dyDescent="0.2">
      <c r="A44" s="5" t="str">
        <f>HYPERLINK("#'10.1.1-2 Solid waste treatment'!A1", "10.1.1.1-2 Solid waste")</f>
        <v>10.1.1.1-2 Solid waste</v>
      </c>
    </row>
    <row r="45" spans="1:25" ht="20.100000000000001" customHeight="1" x14ac:dyDescent="0.2">
      <c r="A45" s="5" t="str">
        <f>HYPERLINK("#'14.1.1-2 Purchased electricity'!A1", "14.1.1-2 Purchased electricity")</f>
        <v>14.1.1-2 Purchased electricity</v>
      </c>
      <c r="D45" s="2"/>
    </row>
    <row r="46" spans="1:25" ht="20.100000000000001" customHeight="1" x14ac:dyDescent="0.2">
      <c r="A46" s="5" t="str">
        <f>HYPERLINK("#'15 Scope 3'!A1", "15 Scope 3")</f>
        <v>15 Scope 3</v>
      </c>
      <c r="D46" s="2"/>
    </row>
    <row r="47" spans="1:25" ht="20.100000000000001" customHeight="1" x14ac:dyDescent="0.2">
      <c r="A47" s="5" t="str">
        <f>HYPERLINK("#'Calcs - Manure sent off-site'!A1", "Calcs - Manure sent off-site")</f>
        <v>Calcs - Manure sent off-site</v>
      </c>
      <c r="D47" s="63"/>
      <c r="E47" s="63"/>
      <c r="F47" s="63"/>
      <c r="G47" s="63"/>
      <c r="H47" s="63"/>
    </row>
    <row r="48" spans="1:25" ht="20.100000000000001" customHeight="1" x14ac:dyDescent="0.2">
      <c r="A48"/>
      <c r="D48" s="64"/>
      <c r="E48" s="64"/>
      <c r="F48" s="65"/>
      <c r="G48" s="65"/>
      <c r="H48" s="64"/>
    </row>
    <row r="49" spans="1:8" ht="20.100000000000001" customHeight="1" x14ac:dyDescent="0.2">
      <c r="A49"/>
      <c r="D49" s="64"/>
      <c r="E49" s="64"/>
      <c r="F49" s="65"/>
      <c r="G49" s="65"/>
      <c r="H49" s="64"/>
    </row>
    <row r="50" spans="1:8" ht="20.100000000000001" customHeight="1" x14ac:dyDescent="0.2">
      <c r="A50" s="85" t="s">
        <v>1</v>
      </c>
      <c r="D50" s="64"/>
      <c r="E50" s="64"/>
      <c r="F50" s="65"/>
      <c r="G50" s="65"/>
      <c r="H50" s="64"/>
    </row>
    <row r="51" spans="1:8" ht="20.100000000000001" customHeight="1" x14ac:dyDescent="0.2">
      <c r="A51" s="5" t="str">
        <f>HYPERLINK("#'Constants - Pasture Beef'!A1", "Constants - Pasture Beef")</f>
        <v>Constants - Pasture Beef</v>
      </c>
      <c r="D51" s="66"/>
      <c r="E51" s="67"/>
      <c r="F51" s="67"/>
      <c r="G51" s="67"/>
      <c r="H51" s="68"/>
    </row>
    <row r="52" spans="1:8" ht="20.100000000000001" customHeight="1" x14ac:dyDescent="0.2">
      <c r="A52" s="5" t="str">
        <f>HYPERLINK("#'Constants - Ag Residue'!A1", "Constants - Ag residue")</f>
        <v>Constants - Ag residue</v>
      </c>
    </row>
    <row r="53" spans="1:8" ht="20.100000000000001" customHeight="1" x14ac:dyDescent="0.2">
      <c r="A53" s="5" t="str">
        <f>HYPERLINK("#'Constants - Common Livestock'!A1", "Constants - Common Livestock")</f>
        <v>Constants - Common Livestock</v>
      </c>
    </row>
    <row r="54" spans="1:8" ht="20.100000000000001" customHeight="1" x14ac:dyDescent="0.2">
      <c r="A54" s="5" t="str">
        <f>HYPERLINK("#'Constants - Electricity'!A1", "Constants - Electricity")</f>
        <v>Constants - Electricity</v>
      </c>
      <c r="G54" s="69"/>
    </row>
    <row r="55" spans="1:8" ht="20.100000000000001" customHeight="1" x14ac:dyDescent="0.2">
      <c r="A55" s="5" t="str">
        <f>HYPERLINK("#'Constants - Fertiliser'!A1", "Constants - Fertiliser")</f>
        <v>Constants - Fertiliser</v>
      </c>
      <c r="D55" s="2"/>
    </row>
    <row r="56" spans="1:8" ht="20.100000000000001" customHeight="1" x14ac:dyDescent="0.2">
      <c r="A56" s="5" t="str">
        <f>HYPERLINK("#'Constants - Fuel'!A1", "Constants - Fuel")</f>
        <v>Constants - Fuel</v>
      </c>
    </row>
    <row r="57" spans="1:8" ht="20.100000000000001" customHeight="1" x14ac:dyDescent="0.2">
      <c r="A57" s="5" t="str">
        <f>HYPERLINK("#'Constants - Scope 3'!A1", "Constants - Scope 3")</f>
        <v>Constants - Scope 3</v>
      </c>
      <c r="D57" s="70"/>
      <c r="F57" s="71"/>
    </row>
    <row r="58" spans="1:8" ht="20.100000000000001" customHeight="1" x14ac:dyDescent="0.2">
      <c r="A58" s="5" t="str">
        <f>HYPERLINK("#'Constants - Solid Waste'!A1", "Constants - Solid Waste")</f>
        <v>Constants - Solid Waste</v>
      </c>
      <c r="D58" s="1"/>
      <c r="E58" s="72"/>
    </row>
    <row r="59" spans="1:8" ht="20.100000000000001" customHeight="1" x14ac:dyDescent="0.2">
      <c r="A59" s="5" t="str">
        <f>HYPERLINK("#'Constants - Common'!A1", "Constants - Common")</f>
        <v>Constants - Common</v>
      </c>
      <c r="D59" s="1"/>
      <c r="E59" s="72"/>
    </row>
    <row r="60" spans="1:8" ht="20.100000000000001" customHeight="1" x14ac:dyDescent="0.2">
      <c r="A60" s="5" t="str">
        <f>HYPERLINK("#'Acknowledgements'!A1", "Acknowledgements")</f>
        <v>Acknowledgements</v>
      </c>
      <c r="D60" s="1"/>
      <c r="E60" s="73"/>
    </row>
    <row r="61" spans="1:8" ht="20.100000000000001" customHeight="1" x14ac:dyDescent="0.2">
      <c r="A61"/>
      <c r="D61" s="1"/>
    </row>
    <row r="62" spans="1:8" ht="20.100000000000001" customHeight="1" x14ac:dyDescent="0.2">
      <c r="A62"/>
    </row>
    <row r="63" spans="1:8" ht="20.100000000000001" customHeight="1" x14ac:dyDescent="0.2">
      <c r="A63"/>
      <c r="D63" s="70"/>
    </row>
    <row r="64" spans="1:8" ht="20.100000000000001" customHeight="1" x14ac:dyDescent="0.2">
      <c r="A64"/>
      <c r="D64" s="1"/>
      <c r="E64" s="72"/>
    </row>
    <row r="65" spans="1:9" ht="20.100000000000001" customHeight="1" x14ac:dyDescent="0.2">
      <c r="A65"/>
      <c r="D65" s="1"/>
      <c r="E65" s="72"/>
    </row>
    <row r="66" spans="1:9" ht="20.100000000000001" customHeight="1" x14ac:dyDescent="0.2">
      <c r="A66"/>
      <c r="D66" s="1"/>
      <c r="E66" s="73"/>
    </row>
    <row r="67" spans="1:9" ht="20.100000000000001" customHeight="1" x14ac:dyDescent="0.2">
      <c r="A67"/>
    </row>
    <row r="68" spans="1:9" ht="20.100000000000001" customHeight="1" x14ac:dyDescent="0.2">
      <c r="A68"/>
    </row>
    <row r="69" spans="1:9" ht="20.100000000000001" customHeight="1" x14ac:dyDescent="0.2">
      <c r="A69"/>
      <c r="D69" s="74"/>
      <c r="E69" s="74"/>
      <c r="F69" s="74"/>
      <c r="G69" s="74"/>
      <c r="H69" s="74"/>
      <c r="I69" s="74"/>
    </row>
    <row r="70" spans="1:9" ht="20.100000000000001" customHeight="1" x14ac:dyDescent="0.2">
      <c r="A70"/>
      <c r="D70" s="74"/>
      <c r="E70" s="74"/>
      <c r="F70" s="74"/>
      <c r="G70" s="74"/>
      <c r="H70" s="74"/>
      <c r="I70" s="74"/>
    </row>
    <row r="71" spans="1:9" ht="20.100000000000001" customHeight="1" x14ac:dyDescent="0.2">
      <c r="A71"/>
      <c r="D71" s="74"/>
      <c r="E71" s="74"/>
      <c r="F71" s="74"/>
      <c r="G71" s="74"/>
      <c r="H71" s="74"/>
      <c r="I71" s="74"/>
    </row>
    <row r="72" spans="1:9" ht="20.100000000000001" customHeight="1" x14ac:dyDescent="0.2">
      <c r="A72"/>
      <c r="D72" s="74"/>
      <c r="E72" s="74"/>
      <c r="F72" s="74"/>
      <c r="G72" s="74"/>
      <c r="H72" s="74"/>
      <c r="I72" s="74"/>
    </row>
    <row r="73" spans="1:9" ht="20.100000000000001" customHeight="1" x14ac:dyDescent="0.2">
      <c r="A73"/>
    </row>
    <row r="74" spans="1:9" ht="20.100000000000001" customHeight="1" x14ac:dyDescent="0.2">
      <c r="A74"/>
    </row>
    <row r="75" spans="1:9" ht="20.100000000000001" customHeight="1" x14ac:dyDescent="0.2">
      <c r="A75"/>
    </row>
    <row r="76" spans="1:9" ht="20.100000000000001" customHeight="1" x14ac:dyDescent="0.2">
      <c r="A76"/>
    </row>
    <row r="77" spans="1:9" ht="20.100000000000001" customHeight="1" x14ac:dyDescent="0.2">
      <c r="A77"/>
    </row>
    <row r="78" spans="1:9" ht="20.100000000000001" customHeight="1" x14ac:dyDescent="0.2">
      <c r="A78"/>
      <c r="D78" s="75"/>
    </row>
    <row r="79" spans="1:9" ht="20.100000000000001" customHeight="1" x14ac:dyDescent="0.2">
      <c r="A79"/>
      <c r="D79" s="75"/>
    </row>
    <row r="80" spans="1:9" ht="20.100000000000001" customHeight="1" x14ac:dyDescent="0.2">
      <c r="A80"/>
      <c r="D80" s="75"/>
    </row>
    <row r="81" spans="1:4" ht="20.100000000000001" customHeight="1" x14ac:dyDescent="0.2">
      <c r="A81"/>
      <c r="D81" s="75"/>
    </row>
    <row r="82" spans="1:4" ht="20.100000000000001" customHeight="1" x14ac:dyDescent="0.2">
      <c r="A82"/>
      <c r="D82" s="75"/>
    </row>
    <row r="83" spans="1:4" ht="20.100000000000001" customHeight="1" x14ac:dyDescent="0.2">
      <c r="A83"/>
    </row>
    <row r="84" spans="1:4" ht="20.100000000000001" customHeight="1" x14ac:dyDescent="0.2">
      <c r="A84"/>
    </row>
    <row r="85" spans="1:4" ht="20.100000000000001" customHeight="1" x14ac:dyDescent="0.2">
      <c r="A85"/>
    </row>
    <row r="86" spans="1:4" ht="20.100000000000001" customHeight="1" x14ac:dyDescent="0.2">
      <c r="A86"/>
    </row>
    <row r="87" spans="1:4" ht="20.100000000000001" customHeight="1" x14ac:dyDescent="0.2">
      <c r="A87"/>
    </row>
    <row r="88" spans="1:4" ht="20.100000000000001" customHeight="1" x14ac:dyDescent="0.2">
      <c r="A88"/>
    </row>
    <row r="89" spans="1:4" ht="20.100000000000001" customHeight="1" x14ac:dyDescent="0.2">
      <c r="A89"/>
    </row>
    <row r="90" spans="1:4" ht="20.100000000000001" customHeight="1" x14ac:dyDescent="0.2">
      <c r="A90"/>
    </row>
    <row r="91" spans="1:4" ht="20.100000000000001" customHeight="1" x14ac:dyDescent="0.2">
      <c r="A91"/>
    </row>
    <row r="92" spans="1:4" ht="20.100000000000001" customHeight="1" x14ac:dyDescent="0.2">
      <c r="A92"/>
    </row>
    <row r="93" spans="1:4" ht="20.100000000000001" customHeight="1" x14ac:dyDescent="0.2">
      <c r="A93"/>
    </row>
    <row r="94" spans="1:4" ht="20.100000000000001" customHeight="1" x14ac:dyDescent="0.2">
      <c r="A94"/>
    </row>
    <row r="95" spans="1:4" ht="20.100000000000001" customHeight="1" x14ac:dyDescent="0.2">
      <c r="A95"/>
    </row>
    <row r="96" spans="1:4" ht="20.100000000000001" customHeight="1" x14ac:dyDescent="0.2">
      <c r="A96"/>
    </row>
    <row r="97" spans="1:1" ht="20.100000000000001" customHeight="1" x14ac:dyDescent="0.2">
      <c r="A97"/>
    </row>
    <row r="98" spans="1:1" ht="20.100000000000001" customHeight="1" x14ac:dyDescent="0.2">
      <c r="A98"/>
    </row>
    <row r="99" spans="1:1" ht="20.100000000000001" customHeight="1" x14ac:dyDescent="0.2">
      <c r="A99"/>
    </row>
    <row r="100" spans="1:1" ht="20.100000000000001" customHeight="1" x14ac:dyDescent="0.2">
      <c r="A100"/>
    </row>
    <row r="101" spans="1:1" ht="20.100000000000001" customHeight="1" x14ac:dyDescent="0.2">
      <c r="A101"/>
    </row>
    <row r="102" spans="1:1" ht="20.100000000000001" customHeight="1" x14ac:dyDescent="0.2">
      <c r="A102"/>
    </row>
    <row r="103" spans="1:1" ht="20.100000000000001" customHeight="1" x14ac:dyDescent="0.2">
      <c r="A103"/>
    </row>
    <row r="104" spans="1:1" ht="20.100000000000001" customHeight="1" x14ac:dyDescent="0.2">
      <c r="A104"/>
    </row>
    <row r="105" spans="1:1" ht="20.100000000000001" customHeight="1" x14ac:dyDescent="0.2">
      <c r="A105"/>
    </row>
    <row r="106" spans="1:1" ht="20.100000000000001" customHeight="1" x14ac:dyDescent="0.2">
      <c r="A106"/>
    </row>
    <row r="107" spans="1:1" ht="20.100000000000001" customHeight="1" x14ac:dyDescent="0.2">
      <c r="A107"/>
    </row>
    <row r="108" spans="1:1" ht="20.100000000000001" customHeight="1" x14ac:dyDescent="0.2">
      <c r="A108"/>
    </row>
    <row r="109" spans="1:1" ht="20.100000000000001" customHeight="1" x14ac:dyDescent="0.2">
      <c r="A109"/>
    </row>
    <row r="110" spans="1:1" ht="20.100000000000001" customHeight="1" x14ac:dyDescent="0.2">
      <c r="A110"/>
    </row>
    <row r="111" spans="1:1" ht="20.100000000000001" customHeight="1" x14ac:dyDescent="0.2">
      <c r="A111"/>
    </row>
    <row r="112" spans="1:1" ht="20.100000000000001" customHeight="1" x14ac:dyDescent="0.2">
      <c r="A112"/>
    </row>
    <row r="113" spans="1:1" ht="20.100000000000001" customHeight="1" x14ac:dyDescent="0.2">
      <c r="A113"/>
    </row>
    <row r="114" spans="1:1" ht="20.100000000000001" customHeight="1" x14ac:dyDescent="0.2">
      <c r="A114"/>
    </row>
    <row r="115" spans="1:1" ht="20.100000000000001" customHeight="1" x14ac:dyDescent="0.2">
      <c r="A115"/>
    </row>
    <row r="116" spans="1:1" ht="20.100000000000001" customHeight="1" x14ac:dyDescent="0.2">
      <c r="A116"/>
    </row>
    <row r="117" spans="1:1" ht="20.100000000000001" customHeight="1" x14ac:dyDescent="0.2">
      <c r="A117"/>
    </row>
    <row r="118" spans="1:1" ht="20.100000000000001" customHeight="1" x14ac:dyDescent="0.2">
      <c r="A118"/>
    </row>
    <row r="119" spans="1:1" ht="20.100000000000001" customHeight="1" x14ac:dyDescent="0.2">
      <c r="A119"/>
    </row>
    <row r="120" spans="1:1" ht="20.100000000000001" customHeight="1" x14ac:dyDescent="0.2">
      <c r="A120"/>
    </row>
    <row r="121" spans="1:1" ht="20.100000000000001" customHeight="1" x14ac:dyDescent="0.2">
      <c r="A121"/>
    </row>
    <row r="122" spans="1:1" ht="20.100000000000001" customHeight="1" x14ac:dyDescent="0.2">
      <c r="A122"/>
    </row>
    <row r="123" spans="1:1" ht="20.100000000000001" customHeight="1" x14ac:dyDescent="0.2">
      <c r="A123"/>
    </row>
    <row r="124" spans="1:1" ht="20.100000000000001" customHeight="1" x14ac:dyDescent="0.2">
      <c r="A124"/>
    </row>
    <row r="125" spans="1:1" ht="20.100000000000001" customHeight="1" x14ac:dyDescent="0.2">
      <c r="A125"/>
    </row>
    <row r="126" spans="1:1" ht="20.100000000000001" customHeight="1" x14ac:dyDescent="0.2">
      <c r="A126"/>
    </row>
    <row r="127" spans="1:1" ht="20.100000000000001" customHeight="1" x14ac:dyDescent="0.2">
      <c r="A127"/>
    </row>
    <row r="128" spans="1:1" ht="20.100000000000001" customHeight="1" x14ac:dyDescent="0.2">
      <c r="A128"/>
    </row>
    <row r="129" spans="1:1" ht="20.100000000000001" customHeight="1" x14ac:dyDescent="0.2">
      <c r="A129"/>
    </row>
    <row r="130" spans="1:1" ht="20.100000000000001" customHeight="1" x14ac:dyDescent="0.2">
      <c r="A130"/>
    </row>
    <row r="131" spans="1:1" ht="20.100000000000001" customHeight="1" x14ac:dyDescent="0.2">
      <c r="A131"/>
    </row>
    <row r="132" spans="1:1" ht="20.100000000000001" customHeight="1" x14ac:dyDescent="0.2">
      <c r="A132"/>
    </row>
    <row r="133" spans="1:1" ht="20.100000000000001" customHeight="1" x14ac:dyDescent="0.2">
      <c r="A133"/>
    </row>
    <row r="134" spans="1:1" ht="20.100000000000001" customHeight="1" x14ac:dyDescent="0.2">
      <c r="A134"/>
    </row>
    <row r="135" spans="1:1" ht="20.100000000000001" customHeight="1" x14ac:dyDescent="0.2">
      <c r="A135"/>
    </row>
    <row r="136" spans="1:1" ht="20.100000000000001" customHeight="1" x14ac:dyDescent="0.2">
      <c r="A136"/>
    </row>
    <row r="137" spans="1:1" ht="20.100000000000001" customHeight="1" x14ac:dyDescent="0.2">
      <c r="A137"/>
    </row>
    <row r="138" spans="1:1" ht="20.100000000000001" customHeight="1" x14ac:dyDescent="0.2">
      <c r="A138"/>
    </row>
    <row r="139" spans="1:1" ht="20.100000000000001" customHeight="1" x14ac:dyDescent="0.2">
      <c r="A139"/>
    </row>
    <row r="140" spans="1:1" ht="20.100000000000001" customHeight="1" x14ac:dyDescent="0.2">
      <c r="A140"/>
    </row>
    <row r="141" spans="1:1" ht="20.100000000000001" customHeight="1" x14ac:dyDescent="0.2">
      <c r="A141"/>
    </row>
    <row r="142" spans="1:1" ht="20.100000000000001" customHeight="1" x14ac:dyDescent="0.2">
      <c r="A142"/>
    </row>
    <row r="143" spans="1:1" ht="20.100000000000001" customHeight="1" x14ac:dyDescent="0.2">
      <c r="A143"/>
    </row>
    <row r="144" spans="1:1" ht="20.100000000000001" customHeight="1" x14ac:dyDescent="0.2">
      <c r="A144"/>
    </row>
    <row r="145" spans="1:1" ht="20.100000000000001" customHeight="1" x14ac:dyDescent="0.2">
      <c r="A145"/>
    </row>
    <row r="146" spans="1:1" ht="20.100000000000001" customHeight="1" x14ac:dyDescent="0.2">
      <c r="A146"/>
    </row>
    <row r="147" spans="1:1" ht="20.100000000000001" customHeight="1" x14ac:dyDescent="0.2">
      <c r="A147"/>
    </row>
    <row r="148" spans="1:1" ht="20.100000000000001" customHeight="1" x14ac:dyDescent="0.2">
      <c r="A148"/>
    </row>
    <row r="149" spans="1:1" ht="20.100000000000001" customHeight="1" x14ac:dyDescent="0.2">
      <c r="A149"/>
    </row>
    <row r="150" spans="1:1" ht="20.100000000000001" customHeight="1" x14ac:dyDescent="0.2">
      <c r="A150"/>
    </row>
    <row r="151" spans="1:1" ht="20.100000000000001" customHeight="1" x14ac:dyDescent="0.2">
      <c r="A151"/>
    </row>
    <row r="152" spans="1:1" ht="20.100000000000001" customHeight="1" x14ac:dyDescent="0.2">
      <c r="A152"/>
    </row>
    <row r="153" spans="1:1" ht="20.100000000000001" customHeight="1" x14ac:dyDescent="0.2">
      <c r="A153"/>
    </row>
    <row r="154" spans="1:1" ht="20.100000000000001" customHeight="1" x14ac:dyDescent="0.2">
      <c r="A154"/>
    </row>
    <row r="155" spans="1:1" ht="20.100000000000001" customHeight="1" x14ac:dyDescent="0.2">
      <c r="A155"/>
    </row>
    <row r="156" spans="1:1" ht="20.100000000000001" customHeight="1" x14ac:dyDescent="0.2">
      <c r="A156"/>
    </row>
    <row r="157" spans="1:1" ht="20.100000000000001" customHeight="1" x14ac:dyDescent="0.2">
      <c r="A157"/>
    </row>
    <row r="158" spans="1:1" ht="20.100000000000001" customHeight="1" x14ac:dyDescent="0.2">
      <c r="A158"/>
    </row>
    <row r="159" spans="1:1" ht="20.100000000000001" customHeight="1" x14ac:dyDescent="0.2">
      <c r="A159"/>
    </row>
    <row r="160" spans="1:1" ht="20.100000000000001" customHeight="1" x14ac:dyDescent="0.2">
      <c r="A160"/>
    </row>
  </sheetData>
  <dataValidations count="4">
    <dataValidation type="list" allowBlank="1" showInputMessage="1" showErrorMessage="1" sqref="E12" xr:uid="{620909BD-05B7-4260-BB85-4888DFAEE1F3}">
      <formula1>"YES - In leaching zone, NO - Not in leaching zone"</formula1>
    </dataValidation>
    <dataValidation type="list" allowBlank="1" showInputMessage="1" showErrorMessage="1" sqref="G36:G39" xr:uid="{FC4F355F-8194-44E7-BAB7-2E788D632391}">
      <formula1>$D$41:$D$43</formula1>
    </dataValidation>
    <dataValidation type="list" allowBlank="1" showInputMessage="1" showErrorMessage="1" sqref="E11" xr:uid="{674A5993-80C6-40F8-9C7E-8360EE985D6D}">
      <formula1>INDIRECT("Table_WASA4Areas[SA 4 Name]")</formula1>
    </dataValidation>
    <dataValidation type="list" allowBlank="1" showInputMessage="1" showErrorMessage="1" sqref="E10" xr:uid="{3E5D42A7-7A09-4510-8DDD-588AA6407F0E}">
      <formula1>INDIRECT("Table_AustralianStates[Common Name]")</formula1>
    </dataValidation>
  </dataValidation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49994D-C790-44CE-AF5F-3EC7C5746E04}">
  <sheetPr>
    <tabColor theme="5" tint="-0.249977111117893"/>
  </sheetPr>
  <dimension ref="A1:AA334"/>
  <sheetViews>
    <sheetView showGridLines="0" zoomScaleNormal="100" workbookViewId="0">
      <pane xSplit="1" topLeftCell="H1" activePane="topRight" state="frozen"/>
      <selection pane="topRight" activeCell="A16" sqref="A16"/>
    </sheetView>
  </sheetViews>
  <sheetFormatPr defaultRowHeight="20.100000000000001" customHeight="1" x14ac:dyDescent="0.2"/>
  <cols>
    <col min="1" max="1" width="36.7109375" customWidth="1"/>
    <col min="2" max="2" width="4.7109375" customWidth="1"/>
    <col min="3" max="3" width="4.7109375" style="1" customWidth="1"/>
    <col min="4" max="4" width="79" style="1" customWidth="1"/>
    <col min="5" max="15" width="30.7109375" style="1" customWidth="1"/>
    <col min="16" max="16" width="4.7109375" style="1" customWidth="1"/>
    <col min="17" max="18" width="4.7109375" style="98" customWidth="1"/>
    <col min="19" max="24" width="30.7109375" style="98" customWidth="1"/>
    <col min="25" max="25" width="4.7109375" style="98" customWidth="1"/>
  </cols>
  <sheetData>
    <row r="1" spans="1:25" s="10" customFormat="1" ht="30" customHeight="1" x14ac:dyDescent="0.35">
      <c r="A1" s="10" t="e" vm="1">
        <v>#VALUE!</v>
      </c>
      <c r="C1" s="10" t="s">
        <v>320</v>
      </c>
      <c r="Q1" s="98"/>
      <c r="R1" s="98"/>
      <c r="S1" s="98"/>
      <c r="T1" s="98"/>
      <c r="U1" s="98"/>
      <c r="V1" s="98"/>
      <c r="W1" s="98"/>
      <c r="X1" s="98"/>
      <c r="Y1" s="98"/>
    </row>
    <row r="2" spans="1:25" s="3" customFormat="1" ht="20.100000000000001" customHeight="1" x14ac:dyDescent="0.2">
      <c r="A2"/>
      <c r="Q2" s="98"/>
      <c r="R2" s="98"/>
      <c r="S2" s="98"/>
      <c r="T2" s="98"/>
      <c r="U2" s="98"/>
      <c r="V2" s="98"/>
      <c r="W2" s="98"/>
      <c r="X2" s="98"/>
      <c r="Y2" s="98"/>
    </row>
    <row r="3" spans="1:25" ht="20.100000000000001" customHeight="1" x14ac:dyDescent="0.2">
      <c r="A3" s="5" t="str">
        <f>HYPERLINK("#'Home'!A1", "Home")</f>
        <v>Home</v>
      </c>
      <c r="C3" s="29"/>
      <c r="D3" s="29"/>
      <c r="E3" s="29"/>
      <c r="F3" s="29"/>
      <c r="G3" s="29"/>
      <c r="H3" s="29"/>
      <c r="I3" s="29"/>
      <c r="J3" s="29"/>
      <c r="K3" s="29"/>
      <c r="L3" s="29"/>
      <c r="M3" s="29"/>
      <c r="N3" s="29"/>
      <c r="O3" s="29"/>
      <c r="P3" s="29"/>
    </row>
    <row r="4" spans="1:25" ht="20.100000000000001" customHeight="1" x14ac:dyDescent="0.2">
      <c r="A4" s="5" t="str">
        <f>HYPERLINK("#'Results - Activity period'!A1", "Results - Activity period")</f>
        <v>Results - Activity period</v>
      </c>
    </row>
    <row r="5" spans="1:25" ht="20.100000000000001" customHeight="1" x14ac:dyDescent="0.2">
      <c r="A5" s="5" t="str">
        <f>HYPERLINK("#'Results - Product EI'!A1", "Results - Product Emissions Intensity")</f>
        <v>Results - Product Emissions Intensity</v>
      </c>
      <c r="D5" s="2" t="s">
        <v>321</v>
      </c>
      <c r="P5" s="25"/>
      <c r="T5" s="22"/>
    </row>
    <row r="6" spans="1:25" ht="20.100000000000001" customHeight="1" x14ac:dyDescent="0.2">
      <c r="P6" s="25"/>
      <c r="T6" s="22"/>
    </row>
    <row r="7" spans="1:25" ht="20.100000000000001" customHeight="1" x14ac:dyDescent="0.2">
      <c r="D7" s="1" t="s">
        <v>105</v>
      </c>
      <c r="E7" s="15">
        <f>X_Cell_Site_State</f>
        <v>0</v>
      </c>
      <c r="P7" s="25"/>
      <c r="T7" s="22"/>
    </row>
    <row r="8" spans="1:25" ht="20.100000000000001" customHeight="1" x14ac:dyDescent="0.2">
      <c r="A8" s="7" t="s">
        <v>0</v>
      </c>
      <c r="D8" s="1" t="s">
        <v>250</v>
      </c>
      <c r="E8" s="13"/>
      <c r="F8" s="16" t="s">
        <v>106</v>
      </c>
      <c r="P8" s="25"/>
      <c r="T8" s="22"/>
    </row>
    <row r="9" spans="1:25" ht="20.100000000000001" customHeight="1" x14ac:dyDescent="0.2">
      <c r="A9" s="5" t="str">
        <f>HYPERLINK("#'Input - Enterprise'!A1", "Enterprise")</f>
        <v>Enterprise</v>
      </c>
      <c r="D9" s="1" t="s">
        <v>251</v>
      </c>
      <c r="E9" s="13"/>
      <c r="F9" s="16" t="s">
        <v>106</v>
      </c>
      <c r="T9" s="22"/>
    </row>
    <row r="10" spans="1:25" ht="20.100000000000001" customHeight="1" x14ac:dyDescent="0.2">
      <c r="A10" s="5" t="str">
        <f>HYPERLINK("#'Input - Site'!A1", "Site")</f>
        <v>Site</v>
      </c>
      <c r="T10" s="22"/>
    </row>
    <row r="11" spans="1:25" ht="20.100000000000001" customHeight="1" x14ac:dyDescent="0.2">
      <c r="A11" s="99" t="str">
        <f>HYPERLINK("#'Input - Pasture Beef'!A1", "Pasture Beef")</f>
        <v>Pasture Beef</v>
      </c>
      <c r="T11" s="22"/>
    </row>
    <row r="12" spans="1:25" ht="20.100000000000001" customHeight="1" x14ac:dyDescent="0.2">
      <c r="A12" s="5" t="str">
        <f>HYPERLINK("#'Input - Livestock sales'!A1", "Livestock sales")</f>
        <v>Livestock sales</v>
      </c>
      <c r="T12" s="22"/>
    </row>
    <row r="13" spans="1:25" ht="20.100000000000001" customHeight="1" x14ac:dyDescent="0.2">
      <c r="A13" s="5" t="str">
        <f>HYPERLINK("#'Input - Beef cattle purchases'!A1", "Beef cattle purchases")</f>
        <v>Beef cattle purchases</v>
      </c>
      <c r="D13" s="36" t="s">
        <v>323</v>
      </c>
      <c r="E13" s="38"/>
      <c r="F13" s="38"/>
      <c r="G13" s="39"/>
      <c r="T13" s="42"/>
    </row>
    <row r="14" spans="1:25" ht="20.100000000000001" customHeight="1" x14ac:dyDescent="0.2">
      <c r="A14" s="5" t="str">
        <f>HYPERLINK("#'Input - Pasture'!A1", "Pasture")</f>
        <v>Pasture</v>
      </c>
      <c r="T14" s="42"/>
    </row>
    <row r="15" spans="1:25" ht="20.100000000000001" customHeight="1" x14ac:dyDescent="0.2">
      <c r="A15" s="5" t="str">
        <f>HYPERLINK("#'Input - Fert Prod System'!A1", "Fert Prod System")</f>
        <v>Fert Prod System</v>
      </c>
      <c r="D15" s="79" t="s">
        <v>324</v>
      </c>
      <c r="T15" s="42"/>
    </row>
    <row r="16" spans="1:25" ht="20.100000000000001" customHeight="1" x14ac:dyDescent="0.2">
      <c r="A16" s="5" t="str">
        <f>HYPERLINK("#'Input - Fertiliser'!A1", "Fertiliser")</f>
        <v>Fertiliser</v>
      </c>
      <c r="D16" s="100" t="s">
        <v>325</v>
      </c>
      <c r="E16" s="100" t="s">
        <v>326</v>
      </c>
      <c r="F16" s="100" t="s">
        <v>184</v>
      </c>
      <c r="G16" s="100" t="s">
        <v>327</v>
      </c>
      <c r="H16" s="100" t="s">
        <v>328</v>
      </c>
      <c r="I16" s="100" t="s">
        <v>329</v>
      </c>
      <c r="J16" s="100" t="s">
        <v>330</v>
      </c>
      <c r="K16" s="100" t="s">
        <v>331</v>
      </c>
      <c r="L16" s="100" t="s">
        <v>332</v>
      </c>
      <c r="M16" s="100" t="s">
        <v>333</v>
      </c>
      <c r="N16" s="100" t="s">
        <v>334</v>
      </c>
      <c r="T16" s="42"/>
    </row>
    <row r="17" spans="1:20" ht="20.100000000000001" customHeight="1" x14ac:dyDescent="0.2">
      <c r="A17" s="5" t="str">
        <f>HYPERLINK("#'Input - Fuel'!A1", "Fuel")</f>
        <v>Fuel</v>
      </c>
      <c r="D17" s="1" t="s">
        <v>335</v>
      </c>
      <c r="E17" s="15">
        <f>91.25</f>
        <v>91.25</v>
      </c>
      <c r="F17" s="15">
        <f t="shared" ref="F17:N20" si="0">91.25</f>
        <v>91.25</v>
      </c>
      <c r="G17" s="15">
        <f t="shared" si="0"/>
        <v>91.25</v>
      </c>
      <c r="H17" s="15">
        <f t="shared" si="0"/>
        <v>91.25</v>
      </c>
      <c r="I17" s="15">
        <f t="shared" si="0"/>
        <v>91.25</v>
      </c>
      <c r="J17" s="15">
        <f t="shared" si="0"/>
        <v>91.25</v>
      </c>
      <c r="K17" s="15">
        <f t="shared" si="0"/>
        <v>91.25</v>
      </c>
      <c r="L17" s="15">
        <f t="shared" si="0"/>
        <v>91.25</v>
      </c>
      <c r="M17" s="15">
        <f t="shared" si="0"/>
        <v>91.25</v>
      </c>
      <c r="N17" s="15">
        <f t="shared" si="0"/>
        <v>91.25</v>
      </c>
      <c r="O17" s="16" t="s">
        <v>116</v>
      </c>
      <c r="T17" s="22"/>
    </row>
    <row r="18" spans="1:20" ht="20.100000000000001" customHeight="1" x14ac:dyDescent="0.2">
      <c r="A18" s="5" t="str">
        <f>HYPERLINK("#'Input - Electricity'!A1", "Electricity")</f>
        <v>Electricity</v>
      </c>
      <c r="D18" s="1" t="s">
        <v>336</v>
      </c>
      <c r="E18" s="15">
        <f t="shared" ref="E18:E20" si="1">91.25</f>
        <v>91.25</v>
      </c>
      <c r="F18" s="15">
        <f t="shared" si="0"/>
        <v>91.25</v>
      </c>
      <c r="G18" s="15">
        <f t="shared" si="0"/>
        <v>91.25</v>
      </c>
      <c r="H18" s="15">
        <f t="shared" si="0"/>
        <v>91.25</v>
      </c>
      <c r="I18" s="15">
        <f t="shared" si="0"/>
        <v>91.25</v>
      </c>
      <c r="J18" s="15">
        <f t="shared" si="0"/>
        <v>91.25</v>
      </c>
      <c r="K18" s="15">
        <f t="shared" si="0"/>
        <v>91.25</v>
      </c>
      <c r="L18" s="15">
        <f t="shared" si="0"/>
        <v>91.25</v>
      </c>
      <c r="M18" s="15">
        <f t="shared" si="0"/>
        <v>91.25</v>
      </c>
      <c r="N18" s="15">
        <f t="shared" si="0"/>
        <v>91.25</v>
      </c>
      <c r="O18" s="16" t="s">
        <v>116</v>
      </c>
      <c r="T18" s="22"/>
    </row>
    <row r="19" spans="1:20" ht="20.100000000000001" customHeight="1" x14ac:dyDescent="0.2">
      <c r="A19" s="5" t="str">
        <f>HYPERLINK("#'Input - Common farm inputs'!A1", "Common farm inputs")</f>
        <v>Common farm inputs</v>
      </c>
      <c r="D19" s="1" t="s">
        <v>337</v>
      </c>
      <c r="E19" s="15">
        <f t="shared" si="1"/>
        <v>91.25</v>
      </c>
      <c r="F19" s="15">
        <f t="shared" si="0"/>
        <v>91.25</v>
      </c>
      <c r="G19" s="15">
        <f t="shared" si="0"/>
        <v>91.25</v>
      </c>
      <c r="H19" s="15">
        <f t="shared" si="0"/>
        <v>91.25</v>
      </c>
      <c r="I19" s="15">
        <f t="shared" si="0"/>
        <v>91.25</v>
      </c>
      <c r="J19" s="15">
        <f t="shared" si="0"/>
        <v>91.25</v>
      </c>
      <c r="K19" s="15">
        <f t="shared" si="0"/>
        <v>91.25</v>
      </c>
      <c r="L19" s="15">
        <f t="shared" si="0"/>
        <v>91.25</v>
      </c>
      <c r="M19" s="15">
        <f t="shared" si="0"/>
        <v>91.25</v>
      </c>
      <c r="N19" s="15">
        <f t="shared" si="0"/>
        <v>91.25</v>
      </c>
      <c r="O19" s="16" t="s">
        <v>116</v>
      </c>
      <c r="T19" s="22"/>
    </row>
    <row r="20" spans="1:20" ht="20.100000000000001" customHeight="1" x14ac:dyDescent="0.2">
      <c r="A20" s="5" t="str">
        <f>HYPERLINK("#'Input - Crop pasture farm input'!A1", "Crop pasture farm input")</f>
        <v>Crop pasture farm input</v>
      </c>
      <c r="D20" s="1" t="s">
        <v>338</v>
      </c>
      <c r="E20" s="15">
        <f t="shared" si="1"/>
        <v>91.25</v>
      </c>
      <c r="F20" s="15">
        <f t="shared" si="0"/>
        <v>91.25</v>
      </c>
      <c r="G20" s="15">
        <f t="shared" si="0"/>
        <v>91.25</v>
      </c>
      <c r="H20" s="15">
        <f t="shared" si="0"/>
        <v>91.25</v>
      </c>
      <c r="I20" s="15">
        <f t="shared" si="0"/>
        <v>91.25</v>
      </c>
      <c r="J20" s="15">
        <f t="shared" si="0"/>
        <v>91.25</v>
      </c>
      <c r="K20" s="15">
        <f t="shared" si="0"/>
        <v>91.25</v>
      </c>
      <c r="L20" s="15">
        <f t="shared" si="0"/>
        <v>91.25</v>
      </c>
      <c r="M20" s="15">
        <f t="shared" si="0"/>
        <v>91.25</v>
      </c>
      <c r="N20" s="15">
        <f t="shared" si="0"/>
        <v>91.25</v>
      </c>
      <c r="O20" s="16" t="s">
        <v>116</v>
      </c>
      <c r="T20" s="22"/>
    </row>
    <row r="21" spans="1:20" ht="20.100000000000001" customHeight="1" x14ac:dyDescent="0.2">
      <c r="A21" s="5" t="str">
        <f>HYPERLINK("#'Input - Livestock farm Inputs'!A1", "Livestock farm Inputs")</f>
        <v>Livestock farm Inputs</v>
      </c>
      <c r="T21" s="22"/>
    </row>
    <row r="22" spans="1:20" ht="20.100000000000001" customHeight="1" x14ac:dyDescent="0.2">
      <c r="A22" s="5" t="str">
        <f>HYPERLINK("#'Input - Freight'!A1", "Freight")</f>
        <v>Freight</v>
      </c>
      <c r="D22" s="100" t="s">
        <v>339</v>
      </c>
      <c r="E22" s="100" t="s">
        <v>326</v>
      </c>
      <c r="F22" s="100" t="s">
        <v>184</v>
      </c>
      <c r="G22" s="100" t="s">
        <v>327</v>
      </c>
      <c r="H22" s="100" t="s">
        <v>328</v>
      </c>
      <c r="I22" s="100" t="s">
        <v>329</v>
      </c>
      <c r="J22" s="100" t="s">
        <v>330</v>
      </c>
      <c r="K22" s="100" t="s">
        <v>331</v>
      </c>
      <c r="L22" s="100" t="s">
        <v>332</v>
      </c>
      <c r="M22" s="100" t="s">
        <v>333</v>
      </c>
      <c r="N22" s="100" t="s">
        <v>334</v>
      </c>
      <c r="T22" s="22"/>
    </row>
    <row r="23" spans="1:20" ht="20.100000000000001" customHeight="1" x14ac:dyDescent="0.2">
      <c r="A23" s="5" t="str">
        <f>HYPERLINK("#'Input - Solid waste'!A1", "Solid waste")</f>
        <v>Solid waste</v>
      </c>
      <c r="D23" s="1" t="str">
        <f>TEXT(X_Cell_Site_StartDate, "mmmm yyyy")</f>
        <v>January 1900</v>
      </c>
      <c r="E23" s="76">
        <f t="shared" ref="E23:N34" si="2">DAY(EOMONTH($D23,0))</f>
        <v>31</v>
      </c>
      <c r="F23" s="76">
        <f t="shared" si="2"/>
        <v>31</v>
      </c>
      <c r="G23" s="76">
        <f t="shared" si="2"/>
        <v>31</v>
      </c>
      <c r="H23" s="76">
        <f t="shared" si="2"/>
        <v>31</v>
      </c>
      <c r="I23" s="76">
        <f t="shared" si="2"/>
        <v>31</v>
      </c>
      <c r="J23" s="76">
        <f t="shared" si="2"/>
        <v>31</v>
      </c>
      <c r="K23" s="76">
        <f t="shared" si="2"/>
        <v>31</v>
      </c>
      <c r="L23" s="76">
        <f t="shared" si="2"/>
        <v>31</v>
      </c>
      <c r="M23" s="76">
        <f t="shared" si="2"/>
        <v>31</v>
      </c>
      <c r="N23" s="76">
        <f t="shared" si="2"/>
        <v>31</v>
      </c>
      <c r="O23" s="16" t="s">
        <v>116</v>
      </c>
      <c r="T23" s="22"/>
    </row>
    <row r="24" spans="1:20" ht="20.100000000000001" customHeight="1" x14ac:dyDescent="0.2">
      <c r="A24" s="5" t="str">
        <f>HYPERLINK("#'Input - Manure sent off-site'!A1", "Manure sent off-site")</f>
        <v>Manure sent off-site</v>
      </c>
      <c r="D24" s="1" t="str">
        <f>TEXT(EDATE(X_Cell_Site_StartDate,1), "mmmm yyyy")</f>
        <v>January 1900</v>
      </c>
      <c r="E24" s="76">
        <f t="shared" si="2"/>
        <v>31</v>
      </c>
      <c r="F24" s="76">
        <f t="shared" si="2"/>
        <v>31</v>
      </c>
      <c r="G24" s="76">
        <f t="shared" si="2"/>
        <v>31</v>
      </c>
      <c r="H24" s="76">
        <f t="shared" si="2"/>
        <v>31</v>
      </c>
      <c r="I24" s="76">
        <f t="shared" si="2"/>
        <v>31</v>
      </c>
      <c r="J24" s="76">
        <f t="shared" si="2"/>
        <v>31</v>
      </c>
      <c r="K24" s="76">
        <f t="shared" si="2"/>
        <v>31</v>
      </c>
      <c r="L24" s="76">
        <f t="shared" si="2"/>
        <v>31</v>
      </c>
      <c r="M24" s="76">
        <f t="shared" si="2"/>
        <v>31</v>
      </c>
      <c r="N24" s="76">
        <f t="shared" si="2"/>
        <v>31</v>
      </c>
      <c r="O24" s="16" t="s">
        <v>116</v>
      </c>
      <c r="T24" s="22"/>
    </row>
    <row r="25" spans="1:20" ht="20.100000000000001" customHeight="1" x14ac:dyDescent="0.2">
      <c r="A25" s="5" t="str">
        <f>HYPERLINK("#'Input - Data quality'!A1", "Data quality")</f>
        <v>Data quality</v>
      </c>
      <c r="D25" s="1" t="str">
        <f>TEXT(EDATE(X_Cell_Site_StartDate,2), "mmmm yyyy")</f>
        <v>February 1900</v>
      </c>
      <c r="E25" s="76">
        <f t="shared" si="2"/>
        <v>28</v>
      </c>
      <c r="F25" s="76">
        <f t="shared" si="2"/>
        <v>28</v>
      </c>
      <c r="G25" s="76">
        <f t="shared" si="2"/>
        <v>28</v>
      </c>
      <c r="H25" s="76">
        <f t="shared" si="2"/>
        <v>28</v>
      </c>
      <c r="I25" s="76">
        <f t="shared" si="2"/>
        <v>28</v>
      </c>
      <c r="J25" s="76">
        <f t="shared" si="2"/>
        <v>28</v>
      </c>
      <c r="K25" s="76">
        <f t="shared" si="2"/>
        <v>28</v>
      </c>
      <c r="L25" s="76">
        <f t="shared" si="2"/>
        <v>28</v>
      </c>
      <c r="M25" s="76">
        <f t="shared" si="2"/>
        <v>28</v>
      </c>
      <c r="N25" s="76">
        <f t="shared" si="2"/>
        <v>28</v>
      </c>
      <c r="O25" s="16" t="s">
        <v>116</v>
      </c>
      <c r="T25" s="22"/>
    </row>
    <row r="26" spans="1:20" ht="20.100000000000001" customHeight="1" x14ac:dyDescent="0.2">
      <c r="D26" s="1" t="str">
        <f>TEXT(EDATE(X_Cell_Site_StartDate,3), "mmmm yyyy")</f>
        <v>March 1900</v>
      </c>
      <c r="E26" s="76">
        <f t="shared" si="2"/>
        <v>31</v>
      </c>
      <c r="F26" s="76">
        <f t="shared" si="2"/>
        <v>31</v>
      </c>
      <c r="G26" s="76">
        <f t="shared" si="2"/>
        <v>31</v>
      </c>
      <c r="H26" s="76">
        <f t="shared" si="2"/>
        <v>31</v>
      </c>
      <c r="I26" s="76">
        <f t="shared" si="2"/>
        <v>31</v>
      </c>
      <c r="J26" s="76">
        <f t="shared" si="2"/>
        <v>31</v>
      </c>
      <c r="K26" s="76">
        <f t="shared" si="2"/>
        <v>31</v>
      </c>
      <c r="L26" s="76">
        <f t="shared" si="2"/>
        <v>31</v>
      </c>
      <c r="M26" s="76">
        <f t="shared" si="2"/>
        <v>31</v>
      </c>
      <c r="N26" s="76">
        <f t="shared" si="2"/>
        <v>31</v>
      </c>
      <c r="O26" s="16" t="s">
        <v>116</v>
      </c>
      <c r="T26" s="22"/>
    </row>
    <row r="27" spans="1:20" ht="20.100000000000001" customHeight="1" x14ac:dyDescent="0.2">
      <c r="D27" s="1" t="str">
        <f>TEXT(EDATE(X_Cell_Site_StartDate,4), "mmmm yyyy")</f>
        <v>April 1900</v>
      </c>
      <c r="E27" s="76">
        <f t="shared" si="2"/>
        <v>30</v>
      </c>
      <c r="F27" s="76">
        <f t="shared" si="2"/>
        <v>30</v>
      </c>
      <c r="G27" s="76">
        <f t="shared" si="2"/>
        <v>30</v>
      </c>
      <c r="H27" s="76">
        <f t="shared" si="2"/>
        <v>30</v>
      </c>
      <c r="I27" s="76">
        <f t="shared" si="2"/>
        <v>30</v>
      </c>
      <c r="J27" s="76">
        <f t="shared" si="2"/>
        <v>30</v>
      </c>
      <c r="K27" s="76">
        <f t="shared" si="2"/>
        <v>30</v>
      </c>
      <c r="L27" s="76">
        <f t="shared" si="2"/>
        <v>30</v>
      </c>
      <c r="M27" s="76">
        <f t="shared" si="2"/>
        <v>30</v>
      </c>
      <c r="N27" s="76">
        <f t="shared" si="2"/>
        <v>30</v>
      </c>
      <c r="O27" s="16" t="s">
        <v>116</v>
      </c>
      <c r="T27" s="22"/>
    </row>
    <row r="28" spans="1:20" ht="20.100000000000001" customHeight="1" x14ac:dyDescent="0.2">
      <c r="A28" s="6" t="s">
        <v>2</v>
      </c>
      <c r="D28" s="1" t="str">
        <f>TEXT(EDATE(X_Cell_Site_StartDate,5), "mmmm yyyy")</f>
        <v>May 1900</v>
      </c>
      <c r="E28" s="76">
        <f t="shared" si="2"/>
        <v>31</v>
      </c>
      <c r="F28" s="76">
        <f t="shared" si="2"/>
        <v>31</v>
      </c>
      <c r="G28" s="76">
        <f t="shared" si="2"/>
        <v>31</v>
      </c>
      <c r="H28" s="76">
        <f t="shared" si="2"/>
        <v>31</v>
      </c>
      <c r="I28" s="76">
        <f t="shared" si="2"/>
        <v>31</v>
      </c>
      <c r="J28" s="76">
        <f t="shared" si="2"/>
        <v>31</v>
      </c>
      <c r="K28" s="76">
        <f t="shared" si="2"/>
        <v>31</v>
      </c>
      <c r="L28" s="76">
        <f t="shared" si="2"/>
        <v>31</v>
      </c>
      <c r="M28" s="76">
        <f t="shared" si="2"/>
        <v>31</v>
      </c>
      <c r="N28" s="76">
        <f t="shared" si="2"/>
        <v>31</v>
      </c>
      <c r="O28" s="16" t="s">
        <v>116</v>
      </c>
      <c r="T28" s="22"/>
    </row>
    <row r="29" spans="1:20" ht="20.100000000000001" customHeight="1" x14ac:dyDescent="0.2">
      <c r="A29" s="5" t="str">
        <f>HYPERLINK("#'3.2.1.1-2 Enteric Methane'!A1", "3.2.1.1-2 Enteric Methane")</f>
        <v>3.2.1.1-2 Enteric Methane</v>
      </c>
      <c r="D29" s="1" t="str">
        <f>TEXT(EDATE(X_Cell_Site_StartDate,6), "mmmm yyyy")</f>
        <v>June 1900</v>
      </c>
      <c r="E29" s="76">
        <f t="shared" si="2"/>
        <v>30</v>
      </c>
      <c r="F29" s="76">
        <f t="shared" si="2"/>
        <v>30</v>
      </c>
      <c r="G29" s="76">
        <f t="shared" si="2"/>
        <v>30</v>
      </c>
      <c r="H29" s="76">
        <f t="shared" si="2"/>
        <v>30</v>
      </c>
      <c r="I29" s="76">
        <f t="shared" si="2"/>
        <v>30</v>
      </c>
      <c r="J29" s="76">
        <f t="shared" si="2"/>
        <v>30</v>
      </c>
      <c r="K29" s="76">
        <f t="shared" si="2"/>
        <v>30</v>
      </c>
      <c r="L29" s="76">
        <f t="shared" si="2"/>
        <v>30</v>
      </c>
      <c r="M29" s="76">
        <f t="shared" si="2"/>
        <v>30</v>
      </c>
      <c r="N29" s="76">
        <f t="shared" si="2"/>
        <v>30</v>
      </c>
      <c r="O29" s="16" t="s">
        <v>116</v>
      </c>
      <c r="T29" s="22"/>
    </row>
    <row r="30" spans="1:20" ht="20.100000000000001" customHeight="1" x14ac:dyDescent="0.2">
      <c r="A30" s="5" t="str">
        <f>HYPERLINK("#'4.2.1.1-2 Methane'!A1", "4.2.1.1-2 Manure methane")</f>
        <v>4.2.1.1-2 Manure methane</v>
      </c>
      <c r="D30" s="1" t="str">
        <f>TEXT(EDATE(X_Cell_Site_StartDate,7), "mmmm yyyy")</f>
        <v>July 1900</v>
      </c>
      <c r="E30" s="76">
        <f t="shared" si="2"/>
        <v>31</v>
      </c>
      <c r="F30" s="76">
        <f t="shared" si="2"/>
        <v>31</v>
      </c>
      <c r="G30" s="76">
        <f t="shared" si="2"/>
        <v>31</v>
      </c>
      <c r="H30" s="76">
        <f t="shared" si="2"/>
        <v>31</v>
      </c>
      <c r="I30" s="76">
        <f t="shared" si="2"/>
        <v>31</v>
      </c>
      <c r="J30" s="76">
        <f t="shared" si="2"/>
        <v>31</v>
      </c>
      <c r="K30" s="76">
        <f t="shared" si="2"/>
        <v>31</v>
      </c>
      <c r="L30" s="76">
        <f t="shared" si="2"/>
        <v>31</v>
      </c>
      <c r="M30" s="76">
        <f t="shared" si="2"/>
        <v>31</v>
      </c>
      <c r="N30" s="76">
        <f t="shared" si="2"/>
        <v>31</v>
      </c>
      <c r="O30" s="16" t="s">
        <v>116</v>
      </c>
      <c r="T30" s="22"/>
    </row>
    <row r="31" spans="1:20" ht="20.100000000000001" customHeight="1" x14ac:dyDescent="0.2">
      <c r="A31" s="5" t="str">
        <f>HYPERLINK("#'4.2.1.3-4 Soil direct N20'!A1", "4.2.1.3-4 Soil direct N2O")</f>
        <v>4.2.1.3-4 Soil direct N2O</v>
      </c>
      <c r="D31" s="1" t="str">
        <f>TEXT(EDATE(X_Cell_Site_StartDate,8), "mmmm yyyy")</f>
        <v>August 1900</v>
      </c>
      <c r="E31" s="76">
        <f t="shared" si="2"/>
        <v>31</v>
      </c>
      <c r="F31" s="76">
        <f t="shared" si="2"/>
        <v>31</v>
      </c>
      <c r="G31" s="76">
        <f t="shared" si="2"/>
        <v>31</v>
      </c>
      <c r="H31" s="76">
        <f t="shared" si="2"/>
        <v>31</v>
      </c>
      <c r="I31" s="76">
        <f t="shared" si="2"/>
        <v>31</v>
      </c>
      <c r="J31" s="76">
        <f t="shared" si="2"/>
        <v>31</v>
      </c>
      <c r="K31" s="76">
        <f t="shared" si="2"/>
        <v>31</v>
      </c>
      <c r="L31" s="76">
        <f t="shared" si="2"/>
        <v>31</v>
      </c>
      <c r="M31" s="76">
        <f t="shared" si="2"/>
        <v>31</v>
      </c>
      <c r="N31" s="76">
        <f t="shared" si="2"/>
        <v>31</v>
      </c>
      <c r="O31" s="16" t="s">
        <v>116</v>
      </c>
      <c r="T31" s="22"/>
    </row>
    <row r="32" spans="1:20" ht="20.100000000000001" customHeight="1" x14ac:dyDescent="0.2">
      <c r="A32" s="5" t="str">
        <f>HYPERLINK("#'4.2.1.5-6 Soil Atmos Dep'!A1", "4.2.1.5-6 Soil atm. deposition")</f>
        <v>4.2.1.5-6 Soil atm. deposition</v>
      </c>
      <c r="D32" s="1" t="str">
        <f>TEXT(EDATE(X_Cell_Site_StartDate,9), "mmmm yyyy")</f>
        <v>September 1900</v>
      </c>
      <c r="E32" s="76">
        <f t="shared" si="2"/>
        <v>30</v>
      </c>
      <c r="F32" s="76">
        <f t="shared" si="2"/>
        <v>30</v>
      </c>
      <c r="G32" s="76">
        <f t="shared" si="2"/>
        <v>30</v>
      </c>
      <c r="H32" s="76">
        <f t="shared" si="2"/>
        <v>30</v>
      </c>
      <c r="I32" s="76">
        <f t="shared" si="2"/>
        <v>30</v>
      </c>
      <c r="J32" s="76">
        <f t="shared" si="2"/>
        <v>30</v>
      </c>
      <c r="K32" s="76">
        <f t="shared" si="2"/>
        <v>30</v>
      </c>
      <c r="L32" s="76">
        <f t="shared" si="2"/>
        <v>30</v>
      </c>
      <c r="M32" s="76">
        <f t="shared" si="2"/>
        <v>30</v>
      </c>
      <c r="N32" s="76">
        <f t="shared" si="2"/>
        <v>30</v>
      </c>
      <c r="O32" s="16" t="s">
        <v>116</v>
      </c>
      <c r="T32" s="22"/>
    </row>
    <row r="33" spans="1:20" ht="20.100000000000001" customHeight="1" x14ac:dyDescent="0.2">
      <c r="A33" s="5" t="str">
        <f>HYPERLINK("#'4.2.1.7-8 Soil leach runoff'!A1", "4.2.1.7-8 Soil leach &amp; runoff")</f>
        <v>4.2.1.7-8 Soil leach &amp; runoff</v>
      </c>
      <c r="D33" s="1" t="str">
        <f>TEXT(EDATE(X_Cell_Site_StartDate,10), "mmmm yyyy")</f>
        <v>October 1900</v>
      </c>
      <c r="E33" s="76">
        <f t="shared" si="2"/>
        <v>31</v>
      </c>
      <c r="F33" s="76">
        <f t="shared" si="2"/>
        <v>31</v>
      </c>
      <c r="G33" s="76">
        <f t="shared" si="2"/>
        <v>31</v>
      </c>
      <c r="H33" s="76">
        <f t="shared" si="2"/>
        <v>31</v>
      </c>
      <c r="I33" s="76">
        <f t="shared" si="2"/>
        <v>31</v>
      </c>
      <c r="J33" s="76">
        <f t="shared" si="2"/>
        <v>31</v>
      </c>
      <c r="K33" s="76">
        <f t="shared" si="2"/>
        <v>31</v>
      </c>
      <c r="L33" s="76">
        <f t="shared" si="2"/>
        <v>31</v>
      </c>
      <c r="M33" s="76">
        <f t="shared" si="2"/>
        <v>31</v>
      </c>
      <c r="N33" s="76">
        <f t="shared" si="2"/>
        <v>31</v>
      </c>
      <c r="O33" s="16" t="s">
        <v>116</v>
      </c>
      <c r="T33" s="22"/>
    </row>
    <row r="34" spans="1:20" ht="20.100000000000001" customHeight="1" x14ac:dyDescent="0.2">
      <c r="A34" s="5" t="str">
        <f>HYPERLINK("#'5.1.1.1-2 Inorganic fert N2O'!A1", "5.1.1.1-2 Inorganic fert N2O")</f>
        <v>5.1.1.1-2 Inorganic fert N2O</v>
      </c>
      <c r="D34" s="1" t="str">
        <f>TEXT(EDATE(X_Cell_Site_StartDate,11), "mmmm yyyy")</f>
        <v>November 1900</v>
      </c>
      <c r="E34" s="76">
        <f t="shared" si="2"/>
        <v>30</v>
      </c>
      <c r="F34" s="76">
        <f t="shared" si="2"/>
        <v>30</v>
      </c>
      <c r="G34" s="76">
        <f t="shared" si="2"/>
        <v>30</v>
      </c>
      <c r="H34" s="76">
        <f t="shared" si="2"/>
        <v>30</v>
      </c>
      <c r="I34" s="76">
        <f t="shared" si="2"/>
        <v>30</v>
      </c>
      <c r="J34" s="76">
        <f t="shared" si="2"/>
        <v>30</v>
      </c>
      <c r="K34" s="76">
        <f t="shared" si="2"/>
        <v>30</v>
      </c>
      <c r="L34" s="76">
        <f t="shared" si="2"/>
        <v>30</v>
      </c>
      <c r="M34" s="76">
        <f t="shared" si="2"/>
        <v>30</v>
      </c>
      <c r="N34" s="76">
        <f t="shared" si="2"/>
        <v>30</v>
      </c>
      <c r="O34" s="16" t="s">
        <v>116</v>
      </c>
      <c r="T34" s="22"/>
    </row>
    <row r="35" spans="1:20" ht="20.100000000000001" customHeight="1" x14ac:dyDescent="0.2">
      <c r="A35" s="5" t="str">
        <f>HYPERLINK("#'5.1.1.3-4 Inorganic fert CO2'!A1", "5.1.1.3-4 Inorganic fert CO2")</f>
        <v>5.1.1.3-4 Inorganic fert CO2</v>
      </c>
      <c r="T35" s="22"/>
    </row>
    <row r="36" spans="1:20" ht="20.100000000000001" customHeight="1" x14ac:dyDescent="0.2">
      <c r="A36" s="5" t="str">
        <f>HYPERLINK("#'5.2.1.1-2 Organic Fert N2O'!A1", "5.2.1.1-2 Organic fert N2O")</f>
        <v>5.2.1.1-2 Organic fert N2O</v>
      </c>
      <c r="T36" s="22"/>
    </row>
    <row r="37" spans="1:20" ht="20.100000000000001" customHeight="1" x14ac:dyDescent="0.2">
      <c r="A37" s="5" t="str">
        <f>HYPERLINK("#'5.3.1.1-2 Lime CO2'!A1", "5.3.1.1-2 Lime CO2")</f>
        <v>5.3.1.1-2 Lime CO2</v>
      </c>
      <c r="D37" s="79" t="s">
        <v>340</v>
      </c>
      <c r="T37" s="22"/>
    </row>
    <row r="38" spans="1:20" ht="20.100000000000001" customHeight="1" x14ac:dyDescent="0.2">
      <c r="A38" s="5" t="str">
        <f>HYPERLINK("#'5.4.1.1-4 Atmos deposition'!A1", "5.4.1.1-4 Atmos. deposition")</f>
        <v>5.4.1.1-4 Atmos. deposition</v>
      </c>
      <c r="D38" s="100" t="s">
        <v>341</v>
      </c>
      <c r="E38" s="100" t="s">
        <v>326</v>
      </c>
      <c r="F38" s="100" t="s">
        <v>184</v>
      </c>
      <c r="G38" s="100" t="s">
        <v>327</v>
      </c>
      <c r="H38" s="100" t="s">
        <v>328</v>
      </c>
      <c r="I38" s="100" t="s">
        <v>329</v>
      </c>
      <c r="J38" s="100" t="s">
        <v>330</v>
      </c>
      <c r="K38" s="100" t="s">
        <v>331</v>
      </c>
      <c r="L38" s="100" t="s">
        <v>332</v>
      </c>
      <c r="M38" s="100" t="s">
        <v>333</v>
      </c>
      <c r="N38" s="100" t="s">
        <v>334</v>
      </c>
      <c r="T38" s="22"/>
    </row>
    <row r="39" spans="1:20" ht="20.100000000000001" customHeight="1" x14ac:dyDescent="0.2">
      <c r="A39" s="5" t="str">
        <f>HYPERLINK("#'5.5.1.1-2 Leaching and runoff'!A1", "5.5.1.1-2 Leaching &amp; runoff")</f>
        <v>5.5.1.1-2 Leaching &amp; runoff</v>
      </c>
      <c r="D39" s="1" t="s">
        <v>335</v>
      </c>
      <c r="E39" s="76"/>
      <c r="F39" s="76"/>
      <c r="G39" s="76"/>
      <c r="H39" s="76"/>
      <c r="I39" s="76"/>
      <c r="J39" s="76"/>
      <c r="K39" s="76"/>
      <c r="L39" s="76"/>
      <c r="M39" s="76"/>
      <c r="N39" s="76"/>
      <c r="O39" s="16" t="s">
        <v>340</v>
      </c>
      <c r="T39" s="22"/>
    </row>
    <row r="40" spans="1:20" ht="20.100000000000001" customHeight="1" x14ac:dyDescent="0.2">
      <c r="A40" s="5" t="str">
        <f>HYPERLINK("#'6.2.1.1-2 Pasture residue N2O'!A1", "6.2.1.1-2 Pasture residue N2O")</f>
        <v>6.2.1.1-2 Pasture residue N2O</v>
      </c>
      <c r="D40" s="1" t="s">
        <v>336</v>
      </c>
      <c r="E40" s="76"/>
      <c r="F40" s="76"/>
      <c r="G40" s="76"/>
      <c r="H40" s="76"/>
      <c r="I40" s="76"/>
      <c r="J40" s="76"/>
      <c r="K40" s="76"/>
      <c r="L40" s="76"/>
      <c r="M40" s="76"/>
      <c r="N40" s="76"/>
      <c r="O40" s="16" t="s">
        <v>340</v>
      </c>
      <c r="T40" s="22"/>
    </row>
    <row r="41" spans="1:20" ht="20.100000000000001" customHeight="1" x14ac:dyDescent="0.2">
      <c r="A41" s="5" t="str">
        <f>HYPERLINK("#'6.3.1.1-2 Leach runoff pasture'!A1", "6.3.1.1-2 Leach &amp; runoff (pasture)")</f>
        <v>6.3.1.1-2 Leach &amp; runoff (pasture)</v>
      </c>
      <c r="D41" s="1" t="s">
        <v>337</v>
      </c>
      <c r="E41" s="76"/>
      <c r="F41" s="76"/>
      <c r="G41" s="76"/>
      <c r="H41" s="76"/>
      <c r="I41" s="76"/>
      <c r="J41" s="76"/>
      <c r="K41" s="76"/>
      <c r="L41" s="76"/>
      <c r="M41" s="76"/>
      <c r="N41" s="76"/>
      <c r="O41" s="16" t="s">
        <v>340</v>
      </c>
      <c r="T41" s="22"/>
    </row>
    <row r="42" spans="1:20" ht="20.100000000000001" customHeight="1" x14ac:dyDescent="0.2">
      <c r="A42" s="5" t="str">
        <f>HYPERLINK("#'8.1.1.1-2 Transport fuel'!A1", "8.1.1.1-2 Transport fuel")</f>
        <v>8.1.1.1-2 Transport fuel</v>
      </c>
      <c r="D42" s="1" t="s">
        <v>338</v>
      </c>
      <c r="E42" s="76"/>
      <c r="F42" s="76"/>
      <c r="G42" s="76"/>
      <c r="H42" s="76"/>
      <c r="I42" s="76"/>
      <c r="J42" s="76"/>
      <c r="K42" s="76"/>
      <c r="L42" s="76"/>
      <c r="M42" s="76"/>
      <c r="N42" s="76"/>
      <c r="O42" s="16" t="s">
        <v>340</v>
      </c>
      <c r="T42" s="22"/>
    </row>
    <row r="43" spans="1:20" ht="20.100000000000001" customHeight="1" x14ac:dyDescent="0.2">
      <c r="A43" s="5" t="str">
        <f>HYPERLINK("#'8.2.1.1-2 Stationary fuel'!A1", "8.2.1.1-2 Stationary fuel")</f>
        <v>8.2.1.1-2 Stationary fuel</v>
      </c>
      <c r="O43" s="16"/>
      <c r="T43" s="22"/>
    </row>
    <row r="44" spans="1:20" ht="20.100000000000001" customHeight="1" x14ac:dyDescent="0.2">
      <c r="A44" s="5" t="str">
        <f>HYPERLINK("#'10.1.1-2 Solid waste treatment'!A1", "10.1.1.1-2 Solid waste")</f>
        <v>10.1.1.1-2 Solid waste</v>
      </c>
      <c r="D44" s="100" t="s">
        <v>342</v>
      </c>
      <c r="E44" s="100" t="s">
        <v>326</v>
      </c>
      <c r="F44" s="100" t="s">
        <v>184</v>
      </c>
      <c r="G44" s="100" t="s">
        <v>327</v>
      </c>
      <c r="H44" s="100" t="s">
        <v>328</v>
      </c>
      <c r="I44" s="100" t="s">
        <v>329</v>
      </c>
      <c r="J44" s="100" t="s">
        <v>330</v>
      </c>
      <c r="K44" s="100" t="s">
        <v>331</v>
      </c>
      <c r="L44" s="100" t="s">
        <v>332</v>
      </c>
      <c r="M44" s="100" t="s">
        <v>333</v>
      </c>
      <c r="N44" s="100" t="s">
        <v>334</v>
      </c>
      <c r="O44" s="16"/>
      <c r="T44" s="22"/>
    </row>
    <row r="45" spans="1:20" ht="20.100000000000001" customHeight="1" x14ac:dyDescent="0.2">
      <c r="A45" s="5" t="str">
        <f>HYPERLINK("#'14.1.1-2 Purchased electricity'!A1", "14.1.1-2 Purchased electricity")</f>
        <v>14.1.1-2 Purchased electricity</v>
      </c>
      <c r="D45" s="1" t="str">
        <f>TEXT(X_Cell_Site_StartDate, "mmmm yyyy")</f>
        <v>January 1900</v>
      </c>
      <c r="E45" s="76"/>
      <c r="F45" s="76"/>
      <c r="G45" s="76"/>
      <c r="H45" s="76"/>
      <c r="I45" s="76"/>
      <c r="J45" s="76"/>
      <c r="K45" s="76"/>
      <c r="L45" s="76"/>
      <c r="M45" s="76"/>
      <c r="N45" s="76"/>
      <c r="O45" s="16" t="s">
        <v>340</v>
      </c>
      <c r="T45" s="22"/>
    </row>
    <row r="46" spans="1:20" ht="20.100000000000001" customHeight="1" x14ac:dyDescent="0.2">
      <c r="A46" s="5" t="str">
        <f>HYPERLINK("#'15 Scope 3'!A1", "15 Scope 3")</f>
        <v>15 Scope 3</v>
      </c>
      <c r="D46" s="1" t="str">
        <f>TEXT(EDATE(X_Cell_Site_StartDate,1), "mmmm yyyy")</f>
        <v>January 1900</v>
      </c>
      <c r="E46" s="76"/>
      <c r="F46" s="76"/>
      <c r="G46" s="76"/>
      <c r="H46" s="76"/>
      <c r="I46" s="76"/>
      <c r="J46" s="76"/>
      <c r="K46" s="76"/>
      <c r="L46" s="76"/>
      <c r="M46" s="76"/>
      <c r="N46" s="76"/>
      <c r="O46" s="16" t="s">
        <v>340</v>
      </c>
      <c r="T46" s="22"/>
    </row>
    <row r="47" spans="1:20" ht="20.100000000000001" customHeight="1" x14ac:dyDescent="0.2">
      <c r="A47" s="5" t="str">
        <f>HYPERLINK("#'Calcs - Manure sent off-site'!A1", "Calcs - Manure sent off-site")</f>
        <v>Calcs - Manure sent off-site</v>
      </c>
      <c r="D47" s="1" t="str">
        <f>TEXT(EDATE(X_Cell_Site_StartDate,2), "mmmm yyyy")</f>
        <v>February 1900</v>
      </c>
      <c r="E47" s="76"/>
      <c r="F47" s="76"/>
      <c r="G47" s="76"/>
      <c r="H47" s="76"/>
      <c r="I47" s="76"/>
      <c r="J47" s="76"/>
      <c r="K47" s="76"/>
      <c r="L47" s="76"/>
      <c r="M47" s="76"/>
      <c r="N47" s="76"/>
      <c r="O47" s="16" t="s">
        <v>340</v>
      </c>
      <c r="T47" s="22"/>
    </row>
    <row r="48" spans="1:20" ht="20.100000000000001" customHeight="1" x14ac:dyDescent="0.2">
      <c r="D48" s="1" t="str">
        <f>TEXT(EDATE(X_Cell_Site_StartDate,3), "mmmm yyyy")</f>
        <v>March 1900</v>
      </c>
      <c r="E48" s="76"/>
      <c r="F48" s="76"/>
      <c r="G48" s="76"/>
      <c r="H48" s="76"/>
      <c r="I48" s="76"/>
      <c r="J48" s="76"/>
      <c r="K48" s="76"/>
      <c r="L48" s="76"/>
      <c r="M48" s="76"/>
      <c r="N48" s="76"/>
      <c r="O48" s="16" t="s">
        <v>340</v>
      </c>
      <c r="T48" s="22"/>
    </row>
    <row r="49" spans="1:20" ht="20.100000000000001" customHeight="1" x14ac:dyDescent="0.2">
      <c r="D49" s="1" t="str">
        <f>TEXT(EDATE(X_Cell_Site_StartDate,4), "mmmm yyyy")</f>
        <v>April 1900</v>
      </c>
      <c r="E49" s="76"/>
      <c r="F49" s="76"/>
      <c r="G49" s="76"/>
      <c r="H49" s="76"/>
      <c r="I49" s="76"/>
      <c r="J49" s="76"/>
      <c r="K49" s="76"/>
      <c r="L49" s="76"/>
      <c r="M49" s="76"/>
      <c r="N49" s="76"/>
      <c r="O49" s="16" t="s">
        <v>340</v>
      </c>
      <c r="T49" s="22"/>
    </row>
    <row r="50" spans="1:20" ht="20.100000000000001" customHeight="1" x14ac:dyDescent="0.2">
      <c r="A50" s="85" t="s">
        <v>1</v>
      </c>
      <c r="D50" s="1" t="str">
        <f>TEXT(EDATE(X_Cell_Site_StartDate,5), "mmmm yyyy")</f>
        <v>May 1900</v>
      </c>
      <c r="E50" s="76"/>
      <c r="F50" s="76"/>
      <c r="G50" s="76"/>
      <c r="H50" s="76"/>
      <c r="I50" s="76"/>
      <c r="J50" s="76"/>
      <c r="K50" s="76"/>
      <c r="L50" s="76"/>
      <c r="M50" s="76"/>
      <c r="N50" s="76"/>
      <c r="O50" s="16" t="s">
        <v>340</v>
      </c>
      <c r="P50" s="25"/>
      <c r="T50" s="22"/>
    </row>
    <row r="51" spans="1:20" ht="20.100000000000001" customHeight="1" x14ac:dyDescent="0.2">
      <c r="A51" s="5" t="str">
        <f>HYPERLINK("#'Constants - Pasture Beef'!A1", "Constants - Pasture Beef")</f>
        <v>Constants - Pasture Beef</v>
      </c>
      <c r="D51" s="1" t="str">
        <f>TEXT(EDATE(X_Cell_Site_StartDate,6), "mmmm yyyy")</f>
        <v>June 1900</v>
      </c>
      <c r="E51" s="76"/>
      <c r="F51" s="76"/>
      <c r="G51" s="76"/>
      <c r="H51" s="76"/>
      <c r="I51" s="76"/>
      <c r="J51" s="76"/>
      <c r="K51" s="76"/>
      <c r="L51" s="76"/>
      <c r="M51" s="76"/>
      <c r="N51" s="76"/>
      <c r="O51" s="16" t="s">
        <v>340</v>
      </c>
      <c r="P51" s="25"/>
      <c r="T51" s="22"/>
    </row>
    <row r="52" spans="1:20" ht="20.100000000000001" customHeight="1" x14ac:dyDescent="0.2">
      <c r="A52" s="5" t="str">
        <f>HYPERLINK("#'Constants - Ag Residue'!A1", "Constants - Ag residue")</f>
        <v>Constants - Ag residue</v>
      </c>
      <c r="D52" s="1" t="str">
        <f>TEXT(EDATE(X_Cell_Site_StartDate,7), "mmmm yyyy")</f>
        <v>July 1900</v>
      </c>
      <c r="E52" s="76"/>
      <c r="F52" s="76"/>
      <c r="G52" s="76"/>
      <c r="H52" s="76"/>
      <c r="I52" s="76"/>
      <c r="J52" s="76"/>
      <c r="K52" s="76"/>
      <c r="L52" s="76"/>
      <c r="M52" s="76"/>
      <c r="N52" s="76"/>
      <c r="O52" s="16" t="s">
        <v>340</v>
      </c>
      <c r="P52" s="25"/>
      <c r="T52" s="22"/>
    </row>
    <row r="53" spans="1:20" ht="20.100000000000001" customHeight="1" x14ac:dyDescent="0.2">
      <c r="A53" s="5" t="str">
        <f>HYPERLINK("#'Constants - Common Livestock'!A1", "Constants - Common Livestock")</f>
        <v>Constants - Common Livestock</v>
      </c>
      <c r="D53" s="1" t="str">
        <f>TEXT(EDATE(X_Cell_Site_StartDate,8), "mmmm yyyy")</f>
        <v>August 1900</v>
      </c>
      <c r="E53" s="76"/>
      <c r="F53" s="76"/>
      <c r="G53" s="76"/>
      <c r="H53" s="76"/>
      <c r="I53" s="76"/>
      <c r="J53" s="76"/>
      <c r="K53" s="76"/>
      <c r="L53" s="76"/>
      <c r="M53" s="76"/>
      <c r="N53" s="76"/>
      <c r="O53" s="16" t="s">
        <v>340</v>
      </c>
      <c r="P53" s="25"/>
      <c r="T53" s="22"/>
    </row>
    <row r="54" spans="1:20" ht="20.100000000000001" customHeight="1" x14ac:dyDescent="0.2">
      <c r="A54" s="5" t="str">
        <f>HYPERLINK("#'Constants - Electricity'!A1", "Constants - Electricity")</f>
        <v>Constants - Electricity</v>
      </c>
      <c r="D54" s="1" t="str">
        <f>TEXT(EDATE(X_Cell_Site_StartDate,9), "mmmm yyyy")</f>
        <v>September 1900</v>
      </c>
      <c r="E54" s="76"/>
      <c r="F54" s="76"/>
      <c r="G54" s="76"/>
      <c r="H54" s="76"/>
      <c r="I54" s="76"/>
      <c r="J54" s="76"/>
      <c r="K54" s="76"/>
      <c r="L54" s="76"/>
      <c r="M54" s="76"/>
      <c r="N54" s="76"/>
      <c r="O54" s="16" t="s">
        <v>340</v>
      </c>
      <c r="P54" s="25"/>
      <c r="T54" s="22"/>
    </row>
    <row r="55" spans="1:20" ht="20.100000000000001" customHeight="1" x14ac:dyDescent="0.2">
      <c r="A55" s="5" t="str">
        <f>HYPERLINK("#'Constants - Fertiliser'!A1", "Constants - Fertiliser")</f>
        <v>Constants - Fertiliser</v>
      </c>
      <c r="D55" s="1" t="str">
        <f>TEXT(EDATE(X_Cell_Site_StartDate,10), "mmmm yyyy")</f>
        <v>October 1900</v>
      </c>
      <c r="E55" s="76"/>
      <c r="F55" s="76"/>
      <c r="G55" s="76"/>
      <c r="H55" s="76"/>
      <c r="I55" s="76"/>
      <c r="J55" s="76"/>
      <c r="K55" s="76"/>
      <c r="L55" s="76"/>
      <c r="M55" s="76"/>
      <c r="N55" s="76"/>
      <c r="O55" s="16" t="s">
        <v>340</v>
      </c>
      <c r="P55" s="25"/>
      <c r="T55" s="22"/>
    </row>
    <row r="56" spans="1:20" ht="20.100000000000001" customHeight="1" x14ac:dyDescent="0.2">
      <c r="A56" s="5" t="str">
        <f>HYPERLINK("#'Constants - Fuel'!A1", "Constants - Fuel")</f>
        <v>Constants - Fuel</v>
      </c>
      <c r="D56" s="1" t="str">
        <f>TEXT(EDATE(X_Cell_Site_StartDate,11), "mmmm yyyy")</f>
        <v>November 1900</v>
      </c>
      <c r="E56" s="76"/>
      <c r="F56" s="76"/>
      <c r="G56" s="76"/>
      <c r="H56" s="76"/>
      <c r="I56" s="76"/>
      <c r="J56" s="76"/>
      <c r="K56" s="76"/>
      <c r="L56" s="76"/>
      <c r="M56" s="76"/>
      <c r="N56" s="76"/>
      <c r="O56" s="16" t="s">
        <v>340</v>
      </c>
      <c r="P56" s="25"/>
      <c r="T56" s="22"/>
    </row>
    <row r="57" spans="1:20" ht="20.100000000000001" customHeight="1" x14ac:dyDescent="0.2">
      <c r="A57" s="5" t="str">
        <f>HYPERLINK("#'Constants - Scope 3'!A1", "Constants - Scope 3")</f>
        <v>Constants - Scope 3</v>
      </c>
      <c r="P57" s="25"/>
      <c r="T57" s="22"/>
    </row>
    <row r="58" spans="1:20" ht="20.100000000000001" customHeight="1" x14ac:dyDescent="0.2">
      <c r="A58" s="5" t="str">
        <f>HYPERLINK("#'Constants - Solid Waste'!A1", "Constants - Solid Waste")</f>
        <v>Constants - Solid Waste</v>
      </c>
      <c r="P58" s="25"/>
      <c r="T58" s="22"/>
    </row>
    <row r="59" spans="1:20" ht="20.100000000000001" customHeight="1" x14ac:dyDescent="0.2">
      <c r="A59" s="5" t="str">
        <f>HYPERLINK("#'Constants - Common'!A1", "Constants - Common")</f>
        <v>Constants - Common</v>
      </c>
      <c r="D59" s="79" t="s">
        <v>252</v>
      </c>
      <c r="P59" s="25"/>
      <c r="T59" s="22"/>
    </row>
    <row r="60" spans="1:20" ht="20.100000000000001" customHeight="1" x14ac:dyDescent="0.2">
      <c r="A60" s="5" t="str">
        <f>HYPERLINK("#'Acknowledgements'!A1", "Acknowledgements")</f>
        <v>Acknowledgements</v>
      </c>
      <c r="D60" s="100" t="s">
        <v>325</v>
      </c>
      <c r="E60" s="100" t="s">
        <v>326</v>
      </c>
      <c r="F60" s="100" t="s">
        <v>184</v>
      </c>
      <c r="G60" s="100" t="s">
        <v>327</v>
      </c>
      <c r="H60" s="100" t="s">
        <v>328</v>
      </c>
      <c r="I60" s="100" t="s">
        <v>329</v>
      </c>
      <c r="J60" s="100" t="s">
        <v>330</v>
      </c>
      <c r="K60" s="100" t="s">
        <v>331</v>
      </c>
      <c r="L60" s="100" t="s">
        <v>332</v>
      </c>
      <c r="M60" s="100" t="s">
        <v>333</v>
      </c>
      <c r="N60" s="100" t="s">
        <v>334</v>
      </c>
      <c r="P60" s="25"/>
      <c r="T60" s="22"/>
    </row>
    <row r="61" spans="1:20" ht="20.100000000000001" customHeight="1" x14ac:dyDescent="0.2">
      <c r="D61" s="1" t="s">
        <v>335</v>
      </c>
      <c r="E61" s="15" t="e">
        <f>InputFunctions_PastureBeef.LookupLiveweightFromSeason($E$7,X_Cell_PastureBeef_ProductionRegion,$D61,E$60,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f>
        <v>#N/A</v>
      </c>
      <c r="F61" s="15" t="e">
        <f>InputFunctions_PastureBeef.LookupLiveweightFromSeason($E$7,X_Cell_PastureBeef_ProductionRegion,$D61,F$60,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f>
        <v>#N/A</v>
      </c>
      <c r="G61" s="15" t="e">
        <f>InputFunctions_PastureBeef.LookupLiveweightFromSeason($E$7,X_Cell_PastureBeef_ProductionRegion,$D61,G$60,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f>
        <v>#N/A</v>
      </c>
      <c r="H61" s="15" t="e">
        <f>InputFunctions_PastureBeef.LookupLiveweightFromSeason($E$7,X_Cell_PastureBeef_ProductionRegion,$D61,H$60,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f>
        <v>#N/A</v>
      </c>
      <c r="I61" s="15" t="e">
        <f>InputFunctions_PastureBeef.LookupLiveweightFromSeason($E$7,X_Cell_PastureBeef_ProductionRegion,$D61,I$60,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f>
        <v>#N/A</v>
      </c>
      <c r="J61" s="15" t="e">
        <f>InputFunctions_PastureBeef.LookupLiveweightFromSeason($E$7,X_Cell_PastureBeef_ProductionRegion,$D61,J$60,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f>
        <v>#N/A</v>
      </c>
      <c r="K61" s="15" t="e">
        <f>InputFunctions_PastureBeef.LookupLiveweightFromSeason($E$7,X_Cell_PastureBeef_ProductionRegion,$D61,K$60,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f>
        <v>#N/A</v>
      </c>
      <c r="L61" s="15" t="e">
        <f>InputFunctions_PastureBeef.LookupLiveweightFromSeason($E$7,X_Cell_PastureBeef_ProductionRegion,$D61,L$60,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f>
        <v>#N/A</v>
      </c>
      <c r="M61" s="15" t="e">
        <f>InputFunctions_PastureBeef.LookupLiveweightFromSeason($E$7,X_Cell_PastureBeef_ProductionRegion,$D61,M$60,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f>
        <v>#N/A</v>
      </c>
      <c r="N61" s="15" t="e">
        <f>InputFunctions_PastureBeef.LookupLiveweightFromSeason($E$7,X_Cell_PastureBeef_ProductionRegion,$D61,N$60,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f>
        <v>#N/A</v>
      </c>
      <c r="O61" s="16" t="s">
        <v>343</v>
      </c>
      <c r="P61" s="25"/>
      <c r="T61" s="22"/>
    </row>
    <row r="62" spans="1:20" ht="20.100000000000001" customHeight="1" x14ac:dyDescent="0.2">
      <c r="D62" s="1" t="s">
        <v>336</v>
      </c>
      <c r="E62" s="15" t="e">
        <f>InputFunctions_PastureBeef.LookupLiveweightFromSeason($E$7,X_Cell_PastureBeef_ProductionRegion,$D62,E$60,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f>
        <v>#N/A</v>
      </c>
      <c r="F62" s="15" t="e">
        <f>InputFunctions_PastureBeef.LookupLiveweightFromSeason($E$7,X_Cell_PastureBeef_ProductionRegion,$D62,F$60,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f>
        <v>#N/A</v>
      </c>
      <c r="G62" s="15" t="e">
        <f>InputFunctions_PastureBeef.LookupLiveweightFromSeason($E$7,X_Cell_PastureBeef_ProductionRegion,$D62,G$60,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f>
        <v>#N/A</v>
      </c>
      <c r="H62" s="15" t="e">
        <f>InputFunctions_PastureBeef.LookupLiveweightFromSeason($E$7,X_Cell_PastureBeef_ProductionRegion,$D62,H$60,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f>
        <v>#N/A</v>
      </c>
      <c r="I62" s="15" t="e">
        <f>InputFunctions_PastureBeef.LookupLiveweightFromSeason($E$7,X_Cell_PastureBeef_ProductionRegion,$D62,I$60,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f>
        <v>#N/A</v>
      </c>
      <c r="J62" s="15" t="e">
        <f>InputFunctions_PastureBeef.LookupLiveweightFromSeason($E$7,X_Cell_PastureBeef_ProductionRegion,$D62,J$60,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f>
        <v>#N/A</v>
      </c>
      <c r="K62" s="15" t="e">
        <f>InputFunctions_PastureBeef.LookupLiveweightFromSeason($E$7,X_Cell_PastureBeef_ProductionRegion,$D62,K$60,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f>
        <v>#N/A</v>
      </c>
      <c r="L62" s="15" t="e">
        <f>InputFunctions_PastureBeef.LookupLiveweightFromSeason($E$7,X_Cell_PastureBeef_ProductionRegion,$D62,L$60,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f>
        <v>#N/A</v>
      </c>
      <c r="M62" s="15" t="e">
        <f>InputFunctions_PastureBeef.LookupLiveweightFromSeason($E$7,X_Cell_PastureBeef_ProductionRegion,$D62,M$60,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f>
        <v>#N/A</v>
      </c>
      <c r="N62" s="15" t="e">
        <f>InputFunctions_PastureBeef.LookupLiveweightFromSeason($E$7,X_Cell_PastureBeef_ProductionRegion,$D62,N$60,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f>
        <v>#N/A</v>
      </c>
      <c r="O62" s="16" t="s">
        <v>343</v>
      </c>
      <c r="P62" s="25"/>
      <c r="T62" s="22"/>
    </row>
    <row r="63" spans="1:20" ht="20.100000000000001" customHeight="1" x14ac:dyDescent="0.2">
      <c r="D63" s="1" t="s">
        <v>337</v>
      </c>
      <c r="E63" s="15" t="e">
        <f>InputFunctions_PastureBeef.LookupLiveweightFromSeason($E$7,X_Cell_PastureBeef_ProductionRegion,$D63,E$60,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f>
        <v>#N/A</v>
      </c>
      <c r="F63" s="15" t="e">
        <f>InputFunctions_PastureBeef.LookupLiveweightFromSeason($E$7,X_Cell_PastureBeef_ProductionRegion,$D63,F$60,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f>
        <v>#N/A</v>
      </c>
      <c r="G63" s="15" t="e">
        <f>InputFunctions_PastureBeef.LookupLiveweightFromSeason($E$7,X_Cell_PastureBeef_ProductionRegion,$D63,G$60,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f>
        <v>#N/A</v>
      </c>
      <c r="H63" s="15" t="e">
        <f>InputFunctions_PastureBeef.LookupLiveweightFromSeason($E$7,X_Cell_PastureBeef_ProductionRegion,$D63,H$60,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f>
        <v>#N/A</v>
      </c>
      <c r="I63" s="15" t="e">
        <f>InputFunctions_PastureBeef.LookupLiveweightFromSeason($E$7,X_Cell_PastureBeef_ProductionRegion,$D63,I$60,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f>
        <v>#N/A</v>
      </c>
      <c r="J63" s="15" t="e">
        <f>InputFunctions_PastureBeef.LookupLiveweightFromSeason($E$7,X_Cell_PastureBeef_ProductionRegion,$D63,J$60,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f>
        <v>#N/A</v>
      </c>
      <c r="K63" s="15" t="e">
        <f>InputFunctions_PastureBeef.LookupLiveweightFromSeason($E$7,X_Cell_PastureBeef_ProductionRegion,$D63,K$60,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f>
        <v>#N/A</v>
      </c>
      <c r="L63" s="15" t="e">
        <f>InputFunctions_PastureBeef.LookupLiveweightFromSeason($E$7,X_Cell_PastureBeef_ProductionRegion,$D63,L$60,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f>
        <v>#N/A</v>
      </c>
      <c r="M63" s="15" t="e">
        <f>InputFunctions_PastureBeef.LookupLiveweightFromSeason($E$7,X_Cell_PastureBeef_ProductionRegion,$D63,M$60,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f>
        <v>#N/A</v>
      </c>
      <c r="N63" s="15" t="e">
        <f>InputFunctions_PastureBeef.LookupLiveweightFromSeason($E$7,X_Cell_PastureBeef_ProductionRegion,$D63,N$60,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f>
        <v>#N/A</v>
      </c>
      <c r="O63" s="16" t="s">
        <v>343</v>
      </c>
      <c r="P63" s="25"/>
      <c r="T63" s="22"/>
    </row>
    <row r="64" spans="1:20" ht="20.100000000000001" customHeight="1" x14ac:dyDescent="0.2">
      <c r="D64" s="1" t="s">
        <v>338</v>
      </c>
      <c r="E64" s="15" t="e">
        <f>InputFunctions_PastureBeef.LookupLiveweightFromSeason($E$7,X_Cell_PastureBeef_ProductionRegion,$D64,E$60,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f>
        <v>#N/A</v>
      </c>
      <c r="F64" s="15" t="e">
        <f>InputFunctions_PastureBeef.LookupLiveweightFromSeason($E$7,X_Cell_PastureBeef_ProductionRegion,$D64,F$60,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f>
        <v>#N/A</v>
      </c>
      <c r="G64" s="15" t="e">
        <f>InputFunctions_PastureBeef.LookupLiveweightFromSeason($E$7,X_Cell_PastureBeef_ProductionRegion,$D64,G$60,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f>
        <v>#N/A</v>
      </c>
      <c r="H64" s="15" t="e">
        <f>InputFunctions_PastureBeef.LookupLiveweightFromSeason($E$7,X_Cell_PastureBeef_ProductionRegion,$D64,H$60,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f>
        <v>#N/A</v>
      </c>
      <c r="I64" s="15" t="e">
        <f>InputFunctions_PastureBeef.LookupLiveweightFromSeason($E$7,X_Cell_PastureBeef_ProductionRegion,$D64,I$60,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f>
        <v>#N/A</v>
      </c>
      <c r="J64" s="15" t="e">
        <f>InputFunctions_PastureBeef.LookupLiveweightFromSeason($E$7,X_Cell_PastureBeef_ProductionRegion,$D64,J$60,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f>
        <v>#N/A</v>
      </c>
      <c r="K64" s="15" t="e">
        <f>InputFunctions_PastureBeef.LookupLiveweightFromSeason($E$7,X_Cell_PastureBeef_ProductionRegion,$D64,K$60,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f>
        <v>#N/A</v>
      </c>
      <c r="L64" s="15" t="e">
        <f>InputFunctions_PastureBeef.LookupLiveweightFromSeason($E$7,X_Cell_PastureBeef_ProductionRegion,$D64,L$60,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f>
        <v>#N/A</v>
      </c>
      <c r="M64" s="15" t="e">
        <f>InputFunctions_PastureBeef.LookupLiveweightFromSeason($E$7,X_Cell_PastureBeef_ProductionRegion,$D64,M$60,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f>
        <v>#N/A</v>
      </c>
      <c r="N64" s="15" t="e">
        <f>InputFunctions_PastureBeef.LookupLiveweightFromSeason($E$7,X_Cell_PastureBeef_ProductionRegion,$D64,N$60,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f>
        <v>#N/A</v>
      </c>
      <c r="O64" s="16" t="s">
        <v>343</v>
      </c>
      <c r="P64" s="25"/>
      <c r="T64" s="22"/>
    </row>
    <row r="65" spans="4:20" ht="20.100000000000001" customHeight="1" x14ac:dyDescent="0.2">
      <c r="O65" s="16"/>
      <c r="P65" s="25"/>
      <c r="T65" s="22"/>
    </row>
    <row r="66" spans="4:20" ht="20.100000000000001" customHeight="1" x14ac:dyDescent="0.2">
      <c r="D66" s="100" t="s">
        <v>339</v>
      </c>
      <c r="E66" s="100" t="s">
        <v>326</v>
      </c>
      <c r="F66" s="100" t="s">
        <v>184</v>
      </c>
      <c r="G66" s="100" t="s">
        <v>327</v>
      </c>
      <c r="H66" s="100" t="s">
        <v>328</v>
      </c>
      <c r="I66" s="100" t="s">
        <v>329</v>
      </c>
      <c r="J66" s="100" t="s">
        <v>330</v>
      </c>
      <c r="K66" s="100" t="s">
        <v>331</v>
      </c>
      <c r="L66" s="100" t="s">
        <v>332</v>
      </c>
      <c r="M66" s="100" t="s">
        <v>333</v>
      </c>
      <c r="N66" s="100" t="s">
        <v>334</v>
      </c>
      <c r="O66" s="16"/>
      <c r="P66" s="25"/>
      <c r="T66" s="22"/>
    </row>
    <row r="67" spans="4:20" ht="20.100000000000001" customHeight="1" x14ac:dyDescent="0.2">
      <c r="D67" s="1" t="str">
        <f>TEXT(X_Cell_Site_StartDate, "mmmm yyyy")</f>
        <v>January 1900</v>
      </c>
      <c r="E67" s="76" t="e">
        <f>InputFunctions_PastureBeef.LookupLiveweightFromMonth($E$7,X_Cell_PastureBeef_ProductionRegion,$D67,E$66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#N/A</v>
      </c>
      <c r="F67" s="76" t="e">
        <f>InputFunctions_PastureBeef.LookupLiveweightFromMonth($E$7,X_Cell_PastureBeef_ProductionRegion,$D67,F$66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#N/A</v>
      </c>
      <c r="G67" s="76" t="e">
        <f>InputFunctions_PastureBeef.LookupLiveweightFromMonth($E$7,X_Cell_PastureBeef_ProductionRegion,$D67,G$66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#N/A</v>
      </c>
      <c r="H67" s="76" t="e">
        <f>InputFunctions_PastureBeef.LookupLiveweightFromMonth($E$7,X_Cell_PastureBeef_ProductionRegion,$D67,H$66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#N/A</v>
      </c>
      <c r="I67" s="76" t="e">
        <f>InputFunctions_PastureBeef.LookupLiveweightFromMonth($E$7,X_Cell_PastureBeef_ProductionRegion,$D67,I$66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#N/A</v>
      </c>
      <c r="J67" s="76" t="e">
        <f>InputFunctions_PastureBeef.LookupLiveweightFromMonth($E$7,X_Cell_PastureBeef_ProductionRegion,$D67,J$66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#N/A</v>
      </c>
      <c r="K67" s="76" t="e">
        <f>InputFunctions_PastureBeef.LookupLiveweightFromMonth($E$7,X_Cell_PastureBeef_ProductionRegion,$D67,K$66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#N/A</v>
      </c>
      <c r="L67" s="76" t="e">
        <f>InputFunctions_PastureBeef.LookupLiveweightFromMonth($E$7,X_Cell_PastureBeef_ProductionRegion,$D67,L$66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#N/A</v>
      </c>
      <c r="M67" s="76" t="e">
        <f>InputFunctions_PastureBeef.LookupLiveweightFromMonth($E$7,X_Cell_PastureBeef_ProductionRegion,$D67,M$66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#N/A</v>
      </c>
      <c r="N67" s="76" t="e">
        <f>InputFunctions_PastureBeef.LookupLiveweightFromMonth($E$7,X_Cell_PastureBeef_ProductionRegion,$D67,N$66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#N/A</v>
      </c>
      <c r="O67" s="16" t="s">
        <v>343</v>
      </c>
      <c r="P67" s="25"/>
      <c r="T67" s="22"/>
    </row>
    <row r="68" spans="4:20" ht="20.100000000000001" customHeight="1" x14ac:dyDescent="0.2">
      <c r="D68" s="1" t="str">
        <f>TEXT(EDATE(X_Cell_Site_StartDate,1), "mmmm yyyy")</f>
        <v>January 1900</v>
      </c>
      <c r="E68" s="76" t="e">
        <f>InputFunctions_PastureBeef.LookupLiveweightFromMonth($E$7,X_Cell_PastureBeef_ProductionRegion,$D68,E$66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#N/A</v>
      </c>
      <c r="F68" s="76" t="e">
        <f>InputFunctions_PastureBeef.LookupLiveweightFromMonth($E$7,X_Cell_PastureBeef_ProductionRegion,$D68,F$66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#N/A</v>
      </c>
      <c r="G68" s="76" t="e">
        <f>InputFunctions_PastureBeef.LookupLiveweightFromMonth($E$7,X_Cell_PastureBeef_ProductionRegion,$D68,G$66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#N/A</v>
      </c>
      <c r="H68" s="76" t="e">
        <f>InputFunctions_PastureBeef.LookupLiveweightFromMonth($E$7,X_Cell_PastureBeef_ProductionRegion,$D68,H$66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#N/A</v>
      </c>
      <c r="I68" s="76" t="e">
        <f>InputFunctions_PastureBeef.LookupLiveweightFromMonth($E$7,X_Cell_PastureBeef_ProductionRegion,$D68,I$66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#N/A</v>
      </c>
      <c r="J68" s="76" t="e">
        <f>InputFunctions_PastureBeef.LookupLiveweightFromMonth($E$7,X_Cell_PastureBeef_ProductionRegion,$D68,J$66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#N/A</v>
      </c>
      <c r="K68" s="76" t="e">
        <f>InputFunctions_PastureBeef.LookupLiveweightFromMonth($E$7,X_Cell_PastureBeef_ProductionRegion,$D68,K$66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#N/A</v>
      </c>
      <c r="L68" s="76" t="e">
        <f>InputFunctions_PastureBeef.LookupLiveweightFromMonth($E$7,X_Cell_PastureBeef_ProductionRegion,$D68,L$66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#N/A</v>
      </c>
      <c r="M68" s="76" t="e">
        <f>InputFunctions_PastureBeef.LookupLiveweightFromMonth($E$7,X_Cell_PastureBeef_ProductionRegion,$D68,M$66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#N/A</v>
      </c>
      <c r="N68" s="76" t="e">
        <f>InputFunctions_PastureBeef.LookupLiveweightFromMonth($E$7,X_Cell_PastureBeef_ProductionRegion,$D68,N$66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#N/A</v>
      </c>
      <c r="O68" s="16" t="s">
        <v>343</v>
      </c>
      <c r="P68" s="25"/>
      <c r="T68" s="22"/>
    </row>
    <row r="69" spans="4:20" ht="20.100000000000001" customHeight="1" x14ac:dyDescent="0.2">
      <c r="D69" s="1" t="str">
        <f>TEXT(EDATE(X_Cell_Site_StartDate,2), "mmmm yyyy")</f>
        <v>February 1900</v>
      </c>
      <c r="E69" s="76" t="e">
        <f>InputFunctions_PastureBeef.LookupLiveweightFromMonth($E$7,X_Cell_PastureBeef_ProductionRegion,$D69,E$66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#N/A</v>
      </c>
      <c r="F69" s="76" t="e">
        <f>InputFunctions_PastureBeef.LookupLiveweightFromMonth($E$7,X_Cell_PastureBeef_ProductionRegion,$D69,F$66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#N/A</v>
      </c>
      <c r="G69" s="76" t="e">
        <f>InputFunctions_PastureBeef.LookupLiveweightFromMonth($E$7,X_Cell_PastureBeef_ProductionRegion,$D69,G$66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#N/A</v>
      </c>
      <c r="H69" s="76" t="e">
        <f>InputFunctions_PastureBeef.LookupLiveweightFromMonth($E$7,X_Cell_PastureBeef_ProductionRegion,$D69,H$66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#N/A</v>
      </c>
      <c r="I69" s="76" t="e">
        <f>InputFunctions_PastureBeef.LookupLiveweightFromMonth($E$7,X_Cell_PastureBeef_ProductionRegion,$D69,I$66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#N/A</v>
      </c>
      <c r="J69" s="76" t="e">
        <f>InputFunctions_PastureBeef.LookupLiveweightFromMonth($E$7,X_Cell_PastureBeef_ProductionRegion,$D69,J$66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#N/A</v>
      </c>
      <c r="K69" s="76" t="e">
        <f>InputFunctions_PastureBeef.LookupLiveweightFromMonth($E$7,X_Cell_PastureBeef_ProductionRegion,$D69,K$66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#N/A</v>
      </c>
      <c r="L69" s="76" t="e">
        <f>InputFunctions_PastureBeef.LookupLiveweightFromMonth($E$7,X_Cell_PastureBeef_ProductionRegion,$D69,L$66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#N/A</v>
      </c>
      <c r="M69" s="76" t="e">
        <f>InputFunctions_PastureBeef.LookupLiveweightFromMonth($E$7,X_Cell_PastureBeef_ProductionRegion,$D69,M$66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#N/A</v>
      </c>
      <c r="N69" s="76" t="e">
        <f>InputFunctions_PastureBeef.LookupLiveweightFromMonth($E$7,X_Cell_PastureBeef_ProductionRegion,$D69,N$66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#N/A</v>
      </c>
      <c r="O69" s="16" t="s">
        <v>343</v>
      </c>
      <c r="P69" s="25"/>
      <c r="T69" s="22"/>
    </row>
    <row r="70" spans="4:20" ht="20.100000000000001" customHeight="1" x14ac:dyDescent="0.2">
      <c r="D70" s="1" t="str">
        <f>TEXT(EDATE(X_Cell_Site_StartDate,3), "mmmm yyyy")</f>
        <v>March 1900</v>
      </c>
      <c r="E70" s="76" t="e">
        <f>InputFunctions_PastureBeef.LookupLiveweightFromMonth($E$7,X_Cell_PastureBeef_ProductionRegion,$D70,E$66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#N/A</v>
      </c>
      <c r="F70" s="76" t="e">
        <f>InputFunctions_PastureBeef.LookupLiveweightFromMonth($E$7,X_Cell_PastureBeef_ProductionRegion,$D70,F$66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#N/A</v>
      </c>
      <c r="G70" s="76" t="e">
        <f>InputFunctions_PastureBeef.LookupLiveweightFromMonth($E$7,X_Cell_PastureBeef_ProductionRegion,$D70,G$66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#N/A</v>
      </c>
      <c r="H70" s="76" t="e">
        <f>InputFunctions_PastureBeef.LookupLiveweightFromMonth($E$7,X_Cell_PastureBeef_ProductionRegion,$D70,H$66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#N/A</v>
      </c>
      <c r="I70" s="76" t="e">
        <f>InputFunctions_PastureBeef.LookupLiveweightFromMonth($E$7,X_Cell_PastureBeef_ProductionRegion,$D70,I$66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#N/A</v>
      </c>
      <c r="J70" s="76" t="e">
        <f>InputFunctions_PastureBeef.LookupLiveweightFromMonth($E$7,X_Cell_PastureBeef_ProductionRegion,$D70,J$66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#N/A</v>
      </c>
      <c r="K70" s="76" t="e">
        <f>InputFunctions_PastureBeef.LookupLiveweightFromMonth($E$7,X_Cell_PastureBeef_ProductionRegion,$D70,K$66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#N/A</v>
      </c>
      <c r="L70" s="76" t="e">
        <f>InputFunctions_PastureBeef.LookupLiveweightFromMonth($E$7,X_Cell_PastureBeef_ProductionRegion,$D70,L$66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#N/A</v>
      </c>
      <c r="M70" s="76" t="e">
        <f>InputFunctions_PastureBeef.LookupLiveweightFromMonth($E$7,X_Cell_PastureBeef_ProductionRegion,$D70,M$66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#N/A</v>
      </c>
      <c r="N70" s="76" t="e">
        <f>InputFunctions_PastureBeef.LookupLiveweightFromMonth($E$7,X_Cell_PastureBeef_ProductionRegion,$D70,N$66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#N/A</v>
      </c>
      <c r="O70" s="16" t="s">
        <v>343</v>
      </c>
      <c r="P70" s="25"/>
      <c r="T70" s="22"/>
    </row>
    <row r="71" spans="4:20" ht="20.100000000000001" customHeight="1" x14ac:dyDescent="0.2">
      <c r="D71" s="1" t="str">
        <f>TEXT(EDATE(X_Cell_Site_StartDate,4), "mmmm yyyy")</f>
        <v>April 1900</v>
      </c>
      <c r="E71" s="76" t="e">
        <f>InputFunctions_PastureBeef.LookupLiveweightFromMonth($E$7,X_Cell_PastureBeef_ProductionRegion,$D71,E$66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#N/A</v>
      </c>
      <c r="F71" s="76" t="e">
        <f>InputFunctions_PastureBeef.LookupLiveweightFromMonth($E$7,X_Cell_PastureBeef_ProductionRegion,$D71,F$66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#N/A</v>
      </c>
      <c r="G71" s="76" t="e">
        <f>InputFunctions_PastureBeef.LookupLiveweightFromMonth($E$7,X_Cell_PastureBeef_ProductionRegion,$D71,G$66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#N/A</v>
      </c>
      <c r="H71" s="76" t="e">
        <f>InputFunctions_PastureBeef.LookupLiveweightFromMonth($E$7,X_Cell_PastureBeef_ProductionRegion,$D71,H$66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#N/A</v>
      </c>
      <c r="I71" s="76" t="e">
        <f>InputFunctions_PastureBeef.LookupLiveweightFromMonth($E$7,X_Cell_PastureBeef_ProductionRegion,$D71,I$66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#N/A</v>
      </c>
      <c r="J71" s="76" t="e">
        <f>InputFunctions_PastureBeef.LookupLiveweightFromMonth($E$7,X_Cell_PastureBeef_ProductionRegion,$D71,J$66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#N/A</v>
      </c>
      <c r="K71" s="76" t="e">
        <f>InputFunctions_PastureBeef.LookupLiveweightFromMonth($E$7,X_Cell_PastureBeef_ProductionRegion,$D71,K$66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#N/A</v>
      </c>
      <c r="L71" s="76" t="e">
        <f>InputFunctions_PastureBeef.LookupLiveweightFromMonth($E$7,X_Cell_PastureBeef_ProductionRegion,$D71,L$66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#N/A</v>
      </c>
      <c r="M71" s="76" t="e">
        <f>InputFunctions_PastureBeef.LookupLiveweightFromMonth($E$7,X_Cell_PastureBeef_ProductionRegion,$D71,M$66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#N/A</v>
      </c>
      <c r="N71" s="76" t="e">
        <f>InputFunctions_PastureBeef.LookupLiveweightFromMonth($E$7,X_Cell_PastureBeef_ProductionRegion,$D71,N$66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#N/A</v>
      </c>
      <c r="O71" s="16" t="s">
        <v>343</v>
      </c>
      <c r="P71" s="25"/>
      <c r="T71" s="22"/>
    </row>
    <row r="72" spans="4:20" ht="20.100000000000001" customHeight="1" x14ac:dyDescent="0.2">
      <c r="D72" s="1" t="str">
        <f>TEXT(EDATE(X_Cell_Site_StartDate,5), "mmmm yyyy")</f>
        <v>May 1900</v>
      </c>
      <c r="E72" s="76" t="e">
        <f>InputFunctions_PastureBeef.LookupLiveweightFromMonth($E$7,X_Cell_PastureBeef_ProductionRegion,$D72,E$66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#N/A</v>
      </c>
      <c r="F72" s="76" t="e">
        <f>InputFunctions_PastureBeef.LookupLiveweightFromMonth($E$7,X_Cell_PastureBeef_ProductionRegion,$D72,F$66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#N/A</v>
      </c>
      <c r="G72" s="76" t="e">
        <f>InputFunctions_PastureBeef.LookupLiveweightFromMonth($E$7,X_Cell_PastureBeef_ProductionRegion,$D72,G$66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#N/A</v>
      </c>
      <c r="H72" s="76" t="e">
        <f>InputFunctions_PastureBeef.LookupLiveweightFromMonth($E$7,X_Cell_PastureBeef_ProductionRegion,$D72,H$66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#N/A</v>
      </c>
      <c r="I72" s="76" t="e">
        <f>InputFunctions_PastureBeef.LookupLiveweightFromMonth($E$7,X_Cell_PastureBeef_ProductionRegion,$D72,I$66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#N/A</v>
      </c>
      <c r="J72" s="76" t="e">
        <f>InputFunctions_PastureBeef.LookupLiveweightFromMonth($E$7,X_Cell_PastureBeef_ProductionRegion,$D72,J$66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#N/A</v>
      </c>
      <c r="K72" s="76" t="e">
        <f>InputFunctions_PastureBeef.LookupLiveweightFromMonth($E$7,X_Cell_PastureBeef_ProductionRegion,$D72,K$66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#N/A</v>
      </c>
      <c r="L72" s="76" t="e">
        <f>InputFunctions_PastureBeef.LookupLiveweightFromMonth($E$7,X_Cell_PastureBeef_ProductionRegion,$D72,L$66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#N/A</v>
      </c>
      <c r="M72" s="76" t="e">
        <f>InputFunctions_PastureBeef.LookupLiveweightFromMonth($E$7,X_Cell_PastureBeef_ProductionRegion,$D72,M$66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#N/A</v>
      </c>
      <c r="N72" s="76" t="e">
        <f>InputFunctions_PastureBeef.LookupLiveweightFromMonth($E$7,X_Cell_PastureBeef_ProductionRegion,$D72,N$66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#N/A</v>
      </c>
      <c r="O72" s="16" t="s">
        <v>343</v>
      </c>
      <c r="T72" s="22"/>
    </row>
    <row r="73" spans="4:20" ht="20.100000000000001" customHeight="1" x14ac:dyDescent="0.2">
      <c r="D73" s="1" t="str">
        <f>TEXT(EDATE(X_Cell_Site_StartDate,6), "mmmm yyyy")</f>
        <v>June 1900</v>
      </c>
      <c r="E73" s="76" t="e">
        <f>InputFunctions_PastureBeef.LookupLiveweightFromMonth($E$7,X_Cell_PastureBeef_ProductionRegion,$D73,E$66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#N/A</v>
      </c>
      <c r="F73" s="76" t="e">
        <f>InputFunctions_PastureBeef.LookupLiveweightFromMonth($E$7,X_Cell_PastureBeef_ProductionRegion,$D73,F$66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#N/A</v>
      </c>
      <c r="G73" s="76" t="e">
        <f>InputFunctions_PastureBeef.LookupLiveweightFromMonth($E$7,X_Cell_PastureBeef_ProductionRegion,$D73,G$66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#N/A</v>
      </c>
      <c r="H73" s="76" t="e">
        <f>InputFunctions_PastureBeef.LookupLiveweightFromMonth($E$7,X_Cell_PastureBeef_ProductionRegion,$D73,H$66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#N/A</v>
      </c>
      <c r="I73" s="76" t="e">
        <f>InputFunctions_PastureBeef.LookupLiveweightFromMonth($E$7,X_Cell_PastureBeef_ProductionRegion,$D73,I$66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#N/A</v>
      </c>
      <c r="J73" s="76" t="e">
        <f>InputFunctions_PastureBeef.LookupLiveweightFromMonth($E$7,X_Cell_PastureBeef_ProductionRegion,$D73,J$66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#N/A</v>
      </c>
      <c r="K73" s="76" t="e">
        <f>InputFunctions_PastureBeef.LookupLiveweightFromMonth($E$7,X_Cell_PastureBeef_ProductionRegion,$D73,K$66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#N/A</v>
      </c>
      <c r="L73" s="76" t="e">
        <f>InputFunctions_PastureBeef.LookupLiveweightFromMonth($E$7,X_Cell_PastureBeef_ProductionRegion,$D73,L$66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#N/A</v>
      </c>
      <c r="M73" s="76" t="e">
        <f>InputFunctions_PastureBeef.LookupLiveweightFromMonth($E$7,X_Cell_PastureBeef_ProductionRegion,$D73,M$66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#N/A</v>
      </c>
      <c r="N73" s="76" t="e">
        <f>InputFunctions_PastureBeef.LookupLiveweightFromMonth($E$7,X_Cell_PastureBeef_ProductionRegion,$D73,N$66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#N/A</v>
      </c>
      <c r="O73" s="16" t="s">
        <v>343</v>
      </c>
      <c r="T73" s="22"/>
    </row>
    <row r="74" spans="4:20" ht="20.100000000000001" customHeight="1" x14ac:dyDescent="0.2">
      <c r="D74" s="1" t="str">
        <f>TEXT(EDATE(X_Cell_Site_StartDate,7), "mmmm yyyy")</f>
        <v>July 1900</v>
      </c>
      <c r="E74" s="76" t="e">
        <f>InputFunctions_PastureBeef.LookupLiveweightFromMonth($E$7,X_Cell_PastureBeef_ProductionRegion,$D74,E$66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#N/A</v>
      </c>
      <c r="F74" s="76" t="e">
        <f>InputFunctions_PastureBeef.LookupLiveweightFromMonth($E$7,X_Cell_PastureBeef_ProductionRegion,$D74,F$66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#N/A</v>
      </c>
      <c r="G74" s="76" t="e">
        <f>InputFunctions_PastureBeef.LookupLiveweightFromMonth($E$7,X_Cell_PastureBeef_ProductionRegion,$D74,G$66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#N/A</v>
      </c>
      <c r="H74" s="76" t="e">
        <f>InputFunctions_PastureBeef.LookupLiveweightFromMonth($E$7,X_Cell_PastureBeef_ProductionRegion,$D74,H$66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#N/A</v>
      </c>
      <c r="I74" s="76" t="e">
        <f>InputFunctions_PastureBeef.LookupLiveweightFromMonth($E$7,X_Cell_PastureBeef_ProductionRegion,$D74,I$66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#N/A</v>
      </c>
      <c r="J74" s="76" t="e">
        <f>InputFunctions_PastureBeef.LookupLiveweightFromMonth($E$7,X_Cell_PastureBeef_ProductionRegion,$D74,J$66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#N/A</v>
      </c>
      <c r="K74" s="76" t="e">
        <f>InputFunctions_PastureBeef.LookupLiveweightFromMonth($E$7,X_Cell_PastureBeef_ProductionRegion,$D74,K$66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#N/A</v>
      </c>
      <c r="L74" s="76" t="e">
        <f>InputFunctions_PastureBeef.LookupLiveweightFromMonth($E$7,X_Cell_PastureBeef_ProductionRegion,$D74,L$66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#N/A</v>
      </c>
      <c r="M74" s="76" t="e">
        <f>InputFunctions_PastureBeef.LookupLiveweightFromMonth($E$7,X_Cell_PastureBeef_ProductionRegion,$D74,M$66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#N/A</v>
      </c>
      <c r="N74" s="76" t="e">
        <f>InputFunctions_PastureBeef.LookupLiveweightFromMonth($E$7,X_Cell_PastureBeef_ProductionRegion,$D74,N$66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#N/A</v>
      </c>
      <c r="O74" s="16" t="s">
        <v>343</v>
      </c>
      <c r="T74" s="22"/>
    </row>
    <row r="75" spans="4:20" ht="20.100000000000001" customHeight="1" x14ac:dyDescent="0.2">
      <c r="D75" s="1" t="str">
        <f>TEXT(EDATE(X_Cell_Site_StartDate,8), "mmmm yyyy")</f>
        <v>August 1900</v>
      </c>
      <c r="E75" s="76" t="e">
        <f>InputFunctions_PastureBeef.LookupLiveweightFromMonth($E$7,X_Cell_PastureBeef_ProductionRegion,$D75,E$66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#N/A</v>
      </c>
      <c r="F75" s="76" t="e">
        <f>InputFunctions_PastureBeef.LookupLiveweightFromMonth($E$7,X_Cell_PastureBeef_ProductionRegion,$D75,F$66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#N/A</v>
      </c>
      <c r="G75" s="76" t="e">
        <f>InputFunctions_PastureBeef.LookupLiveweightFromMonth($E$7,X_Cell_PastureBeef_ProductionRegion,$D75,G$66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#N/A</v>
      </c>
      <c r="H75" s="76" t="e">
        <f>InputFunctions_PastureBeef.LookupLiveweightFromMonth($E$7,X_Cell_PastureBeef_ProductionRegion,$D75,H$66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#N/A</v>
      </c>
      <c r="I75" s="76" t="e">
        <f>InputFunctions_PastureBeef.LookupLiveweightFromMonth($E$7,X_Cell_PastureBeef_ProductionRegion,$D75,I$66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#N/A</v>
      </c>
      <c r="J75" s="76" t="e">
        <f>InputFunctions_PastureBeef.LookupLiveweightFromMonth($E$7,X_Cell_PastureBeef_ProductionRegion,$D75,J$66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#N/A</v>
      </c>
      <c r="K75" s="76" t="e">
        <f>InputFunctions_PastureBeef.LookupLiveweightFromMonth($E$7,X_Cell_PastureBeef_ProductionRegion,$D75,K$66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#N/A</v>
      </c>
      <c r="L75" s="76" t="e">
        <f>InputFunctions_PastureBeef.LookupLiveweightFromMonth($E$7,X_Cell_PastureBeef_ProductionRegion,$D75,L$66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#N/A</v>
      </c>
      <c r="M75" s="76" t="e">
        <f>InputFunctions_PastureBeef.LookupLiveweightFromMonth($E$7,X_Cell_PastureBeef_ProductionRegion,$D75,M$66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#N/A</v>
      </c>
      <c r="N75" s="76" t="e">
        <f>InputFunctions_PastureBeef.LookupLiveweightFromMonth($E$7,X_Cell_PastureBeef_ProductionRegion,$D75,N$66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#N/A</v>
      </c>
      <c r="O75" s="16" t="s">
        <v>343</v>
      </c>
      <c r="T75" s="22"/>
    </row>
    <row r="76" spans="4:20" ht="20.100000000000001" customHeight="1" x14ac:dyDescent="0.2">
      <c r="D76" s="1" t="str">
        <f>TEXT(EDATE(X_Cell_Site_StartDate,9), "mmmm yyyy")</f>
        <v>September 1900</v>
      </c>
      <c r="E76" s="76" t="e">
        <f>InputFunctions_PastureBeef.LookupLiveweightFromMonth($E$7,X_Cell_PastureBeef_ProductionRegion,$D76,E$66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#N/A</v>
      </c>
      <c r="F76" s="76" t="e">
        <f>InputFunctions_PastureBeef.LookupLiveweightFromMonth($E$7,X_Cell_PastureBeef_ProductionRegion,$D76,F$66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#N/A</v>
      </c>
      <c r="G76" s="76" t="e">
        <f>InputFunctions_PastureBeef.LookupLiveweightFromMonth($E$7,X_Cell_PastureBeef_ProductionRegion,$D76,G$66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#N/A</v>
      </c>
      <c r="H76" s="76" t="e">
        <f>InputFunctions_PastureBeef.LookupLiveweightFromMonth($E$7,X_Cell_PastureBeef_ProductionRegion,$D76,H$66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#N/A</v>
      </c>
      <c r="I76" s="76" t="e">
        <f>InputFunctions_PastureBeef.LookupLiveweightFromMonth($E$7,X_Cell_PastureBeef_ProductionRegion,$D76,I$66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#N/A</v>
      </c>
      <c r="J76" s="76" t="e">
        <f>InputFunctions_PastureBeef.LookupLiveweightFromMonth($E$7,X_Cell_PastureBeef_ProductionRegion,$D76,J$66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#N/A</v>
      </c>
      <c r="K76" s="76" t="e">
        <f>InputFunctions_PastureBeef.LookupLiveweightFromMonth($E$7,X_Cell_PastureBeef_ProductionRegion,$D76,K$66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#N/A</v>
      </c>
      <c r="L76" s="76" t="e">
        <f>InputFunctions_PastureBeef.LookupLiveweightFromMonth($E$7,X_Cell_PastureBeef_ProductionRegion,$D76,L$66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#N/A</v>
      </c>
      <c r="M76" s="76" t="e">
        <f>InputFunctions_PastureBeef.LookupLiveweightFromMonth($E$7,X_Cell_PastureBeef_ProductionRegion,$D76,M$66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#N/A</v>
      </c>
      <c r="N76" s="76" t="e">
        <f>InputFunctions_PastureBeef.LookupLiveweightFromMonth($E$7,X_Cell_PastureBeef_ProductionRegion,$D76,N$66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#N/A</v>
      </c>
      <c r="O76" s="16" t="s">
        <v>343</v>
      </c>
      <c r="T76" s="22"/>
    </row>
    <row r="77" spans="4:20" ht="20.100000000000001" customHeight="1" x14ac:dyDescent="0.2">
      <c r="D77" s="1" t="str">
        <f>TEXT(EDATE(X_Cell_Site_StartDate,10), "mmmm yyyy")</f>
        <v>October 1900</v>
      </c>
      <c r="E77" s="76" t="e">
        <f>InputFunctions_PastureBeef.LookupLiveweightFromMonth($E$7,X_Cell_PastureBeef_ProductionRegion,$D77,E$66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#N/A</v>
      </c>
      <c r="F77" s="76" t="e">
        <f>InputFunctions_PastureBeef.LookupLiveweightFromMonth($E$7,X_Cell_PastureBeef_ProductionRegion,$D77,F$66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#N/A</v>
      </c>
      <c r="G77" s="76" t="e">
        <f>InputFunctions_PastureBeef.LookupLiveweightFromMonth($E$7,X_Cell_PastureBeef_ProductionRegion,$D77,G$66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#N/A</v>
      </c>
      <c r="H77" s="76" t="e">
        <f>InputFunctions_PastureBeef.LookupLiveweightFromMonth($E$7,X_Cell_PastureBeef_ProductionRegion,$D77,H$66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#N/A</v>
      </c>
      <c r="I77" s="76" t="e">
        <f>InputFunctions_PastureBeef.LookupLiveweightFromMonth($E$7,X_Cell_PastureBeef_ProductionRegion,$D77,I$66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#N/A</v>
      </c>
      <c r="J77" s="76" t="e">
        <f>InputFunctions_PastureBeef.LookupLiveweightFromMonth($E$7,X_Cell_PastureBeef_ProductionRegion,$D77,J$66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#N/A</v>
      </c>
      <c r="K77" s="76" t="e">
        <f>InputFunctions_PastureBeef.LookupLiveweightFromMonth($E$7,X_Cell_PastureBeef_ProductionRegion,$D77,K$66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#N/A</v>
      </c>
      <c r="L77" s="76" t="e">
        <f>InputFunctions_PastureBeef.LookupLiveweightFromMonth($E$7,X_Cell_PastureBeef_ProductionRegion,$D77,L$66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#N/A</v>
      </c>
      <c r="M77" s="76" t="e">
        <f>InputFunctions_PastureBeef.LookupLiveweightFromMonth($E$7,X_Cell_PastureBeef_ProductionRegion,$D77,M$66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#N/A</v>
      </c>
      <c r="N77" s="76" t="e">
        <f>InputFunctions_PastureBeef.LookupLiveweightFromMonth($E$7,X_Cell_PastureBeef_ProductionRegion,$D77,N$66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#N/A</v>
      </c>
      <c r="O77" s="16" t="s">
        <v>343</v>
      </c>
      <c r="T77" s="22"/>
    </row>
    <row r="78" spans="4:20" ht="20.100000000000001" customHeight="1" x14ac:dyDescent="0.2">
      <c r="D78" s="1" t="str">
        <f>TEXT(EDATE(X_Cell_Site_StartDate,11), "mmmm yyyy")</f>
        <v>November 1900</v>
      </c>
      <c r="E78" s="76" t="e">
        <f>InputFunctions_PastureBeef.LookupLiveweightFromMonth($E$7,X_Cell_PastureBeef_ProductionRegion,$D78,E$66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#N/A</v>
      </c>
      <c r="F78" s="76" t="e">
        <f>InputFunctions_PastureBeef.LookupLiveweightFromMonth($E$7,X_Cell_PastureBeef_ProductionRegion,$D78,F$66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#N/A</v>
      </c>
      <c r="G78" s="76" t="e">
        <f>InputFunctions_PastureBeef.LookupLiveweightFromMonth($E$7,X_Cell_PastureBeef_ProductionRegion,$D78,G$66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#N/A</v>
      </c>
      <c r="H78" s="76" t="e">
        <f>InputFunctions_PastureBeef.LookupLiveweightFromMonth($E$7,X_Cell_PastureBeef_ProductionRegion,$D78,H$66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#N/A</v>
      </c>
      <c r="I78" s="76" t="e">
        <f>InputFunctions_PastureBeef.LookupLiveweightFromMonth($E$7,X_Cell_PastureBeef_ProductionRegion,$D78,I$66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#N/A</v>
      </c>
      <c r="J78" s="76" t="e">
        <f>InputFunctions_PastureBeef.LookupLiveweightFromMonth($E$7,X_Cell_PastureBeef_ProductionRegion,$D78,J$66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#N/A</v>
      </c>
      <c r="K78" s="76" t="e">
        <f>InputFunctions_PastureBeef.LookupLiveweightFromMonth($E$7,X_Cell_PastureBeef_ProductionRegion,$D78,K$66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#N/A</v>
      </c>
      <c r="L78" s="76" t="e">
        <f>InputFunctions_PastureBeef.LookupLiveweightFromMonth($E$7,X_Cell_PastureBeef_ProductionRegion,$D78,L$66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#N/A</v>
      </c>
      <c r="M78" s="76" t="e">
        <f>InputFunctions_PastureBeef.LookupLiveweightFromMonth($E$7,X_Cell_PastureBeef_ProductionRegion,$D78,M$66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#N/A</v>
      </c>
      <c r="N78" s="76" t="e">
        <f>InputFunctions_PastureBeef.LookupLiveweightFromMonth($E$7,X_Cell_PastureBeef_ProductionRegion,$D78,N$66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#N/A</v>
      </c>
      <c r="O78" s="16" t="s">
        <v>343</v>
      </c>
      <c r="T78" s="22"/>
    </row>
    <row r="79" spans="4:20" ht="20.100000000000001" customHeight="1" x14ac:dyDescent="0.2">
      <c r="T79" s="22"/>
    </row>
    <row r="80" spans="4:20" ht="20.100000000000001" customHeight="1" x14ac:dyDescent="0.2">
      <c r="T80" s="22"/>
    </row>
    <row r="81" spans="4:20" ht="20.100000000000001" customHeight="1" x14ac:dyDescent="0.2">
      <c r="D81" s="79" t="s">
        <v>253</v>
      </c>
      <c r="T81" s="22"/>
    </row>
    <row r="82" spans="4:20" ht="20.100000000000001" customHeight="1" x14ac:dyDescent="0.2">
      <c r="D82" s="100" t="s">
        <v>325</v>
      </c>
      <c r="E82" s="100" t="s">
        <v>326</v>
      </c>
      <c r="F82" s="100" t="s">
        <v>184</v>
      </c>
      <c r="G82" s="100" t="s">
        <v>327</v>
      </c>
      <c r="H82" s="100" t="s">
        <v>328</v>
      </c>
      <c r="I82" s="100" t="s">
        <v>329</v>
      </c>
      <c r="J82" s="100" t="s">
        <v>330</v>
      </c>
      <c r="K82" s="100" t="s">
        <v>331</v>
      </c>
      <c r="L82" s="100" t="s">
        <v>332</v>
      </c>
      <c r="M82" s="100" t="s">
        <v>333</v>
      </c>
      <c r="N82" s="100" t="s">
        <v>334</v>
      </c>
      <c r="T82" s="22"/>
    </row>
    <row r="83" spans="4:20" ht="20.100000000000001" customHeight="1" x14ac:dyDescent="0.2">
      <c r="D83" s="1" t="s">
        <v>335</v>
      </c>
      <c r="E83" s="15" t="e">
        <f>InputFunctions_PastureBeef.LookupLiveweightFromSeason($E$7,X_Cell_PastureBeef_ProductionRegion,$D83,E$82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f>
        <v>#N/A</v>
      </c>
      <c r="F83" s="15" t="e">
        <f>InputFunctions_PastureBeef.LookupLiveweightFromSeason($E$7,X_Cell_PastureBeef_ProductionRegion,$D83,F$82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f>
        <v>#N/A</v>
      </c>
      <c r="G83" s="15" t="e">
        <f>InputFunctions_PastureBeef.LookupLiveweightFromSeason($E$7,X_Cell_PastureBeef_ProductionRegion,$D83,G$82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f>
        <v>#N/A</v>
      </c>
      <c r="H83" s="15" t="e">
        <f>InputFunctions_PastureBeef.LookupLiveweightFromSeason($E$7,X_Cell_PastureBeef_ProductionRegion,$D83,H$82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f>
        <v>#N/A</v>
      </c>
      <c r="I83" s="15" t="e">
        <f>InputFunctions_PastureBeef.LookupLiveweightFromSeason($E$7,X_Cell_PastureBeef_ProductionRegion,$D83,I$82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f>
        <v>#N/A</v>
      </c>
      <c r="J83" s="15" t="e">
        <f>InputFunctions_PastureBeef.LookupLiveweightFromSeason($E$7,X_Cell_PastureBeef_ProductionRegion,$D83,J$82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f>
        <v>#N/A</v>
      </c>
      <c r="K83" s="15" t="e">
        <f>InputFunctions_PastureBeef.LookupLiveweightFromSeason($E$7,X_Cell_PastureBeef_ProductionRegion,$D83,K$82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f>
        <v>#N/A</v>
      </c>
      <c r="L83" s="15" t="e">
        <f>InputFunctions_PastureBeef.LookupLiveweightFromSeason($E$7,X_Cell_PastureBeef_ProductionRegion,$D83,L$82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f>
        <v>#N/A</v>
      </c>
      <c r="M83" s="15" t="e">
        <f>InputFunctions_PastureBeef.LookupLiveweightFromSeason($E$7,X_Cell_PastureBeef_ProductionRegion,$D83,M$82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f>
        <v>#N/A</v>
      </c>
      <c r="N83" s="15" t="e">
        <f>InputFunctions_PastureBeef.LookupLiveweightFromSeason($E$7,X_Cell_PastureBeef_ProductionRegion,$D83,N$82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f>
        <v>#N/A</v>
      </c>
      <c r="O83" s="16" t="s">
        <v>344</v>
      </c>
      <c r="T83" s="22"/>
    </row>
    <row r="84" spans="4:20" ht="20.100000000000001" customHeight="1" x14ac:dyDescent="0.2">
      <c r="D84" s="1" t="s">
        <v>336</v>
      </c>
      <c r="E84" s="15" t="e">
        <f>InputFunctions_PastureBeef.LookupLiveweightFromSeason($E$7,X_Cell_PastureBeef_ProductionRegion,$D84,E$82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f>
        <v>#N/A</v>
      </c>
      <c r="F84" s="15" t="e">
        <f>InputFunctions_PastureBeef.LookupLiveweightFromSeason($E$7,X_Cell_PastureBeef_ProductionRegion,$D84,F$82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f>
        <v>#N/A</v>
      </c>
      <c r="G84" s="15" t="e">
        <f>InputFunctions_PastureBeef.LookupLiveweightFromSeason($E$7,X_Cell_PastureBeef_ProductionRegion,$D84,G$82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f>
        <v>#N/A</v>
      </c>
      <c r="H84" s="15" t="e">
        <f>InputFunctions_PastureBeef.LookupLiveweightFromSeason($E$7,X_Cell_PastureBeef_ProductionRegion,$D84,H$82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f>
        <v>#N/A</v>
      </c>
      <c r="I84" s="15" t="e">
        <f>InputFunctions_PastureBeef.LookupLiveweightFromSeason($E$7,X_Cell_PastureBeef_ProductionRegion,$D84,I$82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f>
        <v>#N/A</v>
      </c>
      <c r="J84" s="15" t="e">
        <f>InputFunctions_PastureBeef.LookupLiveweightFromSeason($E$7,X_Cell_PastureBeef_ProductionRegion,$D84,J$82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f>
        <v>#N/A</v>
      </c>
      <c r="K84" s="15" t="e">
        <f>InputFunctions_PastureBeef.LookupLiveweightFromSeason($E$7,X_Cell_PastureBeef_ProductionRegion,$D84,K$82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f>
        <v>#N/A</v>
      </c>
      <c r="L84" s="15" t="e">
        <f>InputFunctions_PastureBeef.LookupLiveweightFromSeason($E$7,X_Cell_PastureBeef_ProductionRegion,$D84,L$82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f>
        <v>#N/A</v>
      </c>
      <c r="M84" s="15" t="e">
        <f>InputFunctions_PastureBeef.LookupLiveweightFromSeason($E$7,X_Cell_PastureBeef_ProductionRegion,$D84,M$82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f>
        <v>#N/A</v>
      </c>
      <c r="N84" s="15" t="e">
        <f>InputFunctions_PastureBeef.LookupLiveweightFromSeason($E$7,X_Cell_PastureBeef_ProductionRegion,$D84,N$82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f>
        <v>#N/A</v>
      </c>
      <c r="O84" s="16" t="s">
        <v>344</v>
      </c>
      <c r="T84" s="22"/>
    </row>
    <row r="85" spans="4:20" ht="20.100000000000001" customHeight="1" x14ac:dyDescent="0.2">
      <c r="D85" s="1" t="s">
        <v>337</v>
      </c>
      <c r="E85" s="15" t="e">
        <f>InputFunctions_PastureBeef.LookupLiveweightFromSeason($E$7,X_Cell_PastureBeef_ProductionRegion,$D85,E$82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f>
        <v>#N/A</v>
      </c>
      <c r="F85" s="15" t="e">
        <f>InputFunctions_PastureBeef.LookupLiveweightFromSeason($E$7,X_Cell_PastureBeef_ProductionRegion,$D85,F$82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f>
        <v>#N/A</v>
      </c>
      <c r="G85" s="15" t="e">
        <f>InputFunctions_PastureBeef.LookupLiveweightFromSeason($E$7,X_Cell_PastureBeef_ProductionRegion,$D85,G$82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f>
        <v>#N/A</v>
      </c>
      <c r="H85" s="15" t="e">
        <f>InputFunctions_PastureBeef.LookupLiveweightFromSeason($E$7,X_Cell_PastureBeef_ProductionRegion,$D85,H$82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f>
        <v>#N/A</v>
      </c>
      <c r="I85" s="15" t="e">
        <f>InputFunctions_PastureBeef.LookupLiveweightFromSeason($E$7,X_Cell_PastureBeef_ProductionRegion,$D85,I$82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f>
        <v>#N/A</v>
      </c>
      <c r="J85" s="15" t="e">
        <f>InputFunctions_PastureBeef.LookupLiveweightFromSeason($E$7,X_Cell_PastureBeef_ProductionRegion,$D85,J$82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f>
        <v>#N/A</v>
      </c>
      <c r="K85" s="15" t="e">
        <f>InputFunctions_PastureBeef.LookupLiveweightFromSeason($E$7,X_Cell_PastureBeef_ProductionRegion,$D85,K$82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f>
        <v>#N/A</v>
      </c>
      <c r="L85" s="15" t="e">
        <f>InputFunctions_PastureBeef.LookupLiveweightFromSeason($E$7,X_Cell_PastureBeef_ProductionRegion,$D85,L$82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f>
        <v>#N/A</v>
      </c>
      <c r="M85" s="15" t="e">
        <f>InputFunctions_PastureBeef.LookupLiveweightFromSeason($E$7,X_Cell_PastureBeef_ProductionRegion,$D85,M$82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f>
        <v>#N/A</v>
      </c>
      <c r="N85" s="15" t="e">
        <f>InputFunctions_PastureBeef.LookupLiveweightFromSeason($E$7,X_Cell_PastureBeef_ProductionRegion,$D85,N$82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f>
        <v>#N/A</v>
      </c>
      <c r="O85" s="16" t="s">
        <v>344</v>
      </c>
      <c r="T85" s="22"/>
    </row>
    <row r="86" spans="4:20" ht="20.100000000000001" customHeight="1" x14ac:dyDescent="0.2">
      <c r="D86" s="1" t="s">
        <v>338</v>
      </c>
      <c r="E86" s="15" t="e">
        <f>InputFunctions_PastureBeef.LookupLiveweightFromSeason($E$7,X_Cell_PastureBeef_ProductionRegion,$D86,E$82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f>
        <v>#N/A</v>
      </c>
      <c r="F86" s="15" t="e">
        <f>InputFunctions_PastureBeef.LookupLiveweightFromSeason($E$7,X_Cell_PastureBeef_ProductionRegion,$D86,F$82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f>
        <v>#N/A</v>
      </c>
      <c r="G86" s="15" t="e">
        <f>InputFunctions_PastureBeef.LookupLiveweightFromSeason($E$7,X_Cell_PastureBeef_ProductionRegion,$D86,G$82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f>
        <v>#N/A</v>
      </c>
      <c r="H86" s="15" t="e">
        <f>InputFunctions_PastureBeef.LookupLiveweightFromSeason($E$7,X_Cell_PastureBeef_ProductionRegion,$D86,H$82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f>
        <v>#N/A</v>
      </c>
      <c r="I86" s="15" t="e">
        <f>InputFunctions_PastureBeef.LookupLiveweightFromSeason($E$7,X_Cell_PastureBeef_ProductionRegion,$D86,I$82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f>
        <v>#N/A</v>
      </c>
      <c r="J86" s="15" t="e">
        <f>InputFunctions_PastureBeef.LookupLiveweightFromSeason($E$7,X_Cell_PastureBeef_ProductionRegion,$D86,J$82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f>
        <v>#N/A</v>
      </c>
      <c r="K86" s="15" t="e">
        <f>InputFunctions_PastureBeef.LookupLiveweightFromSeason($E$7,X_Cell_PastureBeef_ProductionRegion,$D86,K$82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f>
        <v>#N/A</v>
      </c>
      <c r="L86" s="15" t="e">
        <f>InputFunctions_PastureBeef.LookupLiveweightFromSeason($E$7,X_Cell_PastureBeef_ProductionRegion,$D86,L$82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f>
        <v>#N/A</v>
      </c>
      <c r="M86" s="15" t="e">
        <f>InputFunctions_PastureBeef.LookupLiveweightFromSeason($E$7,X_Cell_PastureBeef_ProductionRegion,$D86,M$82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f>
        <v>#N/A</v>
      </c>
      <c r="N86" s="15" t="e">
        <f>InputFunctions_PastureBeef.LookupLiveweightFromSeason($E$7,X_Cell_PastureBeef_ProductionRegion,$D86,N$82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f>
        <v>#N/A</v>
      </c>
      <c r="O86" s="16" t="s">
        <v>344</v>
      </c>
      <c r="T86" s="22"/>
    </row>
    <row r="87" spans="4:20" ht="20.100000000000001" customHeight="1" x14ac:dyDescent="0.2">
      <c r="O87" s="16"/>
      <c r="T87" s="22"/>
    </row>
    <row r="88" spans="4:20" ht="20.100000000000001" customHeight="1" x14ac:dyDescent="0.2">
      <c r="D88" s="100" t="s">
        <v>339</v>
      </c>
      <c r="E88" s="100" t="s">
        <v>326</v>
      </c>
      <c r="F88" s="100" t="s">
        <v>184</v>
      </c>
      <c r="G88" s="100" t="s">
        <v>327</v>
      </c>
      <c r="H88" s="100" t="s">
        <v>328</v>
      </c>
      <c r="I88" s="100" t="s">
        <v>329</v>
      </c>
      <c r="J88" s="100" t="s">
        <v>330</v>
      </c>
      <c r="K88" s="100" t="s">
        <v>331</v>
      </c>
      <c r="L88" s="100" t="s">
        <v>332</v>
      </c>
      <c r="M88" s="100" t="s">
        <v>333</v>
      </c>
      <c r="N88" s="100" t="s">
        <v>334</v>
      </c>
      <c r="O88" s="16"/>
      <c r="T88" s="22"/>
    </row>
    <row r="89" spans="4:20" ht="20.100000000000001" customHeight="1" x14ac:dyDescent="0.2">
      <c r="D89" s="1" t="str">
        <f>TEXT(X_Cell_Site_StartDate, "mmmm yyyy")</f>
        <v>January 1900</v>
      </c>
      <c r="E89" s="76" t="e">
        <f>InputFunctions_PastureBeef.LookupLiveweightFromMonth($E$7,X_Cell_PastureBeef_ProductionRegion,$D89,E$88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#N/A</v>
      </c>
      <c r="F89" s="76" t="e">
        <f>InputFunctions_PastureBeef.LookupLiveweightFromMonth($E$7,X_Cell_PastureBeef_ProductionRegion,$D89,F$88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#N/A</v>
      </c>
      <c r="G89" s="76" t="e">
        <f>InputFunctions_PastureBeef.LookupLiveweightFromMonth($E$7,X_Cell_PastureBeef_ProductionRegion,$D89,G$88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#N/A</v>
      </c>
      <c r="H89" s="76" t="e">
        <f>InputFunctions_PastureBeef.LookupLiveweightFromMonth($E$7,X_Cell_PastureBeef_ProductionRegion,$D89,H$88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#N/A</v>
      </c>
      <c r="I89" s="76" t="e">
        <f>InputFunctions_PastureBeef.LookupLiveweightFromMonth($E$7,X_Cell_PastureBeef_ProductionRegion,$D89,I$88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#N/A</v>
      </c>
      <c r="J89" s="76" t="e">
        <f>InputFunctions_PastureBeef.LookupLiveweightFromMonth($E$7,X_Cell_PastureBeef_ProductionRegion,$D89,J$88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#N/A</v>
      </c>
      <c r="K89" s="76" t="e">
        <f>InputFunctions_PastureBeef.LookupLiveweightFromMonth($E$7,X_Cell_PastureBeef_ProductionRegion,$D89,K$88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#N/A</v>
      </c>
      <c r="L89" s="76" t="e">
        <f>InputFunctions_PastureBeef.LookupLiveweightFromMonth($E$7,X_Cell_PastureBeef_ProductionRegion,$D89,L$88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#N/A</v>
      </c>
      <c r="M89" s="76" t="e">
        <f>InputFunctions_PastureBeef.LookupLiveweightFromMonth($E$7,X_Cell_PastureBeef_ProductionRegion,$D89,M$88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#N/A</v>
      </c>
      <c r="N89" s="76" t="e">
        <f>InputFunctions_PastureBeef.LookupLiveweightFromMonth($E$7,X_Cell_PastureBeef_ProductionRegion,$D89,N$88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#N/A</v>
      </c>
      <c r="O89" s="16" t="s">
        <v>344</v>
      </c>
      <c r="T89" s="22"/>
    </row>
    <row r="90" spans="4:20" ht="20.100000000000001" customHeight="1" x14ac:dyDescent="0.2">
      <c r="D90" s="1" t="str">
        <f>TEXT(EDATE(X_Cell_Site_StartDate,1), "mmmm yyyy")</f>
        <v>January 1900</v>
      </c>
      <c r="E90" s="76" t="e">
        <f>InputFunctions_PastureBeef.LookupLiveweightFromMonth($E$7,X_Cell_PastureBeef_ProductionRegion,$D90,E$88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#N/A</v>
      </c>
      <c r="F90" s="76" t="e">
        <f>InputFunctions_PastureBeef.LookupLiveweightFromMonth($E$7,X_Cell_PastureBeef_ProductionRegion,$D90,F$88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#N/A</v>
      </c>
      <c r="G90" s="76" t="e">
        <f>InputFunctions_PastureBeef.LookupLiveweightFromMonth($E$7,X_Cell_PastureBeef_ProductionRegion,$D90,G$88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#N/A</v>
      </c>
      <c r="H90" s="76" t="e">
        <f>InputFunctions_PastureBeef.LookupLiveweightFromMonth($E$7,X_Cell_PastureBeef_ProductionRegion,$D90,H$88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#N/A</v>
      </c>
      <c r="I90" s="76" t="e">
        <f>InputFunctions_PastureBeef.LookupLiveweightFromMonth($E$7,X_Cell_PastureBeef_ProductionRegion,$D90,I$88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#N/A</v>
      </c>
      <c r="J90" s="76" t="e">
        <f>InputFunctions_PastureBeef.LookupLiveweightFromMonth($E$7,X_Cell_PastureBeef_ProductionRegion,$D90,J$88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#N/A</v>
      </c>
      <c r="K90" s="76" t="e">
        <f>InputFunctions_PastureBeef.LookupLiveweightFromMonth($E$7,X_Cell_PastureBeef_ProductionRegion,$D90,K$88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#N/A</v>
      </c>
      <c r="L90" s="76" t="e">
        <f>InputFunctions_PastureBeef.LookupLiveweightFromMonth($E$7,X_Cell_PastureBeef_ProductionRegion,$D90,L$88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#N/A</v>
      </c>
      <c r="M90" s="76" t="e">
        <f>InputFunctions_PastureBeef.LookupLiveweightFromMonth($E$7,X_Cell_PastureBeef_ProductionRegion,$D90,M$88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#N/A</v>
      </c>
      <c r="N90" s="76" t="e">
        <f>InputFunctions_PastureBeef.LookupLiveweightFromMonth($E$7,X_Cell_PastureBeef_ProductionRegion,$D90,N$88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#N/A</v>
      </c>
      <c r="O90" s="16" t="s">
        <v>344</v>
      </c>
      <c r="T90" s="22"/>
    </row>
    <row r="91" spans="4:20" ht="20.100000000000001" customHeight="1" x14ac:dyDescent="0.2">
      <c r="D91" s="1" t="str">
        <f>TEXT(EDATE(X_Cell_Site_StartDate,2), "mmmm yyyy")</f>
        <v>February 1900</v>
      </c>
      <c r="E91" s="76" t="e">
        <f>InputFunctions_PastureBeef.LookupLiveweightFromMonth($E$7,X_Cell_PastureBeef_ProductionRegion,$D91,E$88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#N/A</v>
      </c>
      <c r="F91" s="76" t="e">
        <f>InputFunctions_PastureBeef.LookupLiveweightFromMonth($E$7,X_Cell_PastureBeef_ProductionRegion,$D91,F$88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#N/A</v>
      </c>
      <c r="G91" s="76" t="e">
        <f>InputFunctions_PastureBeef.LookupLiveweightFromMonth($E$7,X_Cell_PastureBeef_ProductionRegion,$D91,G$88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#N/A</v>
      </c>
      <c r="H91" s="76" t="e">
        <f>InputFunctions_PastureBeef.LookupLiveweightFromMonth($E$7,X_Cell_PastureBeef_ProductionRegion,$D91,H$88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#N/A</v>
      </c>
      <c r="I91" s="76" t="e">
        <f>InputFunctions_PastureBeef.LookupLiveweightFromMonth($E$7,X_Cell_PastureBeef_ProductionRegion,$D91,I$88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#N/A</v>
      </c>
      <c r="J91" s="76" t="e">
        <f>InputFunctions_PastureBeef.LookupLiveweightFromMonth($E$7,X_Cell_PastureBeef_ProductionRegion,$D91,J$88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#N/A</v>
      </c>
      <c r="K91" s="76" t="e">
        <f>InputFunctions_PastureBeef.LookupLiveweightFromMonth($E$7,X_Cell_PastureBeef_ProductionRegion,$D91,K$88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#N/A</v>
      </c>
      <c r="L91" s="76" t="e">
        <f>InputFunctions_PastureBeef.LookupLiveweightFromMonth($E$7,X_Cell_PastureBeef_ProductionRegion,$D91,L$88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#N/A</v>
      </c>
      <c r="M91" s="76" t="e">
        <f>InputFunctions_PastureBeef.LookupLiveweightFromMonth($E$7,X_Cell_PastureBeef_ProductionRegion,$D91,M$88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#N/A</v>
      </c>
      <c r="N91" s="76" t="e">
        <f>InputFunctions_PastureBeef.LookupLiveweightFromMonth($E$7,X_Cell_PastureBeef_ProductionRegion,$D91,N$88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#N/A</v>
      </c>
      <c r="O91" s="16" t="s">
        <v>344</v>
      </c>
      <c r="T91" s="22"/>
    </row>
    <row r="92" spans="4:20" ht="20.100000000000001" customHeight="1" x14ac:dyDescent="0.2">
      <c r="D92" s="1" t="str">
        <f>TEXT(EDATE(X_Cell_Site_StartDate,3), "mmmm yyyy")</f>
        <v>March 1900</v>
      </c>
      <c r="E92" s="76" t="e">
        <f>InputFunctions_PastureBeef.LookupLiveweightFromMonth($E$7,X_Cell_PastureBeef_ProductionRegion,$D92,E$88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#N/A</v>
      </c>
      <c r="F92" s="76" t="e">
        <f>InputFunctions_PastureBeef.LookupLiveweightFromMonth($E$7,X_Cell_PastureBeef_ProductionRegion,$D92,F$88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#N/A</v>
      </c>
      <c r="G92" s="76" t="e">
        <f>InputFunctions_PastureBeef.LookupLiveweightFromMonth($E$7,X_Cell_PastureBeef_ProductionRegion,$D92,G$88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#N/A</v>
      </c>
      <c r="H92" s="76" t="e">
        <f>InputFunctions_PastureBeef.LookupLiveweightFromMonth($E$7,X_Cell_PastureBeef_ProductionRegion,$D92,H$88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#N/A</v>
      </c>
      <c r="I92" s="76" t="e">
        <f>InputFunctions_PastureBeef.LookupLiveweightFromMonth($E$7,X_Cell_PastureBeef_ProductionRegion,$D92,I$88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#N/A</v>
      </c>
      <c r="J92" s="76" t="e">
        <f>InputFunctions_PastureBeef.LookupLiveweightFromMonth($E$7,X_Cell_PastureBeef_ProductionRegion,$D92,J$88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#N/A</v>
      </c>
      <c r="K92" s="76" t="e">
        <f>InputFunctions_PastureBeef.LookupLiveweightFromMonth($E$7,X_Cell_PastureBeef_ProductionRegion,$D92,K$88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#N/A</v>
      </c>
      <c r="L92" s="76" t="e">
        <f>InputFunctions_PastureBeef.LookupLiveweightFromMonth($E$7,X_Cell_PastureBeef_ProductionRegion,$D92,L$88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#N/A</v>
      </c>
      <c r="M92" s="76" t="e">
        <f>InputFunctions_PastureBeef.LookupLiveweightFromMonth($E$7,X_Cell_PastureBeef_ProductionRegion,$D92,M$88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#N/A</v>
      </c>
      <c r="N92" s="76" t="e">
        <f>InputFunctions_PastureBeef.LookupLiveweightFromMonth($E$7,X_Cell_PastureBeef_ProductionRegion,$D92,N$88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#N/A</v>
      </c>
      <c r="O92" s="16" t="s">
        <v>344</v>
      </c>
      <c r="T92" s="22"/>
    </row>
    <row r="93" spans="4:20" ht="20.100000000000001" customHeight="1" x14ac:dyDescent="0.2">
      <c r="D93" s="1" t="str">
        <f>TEXT(EDATE(X_Cell_Site_StartDate,4), "mmmm yyyy")</f>
        <v>April 1900</v>
      </c>
      <c r="E93" s="76" t="e">
        <f>InputFunctions_PastureBeef.LookupLiveweightFromMonth($E$7,X_Cell_PastureBeef_ProductionRegion,$D93,E$88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#N/A</v>
      </c>
      <c r="F93" s="76" t="e">
        <f>InputFunctions_PastureBeef.LookupLiveweightFromMonth($E$7,X_Cell_PastureBeef_ProductionRegion,$D93,F$88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#N/A</v>
      </c>
      <c r="G93" s="76" t="e">
        <f>InputFunctions_PastureBeef.LookupLiveweightFromMonth($E$7,X_Cell_PastureBeef_ProductionRegion,$D93,G$88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#N/A</v>
      </c>
      <c r="H93" s="76" t="e">
        <f>InputFunctions_PastureBeef.LookupLiveweightFromMonth($E$7,X_Cell_PastureBeef_ProductionRegion,$D93,H$88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#N/A</v>
      </c>
      <c r="I93" s="76" t="e">
        <f>InputFunctions_PastureBeef.LookupLiveweightFromMonth($E$7,X_Cell_PastureBeef_ProductionRegion,$D93,I$88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#N/A</v>
      </c>
      <c r="J93" s="76" t="e">
        <f>InputFunctions_PastureBeef.LookupLiveweightFromMonth($E$7,X_Cell_PastureBeef_ProductionRegion,$D93,J$88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#N/A</v>
      </c>
      <c r="K93" s="76" t="e">
        <f>InputFunctions_PastureBeef.LookupLiveweightFromMonth($E$7,X_Cell_PastureBeef_ProductionRegion,$D93,K$88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#N/A</v>
      </c>
      <c r="L93" s="76" t="e">
        <f>InputFunctions_PastureBeef.LookupLiveweightFromMonth($E$7,X_Cell_PastureBeef_ProductionRegion,$D93,L$88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#N/A</v>
      </c>
      <c r="M93" s="76" t="e">
        <f>InputFunctions_PastureBeef.LookupLiveweightFromMonth($E$7,X_Cell_PastureBeef_ProductionRegion,$D93,M$88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#N/A</v>
      </c>
      <c r="N93" s="76" t="e">
        <f>InputFunctions_PastureBeef.LookupLiveweightFromMonth($E$7,X_Cell_PastureBeef_ProductionRegion,$D93,N$88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#N/A</v>
      </c>
      <c r="O93" s="16" t="s">
        <v>344</v>
      </c>
      <c r="T93" s="22"/>
    </row>
    <row r="94" spans="4:20" ht="20.100000000000001" customHeight="1" x14ac:dyDescent="0.2">
      <c r="D94" s="1" t="str">
        <f>TEXT(EDATE(X_Cell_Site_StartDate,5), "mmmm yyyy")</f>
        <v>May 1900</v>
      </c>
      <c r="E94" s="76" t="e">
        <f>InputFunctions_PastureBeef.LookupLiveweightFromMonth($E$7,X_Cell_PastureBeef_ProductionRegion,$D94,E$88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#N/A</v>
      </c>
      <c r="F94" s="76" t="e">
        <f>InputFunctions_PastureBeef.LookupLiveweightFromMonth($E$7,X_Cell_PastureBeef_ProductionRegion,$D94,F$88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#N/A</v>
      </c>
      <c r="G94" s="76" t="e">
        <f>InputFunctions_PastureBeef.LookupLiveweightFromMonth($E$7,X_Cell_PastureBeef_ProductionRegion,$D94,G$88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#N/A</v>
      </c>
      <c r="H94" s="76" t="e">
        <f>InputFunctions_PastureBeef.LookupLiveweightFromMonth($E$7,X_Cell_PastureBeef_ProductionRegion,$D94,H$88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#N/A</v>
      </c>
      <c r="I94" s="76" t="e">
        <f>InputFunctions_PastureBeef.LookupLiveweightFromMonth($E$7,X_Cell_PastureBeef_ProductionRegion,$D94,I$88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#N/A</v>
      </c>
      <c r="J94" s="76" t="e">
        <f>InputFunctions_PastureBeef.LookupLiveweightFromMonth($E$7,X_Cell_PastureBeef_ProductionRegion,$D94,J$88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#N/A</v>
      </c>
      <c r="K94" s="76" t="e">
        <f>InputFunctions_PastureBeef.LookupLiveweightFromMonth($E$7,X_Cell_PastureBeef_ProductionRegion,$D94,K$88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#N/A</v>
      </c>
      <c r="L94" s="76" t="e">
        <f>InputFunctions_PastureBeef.LookupLiveweightFromMonth($E$7,X_Cell_PastureBeef_ProductionRegion,$D94,L$88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#N/A</v>
      </c>
      <c r="M94" s="76" t="e">
        <f>InputFunctions_PastureBeef.LookupLiveweightFromMonth($E$7,X_Cell_PastureBeef_ProductionRegion,$D94,M$88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#N/A</v>
      </c>
      <c r="N94" s="76" t="e">
        <f>InputFunctions_PastureBeef.LookupLiveweightFromMonth($E$7,X_Cell_PastureBeef_ProductionRegion,$D94,N$88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#N/A</v>
      </c>
      <c r="O94" s="16" t="s">
        <v>344</v>
      </c>
      <c r="T94" s="22"/>
    </row>
    <row r="95" spans="4:20" ht="20.100000000000001" customHeight="1" x14ac:dyDescent="0.2">
      <c r="D95" s="1" t="str">
        <f>TEXT(EDATE(X_Cell_Site_StartDate,6), "mmmm yyyy")</f>
        <v>June 1900</v>
      </c>
      <c r="E95" s="76" t="e">
        <f>InputFunctions_PastureBeef.LookupLiveweightFromMonth($E$7,X_Cell_PastureBeef_ProductionRegion,$D95,E$88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#N/A</v>
      </c>
      <c r="F95" s="76" t="e">
        <f>InputFunctions_PastureBeef.LookupLiveweightFromMonth($E$7,X_Cell_PastureBeef_ProductionRegion,$D95,F$88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#N/A</v>
      </c>
      <c r="G95" s="76" t="e">
        <f>InputFunctions_PastureBeef.LookupLiveweightFromMonth($E$7,X_Cell_PastureBeef_ProductionRegion,$D95,G$88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#N/A</v>
      </c>
      <c r="H95" s="76" t="e">
        <f>InputFunctions_PastureBeef.LookupLiveweightFromMonth($E$7,X_Cell_PastureBeef_ProductionRegion,$D95,H$88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#N/A</v>
      </c>
      <c r="I95" s="76" t="e">
        <f>InputFunctions_PastureBeef.LookupLiveweightFromMonth($E$7,X_Cell_PastureBeef_ProductionRegion,$D95,I$88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#N/A</v>
      </c>
      <c r="J95" s="76" t="e">
        <f>InputFunctions_PastureBeef.LookupLiveweightFromMonth($E$7,X_Cell_PastureBeef_ProductionRegion,$D95,J$88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#N/A</v>
      </c>
      <c r="K95" s="76" t="e">
        <f>InputFunctions_PastureBeef.LookupLiveweightFromMonth($E$7,X_Cell_PastureBeef_ProductionRegion,$D95,K$88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#N/A</v>
      </c>
      <c r="L95" s="76" t="e">
        <f>InputFunctions_PastureBeef.LookupLiveweightFromMonth($E$7,X_Cell_PastureBeef_ProductionRegion,$D95,L$88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#N/A</v>
      </c>
      <c r="M95" s="76" t="e">
        <f>InputFunctions_PastureBeef.LookupLiveweightFromMonth($E$7,X_Cell_PastureBeef_ProductionRegion,$D95,M$88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#N/A</v>
      </c>
      <c r="N95" s="76" t="e">
        <f>InputFunctions_PastureBeef.LookupLiveweightFromMonth($E$7,X_Cell_PastureBeef_ProductionRegion,$D95,N$88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#N/A</v>
      </c>
      <c r="O95" s="16" t="s">
        <v>344</v>
      </c>
      <c r="T95" s="22"/>
    </row>
    <row r="96" spans="4:20" ht="20.100000000000001" customHeight="1" x14ac:dyDescent="0.2">
      <c r="D96" s="1" t="str">
        <f>TEXT(EDATE(X_Cell_Site_StartDate,7), "mmmm yyyy")</f>
        <v>July 1900</v>
      </c>
      <c r="E96" s="76" t="e">
        <f>InputFunctions_PastureBeef.LookupLiveweightFromMonth($E$7,X_Cell_PastureBeef_ProductionRegion,$D96,E$88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#N/A</v>
      </c>
      <c r="F96" s="76" t="e">
        <f>InputFunctions_PastureBeef.LookupLiveweightFromMonth($E$7,X_Cell_PastureBeef_ProductionRegion,$D96,F$88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#N/A</v>
      </c>
      <c r="G96" s="76" t="e">
        <f>InputFunctions_PastureBeef.LookupLiveweightFromMonth($E$7,X_Cell_PastureBeef_ProductionRegion,$D96,G$88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#N/A</v>
      </c>
      <c r="H96" s="76" t="e">
        <f>InputFunctions_PastureBeef.LookupLiveweightFromMonth($E$7,X_Cell_PastureBeef_ProductionRegion,$D96,H$88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#N/A</v>
      </c>
      <c r="I96" s="76" t="e">
        <f>InputFunctions_PastureBeef.LookupLiveweightFromMonth($E$7,X_Cell_PastureBeef_ProductionRegion,$D96,I$88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#N/A</v>
      </c>
      <c r="J96" s="76" t="e">
        <f>InputFunctions_PastureBeef.LookupLiveweightFromMonth($E$7,X_Cell_PastureBeef_ProductionRegion,$D96,J$88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#N/A</v>
      </c>
      <c r="K96" s="76" t="e">
        <f>InputFunctions_PastureBeef.LookupLiveweightFromMonth($E$7,X_Cell_PastureBeef_ProductionRegion,$D96,K$88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#N/A</v>
      </c>
      <c r="L96" s="76" t="e">
        <f>InputFunctions_PastureBeef.LookupLiveweightFromMonth($E$7,X_Cell_PastureBeef_ProductionRegion,$D96,L$88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#N/A</v>
      </c>
      <c r="M96" s="76" t="e">
        <f>InputFunctions_PastureBeef.LookupLiveweightFromMonth($E$7,X_Cell_PastureBeef_ProductionRegion,$D96,M$88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#N/A</v>
      </c>
      <c r="N96" s="76" t="e">
        <f>InputFunctions_PastureBeef.LookupLiveweightFromMonth($E$7,X_Cell_PastureBeef_ProductionRegion,$D96,N$88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#N/A</v>
      </c>
      <c r="O96" s="16" t="s">
        <v>344</v>
      </c>
      <c r="T96" s="22"/>
    </row>
    <row r="97" spans="4:20" ht="20.100000000000001" customHeight="1" x14ac:dyDescent="0.2">
      <c r="D97" s="1" t="str">
        <f>TEXT(EDATE(X_Cell_Site_StartDate,8), "mmmm yyyy")</f>
        <v>August 1900</v>
      </c>
      <c r="E97" s="76" t="e">
        <f>InputFunctions_PastureBeef.LookupLiveweightFromMonth($E$7,X_Cell_PastureBeef_ProductionRegion,$D97,E$88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#N/A</v>
      </c>
      <c r="F97" s="76" t="e">
        <f>InputFunctions_PastureBeef.LookupLiveweightFromMonth($E$7,X_Cell_PastureBeef_ProductionRegion,$D97,F$88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#N/A</v>
      </c>
      <c r="G97" s="76" t="e">
        <f>InputFunctions_PastureBeef.LookupLiveweightFromMonth($E$7,X_Cell_PastureBeef_ProductionRegion,$D97,G$88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#N/A</v>
      </c>
      <c r="H97" s="76" t="e">
        <f>InputFunctions_PastureBeef.LookupLiveweightFromMonth($E$7,X_Cell_PastureBeef_ProductionRegion,$D97,H$88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#N/A</v>
      </c>
      <c r="I97" s="76" t="e">
        <f>InputFunctions_PastureBeef.LookupLiveweightFromMonth($E$7,X_Cell_PastureBeef_ProductionRegion,$D97,I$88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#N/A</v>
      </c>
      <c r="J97" s="76" t="e">
        <f>InputFunctions_PastureBeef.LookupLiveweightFromMonth($E$7,X_Cell_PastureBeef_ProductionRegion,$D97,J$88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#N/A</v>
      </c>
      <c r="K97" s="76" t="e">
        <f>InputFunctions_PastureBeef.LookupLiveweightFromMonth($E$7,X_Cell_PastureBeef_ProductionRegion,$D97,K$88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#N/A</v>
      </c>
      <c r="L97" s="76" t="e">
        <f>InputFunctions_PastureBeef.LookupLiveweightFromMonth($E$7,X_Cell_PastureBeef_ProductionRegion,$D97,L$88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#N/A</v>
      </c>
      <c r="M97" s="76" t="e">
        <f>InputFunctions_PastureBeef.LookupLiveweightFromMonth($E$7,X_Cell_PastureBeef_ProductionRegion,$D97,M$88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#N/A</v>
      </c>
      <c r="N97" s="76" t="e">
        <f>InputFunctions_PastureBeef.LookupLiveweightFromMonth($E$7,X_Cell_PastureBeef_ProductionRegion,$D97,N$88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#N/A</v>
      </c>
      <c r="O97" s="16" t="s">
        <v>344</v>
      </c>
      <c r="T97" s="22"/>
    </row>
    <row r="98" spans="4:20" ht="20.100000000000001" customHeight="1" x14ac:dyDescent="0.2">
      <c r="D98" s="1" t="str">
        <f>TEXT(EDATE(X_Cell_Site_StartDate,9), "mmmm yyyy")</f>
        <v>September 1900</v>
      </c>
      <c r="E98" s="76" t="e">
        <f>InputFunctions_PastureBeef.LookupLiveweightFromMonth($E$7,X_Cell_PastureBeef_ProductionRegion,$D98,E$88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#N/A</v>
      </c>
      <c r="F98" s="76" t="e">
        <f>InputFunctions_PastureBeef.LookupLiveweightFromMonth($E$7,X_Cell_PastureBeef_ProductionRegion,$D98,F$88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#N/A</v>
      </c>
      <c r="G98" s="76" t="e">
        <f>InputFunctions_PastureBeef.LookupLiveweightFromMonth($E$7,X_Cell_PastureBeef_ProductionRegion,$D98,G$88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#N/A</v>
      </c>
      <c r="H98" s="76" t="e">
        <f>InputFunctions_PastureBeef.LookupLiveweightFromMonth($E$7,X_Cell_PastureBeef_ProductionRegion,$D98,H$88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#N/A</v>
      </c>
      <c r="I98" s="76" t="e">
        <f>InputFunctions_PastureBeef.LookupLiveweightFromMonth($E$7,X_Cell_PastureBeef_ProductionRegion,$D98,I$88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#N/A</v>
      </c>
      <c r="J98" s="76" t="e">
        <f>InputFunctions_PastureBeef.LookupLiveweightFromMonth($E$7,X_Cell_PastureBeef_ProductionRegion,$D98,J$88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#N/A</v>
      </c>
      <c r="K98" s="76" t="e">
        <f>InputFunctions_PastureBeef.LookupLiveweightFromMonth($E$7,X_Cell_PastureBeef_ProductionRegion,$D98,K$88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#N/A</v>
      </c>
      <c r="L98" s="76" t="e">
        <f>InputFunctions_PastureBeef.LookupLiveweightFromMonth($E$7,X_Cell_PastureBeef_ProductionRegion,$D98,L$88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#N/A</v>
      </c>
      <c r="M98" s="76" t="e">
        <f>InputFunctions_PastureBeef.LookupLiveweightFromMonth($E$7,X_Cell_PastureBeef_ProductionRegion,$D98,M$88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#N/A</v>
      </c>
      <c r="N98" s="76" t="e">
        <f>InputFunctions_PastureBeef.LookupLiveweightFromMonth($E$7,X_Cell_PastureBeef_ProductionRegion,$D98,N$88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#N/A</v>
      </c>
      <c r="O98" s="16" t="s">
        <v>344</v>
      </c>
      <c r="T98" s="22"/>
    </row>
    <row r="99" spans="4:20" ht="20.100000000000001" customHeight="1" x14ac:dyDescent="0.2">
      <c r="D99" s="1" t="str">
        <f>TEXT(EDATE(X_Cell_Site_StartDate,10), "mmmm yyyy")</f>
        <v>October 1900</v>
      </c>
      <c r="E99" s="76" t="e">
        <f>InputFunctions_PastureBeef.LookupLiveweightFromMonth($E$7,X_Cell_PastureBeef_ProductionRegion,$D99,E$88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#N/A</v>
      </c>
      <c r="F99" s="76" t="e">
        <f>InputFunctions_PastureBeef.LookupLiveweightFromMonth($E$7,X_Cell_PastureBeef_ProductionRegion,$D99,F$88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#N/A</v>
      </c>
      <c r="G99" s="76" t="e">
        <f>InputFunctions_PastureBeef.LookupLiveweightFromMonth($E$7,X_Cell_PastureBeef_ProductionRegion,$D99,G$88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#N/A</v>
      </c>
      <c r="H99" s="76" t="e">
        <f>InputFunctions_PastureBeef.LookupLiveweightFromMonth($E$7,X_Cell_PastureBeef_ProductionRegion,$D99,H$88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#N/A</v>
      </c>
      <c r="I99" s="76" t="e">
        <f>InputFunctions_PastureBeef.LookupLiveweightFromMonth($E$7,X_Cell_PastureBeef_ProductionRegion,$D99,I$88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#N/A</v>
      </c>
      <c r="J99" s="76" t="e">
        <f>InputFunctions_PastureBeef.LookupLiveweightFromMonth($E$7,X_Cell_PastureBeef_ProductionRegion,$D99,J$88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#N/A</v>
      </c>
      <c r="K99" s="76" t="e">
        <f>InputFunctions_PastureBeef.LookupLiveweightFromMonth($E$7,X_Cell_PastureBeef_ProductionRegion,$D99,K$88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#N/A</v>
      </c>
      <c r="L99" s="76" t="e">
        <f>InputFunctions_PastureBeef.LookupLiveweightFromMonth($E$7,X_Cell_PastureBeef_ProductionRegion,$D99,L$88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#N/A</v>
      </c>
      <c r="M99" s="76" t="e">
        <f>InputFunctions_PastureBeef.LookupLiveweightFromMonth($E$7,X_Cell_PastureBeef_ProductionRegion,$D99,M$88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#N/A</v>
      </c>
      <c r="N99" s="76" t="e">
        <f>InputFunctions_PastureBeef.LookupLiveweightFromMonth($E$7,X_Cell_PastureBeef_ProductionRegion,$D99,N$88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#N/A</v>
      </c>
      <c r="O99" s="16" t="s">
        <v>344</v>
      </c>
      <c r="T99" s="22"/>
    </row>
    <row r="100" spans="4:20" ht="20.100000000000001" customHeight="1" x14ac:dyDescent="0.2">
      <c r="D100" s="1" t="str">
        <f>TEXT(EDATE(X_Cell_Site_StartDate,11), "mmmm yyyy")</f>
        <v>November 1900</v>
      </c>
      <c r="E100" s="76" t="e">
        <f>InputFunctions_PastureBeef.LookupLiveweightFromMonth($E$7,X_Cell_PastureBeef_ProductionRegion,$D100,E$88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#N/A</v>
      </c>
      <c r="F100" s="76" t="e">
        <f>InputFunctions_PastureBeef.LookupLiveweightFromMonth($E$7,X_Cell_PastureBeef_ProductionRegion,$D100,F$88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#N/A</v>
      </c>
      <c r="G100" s="76" t="e">
        <f>InputFunctions_PastureBeef.LookupLiveweightFromMonth($E$7,X_Cell_PastureBeef_ProductionRegion,$D100,G$88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#N/A</v>
      </c>
      <c r="H100" s="76" t="e">
        <f>InputFunctions_PastureBeef.LookupLiveweightFromMonth($E$7,X_Cell_PastureBeef_ProductionRegion,$D100,H$88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#N/A</v>
      </c>
      <c r="I100" s="76" t="e">
        <f>InputFunctions_PastureBeef.LookupLiveweightFromMonth($E$7,X_Cell_PastureBeef_ProductionRegion,$D100,I$88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#N/A</v>
      </c>
      <c r="J100" s="76" t="e">
        <f>InputFunctions_PastureBeef.LookupLiveweightFromMonth($E$7,X_Cell_PastureBeef_ProductionRegion,$D100,J$88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#N/A</v>
      </c>
      <c r="K100" s="76" t="e">
        <f>InputFunctions_PastureBeef.LookupLiveweightFromMonth($E$7,X_Cell_PastureBeef_ProductionRegion,$D100,K$88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#N/A</v>
      </c>
      <c r="L100" s="76" t="e">
        <f>InputFunctions_PastureBeef.LookupLiveweightFromMonth($E$7,X_Cell_PastureBeef_ProductionRegion,$D100,L$88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#N/A</v>
      </c>
      <c r="M100" s="76" t="e">
        <f>InputFunctions_PastureBeef.LookupLiveweightFromMonth($E$7,X_Cell_PastureBeef_ProductionRegion,$D100,M$88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#N/A</v>
      </c>
      <c r="N100" s="76" t="e">
        <f>InputFunctions_PastureBeef.LookupLiveweightFromMonth($E$7,X_Cell_PastureBeef_ProductionRegion,$D100,N$88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#N/A</v>
      </c>
      <c r="O100" s="16" t="s">
        <v>344</v>
      </c>
      <c r="T100" s="22"/>
    </row>
    <row r="101" spans="4:20" ht="20.100000000000001" customHeight="1" x14ac:dyDescent="0.2">
      <c r="T101" s="22"/>
    </row>
    <row r="102" spans="4:20" ht="20.100000000000001" customHeight="1" x14ac:dyDescent="0.2">
      <c r="T102" s="22"/>
    </row>
    <row r="103" spans="4:20" ht="20.100000000000001" customHeight="1" x14ac:dyDescent="0.2">
      <c r="D103" s="79" t="s">
        <v>345</v>
      </c>
      <c r="K103" s="16"/>
      <c r="L103" s="16"/>
      <c r="M103" s="16"/>
      <c r="N103" s="16"/>
      <c r="O103" s="16"/>
      <c r="T103" s="22"/>
    </row>
    <row r="104" spans="4:20" ht="20.100000000000001" customHeight="1" x14ac:dyDescent="0.2">
      <c r="D104" s="100" t="s">
        <v>325</v>
      </c>
      <c r="E104" s="100" t="s">
        <v>326</v>
      </c>
      <c r="F104" s="100" t="s">
        <v>184</v>
      </c>
      <c r="G104" s="100" t="s">
        <v>327</v>
      </c>
      <c r="H104" s="100" t="s">
        <v>328</v>
      </c>
      <c r="I104" s="100" t="s">
        <v>329</v>
      </c>
      <c r="J104" s="100" t="s">
        <v>330</v>
      </c>
      <c r="K104" s="100" t="s">
        <v>331</v>
      </c>
      <c r="L104" s="100" t="s">
        <v>332</v>
      </c>
      <c r="M104" s="100" t="s">
        <v>333</v>
      </c>
      <c r="N104" s="100" t="s">
        <v>334</v>
      </c>
      <c r="T104" s="22"/>
    </row>
    <row r="105" spans="4:20" ht="20.100000000000001" customHeight="1" x14ac:dyDescent="0.2">
      <c r="D105" s="1" t="s">
        <v>335</v>
      </c>
      <c r="E105" s="15" t="e">
        <f>InputFunctions_PastureBeef.LookupValueFromStateRegionSeason($E$7,X_Cell_PastureBeef_ProductionRegion,$D105, 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f>
        <v>#N/A</v>
      </c>
      <c r="F105" s="15" t="e">
        <f>InputFunctions_PastureBeef.LookupValueFromStateRegionSeason($E$7,X_Cell_PastureBeef_ProductionRegion,$D105, 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f>
        <v>#N/A</v>
      </c>
      <c r="G105" s="15" t="e">
        <f>InputFunctions_PastureBeef.LookupValueFromStateRegionSeason($E$7,X_Cell_PastureBeef_ProductionRegion,$D105, 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f>
        <v>#N/A</v>
      </c>
      <c r="H105" s="15" t="e">
        <f>InputFunctions_PastureBeef.LookupValueFromStateRegionSeason($E$7,X_Cell_PastureBeef_ProductionRegion,$D105, 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f>
        <v>#N/A</v>
      </c>
      <c r="I105" s="15" t="e">
        <f>InputFunctions_PastureBeef.LookupValueFromStateRegionSeason($E$7,X_Cell_PastureBeef_ProductionRegion,$D105, 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f>
        <v>#N/A</v>
      </c>
      <c r="J105" s="15" t="e">
        <f>InputFunctions_PastureBeef.LookupValueFromStateRegionSeason($E$7,X_Cell_PastureBeef_ProductionRegion,$D105, 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f>
        <v>#N/A</v>
      </c>
      <c r="K105" s="15" t="e">
        <f>InputFunctions_PastureBeef.LookupValueFromStateRegionSeason($E$7,X_Cell_PastureBeef_ProductionRegion,$D105, 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f>
        <v>#N/A</v>
      </c>
      <c r="L105" s="15" t="e">
        <f>InputFunctions_PastureBeef.LookupValueFromStateRegionSeason($E$7,X_Cell_PastureBeef_ProductionRegion,$D105, 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f>
        <v>#N/A</v>
      </c>
      <c r="M105" s="15" t="e">
        <f>InputFunctions_PastureBeef.LookupValueFromStateRegionSeason($E$7,X_Cell_PastureBeef_ProductionRegion,$D105, 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f>
        <v>#N/A</v>
      </c>
      <c r="N105" s="15" t="e">
        <f>InputFunctions_PastureBeef.LookupValueFromStateRegionSeason($E$7,X_Cell_PastureBeef_ProductionRegion,$D105, 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f>
        <v>#N/A</v>
      </c>
      <c r="O105" s="16" t="s">
        <v>346</v>
      </c>
      <c r="T105" s="22"/>
    </row>
    <row r="106" spans="4:20" ht="20.100000000000001" customHeight="1" x14ac:dyDescent="0.2">
      <c r="D106" s="1" t="s">
        <v>336</v>
      </c>
      <c r="E106" s="15" t="e">
        <f>InputFunctions_PastureBeef.LookupValueFromStateRegionSeason($E$7,X_Cell_PastureBeef_ProductionRegion,$D106, 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f>
        <v>#N/A</v>
      </c>
      <c r="F106" s="15" t="e">
        <f>InputFunctions_PastureBeef.LookupValueFromStateRegionSeason($E$7,X_Cell_PastureBeef_ProductionRegion,$D106, 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f>
        <v>#N/A</v>
      </c>
      <c r="G106" s="15" t="e">
        <f>InputFunctions_PastureBeef.LookupValueFromStateRegionSeason($E$7,X_Cell_PastureBeef_ProductionRegion,$D106, 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f>
        <v>#N/A</v>
      </c>
      <c r="H106" s="15" t="e">
        <f>InputFunctions_PastureBeef.LookupValueFromStateRegionSeason($E$7,X_Cell_PastureBeef_ProductionRegion,$D106, 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f>
        <v>#N/A</v>
      </c>
      <c r="I106" s="15" t="e">
        <f>InputFunctions_PastureBeef.LookupValueFromStateRegionSeason($E$7,X_Cell_PastureBeef_ProductionRegion,$D106, 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f>
        <v>#N/A</v>
      </c>
      <c r="J106" s="15" t="e">
        <f>InputFunctions_PastureBeef.LookupValueFromStateRegionSeason($E$7,X_Cell_PastureBeef_ProductionRegion,$D106, 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f>
        <v>#N/A</v>
      </c>
      <c r="K106" s="15" t="e">
        <f>InputFunctions_PastureBeef.LookupValueFromStateRegionSeason($E$7,X_Cell_PastureBeef_ProductionRegion,$D106, 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f>
        <v>#N/A</v>
      </c>
      <c r="L106" s="15" t="e">
        <f>InputFunctions_PastureBeef.LookupValueFromStateRegionSeason($E$7,X_Cell_PastureBeef_ProductionRegion,$D106, 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f>
        <v>#N/A</v>
      </c>
      <c r="M106" s="15" t="e">
        <f>InputFunctions_PastureBeef.LookupValueFromStateRegionSeason($E$7,X_Cell_PastureBeef_ProductionRegion,$D106, 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f>
        <v>#N/A</v>
      </c>
      <c r="N106" s="15" t="e">
        <f>InputFunctions_PastureBeef.LookupValueFromStateRegionSeason($E$7,X_Cell_PastureBeef_ProductionRegion,$D106, 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f>
        <v>#N/A</v>
      </c>
      <c r="O106" s="16" t="s">
        <v>346</v>
      </c>
      <c r="T106" s="22"/>
    </row>
    <row r="107" spans="4:20" ht="20.100000000000001" customHeight="1" x14ac:dyDescent="0.2">
      <c r="D107" s="1" t="s">
        <v>337</v>
      </c>
      <c r="E107" s="15" t="e">
        <f>InputFunctions_PastureBeef.LookupValueFromStateRegionSeason($E$7,X_Cell_PastureBeef_ProductionRegion,$D107, 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f>
        <v>#N/A</v>
      </c>
      <c r="F107" s="15" t="e">
        <f>InputFunctions_PastureBeef.LookupValueFromStateRegionSeason($E$7,X_Cell_PastureBeef_ProductionRegion,$D107, 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f>
        <v>#N/A</v>
      </c>
      <c r="G107" s="15" t="e">
        <f>InputFunctions_PastureBeef.LookupValueFromStateRegionSeason($E$7,X_Cell_PastureBeef_ProductionRegion,$D107, 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f>
        <v>#N/A</v>
      </c>
      <c r="H107" s="15" t="e">
        <f>InputFunctions_PastureBeef.LookupValueFromStateRegionSeason($E$7,X_Cell_PastureBeef_ProductionRegion,$D107, 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f>
        <v>#N/A</v>
      </c>
      <c r="I107" s="15" t="e">
        <f>InputFunctions_PastureBeef.LookupValueFromStateRegionSeason($E$7,X_Cell_PastureBeef_ProductionRegion,$D107, 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f>
        <v>#N/A</v>
      </c>
      <c r="J107" s="15" t="e">
        <f>InputFunctions_PastureBeef.LookupValueFromStateRegionSeason($E$7,X_Cell_PastureBeef_ProductionRegion,$D107, 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f>
        <v>#N/A</v>
      </c>
      <c r="K107" s="15" t="e">
        <f>InputFunctions_PastureBeef.LookupValueFromStateRegionSeason($E$7,X_Cell_PastureBeef_ProductionRegion,$D107, 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f>
        <v>#N/A</v>
      </c>
      <c r="L107" s="15" t="e">
        <f>InputFunctions_PastureBeef.LookupValueFromStateRegionSeason($E$7,X_Cell_PastureBeef_ProductionRegion,$D107, 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f>
        <v>#N/A</v>
      </c>
      <c r="M107" s="15" t="e">
        <f>InputFunctions_PastureBeef.LookupValueFromStateRegionSeason($E$7,X_Cell_PastureBeef_ProductionRegion,$D107, 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f>
        <v>#N/A</v>
      </c>
      <c r="N107" s="15" t="e">
        <f>InputFunctions_PastureBeef.LookupValueFromStateRegionSeason($E$7,X_Cell_PastureBeef_ProductionRegion,$D107, 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f>
        <v>#N/A</v>
      </c>
      <c r="O107" s="16" t="s">
        <v>346</v>
      </c>
    </row>
    <row r="108" spans="4:20" ht="20.100000000000001" customHeight="1" x14ac:dyDescent="0.2">
      <c r="D108" s="1" t="s">
        <v>338</v>
      </c>
      <c r="E108" s="15" t="e">
        <f>InputFunctions_PastureBeef.LookupValueFromStateRegionSeason($E$7,X_Cell_PastureBeef_ProductionRegion,$D108, 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f>
        <v>#N/A</v>
      </c>
      <c r="F108" s="15" t="e">
        <f>InputFunctions_PastureBeef.LookupValueFromStateRegionSeason($E$7,X_Cell_PastureBeef_ProductionRegion,$D108, 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f>
        <v>#N/A</v>
      </c>
      <c r="G108" s="15" t="e">
        <f>InputFunctions_PastureBeef.LookupValueFromStateRegionSeason($E$7,X_Cell_PastureBeef_ProductionRegion,$D108, 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f>
        <v>#N/A</v>
      </c>
      <c r="H108" s="15" t="e">
        <f>InputFunctions_PastureBeef.LookupValueFromStateRegionSeason($E$7,X_Cell_PastureBeef_ProductionRegion,$D108, 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f>
        <v>#N/A</v>
      </c>
      <c r="I108" s="15" t="e">
        <f>InputFunctions_PastureBeef.LookupValueFromStateRegionSeason($E$7,X_Cell_PastureBeef_ProductionRegion,$D108, 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f>
        <v>#N/A</v>
      </c>
      <c r="J108" s="15" t="e">
        <f>InputFunctions_PastureBeef.LookupValueFromStateRegionSeason($E$7,X_Cell_PastureBeef_ProductionRegion,$D108, 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f>
        <v>#N/A</v>
      </c>
      <c r="K108" s="15" t="e">
        <f>InputFunctions_PastureBeef.LookupValueFromStateRegionSeason($E$7,X_Cell_PastureBeef_ProductionRegion,$D108, 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f>
        <v>#N/A</v>
      </c>
      <c r="L108" s="15" t="e">
        <f>InputFunctions_PastureBeef.LookupValueFromStateRegionSeason($E$7,X_Cell_PastureBeef_ProductionRegion,$D108, 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f>
        <v>#N/A</v>
      </c>
      <c r="M108" s="15" t="e">
        <f>InputFunctions_PastureBeef.LookupValueFromStateRegionSeason($E$7,X_Cell_PastureBeef_ProductionRegion,$D108, 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f>
        <v>#N/A</v>
      </c>
      <c r="N108" s="15" t="e">
        <f>InputFunctions_PastureBeef.LookupValueFromStateRegionSeason($E$7,X_Cell_PastureBeef_ProductionRegion,$D108, 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f>
        <v>#N/A</v>
      </c>
      <c r="O108" s="16" t="s">
        <v>346</v>
      </c>
    </row>
    <row r="110" spans="4:20" ht="20.100000000000001" customHeight="1" x14ac:dyDescent="0.2">
      <c r="D110" s="100" t="s">
        <v>339</v>
      </c>
      <c r="E110" s="100" t="s">
        <v>326</v>
      </c>
      <c r="F110" s="100" t="s">
        <v>184</v>
      </c>
      <c r="G110" s="100" t="s">
        <v>327</v>
      </c>
      <c r="H110" s="100" t="s">
        <v>328</v>
      </c>
      <c r="I110" s="100" t="s">
        <v>329</v>
      </c>
      <c r="J110" s="100" t="s">
        <v>330</v>
      </c>
      <c r="K110" s="100" t="s">
        <v>331</v>
      </c>
      <c r="L110" s="100" t="s">
        <v>332</v>
      </c>
      <c r="M110" s="100" t="s">
        <v>333</v>
      </c>
      <c r="N110" s="100" t="s">
        <v>334</v>
      </c>
    </row>
    <row r="111" spans="4:20" ht="20.100000000000001" customHeight="1" x14ac:dyDescent="0.2">
      <c r="D111" s="1" t="str">
        <f>TEXT(X_Cell_Site_StartDate, "mmmm yyyy")</f>
        <v>January 1900</v>
      </c>
      <c r="E111" s="76" t="e">
        <f>InputFunctions_PastureBeef.LookupValueFromStateRegionMonth($E$7,X_Cell_PastureBeef_ProductionRegion,$D111,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#N/A</v>
      </c>
      <c r="F111" s="76" t="e">
        <f>InputFunctions_PastureBeef.LookupValueFromStateRegionMonth($E$7,X_Cell_PastureBeef_ProductionRegion,$D111,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#N/A</v>
      </c>
      <c r="G111" s="76" t="e">
        <f>InputFunctions_PastureBeef.LookupValueFromStateRegionMonth($E$7,X_Cell_PastureBeef_ProductionRegion,$D111,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#N/A</v>
      </c>
      <c r="H111" s="76" t="e">
        <f>InputFunctions_PastureBeef.LookupValueFromStateRegionMonth($E$7,X_Cell_PastureBeef_ProductionRegion,$D111,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#N/A</v>
      </c>
      <c r="I111" s="76" t="e">
        <f>InputFunctions_PastureBeef.LookupValueFromStateRegionMonth($E$7,X_Cell_PastureBeef_ProductionRegion,$D111,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#N/A</v>
      </c>
      <c r="J111" s="76" t="e">
        <f>InputFunctions_PastureBeef.LookupValueFromStateRegionMonth($E$7,X_Cell_PastureBeef_ProductionRegion,$D111,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#N/A</v>
      </c>
      <c r="K111" s="76" t="e">
        <f>InputFunctions_PastureBeef.LookupValueFromStateRegionMonth($E$7,X_Cell_PastureBeef_ProductionRegion,$D111,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#N/A</v>
      </c>
      <c r="L111" s="76" t="e">
        <f>InputFunctions_PastureBeef.LookupValueFromStateRegionMonth($E$7,X_Cell_PastureBeef_ProductionRegion,$D111,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#N/A</v>
      </c>
      <c r="M111" s="76" t="e">
        <f>InputFunctions_PastureBeef.LookupValueFromStateRegionMonth($E$7,X_Cell_PastureBeef_ProductionRegion,$D111,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#N/A</v>
      </c>
      <c r="N111" s="76" t="e">
        <f>InputFunctions_PastureBeef.LookupValueFromStateRegionMonth($E$7,X_Cell_PastureBeef_ProductionRegion,$D111,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#N/A</v>
      </c>
      <c r="O111" s="16" t="s">
        <v>346</v>
      </c>
    </row>
    <row r="112" spans="4:20" ht="20.100000000000001" customHeight="1" x14ac:dyDescent="0.2">
      <c r="D112" s="1" t="str">
        <f>TEXT(EDATE(X_Cell_Site_StartDate,1), "mmmm yyyy")</f>
        <v>January 1900</v>
      </c>
      <c r="E112" s="76" t="e">
        <f>InputFunctions_PastureBeef.LookupValueFromStateRegionMonth($E$7,X_Cell_PastureBeef_ProductionRegion,$D112,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#N/A</v>
      </c>
      <c r="F112" s="76" t="e">
        <f>InputFunctions_PastureBeef.LookupValueFromStateRegionMonth($E$7,X_Cell_PastureBeef_ProductionRegion,$D112,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#N/A</v>
      </c>
      <c r="G112" s="76" t="e">
        <f>InputFunctions_PastureBeef.LookupValueFromStateRegionMonth($E$7,X_Cell_PastureBeef_ProductionRegion,$D112,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#N/A</v>
      </c>
      <c r="H112" s="76" t="e">
        <f>InputFunctions_PastureBeef.LookupValueFromStateRegionMonth($E$7,X_Cell_PastureBeef_ProductionRegion,$D112,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#N/A</v>
      </c>
      <c r="I112" s="76" t="e">
        <f>InputFunctions_PastureBeef.LookupValueFromStateRegionMonth($E$7,X_Cell_PastureBeef_ProductionRegion,$D112,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#N/A</v>
      </c>
      <c r="J112" s="76" t="e">
        <f>InputFunctions_PastureBeef.LookupValueFromStateRegionMonth($E$7,X_Cell_PastureBeef_ProductionRegion,$D112,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#N/A</v>
      </c>
      <c r="K112" s="76" t="e">
        <f>InputFunctions_PastureBeef.LookupValueFromStateRegionMonth($E$7,X_Cell_PastureBeef_ProductionRegion,$D112,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#N/A</v>
      </c>
      <c r="L112" s="76" t="e">
        <f>InputFunctions_PastureBeef.LookupValueFromStateRegionMonth($E$7,X_Cell_PastureBeef_ProductionRegion,$D112,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#N/A</v>
      </c>
      <c r="M112" s="76" t="e">
        <f>InputFunctions_PastureBeef.LookupValueFromStateRegionMonth($E$7,X_Cell_PastureBeef_ProductionRegion,$D112,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#N/A</v>
      </c>
      <c r="N112" s="76" t="e">
        <f>InputFunctions_PastureBeef.LookupValueFromStateRegionMonth($E$7,X_Cell_PastureBeef_ProductionRegion,$D112,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#N/A</v>
      </c>
      <c r="O112" s="16" t="s">
        <v>346</v>
      </c>
    </row>
    <row r="113" spans="4:15" ht="20.100000000000001" customHeight="1" x14ac:dyDescent="0.2">
      <c r="D113" s="1" t="str">
        <f>TEXT(EDATE(X_Cell_Site_StartDate,2), "mmmm yyyy")</f>
        <v>February 1900</v>
      </c>
      <c r="E113" s="76" t="e">
        <f>InputFunctions_PastureBeef.LookupValueFromStateRegionMonth($E$7,X_Cell_PastureBeef_ProductionRegion,$D113,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#N/A</v>
      </c>
      <c r="F113" s="76" t="e">
        <f>InputFunctions_PastureBeef.LookupValueFromStateRegionMonth($E$7,X_Cell_PastureBeef_ProductionRegion,$D113,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#N/A</v>
      </c>
      <c r="G113" s="76" t="e">
        <f>InputFunctions_PastureBeef.LookupValueFromStateRegionMonth($E$7,X_Cell_PastureBeef_ProductionRegion,$D113,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#N/A</v>
      </c>
      <c r="H113" s="76" t="e">
        <f>InputFunctions_PastureBeef.LookupValueFromStateRegionMonth($E$7,X_Cell_PastureBeef_ProductionRegion,$D113,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#N/A</v>
      </c>
      <c r="I113" s="76" t="e">
        <f>InputFunctions_PastureBeef.LookupValueFromStateRegionMonth($E$7,X_Cell_PastureBeef_ProductionRegion,$D113,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#N/A</v>
      </c>
      <c r="J113" s="76" t="e">
        <f>InputFunctions_PastureBeef.LookupValueFromStateRegionMonth($E$7,X_Cell_PastureBeef_ProductionRegion,$D113,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#N/A</v>
      </c>
      <c r="K113" s="76" t="e">
        <f>InputFunctions_PastureBeef.LookupValueFromStateRegionMonth($E$7,X_Cell_PastureBeef_ProductionRegion,$D113,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#N/A</v>
      </c>
      <c r="L113" s="76" t="e">
        <f>InputFunctions_PastureBeef.LookupValueFromStateRegionMonth($E$7,X_Cell_PastureBeef_ProductionRegion,$D113,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#N/A</v>
      </c>
      <c r="M113" s="76" t="e">
        <f>InputFunctions_PastureBeef.LookupValueFromStateRegionMonth($E$7,X_Cell_PastureBeef_ProductionRegion,$D113,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#N/A</v>
      </c>
      <c r="N113" s="76" t="e">
        <f>InputFunctions_PastureBeef.LookupValueFromStateRegionMonth($E$7,X_Cell_PastureBeef_ProductionRegion,$D113,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#N/A</v>
      </c>
      <c r="O113" s="16" t="s">
        <v>346</v>
      </c>
    </row>
    <row r="114" spans="4:15" ht="20.100000000000001" customHeight="1" x14ac:dyDescent="0.2">
      <c r="D114" s="1" t="str">
        <f>TEXT(EDATE(X_Cell_Site_StartDate,3), "mmmm yyyy")</f>
        <v>March 1900</v>
      </c>
      <c r="E114" s="76" t="e">
        <f>InputFunctions_PastureBeef.LookupValueFromStateRegionMonth($E$7,X_Cell_PastureBeef_ProductionRegion,$D114,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#N/A</v>
      </c>
      <c r="F114" s="76" t="e">
        <f>InputFunctions_PastureBeef.LookupValueFromStateRegionMonth($E$7,X_Cell_PastureBeef_ProductionRegion,$D114,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#N/A</v>
      </c>
      <c r="G114" s="76" t="e">
        <f>InputFunctions_PastureBeef.LookupValueFromStateRegionMonth($E$7,X_Cell_PastureBeef_ProductionRegion,$D114,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#N/A</v>
      </c>
      <c r="H114" s="76" t="e">
        <f>InputFunctions_PastureBeef.LookupValueFromStateRegionMonth($E$7,X_Cell_PastureBeef_ProductionRegion,$D114,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#N/A</v>
      </c>
      <c r="I114" s="76" t="e">
        <f>InputFunctions_PastureBeef.LookupValueFromStateRegionMonth($E$7,X_Cell_PastureBeef_ProductionRegion,$D114,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#N/A</v>
      </c>
      <c r="J114" s="76" t="e">
        <f>InputFunctions_PastureBeef.LookupValueFromStateRegionMonth($E$7,X_Cell_PastureBeef_ProductionRegion,$D114,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#N/A</v>
      </c>
      <c r="K114" s="76" t="e">
        <f>InputFunctions_PastureBeef.LookupValueFromStateRegionMonth($E$7,X_Cell_PastureBeef_ProductionRegion,$D114,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#N/A</v>
      </c>
      <c r="L114" s="76" t="e">
        <f>InputFunctions_PastureBeef.LookupValueFromStateRegionMonth($E$7,X_Cell_PastureBeef_ProductionRegion,$D114,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#N/A</v>
      </c>
      <c r="M114" s="76" t="e">
        <f>InputFunctions_PastureBeef.LookupValueFromStateRegionMonth($E$7,X_Cell_PastureBeef_ProductionRegion,$D114,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#N/A</v>
      </c>
      <c r="N114" s="76" t="e">
        <f>InputFunctions_PastureBeef.LookupValueFromStateRegionMonth($E$7,X_Cell_PastureBeef_ProductionRegion,$D114,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#N/A</v>
      </c>
      <c r="O114" s="16" t="s">
        <v>346</v>
      </c>
    </row>
    <row r="115" spans="4:15" ht="20.100000000000001" customHeight="1" x14ac:dyDescent="0.2">
      <c r="D115" s="1" t="str">
        <f>TEXT(EDATE(X_Cell_Site_StartDate,4), "mmmm yyyy")</f>
        <v>April 1900</v>
      </c>
      <c r="E115" s="76" t="e">
        <f>InputFunctions_PastureBeef.LookupValueFromStateRegionMonth($E$7,X_Cell_PastureBeef_ProductionRegion,$D115,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#N/A</v>
      </c>
      <c r="F115" s="76" t="e">
        <f>InputFunctions_PastureBeef.LookupValueFromStateRegionMonth($E$7,X_Cell_PastureBeef_ProductionRegion,$D115,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#N/A</v>
      </c>
      <c r="G115" s="76" t="e">
        <f>InputFunctions_PastureBeef.LookupValueFromStateRegionMonth($E$7,X_Cell_PastureBeef_ProductionRegion,$D115,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#N/A</v>
      </c>
      <c r="H115" s="76" t="e">
        <f>InputFunctions_PastureBeef.LookupValueFromStateRegionMonth($E$7,X_Cell_PastureBeef_ProductionRegion,$D115,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#N/A</v>
      </c>
      <c r="I115" s="76" t="e">
        <f>InputFunctions_PastureBeef.LookupValueFromStateRegionMonth($E$7,X_Cell_PastureBeef_ProductionRegion,$D115,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#N/A</v>
      </c>
      <c r="J115" s="76" t="e">
        <f>InputFunctions_PastureBeef.LookupValueFromStateRegionMonth($E$7,X_Cell_PastureBeef_ProductionRegion,$D115,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#N/A</v>
      </c>
      <c r="K115" s="76" t="e">
        <f>InputFunctions_PastureBeef.LookupValueFromStateRegionMonth($E$7,X_Cell_PastureBeef_ProductionRegion,$D115,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#N/A</v>
      </c>
      <c r="L115" s="76" t="e">
        <f>InputFunctions_PastureBeef.LookupValueFromStateRegionMonth($E$7,X_Cell_PastureBeef_ProductionRegion,$D115,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#N/A</v>
      </c>
      <c r="M115" s="76" t="e">
        <f>InputFunctions_PastureBeef.LookupValueFromStateRegionMonth($E$7,X_Cell_PastureBeef_ProductionRegion,$D115,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#N/A</v>
      </c>
      <c r="N115" s="76" t="e">
        <f>InputFunctions_PastureBeef.LookupValueFromStateRegionMonth($E$7,X_Cell_PastureBeef_ProductionRegion,$D115,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#N/A</v>
      </c>
      <c r="O115" s="16" t="s">
        <v>346</v>
      </c>
    </row>
    <row r="116" spans="4:15" ht="20.100000000000001" customHeight="1" x14ac:dyDescent="0.2">
      <c r="D116" s="1" t="str">
        <f>TEXT(EDATE(X_Cell_Site_StartDate,5), "mmmm yyyy")</f>
        <v>May 1900</v>
      </c>
      <c r="E116" s="76" t="e">
        <f>InputFunctions_PastureBeef.LookupValueFromStateRegionMonth($E$7,X_Cell_PastureBeef_ProductionRegion,$D116,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#N/A</v>
      </c>
      <c r="F116" s="76" t="e">
        <f>InputFunctions_PastureBeef.LookupValueFromStateRegionMonth($E$7,X_Cell_PastureBeef_ProductionRegion,$D116,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#N/A</v>
      </c>
      <c r="G116" s="76" t="e">
        <f>InputFunctions_PastureBeef.LookupValueFromStateRegionMonth($E$7,X_Cell_PastureBeef_ProductionRegion,$D116,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#N/A</v>
      </c>
      <c r="H116" s="76" t="e">
        <f>InputFunctions_PastureBeef.LookupValueFromStateRegionMonth($E$7,X_Cell_PastureBeef_ProductionRegion,$D116,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#N/A</v>
      </c>
      <c r="I116" s="76" t="e">
        <f>InputFunctions_PastureBeef.LookupValueFromStateRegionMonth($E$7,X_Cell_PastureBeef_ProductionRegion,$D116,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#N/A</v>
      </c>
      <c r="J116" s="76" t="e">
        <f>InputFunctions_PastureBeef.LookupValueFromStateRegionMonth($E$7,X_Cell_PastureBeef_ProductionRegion,$D116,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#N/A</v>
      </c>
      <c r="K116" s="76" t="e">
        <f>InputFunctions_PastureBeef.LookupValueFromStateRegionMonth($E$7,X_Cell_PastureBeef_ProductionRegion,$D116,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#N/A</v>
      </c>
      <c r="L116" s="76" t="e">
        <f>InputFunctions_PastureBeef.LookupValueFromStateRegionMonth($E$7,X_Cell_PastureBeef_ProductionRegion,$D116,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#N/A</v>
      </c>
      <c r="M116" s="76" t="e">
        <f>InputFunctions_PastureBeef.LookupValueFromStateRegionMonth($E$7,X_Cell_PastureBeef_ProductionRegion,$D116,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#N/A</v>
      </c>
      <c r="N116" s="76" t="e">
        <f>InputFunctions_PastureBeef.LookupValueFromStateRegionMonth($E$7,X_Cell_PastureBeef_ProductionRegion,$D116,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#N/A</v>
      </c>
      <c r="O116" s="16" t="s">
        <v>346</v>
      </c>
    </row>
    <row r="117" spans="4:15" ht="20.100000000000001" customHeight="1" x14ac:dyDescent="0.2">
      <c r="D117" s="1" t="str">
        <f>TEXT(EDATE(X_Cell_Site_StartDate,6), "mmmm yyyy")</f>
        <v>June 1900</v>
      </c>
      <c r="E117" s="76" t="e">
        <f>InputFunctions_PastureBeef.LookupValueFromStateRegionMonth($E$7,X_Cell_PastureBeef_ProductionRegion,$D117,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#N/A</v>
      </c>
      <c r="F117" s="76" t="e">
        <f>InputFunctions_PastureBeef.LookupValueFromStateRegionMonth($E$7,X_Cell_PastureBeef_ProductionRegion,$D117,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#N/A</v>
      </c>
      <c r="G117" s="76" t="e">
        <f>InputFunctions_PastureBeef.LookupValueFromStateRegionMonth($E$7,X_Cell_PastureBeef_ProductionRegion,$D117,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#N/A</v>
      </c>
      <c r="H117" s="76" t="e">
        <f>InputFunctions_PastureBeef.LookupValueFromStateRegionMonth($E$7,X_Cell_PastureBeef_ProductionRegion,$D117,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#N/A</v>
      </c>
      <c r="I117" s="76" t="e">
        <f>InputFunctions_PastureBeef.LookupValueFromStateRegionMonth($E$7,X_Cell_PastureBeef_ProductionRegion,$D117,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#N/A</v>
      </c>
      <c r="J117" s="76" t="e">
        <f>InputFunctions_PastureBeef.LookupValueFromStateRegionMonth($E$7,X_Cell_PastureBeef_ProductionRegion,$D117,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#N/A</v>
      </c>
      <c r="K117" s="76" t="e">
        <f>InputFunctions_PastureBeef.LookupValueFromStateRegionMonth($E$7,X_Cell_PastureBeef_ProductionRegion,$D117,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#N/A</v>
      </c>
      <c r="L117" s="76" t="e">
        <f>InputFunctions_PastureBeef.LookupValueFromStateRegionMonth($E$7,X_Cell_PastureBeef_ProductionRegion,$D117,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#N/A</v>
      </c>
      <c r="M117" s="76" t="e">
        <f>InputFunctions_PastureBeef.LookupValueFromStateRegionMonth($E$7,X_Cell_PastureBeef_ProductionRegion,$D117,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#N/A</v>
      </c>
      <c r="N117" s="76" t="e">
        <f>InputFunctions_PastureBeef.LookupValueFromStateRegionMonth($E$7,X_Cell_PastureBeef_ProductionRegion,$D117,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#N/A</v>
      </c>
      <c r="O117" s="16" t="s">
        <v>346</v>
      </c>
    </row>
    <row r="118" spans="4:15" ht="20.100000000000001" customHeight="1" x14ac:dyDescent="0.2">
      <c r="D118" s="1" t="str">
        <f>TEXT(EDATE(X_Cell_Site_StartDate,7), "mmmm yyyy")</f>
        <v>July 1900</v>
      </c>
      <c r="E118" s="76" t="e">
        <f>InputFunctions_PastureBeef.LookupValueFromStateRegionMonth($E$7,X_Cell_PastureBeef_ProductionRegion,$D118,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#N/A</v>
      </c>
      <c r="F118" s="76" t="e">
        <f>InputFunctions_PastureBeef.LookupValueFromStateRegionMonth($E$7,X_Cell_PastureBeef_ProductionRegion,$D118,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#N/A</v>
      </c>
      <c r="G118" s="76" t="e">
        <f>InputFunctions_PastureBeef.LookupValueFromStateRegionMonth($E$7,X_Cell_PastureBeef_ProductionRegion,$D118,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#N/A</v>
      </c>
      <c r="H118" s="76" t="e">
        <f>InputFunctions_PastureBeef.LookupValueFromStateRegionMonth($E$7,X_Cell_PastureBeef_ProductionRegion,$D118,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#N/A</v>
      </c>
      <c r="I118" s="76" t="e">
        <f>InputFunctions_PastureBeef.LookupValueFromStateRegionMonth($E$7,X_Cell_PastureBeef_ProductionRegion,$D118,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#N/A</v>
      </c>
      <c r="J118" s="76" t="e">
        <f>InputFunctions_PastureBeef.LookupValueFromStateRegionMonth($E$7,X_Cell_PastureBeef_ProductionRegion,$D118,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#N/A</v>
      </c>
      <c r="K118" s="76" t="e">
        <f>InputFunctions_PastureBeef.LookupValueFromStateRegionMonth($E$7,X_Cell_PastureBeef_ProductionRegion,$D118,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#N/A</v>
      </c>
      <c r="L118" s="76" t="e">
        <f>InputFunctions_PastureBeef.LookupValueFromStateRegionMonth($E$7,X_Cell_PastureBeef_ProductionRegion,$D118,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#N/A</v>
      </c>
      <c r="M118" s="76" t="e">
        <f>InputFunctions_PastureBeef.LookupValueFromStateRegionMonth($E$7,X_Cell_PastureBeef_ProductionRegion,$D118,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#N/A</v>
      </c>
      <c r="N118" s="76" t="e">
        <f>InputFunctions_PastureBeef.LookupValueFromStateRegionMonth($E$7,X_Cell_PastureBeef_ProductionRegion,$D118,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#N/A</v>
      </c>
      <c r="O118" s="16" t="s">
        <v>346</v>
      </c>
    </row>
    <row r="119" spans="4:15" ht="20.100000000000001" customHeight="1" x14ac:dyDescent="0.2">
      <c r="D119" s="1" t="str">
        <f>TEXT(EDATE(X_Cell_Site_StartDate,8), "mmmm yyyy")</f>
        <v>August 1900</v>
      </c>
      <c r="E119" s="76" t="e">
        <f>InputFunctions_PastureBeef.LookupValueFromStateRegionMonth($E$7,X_Cell_PastureBeef_ProductionRegion,$D119,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#N/A</v>
      </c>
      <c r="F119" s="76" t="e">
        <f>InputFunctions_PastureBeef.LookupValueFromStateRegionMonth($E$7,X_Cell_PastureBeef_ProductionRegion,$D119,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#N/A</v>
      </c>
      <c r="G119" s="76" t="e">
        <f>InputFunctions_PastureBeef.LookupValueFromStateRegionMonth($E$7,X_Cell_PastureBeef_ProductionRegion,$D119,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#N/A</v>
      </c>
      <c r="H119" s="76" t="e">
        <f>InputFunctions_PastureBeef.LookupValueFromStateRegionMonth($E$7,X_Cell_PastureBeef_ProductionRegion,$D119,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#N/A</v>
      </c>
      <c r="I119" s="76" t="e">
        <f>InputFunctions_PastureBeef.LookupValueFromStateRegionMonth($E$7,X_Cell_PastureBeef_ProductionRegion,$D119,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#N/A</v>
      </c>
      <c r="J119" s="76" t="e">
        <f>InputFunctions_PastureBeef.LookupValueFromStateRegionMonth($E$7,X_Cell_PastureBeef_ProductionRegion,$D119,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#N/A</v>
      </c>
      <c r="K119" s="76" t="e">
        <f>InputFunctions_PastureBeef.LookupValueFromStateRegionMonth($E$7,X_Cell_PastureBeef_ProductionRegion,$D119,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#N/A</v>
      </c>
      <c r="L119" s="76" t="e">
        <f>InputFunctions_PastureBeef.LookupValueFromStateRegionMonth($E$7,X_Cell_PastureBeef_ProductionRegion,$D119,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#N/A</v>
      </c>
      <c r="M119" s="76" t="e">
        <f>InputFunctions_PastureBeef.LookupValueFromStateRegionMonth($E$7,X_Cell_PastureBeef_ProductionRegion,$D119,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#N/A</v>
      </c>
      <c r="N119" s="76" t="e">
        <f>InputFunctions_PastureBeef.LookupValueFromStateRegionMonth($E$7,X_Cell_PastureBeef_ProductionRegion,$D119,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#N/A</v>
      </c>
      <c r="O119" s="16" t="s">
        <v>346</v>
      </c>
    </row>
    <row r="120" spans="4:15" ht="20.100000000000001" customHeight="1" x14ac:dyDescent="0.2">
      <c r="D120" s="1" t="str">
        <f>TEXT(EDATE(X_Cell_Site_StartDate,9), "mmmm yyyy")</f>
        <v>September 1900</v>
      </c>
      <c r="E120" s="76" t="e">
        <f>InputFunctions_PastureBeef.LookupValueFromStateRegionMonth($E$7,X_Cell_PastureBeef_ProductionRegion,$D120,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#N/A</v>
      </c>
      <c r="F120" s="76" t="e">
        <f>InputFunctions_PastureBeef.LookupValueFromStateRegionMonth($E$7,X_Cell_PastureBeef_ProductionRegion,$D120,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#N/A</v>
      </c>
      <c r="G120" s="76" t="e">
        <f>InputFunctions_PastureBeef.LookupValueFromStateRegionMonth($E$7,X_Cell_PastureBeef_ProductionRegion,$D120,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#N/A</v>
      </c>
      <c r="H120" s="76" t="e">
        <f>InputFunctions_PastureBeef.LookupValueFromStateRegionMonth($E$7,X_Cell_PastureBeef_ProductionRegion,$D120,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#N/A</v>
      </c>
      <c r="I120" s="76" t="e">
        <f>InputFunctions_PastureBeef.LookupValueFromStateRegionMonth($E$7,X_Cell_PastureBeef_ProductionRegion,$D120,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#N/A</v>
      </c>
      <c r="J120" s="76" t="e">
        <f>InputFunctions_PastureBeef.LookupValueFromStateRegionMonth($E$7,X_Cell_PastureBeef_ProductionRegion,$D120,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#N/A</v>
      </c>
      <c r="K120" s="76" t="e">
        <f>InputFunctions_PastureBeef.LookupValueFromStateRegionMonth($E$7,X_Cell_PastureBeef_ProductionRegion,$D120,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#N/A</v>
      </c>
      <c r="L120" s="76" t="e">
        <f>InputFunctions_PastureBeef.LookupValueFromStateRegionMonth($E$7,X_Cell_PastureBeef_ProductionRegion,$D120,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#N/A</v>
      </c>
      <c r="M120" s="76" t="e">
        <f>InputFunctions_PastureBeef.LookupValueFromStateRegionMonth($E$7,X_Cell_PastureBeef_ProductionRegion,$D120,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#N/A</v>
      </c>
      <c r="N120" s="76" t="e">
        <f>InputFunctions_PastureBeef.LookupValueFromStateRegionMonth($E$7,X_Cell_PastureBeef_ProductionRegion,$D120,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#N/A</v>
      </c>
      <c r="O120" s="16" t="s">
        <v>346</v>
      </c>
    </row>
    <row r="121" spans="4:15" ht="20.100000000000001" customHeight="1" x14ac:dyDescent="0.2">
      <c r="D121" s="1" t="str">
        <f>TEXT(EDATE(X_Cell_Site_StartDate,10), "mmmm yyyy")</f>
        <v>October 1900</v>
      </c>
      <c r="E121" s="76" t="e">
        <f>InputFunctions_PastureBeef.LookupValueFromStateRegionMonth($E$7,X_Cell_PastureBeef_ProductionRegion,$D121,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#N/A</v>
      </c>
      <c r="F121" s="76" t="e">
        <f>InputFunctions_PastureBeef.LookupValueFromStateRegionMonth($E$7,X_Cell_PastureBeef_ProductionRegion,$D121,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#N/A</v>
      </c>
      <c r="G121" s="76" t="e">
        <f>InputFunctions_PastureBeef.LookupValueFromStateRegionMonth($E$7,X_Cell_PastureBeef_ProductionRegion,$D121,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#N/A</v>
      </c>
      <c r="H121" s="76" t="e">
        <f>InputFunctions_PastureBeef.LookupValueFromStateRegionMonth($E$7,X_Cell_PastureBeef_ProductionRegion,$D121,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#N/A</v>
      </c>
      <c r="I121" s="76" t="e">
        <f>InputFunctions_PastureBeef.LookupValueFromStateRegionMonth($E$7,X_Cell_PastureBeef_ProductionRegion,$D121,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#N/A</v>
      </c>
      <c r="J121" s="76" t="e">
        <f>InputFunctions_PastureBeef.LookupValueFromStateRegionMonth($E$7,X_Cell_PastureBeef_ProductionRegion,$D121,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#N/A</v>
      </c>
      <c r="K121" s="76" t="e">
        <f>InputFunctions_PastureBeef.LookupValueFromStateRegionMonth($E$7,X_Cell_PastureBeef_ProductionRegion,$D121,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#N/A</v>
      </c>
      <c r="L121" s="76" t="e">
        <f>InputFunctions_PastureBeef.LookupValueFromStateRegionMonth($E$7,X_Cell_PastureBeef_ProductionRegion,$D121,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#N/A</v>
      </c>
      <c r="M121" s="76" t="e">
        <f>InputFunctions_PastureBeef.LookupValueFromStateRegionMonth($E$7,X_Cell_PastureBeef_ProductionRegion,$D121,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#N/A</v>
      </c>
      <c r="N121" s="76" t="e">
        <f>InputFunctions_PastureBeef.LookupValueFromStateRegionMonth($E$7,X_Cell_PastureBeef_ProductionRegion,$D121,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#N/A</v>
      </c>
      <c r="O121" s="16" t="s">
        <v>346</v>
      </c>
    </row>
    <row r="122" spans="4:15" ht="20.100000000000001" customHeight="1" x14ac:dyDescent="0.2">
      <c r="D122" s="1" t="str">
        <f>TEXT(EDATE(X_Cell_Site_StartDate,11), "mmmm yyyy")</f>
        <v>November 1900</v>
      </c>
      <c r="E122" s="76" t="e">
        <f>InputFunctions_PastureBeef.LookupValueFromStateRegionMonth($E$7,X_Cell_PastureBeef_ProductionRegion,$D122,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#N/A</v>
      </c>
      <c r="F122" s="76" t="e">
        <f>InputFunctions_PastureBeef.LookupValueFromStateRegionMonth($E$7,X_Cell_PastureBeef_ProductionRegion,$D122,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#N/A</v>
      </c>
      <c r="G122" s="76" t="e">
        <f>InputFunctions_PastureBeef.LookupValueFromStateRegionMonth($E$7,X_Cell_PastureBeef_ProductionRegion,$D122,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#N/A</v>
      </c>
      <c r="H122" s="76" t="e">
        <f>InputFunctions_PastureBeef.LookupValueFromStateRegionMonth($E$7,X_Cell_PastureBeef_ProductionRegion,$D122,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#N/A</v>
      </c>
      <c r="I122" s="76" t="e">
        <f>InputFunctions_PastureBeef.LookupValueFromStateRegionMonth($E$7,X_Cell_PastureBeef_ProductionRegion,$D122,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#N/A</v>
      </c>
      <c r="J122" s="76" t="e">
        <f>InputFunctions_PastureBeef.LookupValueFromStateRegionMonth($E$7,X_Cell_PastureBeef_ProductionRegion,$D122,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#N/A</v>
      </c>
      <c r="K122" s="76" t="e">
        <f>InputFunctions_PastureBeef.LookupValueFromStateRegionMonth($E$7,X_Cell_PastureBeef_ProductionRegion,$D122,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#N/A</v>
      </c>
      <c r="L122" s="76" t="e">
        <f>InputFunctions_PastureBeef.LookupValueFromStateRegionMonth($E$7,X_Cell_PastureBeef_ProductionRegion,$D122,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#N/A</v>
      </c>
      <c r="M122" s="76" t="e">
        <f>InputFunctions_PastureBeef.LookupValueFromStateRegionMonth($E$7,X_Cell_PastureBeef_ProductionRegion,$D122,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#N/A</v>
      </c>
      <c r="N122" s="76" t="e">
        <f>InputFunctions_PastureBeef.LookupValueFromStateRegionMonth($E$7,X_Cell_PastureBeef_ProductionRegion,$D122,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#N/A</v>
      </c>
      <c r="O122" s="16" t="s">
        <v>346</v>
      </c>
    </row>
    <row r="125" spans="4:15" ht="20.100000000000001" customHeight="1" x14ac:dyDescent="0.2">
      <c r="D125" s="79" t="s">
        <v>347</v>
      </c>
      <c r="K125" s="16"/>
      <c r="L125" s="16"/>
      <c r="M125" s="16"/>
      <c r="N125" s="16"/>
      <c r="O125" s="16"/>
    </row>
    <row r="126" spans="4:15" ht="20.100000000000001" customHeight="1" x14ac:dyDescent="0.2">
      <c r="D126" s="100" t="s">
        <v>325</v>
      </c>
      <c r="E126" s="100" t="s">
        <v>326</v>
      </c>
      <c r="F126" s="100" t="s">
        <v>184</v>
      </c>
      <c r="G126" s="100" t="s">
        <v>327</v>
      </c>
      <c r="H126" s="100" t="s">
        <v>328</v>
      </c>
      <c r="I126" s="100" t="s">
        <v>329</v>
      </c>
      <c r="J126" s="100" t="s">
        <v>330</v>
      </c>
      <c r="K126" s="100" t="s">
        <v>331</v>
      </c>
      <c r="L126" s="100" t="s">
        <v>332</v>
      </c>
      <c r="M126" s="100" t="s">
        <v>333</v>
      </c>
      <c r="N126" s="100" t="s">
        <v>334</v>
      </c>
    </row>
    <row r="127" spans="4:15" ht="20.100000000000001" customHeight="1" x14ac:dyDescent="0.2">
      <c r="D127" s="1" t="s">
        <v>335</v>
      </c>
      <c r="E127" s="15" t="e">
        <f>InputFunctions_PastureBeef.LookupValueFromStateRegionSeason($E$7,X_Cell_PastureBeef_ProductionRegion,$D127, Table_SourceData_PastureBeef_CrudeProtein[State],Table_SourceData_PastureBeef_CrudeProtein[Region],Table_SourceData_PastureBeef_CrudeProtein[#Headers],Table_SourceData_PastureBeef_CrudeProtein[#Data],Table_AustralianStates[Common Name],Table_AustralianStates[Abbreviation])</f>
        <v>#N/A</v>
      </c>
      <c r="F127" s="15" t="e">
        <f>InputFunctions_PastureBeef.LookupValueFromStateRegionSeason($E$7,X_Cell_PastureBeef_ProductionRegion,$D127, Table_SourceData_PastureBeef_CrudeProtein[State],Table_SourceData_PastureBeef_CrudeProtein[Region],Table_SourceData_PastureBeef_CrudeProtein[#Headers],Table_SourceData_PastureBeef_CrudeProtein[#Data],Table_AustralianStates[Common Name],Table_AustralianStates[Abbreviation])</f>
        <v>#N/A</v>
      </c>
      <c r="G127" s="15" t="e">
        <f>InputFunctions_PastureBeef.LookupValueFromStateRegionSeason($E$7,X_Cell_PastureBeef_ProductionRegion,$D127, Table_SourceData_PastureBeef_CrudeProtein[State],Table_SourceData_PastureBeef_CrudeProtein[Region],Table_SourceData_PastureBeef_CrudeProtein[#Headers],Table_SourceData_PastureBeef_CrudeProtein[#Data],Table_AustralianStates[Common Name],Table_AustralianStates[Abbreviation])</f>
        <v>#N/A</v>
      </c>
      <c r="H127" s="15" t="e">
        <f>InputFunctions_PastureBeef.LookupValueFromStateRegionSeason($E$7,X_Cell_PastureBeef_ProductionRegion,$D127, Table_SourceData_PastureBeef_CrudeProtein[State],Table_SourceData_PastureBeef_CrudeProtein[Region],Table_SourceData_PastureBeef_CrudeProtein[#Headers],Table_SourceData_PastureBeef_CrudeProtein[#Data],Table_AustralianStates[Common Name],Table_AustralianStates[Abbreviation])</f>
        <v>#N/A</v>
      </c>
      <c r="I127" s="15" t="e">
        <f>InputFunctions_PastureBeef.LookupValueFromStateRegionSeason($E$7,X_Cell_PastureBeef_ProductionRegion,$D127, Table_SourceData_PastureBeef_CrudeProtein[State],Table_SourceData_PastureBeef_CrudeProtein[Region],Table_SourceData_PastureBeef_CrudeProtein[#Headers],Table_SourceData_PastureBeef_CrudeProtein[#Data],Table_AustralianStates[Common Name],Table_AustralianStates[Abbreviation])</f>
        <v>#N/A</v>
      </c>
      <c r="J127" s="15" t="e">
        <f>InputFunctions_PastureBeef.LookupValueFromStateRegionSeason($E$7,X_Cell_PastureBeef_ProductionRegion,$D127, Table_SourceData_PastureBeef_CrudeProtein[State],Table_SourceData_PastureBeef_CrudeProtein[Region],Table_SourceData_PastureBeef_CrudeProtein[#Headers],Table_SourceData_PastureBeef_CrudeProtein[#Data],Table_AustralianStates[Common Name],Table_AustralianStates[Abbreviation])</f>
        <v>#N/A</v>
      </c>
      <c r="K127" s="15" t="e">
        <f>InputFunctions_PastureBeef.LookupValueFromStateRegionSeason($E$7,X_Cell_PastureBeef_ProductionRegion,$D127, Table_SourceData_PastureBeef_CrudeProtein[State],Table_SourceData_PastureBeef_CrudeProtein[Region],Table_SourceData_PastureBeef_CrudeProtein[#Headers],Table_SourceData_PastureBeef_CrudeProtein[#Data],Table_AustralianStates[Common Name],Table_AustralianStates[Abbreviation])</f>
        <v>#N/A</v>
      </c>
      <c r="L127" s="15" t="e">
        <f>InputFunctions_PastureBeef.LookupValueFromStateRegionSeason($E$7,X_Cell_PastureBeef_ProductionRegion,$D127, Table_SourceData_PastureBeef_CrudeProtein[State],Table_SourceData_PastureBeef_CrudeProtein[Region],Table_SourceData_PastureBeef_CrudeProtein[#Headers],Table_SourceData_PastureBeef_CrudeProtein[#Data],Table_AustralianStates[Common Name],Table_AustralianStates[Abbreviation])</f>
        <v>#N/A</v>
      </c>
      <c r="M127" s="15" t="e">
        <f>InputFunctions_PastureBeef.LookupValueFromStateRegionSeason($E$7,X_Cell_PastureBeef_ProductionRegion,$D127, Table_SourceData_PastureBeef_CrudeProtein[State],Table_SourceData_PastureBeef_CrudeProtein[Region],Table_SourceData_PastureBeef_CrudeProtein[#Headers],Table_SourceData_PastureBeef_CrudeProtein[#Data],Table_AustralianStates[Common Name],Table_AustralianStates[Abbreviation])</f>
        <v>#N/A</v>
      </c>
      <c r="N127" s="15" t="e">
        <f>InputFunctions_PastureBeef.LookupValueFromStateRegionSeason($E$7,X_Cell_PastureBeef_ProductionRegion,$D127, Table_SourceData_PastureBeef_CrudeProtein[State],Table_SourceData_PastureBeef_CrudeProtein[Region],Table_SourceData_PastureBeef_CrudeProtein[#Headers],Table_SourceData_PastureBeef_CrudeProtein[#Data],Table_AustralianStates[Common Name],Table_AustralianStates[Abbreviation])</f>
        <v>#N/A</v>
      </c>
      <c r="O127" s="16" t="s">
        <v>346</v>
      </c>
    </row>
    <row r="128" spans="4:15" ht="20.100000000000001" customHeight="1" x14ac:dyDescent="0.2">
      <c r="D128" s="1" t="s">
        <v>336</v>
      </c>
      <c r="E128" s="15" t="e">
        <f>InputFunctions_PastureBeef.LookupValueFromStateRegionSeason($E$7,X_Cell_PastureBeef_ProductionRegion,$D128, Table_SourceData_PastureBeef_CrudeProtein[State],Table_SourceData_PastureBeef_CrudeProtein[Region],Table_SourceData_PastureBeef_CrudeProtein[#Headers],Table_SourceData_PastureBeef_CrudeProtein[#Data],Table_AustralianStates[Common Name],Table_AustralianStates[Abbreviation])</f>
        <v>#N/A</v>
      </c>
      <c r="F128" s="15" t="e">
        <f>InputFunctions_PastureBeef.LookupValueFromStateRegionSeason($E$7,X_Cell_PastureBeef_ProductionRegion,$D128, Table_SourceData_PastureBeef_CrudeProtein[State],Table_SourceData_PastureBeef_CrudeProtein[Region],Table_SourceData_PastureBeef_CrudeProtein[#Headers],Table_SourceData_PastureBeef_CrudeProtein[#Data],Table_AustralianStates[Common Name],Table_AustralianStates[Abbreviation])</f>
        <v>#N/A</v>
      </c>
      <c r="G128" s="15" t="e">
        <f>InputFunctions_PastureBeef.LookupValueFromStateRegionSeason($E$7,X_Cell_PastureBeef_ProductionRegion,$D128, Table_SourceData_PastureBeef_CrudeProtein[State],Table_SourceData_PastureBeef_CrudeProtein[Region],Table_SourceData_PastureBeef_CrudeProtein[#Headers],Table_SourceData_PastureBeef_CrudeProtein[#Data],Table_AustralianStates[Common Name],Table_AustralianStates[Abbreviation])</f>
        <v>#N/A</v>
      </c>
      <c r="H128" s="15" t="e">
        <f>InputFunctions_PastureBeef.LookupValueFromStateRegionSeason($E$7,X_Cell_PastureBeef_ProductionRegion,$D128, Table_SourceData_PastureBeef_CrudeProtein[State],Table_SourceData_PastureBeef_CrudeProtein[Region],Table_SourceData_PastureBeef_CrudeProtein[#Headers],Table_SourceData_PastureBeef_CrudeProtein[#Data],Table_AustralianStates[Common Name],Table_AustralianStates[Abbreviation])</f>
        <v>#N/A</v>
      </c>
      <c r="I128" s="15" t="e">
        <f>InputFunctions_PastureBeef.LookupValueFromStateRegionSeason($E$7,X_Cell_PastureBeef_ProductionRegion,$D128, Table_SourceData_PastureBeef_CrudeProtein[State],Table_SourceData_PastureBeef_CrudeProtein[Region],Table_SourceData_PastureBeef_CrudeProtein[#Headers],Table_SourceData_PastureBeef_CrudeProtein[#Data],Table_AustralianStates[Common Name],Table_AustralianStates[Abbreviation])</f>
        <v>#N/A</v>
      </c>
      <c r="J128" s="15" t="e">
        <f>InputFunctions_PastureBeef.LookupValueFromStateRegionSeason($E$7,X_Cell_PastureBeef_ProductionRegion,$D128, Table_SourceData_PastureBeef_CrudeProtein[State],Table_SourceData_PastureBeef_CrudeProtein[Region],Table_SourceData_PastureBeef_CrudeProtein[#Headers],Table_SourceData_PastureBeef_CrudeProtein[#Data],Table_AustralianStates[Common Name],Table_AustralianStates[Abbreviation])</f>
        <v>#N/A</v>
      </c>
      <c r="K128" s="15" t="e">
        <f>InputFunctions_PastureBeef.LookupValueFromStateRegionSeason($E$7,X_Cell_PastureBeef_ProductionRegion,$D128, Table_SourceData_PastureBeef_CrudeProtein[State],Table_SourceData_PastureBeef_CrudeProtein[Region],Table_SourceData_PastureBeef_CrudeProtein[#Headers],Table_SourceData_PastureBeef_CrudeProtein[#Data],Table_AustralianStates[Common Name],Table_AustralianStates[Abbreviation])</f>
        <v>#N/A</v>
      </c>
      <c r="L128" s="15" t="e">
        <f>InputFunctions_PastureBeef.LookupValueFromStateRegionSeason($E$7,X_Cell_PastureBeef_ProductionRegion,$D128, Table_SourceData_PastureBeef_CrudeProtein[State],Table_SourceData_PastureBeef_CrudeProtein[Region],Table_SourceData_PastureBeef_CrudeProtein[#Headers],Table_SourceData_PastureBeef_CrudeProtein[#Data],Table_AustralianStates[Common Name],Table_AustralianStates[Abbreviation])</f>
        <v>#N/A</v>
      </c>
      <c r="M128" s="15" t="e">
        <f>InputFunctions_PastureBeef.LookupValueFromStateRegionSeason($E$7,X_Cell_PastureBeef_ProductionRegion,$D128, Table_SourceData_PastureBeef_CrudeProtein[State],Table_SourceData_PastureBeef_CrudeProtein[Region],Table_SourceData_PastureBeef_CrudeProtein[#Headers],Table_SourceData_PastureBeef_CrudeProtein[#Data],Table_AustralianStates[Common Name],Table_AustralianStates[Abbreviation])</f>
        <v>#N/A</v>
      </c>
      <c r="N128" s="15" t="e">
        <f>InputFunctions_PastureBeef.LookupValueFromStateRegionSeason($E$7,X_Cell_PastureBeef_ProductionRegion,$D128, Table_SourceData_PastureBeef_CrudeProtein[State],Table_SourceData_PastureBeef_CrudeProtein[Region],Table_SourceData_PastureBeef_CrudeProtein[#Headers],Table_SourceData_PastureBeef_CrudeProtein[#Data],Table_AustralianStates[Common Name],Table_AustralianStates[Abbreviation])</f>
        <v>#N/A</v>
      </c>
      <c r="O128" s="16" t="s">
        <v>346</v>
      </c>
    </row>
    <row r="129" spans="4:15" ht="20.100000000000001" customHeight="1" x14ac:dyDescent="0.2">
      <c r="D129" s="1" t="s">
        <v>337</v>
      </c>
      <c r="E129" s="15" t="e">
        <f>InputFunctions_PastureBeef.LookupValueFromStateRegionSeason($E$7,X_Cell_PastureBeef_ProductionRegion,$D129, Table_SourceData_PastureBeef_CrudeProtein[State],Table_SourceData_PastureBeef_CrudeProtein[Region],Table_SourceData_PastureBeef_CrudeProtein[#Headers],Table_SourceData_PastureBeef_CrudeProtein[#Data],Table_AustralianStates[Common Name],Table_AustralianStates[Abbreviation])</f>
        <v>#N/A</v>
      </c>
      <c r="F129" s="15" t="e">
        <f>InputFunctions_PastureBeef.LookupValueFromStateRegionSeason($E$7,X_Cell_PastureBeef_ProductionRegion,$D129, Table_SourceData_PastureBeef_CrudeProtein[State],Table_SourceData_PastureBeef_CrudeProtein[Region],Table_SourceData_PastureBeef_CrudeProtein[#Headers],Table_SourceData_PastureBeef_CrudeProtein[#Data],Table_AustralianStates[Common Name],Table_AustralianStates[Abbreviation])</f>
        <v>#N/A</v>
      </c>
      <c r="G129" s="15" t="e">
        <f>InputFunctions_PastureBeef.LookupValueFromStateRegionSeason($E$7,X_Cell_PastureBeef_ProductionRegion,$D129, Table_SourceData_PastureBeef_CrudeProtein[State],Table_SourceData_PastureBeef_CrudeProtein[Region],Table_SourceData_PastureBeef_CrudeProtein[#Headers],Table_SourceData_PastureBeef_CrudeProtein[#Data],Table_AustralianStates[Common Name],Table_AustralianStates[Abbreviation])</f>
        <v>#N/A</v>
      </c>
      <c r="H129" s="15" t="e">
        <f>InputFunctions_PastureBeef.LookupValueFromStateRegionSeason($E$7,X_Cell_PastureBeef_ProductionRegion,$D129, Table_SourceData_PastureBeef_CrudeProtein[State],Table_SourceData_PastureBeef_CrudeProtein[Region],Table_SourceData_PastureBeef_CrudeProtein[#Headers],Table_SourceData_PastureBeef_CrudeProtein[#Data],Table_AustralianStates[Common Name],Table_AustralianStates[Abbreviation])</f>
        <v>#N/A</v>
      </c>
      <c r="I129" s="15" t="e">
        <f>InputFunctions_PastureBeef.LookupValueFromStateRegionSeason($E$7,X_Cell_PastureBeef_ProductionRegion,$D129, Table_SourceData_PastureBeef_CrudeProtein[State],Table_SourceData_PastureBeef_CrudeProtein[Region],Table_SourceData_PastureBeef_CrudeProtein[#Headers],Table_SourceData_PastureBeef_CrudeProtein[#Data],Table_AustralianStates[Common Name],Table_AustralianStates[Abbreviation])</f>
        <v>#N/A</v>
      </c>
      <c r="J129" s="15" t="e">
        <f>InputFunctions_PastureBeef.LookupValueFromStateRegionSeason($E$7,X_Cell_PastureBeef_ProductionRegion,$D129, Table_SourceData_PastureBeef_CrudeProtein[State],Table_SourceData_PastureBeef_CrudeProtein[Region],Table_SourceData_PastureBeef_CrudeProtein[#Headers],Table_SourceData_PastureBeef_CrudeProtein[#Data],Table_AustralianStates[Common Name],Table_AustralianStates[Abbreviation])</f>
        <v>#N/A</v>
      </c>
      <c r="K129" s="15" t="e">
        <f>InputFunctions_PastureBeef.LookupValueFromStateRegionSeason($E$7,X_Cell_PastureBeef_ProductionRegion,$D129, Table_SourceData_PastureBeef_CrudeProtein[State],Table_SourceData_PastureBeef_CrudeProtein[Region],Table_SourceData_PastureBeef_CrudeProtein[#Headers],Table_SourceData_PastureBeef_CrudeProtein[#Data],Table_AustralianStates[Common Name],Table_AustralianStates[Abbreviation])</f>
        <v>#N/A</v>
      </c>
      <c r="L129" s="15" t="e">
        <f>InputFunctions_PastureBeef.LookupValueFromStateRegionSeason($E$7,X_Cell_PastureBeef_ProductionRegion,$D129, Table_SourceData_PastureBeef_CrudeProtein[State],Table_SourceData_PastureBeef_CrudeProtein[Region],Table_SourceData_PastureBeef_CrudeProtein[#Headers],Table_SourceData_PastureBeef_CrudeProtein[#Data],Table_AustralianStates[Common Name],Table_AustralianStates[Abbreviation])</f>
        <v>#N/A</v>
      </c>
      <c r="M129" s="15" t="e">
        <f>InputFunctions_PastureBeef.LookupValueFromStateRegionSeason($E$7,X_Cell_PastureBeef_ProductionRegion,$D129, Table_SourceData_PastureBeef_CrudeProtein[State],Table_SourceData_PastureBeef_CrudeProtein[Region],Table_SourceData_PastureBeef_CrudeProtein[#Headers],Table_SourceData_PastureBeef_CrudeProtein[#Data],Table_AustralianStates[Common Name],Table_AustralianStates[Abbreviation])</f>
        <v>#N/A</v>
      </c>
      <c r="N129" s="15" t="e">
        <f>InputFunctions_PastureBeef.LookupValueFromStateRegionSeason($E$7,X_Cell_PastureBeef_ProductionRegion,$D129, Table_SourceData_PastureBeef_CrudeProtein[State],Table_SourceData_PastureBeef_CrudeProtein[Region],Table_SourceData_PastureBeef_CrudeProtein[#Headers],Table_SourceData_PastureBeef_CrudeProtein[#Data],Table_AustralianStates[Common Name],Table_AustralianStates[Abbreviation])</f>
        <v>#N/A</v>
      </c>
      <c r="O129" s="16" t="s">
        <v>346</v>
      </c>
    </row>
    <row r="130" spans="4:15" ht="20.100000000000001" customHeight="1" x14ac:dyDescent="0.2">
      <c r="D130" s="1" t="s">
        <v>338</v>
      </c>
      <c r="E130" s="15" t="e">
        <f>InputFunctions_PastureBeef.LookupValueFromStateRegionSeason($E$7,X_Cell_PastureBeef_ProductionRegion,$D130, Table_SourceData_PastureBeef_CrudeProtein[State],Table_SourceData_PastureBeef_CrudeProtein[Region],Table_SourceData_PastureBeef_CrudeProtein[#Headers],Table_SourceData_PastureBeef_CrudeProtein[#Data],Table_AustralianStates[Common Name],Table_AustralianStates[Abbreviation])</f>
        <v>#N/A</v>
      </c>
      <c r="F130" s="15" t="e">
        <f>InputFunctions_PastureBeef.LookupValueFromStateRegionSeason($E$7,X_Cell_PastureBeef_ProductionRegion,$D130, Table_SourceData_PastureBeef_CrudeProtein[State],Table_SourceData_PastureBeef_CrudeProtein[Region],Table_SourceData_PastureBeef_CrudeProtein[#Headers],Table_SourceData_PastureBeef_CrudeProtein[#Data],Table_AustralianStates[Common Name],Table_AustralianStates[Abbreviation])</f>
        <v>#N/A</v>
      </c>
      <c r="G130" s="15" t="e">
        <f>InputFunctions_PastureBeef.LookupValueFromStateRegionSeason($E$7,X_Cell_PastureBeef_ProductionRegion,$D130, Table_SourceData_PastureBeef_CrudeProtein[State],Table_SourceData_PastureBeef_CrudeProtein[Region],Table_SourceData_PastureBeef_CrudeProtein[#Headers],Table_SourceData_PastureBeef_CrudeProtein[#Data],Table_AustralianStates[Common Name],Table_AustralianStates[Abbreviation])</f>
        <v>#N/A</v>
      </c>
      <c r="H130" s="15" t="e">
        <f>InputFunctions_PastureBeef.LookupValueFromStateRegionSeason($E$7,X_Cell_PastureBeef_ProductionRegion,$D130, Table_SourceData_PastureBeef_CrudeProtein[State],Table_SourceData_PastureBeef_CrudeProtein[Region],Table_SourceData_PastureBeef_CrudeProtein[#Headers],Table_SourceData_PastureBeef_CrudeProtein[#Data],Table_AustralianStates[Common Name],Table_AustralianStates[Abbreviation])</f>
        <v>#N/A</v>
      </c>
      <c r="I130" s="15" t="e">
        <f>InputFunctions_PastureBeef.LookupValueFromStateRegionSeason($E$7,X_Cell_PastureBeef_ProductionRegion,$D130, Table_SourceData_PastureBeef_CrudeProtein[State],Table_SourceData_PastureBeef_CrudeProtein[Region],Table_SourceData_PastureBeef_CrudeProtein[#Headers],Table_SourceData_PastureBeef_CrudeProtein[#Data],Table_AustralianStates[Common Name],Table_AustralianStates[Abbreviation])</f>
        <v>#N/A</v>
      </c>
      <c r="J130" s="15" t="e">
        <f>InputFunctions_PastureBeef.LookupValueFromStateRegionSeason($E$7,X_Cell_PastureBeef_ProductionRegion,$D130, Table_SourceData_PastureBeef_CrudeProtein[State],Table_SourceData_PastureBeef_CrudeProtein[Region],Table_SourceData_PastureBeef_CrudeProtein[#Headers],Table_SourceData_PastureBeef_CrudeProtein[#Data],Table_AustralianStates[Common Name],Table_AustralianStates[Abbreviation])</f>
        <v>#N/A</v>
      </c>
      <c r="K130" s="15" t="e">
        <f>InputFunctions_PastureBeef.LookupValueFromStateRegionSeason($E$7,X_Cell_PastureBeef_ProductionRegion,$D130, Table_SourceData_PastureBeef_CrudeProtein[State],Table_SourceData_PastureBeef_CrudeProtein[Region],Table_SourceData_PastureBeef_CrudeProtein[#Headers],Table_SourceData_PastureBeef_CrudeProtein[#Data],Table_AustralianStates[Common Name],Table_AustralianStates[Abbreviation])</f>
        <v>#N/A</v>
      </c>
      <c r="L130" s="15" t="e">
        <f>InputFunctions_PastureBeef.LookupValueFromStateRegionSeason($E$7,X_Cell_PastureBeef_ProductionRegion,$D130, Table_SourceData_PastureBeef_CrudeProtein[State],Table_SourceData_PastureBeef_CrudeProtein[Region],Table_SourceData_PastureBeef_CrudeProtein[#Headers],Table_SourceData_PastureBeef_CrudeProtein[#Data],Table_AustralianStates[Common Name],Table_AustralianStates[Abbreviation])</f>
        <v>#N/A</v>
      </c>
      <c r="M130" s="15" t="e">
        <f>InputFunctions_PastureBeef.LookupValueFromStateRegionSeason($E$7,X_Cell_PastureBeef_ProductionRegion,$D130, Table_SourceData_PastureBeef_CrudeProtein[State],Table_SourceData_PastureBeef_CrudeProtein[Region],Table_SourceData_PastureBeef_CrudeProtein[#Headers],Table_SourceData_PastureBeef_CrudeProtein[#Data],Table_AustralianStates[Common Name],Table_AustralianStates[Abbreviation])</f>
        <v>#N/A</v>
      </c>
      <c r="N130" s="15" t="e">
        <f>InputFunctions_PastureBeef.LookupValueFromStateRegionSeason($E$7,X_Cell_PastureBeef_ProductionRegion,$D130, Table_SourceData_PastureBeef_CrudeProtein[State],Table_SourceData_PastureBeef_CrudeProtein[Region],Table_SourceData_PastureBeef_CrudeProtein[#Headers],Table_SourceData_PastureBeef_CrudeProtein[#Data],Table_AustralianStates[Common Name],Table_AustralianStates[Abbreviation])</f>
        <v>#N/A</v>
      </c>
      <c r="O130" s="16" t="s">
        <v>346</v>
      </c>
    </row>
    <row r="132" spans="4:15" ht="20.100000000000001" customHeight="1" x14ac:dyDescent="0.2">
      <c r="D132" s="100" t="s">
        <v>339</v>
      </c>
      <c r="E132" s="100" t="s">
        <v>326</v>
      </c>
      <c r="F132" s="100" t="s">
        <v>184</v>
      </c>
      <c r="G132" s="100" t="s">
        <v>327</v>
      </c>
      <c r="H132" s="100" t="s">
        <v>328</v>
      </c>
      <c r="I132" s="100" t="s">
        <v>329</v>
      </c>
      <c r="J132" s="100" t="s">
        <v>330</v>
      </c>
      <c r="K132" s="100" t="s">
        <v>331</v>
      </c>
      <c r="L132" s="100" t="s">
        <v>332</v>
      </c>
      <c r="M132" s="100" t="s">
        <v>333</v>
      </c>
      <c r="N132" s="100" t="s">
        <v>334</v>
      </c>
    </row>
    <row r="133" spans="4:15" ht="20.100000000000001" customHeight="1" x14ac:dyDescent="0.2">
      <c r="D133" s="1" t="str">
        <f>TEXT(X_Cell_Site_StartDate, "mmmm yyyy")</f>
        <v>January 1900</v>
      </c>
      <c r="E133" s="76" t="e">
        <f>InputFunctions_PastureBeef.LookupValueFromStateRegionMonth($E$7,X_Cell_PastureBeef_ProductionRegion,$D133,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#N/A</v>
      </c>
      <c r="F133" s="76" t="e">
        <f>InputFunctions_PastureBeef.LookupValueFromStateRegionMonth($E$7,X_Cell_PastureBeef_ProductionRegion,$D133,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#N/A</v>
      </c>
      <c r="G133" s="76" t="e">
        <f>InputFunctions_PastureBeef.LookupValueFromStateRegionMonth($E$7,X_Cell_PastureBeef_ProductionRegion,$D133,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#N/A</v>
      </c>
      <c r="H133" s="76" t="e">
        <f>InputFunctions_PastureBeef.LookupValueFromStateRegionMonth($E$7,X_Cell_PastureBeef_ProductionRegion,$D133,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#N/A</v>
      </c>
      <c r="I133" s="76" t="e">
        <f>InputFunctions_PastureBeef.LookupValueFromStateRegionMonth($E$7,X_Cell_PastureBeef_ProductionRegion,$D133,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#N/A</v>
      </c>
      <c r="J133" s="76" t="e">
        <f>InputFunctions_PastureBeef.LookupValueFromStateRegionMonth($E$7,X_Cell_PastureBeef_ProductionRegion,$D133,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#N/A</v>
      </c>
      <c r="K133" s="76" t="e">
        <f>InputFunctions_PastureBeef.LookupValueFromStateRegionMonth($E$7,X_Cell_PastureBeef_ProductionRegion,$D133,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#N/A</v>
      </c>
      <c r="L133" s="76" t="e">
        <f>InputFunctions_PastureBeef.LookupValueFromStateRegionMonth($E$7,X_Cell_PastureBeef_ProductionRegion,$D133,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#N/A</v>
      </c>
      <c r="M133" s="76" t="e">
        <f>InputFunctions_PastureBeef.LookupValueFromStateRegionMonth($E$7,X_Cell_PastureBeef_ProductionRegion,$D133,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#N/A</v>
      </c>
      <c r="N133" s="76" t="e">
        <f>InputFunctions_PastureBeef.LookupValueFromStateRegionMonth($E$7,X_Cell_PastureBeef_ProductionRegion,$D133,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#N/A</v>
      </c>
      <c r="O133" s="16" t="s">
        <v>346</v>
      </c>
    </row>
    <row r="134" spans="4:15" ht="20.100000000000001" customHeight="1" x14ac:dyDescent="0.2">
      <c r="D134" s="1" t="str">
        <f>TEXT(EDATE(X_Cell_Site_StartDate,1), "mmmm yyyy")</f>
        <v>January 1900</v>
      </c>
      <c r="E134" s="76" t="e">
        <f>InputFunctions_PastureBeef.LookupValueFromStateRegionMonth($E$7,X_Cell_PastureBeef_ProductionRegion,$D134,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#N/A</v>
      </c>
      <c r="F134" s="76" t="e">
        <f>InputFunctions_PastureBeef.LookupValueFromStateRegionMonth($E$7,X_Cell_PastureBeef_ProductionRegion,$D134,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#N/A</v>
      </c>
      <c r="G134" s="76" t="e">
        <f>InputFunctions_PastureBeef.LookupValueFromStateRegionMonth($E$7,X_Cell_PastureBeef_ProductionRegion,$D134,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#N/A</v>
      </c>
      <c r="H134" s="76" t="e">
        <f>InputFunctions_PastureBeef.LookupValueFromStateRegionMonth($E$7,X_Cell_PastureBeef_ProductionRegion,$D134,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#N/A</v>
      </c>
      <c r="I134" s="76" t="e">
        <f>InputFunctions_PastureBeef.LookupValueFromStateRegionMonth($E$7,X_Cell_PastureBeef_ProductionRegion,$D134,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#N/A</v>
      </c>
      <c r="J134" s="76" t="e">
        <f>InputFunctions_PastureBeef.LookupValueFromStateRegionMonth($E$7,X_Cell_PastureBeef_ProductionRegion,$D134,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#N/A</v>
      </c>
      <c r="K134" s="76" t="e">
        <f>InputFunctions_PastureBeef.LookupValueFromStateRegionMonth($E$7,X_Cell_PastureBeef_ProductionRegion,$D134,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#N/A</v>
      </c>
      <c r="L134" s="76" t="e">
        <f>InputFunctions_PastureBeef.LookupValueFromStateRegionMonth($E$7,X_Cell_PastureBeef_ProductionRegion,$D134,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#N/A</v>
      </c>
      <c r="M134" s="76" t="e">
        <f>InputFunctions_PastureBeef.LookupValueFromStateRegionMonth($E$7,X_Cell_PastureBeef_ProductionRegion,$D134,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#N/A</v>
      </c>
      <c r="N134" s="76" t="e">
        <f>InputFunctions_PastureBeef.LookupValueFromStateRegionMonth($E$7,X_Cell_PastureBeef_ProductionRegion,$D134,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#N/A</v>
      </c>
      <c r="O134" s="16" t="s">
        <v>346</v>
      </c>
    </row>
    <row r="135" spans="4:15" ht="20.100000000000001" customHeight="1" x14ac:dyDescent="0.2">
      <c r="D135" s="1" t="str">
        <f>TEXT(EDATE(X_Cell_Site_StartDate,2), "mmmm yyyy")</f>
        <v>February 1900</v>
      </c>
      <c r="E135" s="76" t="e">
        <f>InputFunctions_PastureBeef.LookupValueFromStateRegionMonth($E$7,X_Cell_PastureBeef_ProductionRegion,$D135,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#N/A</v>
      </c>
      <c r="F135" s="76" t="e">
        <f>InputFunctions_PastureBeef.LookupValueFromStateRegionMonth($E$7,X_Cell_PastureBeef_ProductionRegion,$D135,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#N/A</v>
      </c>
      <c r="G135" s="76" t="e">
        <f>InputFunctions_PastureBeef.LookupValueFromStateRegionMonth($E$7,X_Cell_PastureBeef_ProductionRegion,$D135,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#N/A</v>
      </c>
      <c r="H135" s="76" t="e">
        <f>InputFunctions_PastureBeef.LookupValueFromStateRegionMonth($E$7,X_Cell_PastureBeef_ProductionRegion,$D135,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#N/A</v>
      </c>
      <c r="I135" s="76" t="e">
        <f>InputFunctions_PastureBeef.LookupValueFromStateRegionMonth($E$7,X_Cell_PastureBeef_ProductionRegion,$D135,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#N/A</v>
      </c>
      <c r="J135" s="76" t="e">
        <f>InputFunctions_PastureBeef.LookupValueFromStateRegionMonth($E$7,X_Cell_PastureBeef_ProductionRegion,$D135,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#N/A</v>
      </c>
      <c r="K135" s="76" t="e">
        <f>InputFunctions_PastureBeef.LookupValueFromStateRegionMonth($E$7,X_Cell_PastureBeef_ProductionRegion,$D135,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#N/A</v>
      </c>
      <c r="L135" s="76" t="e">
        <f>InputFunctions_PastureBeef.LookupValueFromStateRegionMonth($E$7,X_Cell_PastureBeef_ProductionRegion,$D135,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#N/A</v>
      </c>
      <c r="M135" s="76" t="e">
        <f>InputFunctions_PastureBeef.LookupValueFromStateRegionMonth($E$7,X_Cell_PastureBeef_ProductionRegion,$D135,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#N/A</v>
      </c>
      <c r="N135" s="76" t="e">
        <f>InputFunctions_PastureBeef.LookupValueFromStateRegionMonth($E$7,X_Cell_PastureBeef_ProductionRegion,$D135,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#N/A</v>
      </c>
      <c r="O135" s="16" t="s">
        <v>346</v>
      </c>
    </row>
    <row r="136" spans="4:15" ht="20.100000000000001" customHeight="1" x14ac:dyDescent="0.2">
      <c r="D136" s="1" t="str">
        <f>TEXT(EDATE(X_Cell_Site_StartDate,3), "mmmm yyyy")</f>
        <v>March 1900</v>
      </c>
      <c r="E136" s="76" t="e">
        <f>InputFunctions_PastureBeef.LookupValueFromStateRegionMonth($E$7,X_Cell_PastureBeef_ProductionRegion,$D136,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#N/A</v>
      </c>
      <c r="F136" s="76" t="e">
        <f>InputFunctions_PastureBeef.LookupValueFromStateRegionMonth($E$7,X_Cell_PastureBeef_ProductionRegion,$D136,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#N/A</v>
      </c>
      <c r="G136" s="76" t="e">
        <f>InputFunctions_PastureBeef.LookupValueFromStateRegionMonth($E$7,X_Cell_PastureBeef_ProductionRegion,$D136,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#N/A</v>
      </c>
      <c r="H136" s="76" t="e">
        <f>InputFunctions_PastureBeef.LookupValueFromStateRegionMonth($E$7,X_Cell_PastureBeef_ProductionRegion,$D136,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#N/A</v>
      </c>
      <c r="I136" s="76" t="e">
        <f>InputFunctions_PastureBeef.LookupValueFromStateRegionMonth($E$7,X_Cell_PastureBeef_ProductionRegion,$D136,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#N/A</v>
      </c>
      <c r="J136" s="76" t="e">
        <f>InputFunctions_PastureBeef.LookupValueFromStateRegionMonth($E$7,X_Cell_PastureBeef_ProductionRegion,$D136,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#N/A</v>
      </c>
      <c r="K136" s="76" t="e">
        <f>InputFunctions_PastureBeef.LookupValueFromStateRegionMonth($E$7,X_Cell_PastureBeef_ProductionRegion,$D136,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#N/A</v>
      </c>
      <c r="L136" s="76" t="e">
        <f>InputFunctions_PastureBeef.LookupValueFromStateRegionMonth($E$7,X_Cell_PastureBeef_ProductionRegion,$D136,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#N/A</v>
      </c>
      <c r="M136" s="76" t="e">
        <f>InputFunctions_PastureBeef.LookupValueFromStateRegionMonth($E$7,X_Cell_PastureBeef_ProductionRegion,$D136,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#N/A</v>
      </c>
      <c r="N136" s="76" t="e">
        <f>InputFunctions_PastureBeef.LookupValueFromStateRegionMonth($E$7,X_Cell_PastureBeef_ProductionRegion,$D136,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#N/A</v>
      </c>
      <c r="O136" s="16" t="s">
        <v>346</v>
      </c>
    </row>
    <row r="137" spans="4:15" ht="20.100000000000001" customHeight="1" x14ac:dyDescent="0.2">
      <c r="D137" s="1" t="str">
        <f>TEXT(EDATE(X_Cell_Site_StartDate,4), "mmmm yyyy")</f>
        <v>April 1900</v>
      </c>
      <c r="E137" s="76" t="e">
        <f>InputFunctions_PastureBeef.LookupValueFromStateRegionMonth($E$7,X_Cell_PastureBeef_ProductionRegion,$D137,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#N/A</v>
      </c>
      <c r="F137" s="76" t="e">
        <f>InputFunctions_PastureBeef.LookupValueFromStateRegionMonth($E$7,X_Cell_PastureBeef_ProductionRegion,$D137,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#N/A</v>
      </c>
      <c r="G137" s="76" t="e">
        <f>InputFunctions_PastureBeef.LookupValueFromStateRegionMonth($E$7,X_Cell_PastureBeef_ProductionRegion,$D137,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#N/A</v>
      </c>
      <c r="H137" s="76" t="e">
        <f>InputFunctions_PastureBeef.LookupValueFromStateRegionMonth($E$7,X_Cell_PastureBeef_ProductionRegion,$D137,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#N/A</v>
      </c>
      <c r="I137" s="76" t="e">
        <f>InputFunctions_PastureBeef.LookupValueFromStateRegionMonth($E$7,X_Cell_PastureBeef_ProductionRegion,$D137,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#N/A</v>
      </c>
      <c r="J137" s="76" t="e">
        <f>InputFunctions_PastureBeef.LookupValueFromStateRegionMonth($E$7,X_Cell_PastureBeef_ProductionRegion,$D137,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#N/A</v>
      </c>
      <c r="K137" s="76" t="e">
        <f>InputFunctions_PastureBeef.LookupValueFromStateRegionMonth($E$7,X_Cell_PastureBeef_ProductionRegion,$D137,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#N/A</v>
      </c>
      <c r="L137" s="76" t="e">
        <f>InputFunctions_PastureBeef.LookupValueFromStateRegionMonth($E$7,X_Cell_PastureBeef_ProductionRegion,$D137,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#N/A</v>
      </c>
      <c r="M137" s="76" t="e">
        <f>InputFunctions_PastureBeef.LookupValueFromStateRegionMonth($E$7,X_Cell_PastureBeef_ProductionRegion,$D137,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#N/A</v>
      </c>
      <c r="N137" s="76" t="e">
        <f>InputFunctions_PastureBeef.LookupValueFromStateRegionMonth($E$7,X_Cell_PastureBeef_ProductionRegion,$D137,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#N/A</v>
      </c>
      <c r="O137" s="16" t="s">
        <v>346</v>
      </c>
    </row>
    <row r="138" spans="4:15" ht="20.100000000000001" customHeight="1" x14ac:dyDescent="0.2">
      <c r="D138" s="1" t="str">
        <f>TEXT(EDATE(X_Cell_Site_StartDate,5), "mmmm yyyy")</f>
        <v>May 1900</v>
      </c>
      <c r="E138" s="76" t="e">
        <f>InputFunctions_PastureBeef.LookupValueFromStateRegionMonth($E$7,X_Cell_PastureBeef_ProductionRegion,$D138,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#N/A</v>
      </c>
      <c r="F138" s="76" t="e">
        <f>InputFunctions_PastureBeef.LookupValueFromStateRegionMonth($E$7,X_Cell_PastureBeef_ProductionRegion,$D138,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#N/A</v>
      </c>
      <c r="G138" s="76" t="e">
        <f>InputFunctions_PastureBeef.LookupValueFromStateRegionMonth($E$7,X_Cell_PastureBeef_ProductionRegion,$D138,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#N/A</v>
      </c>
      <c r="H138" s="76" t="e">
        <f>InputFunctions_PastureBeef.LookupValueFromStateRegionMonth($E$7,X_Cell_PastureBeef_ProductionRegion,$D138,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#N/A</v>
      </c>
      <c r="I138" s="76" t="e">
        <f>InputFunctions_PastureBeef.LookupValueFromStateRegionMonth($E$7,X_Cell_PastureBeef_ProductionRegion,$D138,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#N/A</v>
      </c>
      <c r="J138" s="76" t="e">
        <f>InputFunctions_PastureBeef.LookupValueFromStateRegionMonth($E$7,X_Cell_PastureBeef_ProductionRegion,$D138,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#N/A</v>
      </c>
      <c r="K138" s="76" t="e">
        <f>InputFunctions_PastureBeef.LookupValueFromStateRegionMonth($E$7,X_Cell_PastureBeef_ProductionRegion,$D138,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#N/A</v>
      </c>
      <c r="L138" s="76" t="e">
        <f>InputFunctions_PastureBeef.LookupValueFromStateRegionMonth($E$7,X_Cell_PastureBeef_ProductionRegion,$D138,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#N/A</v>
      </c>
      <c r="M138" s="76" t="e">
        <f>InputFunctions_PastureBeef.LookupValueFromStateRegionMonth($E$7,X_Cell_PastureBeef_ProductionRegion,$D138,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#N/A</v>
      </c>
      <c r="N138" s="76" t="e">
        <f>InputFunctions_PastureBeef.LookupValueFromStateRegionMonth($E$7,X_Cell_PastureBeef_ProductionRegion,$D138,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#N/A</v>
      </c>
      <c r="O138" s="16" t="s">
        <v>346</v>
      </c>
    </row>
    <row r="139" spans="4:15" ht="20.100000000000001" customHeight="1" x14ac:dyDescent="0.2">
      <c r="D139" s="1" t="str">
        <f>TEXT(EDATE(X_Cell_Site_StartDate,6), "mmmm yyyy")</f>
        <v>June 1900</v>
      </c>
      <c r="E139" s="76" t="e">
        <f>InputFunctions_PastureBeef.LookupValueFromStateRegionMonth($E$7,X_Cell_PastureBeef_ProductionRegion,$D139,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#N/A</v>
      </c>
      <c r="F139" s="76" t="e">
        <f>InputFunctions_PastureBeef.LookupValueFromStateRegionMonth($E$7,X_Cell_PastureBeef_ProductionRegion,$D139,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#N/A</v>
      </c>
      <c r="G139" s="76" t="e">
        <f>InputFunctions_PastureBeef.LookupValueFromStateRegionMonth($E$7,X_Cell_PastureBeef_ProductionRegion,$D139,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#N/A</v>
      </c>
      <c r="H139" s="76" t="e">
        <f>InputFunctions_PastureBeef.LookupValueFromStateRegionMonth($E$7,X_Cell_PastureBeef_ProductionRegion,$D139,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#N/A</v>
      </c>
      <c r="I139" s="76" t="e">
        <f>InputFunctions_PastureBeef.LookupValueFromStateRegionMonth($E$7,X_Cell_PastureBeef_ProductionRegion,$D139,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#N/A</v>
      </c>
      <c r="J139" s="76" t="e">
        <f>InputFunctions_PastureBeef.LookupValueFromStateRegionMonth($E$7,X_Cell_PastureBeef_ProductionRegion,$D139,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#N/A</v>
      </c>
      <c r="K139" s="76" t="e">
        <f>InputFunctions_PastureBeef.LookupValueFromStateRegionMonth($E$7,X_Cell_PastureBeef_ProductionRegion,$D139,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#N/A</v>
      </c>
      <c r="L139" s="76" t="e">
        <f>InputFunctions_PastureBeef.LookupValueFromStateRegionMonth($E$7,X_Cell_PastureBeef_ProductionRegion,$D139,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#N/A</v>
      </c>
      <c r="M139" s="76" t="e">
        <f>InputFunctions_PastureBeef.LookupValueFromStateRegionMonth($E$7,X_Cell_PastureBeef_ProductionRegion,$D139,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#N/A</v>
      </c>
      <c r="N139" s="76" t="e">
        <f>InputFunctions_PastureBeef.LookupValueFromStateRegionMonth($E$7,X_Cell_PastureBeef_ProductionRegion,$D139,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#N/A</v>
      </c>
      <c r="O139" s="16" t="s">
        <v>346</v>
      </c>
    </row>
    <row r="140" spans="4:15" ht="20.100000000000001" customHeight="1" x14ac:dyDescent="0.2">
      <c r="D140" s="1" t="str">
        <f>TEXT(EDATE(X_Cell_Site_StartDate,7), "mmmm yyyy")</f>
        <v>July 1900</v>
      </c>
      <c r="E140" s="76" t="e">
        <f>InputFunctions_PastureBeef.LookupValueFromStateRegionMonth($E$7,X_Cell_PastureBeef_ProductionRegion,$D140,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#N/A</v>
      </c>
      <c r="F140" s="76" t="e">
        <f>InputFunctions_PastureBeef.LookupValueFromStateRegionMonth($E$7,X_Cell_PastureBeef_ProductionRegion,$D140,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#N/A</v>
      </c>
      <c r="G140" s="76" t="e">
        <f>InputFunctions_PastureBeef.LookupValueFromStateRegionMonth($E$7,X_Cell_PastureBeef_ProductionRegion,$D140,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#N/A</v>
      </c>
      <c r="H140" s="76" t="e">
        <f>InputFunctions_PastureBeef.LookupValueFromStateRegionMonth($E$7,X_Cell_PastureBeef_ProductionRegion,$D140,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#N/A</v>
      </c>
      <c r="I140" s="76" t="e">
        <f>InputFunctions_PastureBeef.LookupValueFromStateRegionMonth($E$7,X_Cell_PastureBeef_ProductionRegion,$D140,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#N/A</v>
      </c>
      <c r="J140" s="76" t="e">
        <f>InputFunctions_PastureBeef.LookupValueFromStateRegionMonth($E$7,X_Cell_PastureBeef_ProductionRegion,$D140,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#N/A</v>
      </c>
      <c r="K140" s="76" t="e">
        <f>InputFunctions_PastureBeef.LookupValueFromStateRegionMonth($E$7,X_Cell_PastureBeef_ProductionRegion,$D140,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#N/A</v>
      </c>
      <c r="L140" s="76" t="e">
        <f>InputFunctions_PastureBeef.LookupValueFromStateRegionMonth($E$7,X_Cell_PastureBeef_ProductionRegion,$D140,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#N/A</v>
      </c>
      <c r="M140" s="76" t="e">
        <f>InputFunctions_PastureBeef.LookupValueFromStateRegionMonth($E$7,X_Cell_PastureBeef_ProductionRegion,$D140,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#N/A</v>
      </c>
      <c r="N140" s="76" t="e">
        <f>InputFunctions_PastureBeef.LookupValueFromStateRegionMonth($E$7,X_Cell_PastureBeef_ProductionRegion,$D140,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#N/A</v>
      </c>
      <c r="O140" s="16" t="s">
        <v>346</v>
      </c>
    </row>
    <row r="141" spans="4:15" ht="20.100000000000001" customHeight="1" x14ac:dyDescent="0.2">
      <c r="D141" s="1" t="str">
        <f>TEXT(EDATE(X_Cell_Site_StartDate,8), "mmmm yyyy")</f>
        <v>August 1900</v>
      </c>
      <c r="E141" s="76" t="e">
        <f>InputFunctions_PastureBeef.LookupValueFromStateRegionMonth($E$7,X_Cell_PastureBeef_ProductionRegion,$D141,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#N/A</v>
      </c>
      <c r="F141" s="76" t="e">
        <f>InputFunctions_PastureBeef.LookupValueFromStateRegionMonth($E$7,X_Cell_PastureBeef_ProductionRegion,$D141,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#N/A</v>
      </c>
      <c r="G141" s="76" t="e">
        <f>InputFunctions_PastureBeef.LookupValueFromStateRegionMonth($E$7,X_Cell_PastureBeef_ProductionRegion,$D141,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#N/A</v>
      </c>
      <c r="H141" s="76" t="e">
        <f>InputFunctions_PastureBeef.LookupValueFromStateRegionMonth($E$7,X_Cell_PastureBeef_ProductionRegion,$D141,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#N/A</v>
      </c>
      <c r="I141" s="76" t="e">
        <f>InputFunctions_PastureBeef.LookupValueFromStateRegionMonth($E$7,X_Cell_PastureBeef_ProductionRegion,$D141,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#N/A</v>
      </c>
      <c r="J141" s="76" t="e">
        <f>InputFunctions_PastureBeef.LookupValueFromStateRegionMonth($E$7,X_Cell_PastureBeef_ProductionRegion,$D141,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#N/A</v>
      </c>
      <c r="K141" s="76" t="e">
        <f>InputFunctions_PastureBeef.LookupValueFromStateRegionMonth($E$7,X_Cell_PastureBeef_ProductionRegion,$D141,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#N/A</v>
      </c>
      <c r="L141" s="76" t="e">
        <f>InputFunctions_PastureBeef.LookupValueFromStateRegionMonth($E$7,X_Cell_PastureBeef_ProductionRegion,$D141,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#N/A</v>
      </c>
      <c r="M141" s="76" t="e">
        <f>InputFunctions_PastureBeef.LookupValueFromStateRegionMonth($E$7,X_Cell_PastureBeef_ProductionRegion,$D141,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#N/A</v>
      </c>
      <c r="N141" s="76" t="e">
        <f>InputFunctions_PastureBeef.LookupValueFromStateRegionMonth($E$7,X_Cell_PastureBeef_ProductionRegion,$D141,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#N/A</v>
      </c>
      <c r="O141" s="16" t="s">
        <v>346</v>
      </c>
    </row>
    <row r="142" spans="4:15" ht="20.100000000000001" customHeight="1" x14ac:dyDescent="0.2">
      <c r="D142" s="1" t="str">
        <f>TEXT(EDATE(X_Cell_Site_StartDate,9), "mmmm yyyy")</f>
        <v>September 1900</v>
      </c>
      <c r="E142" s="76" t="e">
        <f>InputFunctions_PastureBeef.LookupValueFromStateRegionMonth($E$7,X_Cell_PastureBeef_ProductionRegion,$D142,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#N/A</v>
      </c>
      <c r="F142" s="76" t="e">
        <f>InputFunctions_PastureBeef.LookupValueFromStateRegionMonth($E$7,X_Cell_PastureBeef_ProductionRegion,$D142,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#N/A</v>
      </c>
      <c r="G142" s="76" t="e">
        <f>InputFunctions_PastureBeef.LookupValueFromStateRegionMonth($E$7,X_Cell_PastureBeef_ProductionRegion,$D142,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#N/A</v>
      </c>
      <c r="H142" s="76" t="e">
        <f>InputFunctions_PastureBeef.LookupValueFromStateRegionMonth($E$7,X_Cell_PastureBeef_ProductionRegion,$D142,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#N/A</v>
      </c>
      <c r="I142" s="76" t="e">
        <f>InputFunctions_PastureBeef.LookupValueFromStateRegionMonth($E$7,X_Cell_PastureBeef_ProductionRegion,$D142,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#N/A</v>
      </c>
      <c r="J142" s="76" t="e">
        <f>InputFunctions_PastureBeef.LookupValueFromStateRegionMonth($E$7,X_Cell_PastureBeef_ProductionRegion,$D142,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#N/A</v>
      </c>
      <c r="K142" s="76" t="e">
        <f>InputFunctions_PastureBeef.LookupValueFromStateRegionMonth($E$7,X_Cell_PastureBeef_ProductionRegion,$D142,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#N/A</v>
      </c>
      <c r="L142" s="76" t="e">
        <f>InputFunctions_PastureBeef.LookupValueFromStateRegionMonth($E$7,X_Cell_PastureBeef_ProductionRegion,$D142,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#N/A</v>
      </c>
      <c r="M142" s="76" t="e">
        <f>InputFunctions_PastureBeef.LookupValueFromStateRegionMonth($E$7,X_Cell_PastureBeef_ProductionRegion,$D142,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#N/A</v>
      </c>
      <c r="N142" s="76" t="e">
        <f>InputFunctions_PastureBeef.LookupValueFromStateRegionMonth($E$7,X_Cell_PastureBeef_ProductionRegion,$D142,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#N/A</v>
      </c>
      <c r="O142" s="16" t="s">
        <v>346</v>
      </c>
    </row>
    <row r="143" spans="4:15" ht="20.100000000000001" customHeight="1" x14ac:dyDescent="0.2">
      <c r="D143" s="1" t="str">
        <f>TEXT(EDATE(X_Cell_Site_StartDate,10), "mmmm yyyy")</f>
        <v>October 1900</v>
      </c>
      <c r="E143" s="76" t="e">
        <f>InputFunctions_PastureBeef.LookupValueFromStateRegionMonth($E$7,X_Cell_PastureBeef_ProductionRegion,$D143,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#N/A</v>
      </c>
      <c r="F143" s="76" t="e">
        <f>InputFunctions_PastureBeef.LookupValueFromStateRegionMonth($E$7,X_Cell_PastureBeef_ProductionRegion,$D143,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#N/A</v>
      </c>
      <c r="G143" s="76" t="e">
        <f>InputFunctions_PastureBeef.LookupValueFromStateRegionMonth($E$7,X_Cell_PastureBeef_ProductionRegion,$D143,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#N/A</v>
      </c>
      <c r="H143" s="76" t="e">
        <f>InputFunctions_PastureBeef.LookupValueFromStateRegionMonth($E$7,X_Cell_PastureBeef_ProductionRegion,$D143,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#N/A</v>
      </c>
      <c r="I143" s="76" t="e">
        <f>InputFunctions_PastureBeef.LookupValueFromStateRegionMonth($E$7,X_Cell_PastureBeef_ProductionRegion,$D143,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#N/A</v>
      </c>
      <c r="J143" s="76" t="e">
        <f>InputFunctions_PastureBeef.LookupValueFromStateRegionMonth($E$7,X_Cell_PastureBeef_ProductionRegion,$D143,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#N/A</v>
      </c>
      <c r="K143" s="76" t="e">
        <f>InputFunctions_PastureBeef.LookupValueFromStateRegionMonth($E$7,X_Cell_PastureBeef_ProductionRegion,$D143,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#N/A</v>
      </c>
      <c r="L143" s="76" t="e">
        <f>InputFunctions_PastureBeef.LookupValueFromStateRegionMonth($E$7,X_Cell_PastureBeef_ProductionRegion,$D143,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#N/A</v>
      </c>
      <c r="M143" s="76" t="e">
        <f>InputFunctions_PastureBeef.LookupValueFromStateRegionMonth($E$7,X_Cell_PastureBeef_ProductionRegion,$D143,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#N/A</v>
      </c>
      <c r="N143" s="76" t="e">
        <f>InputFunctions_PastureBeef.LookupValueFromStateRegionMonth($E$7,X_Cell_PastureBeef_ProductionRegion,$D143,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#N/A</v>
      </c>
      <c r="O143" s="16" t="s">
        <v>346</v>
      </c>
    </row>
    <row r="144" spans="4:15" ht="20.100000000000001" customHeight="1" x14ac:dyDescent="0.2">
      <c r="D144" s="1" t="str">
        <f>TEXT(EDATE(X_Cell_Site_StartDate,11), "mmmm yyyy")</f>
        <v>November 1900</v>
      </c>
      <c r="E144" s="76" t="e">
        <f>InputFunctions_PastureBeef.LookupValueFromStateRegionMonth($E$7,X_Cell_PastureBeef_ProductionRegion,$D144,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#N/A</v>
      </c>
      <c r="F144" s="76" t="e">
        <f>InputFunctions_PastureBeef.LookupValueFromStateRegionMonth($E$7,X_Cell_PastureBeef_ProductionRegion,$D144,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#N/A</v>
      </c>
      <c r="G144" s="76" t="e">
        <f>InputFunctions_PastureBeef.LookupValueFromStateRegionMonth($E$7,X_Cell_PastureBeef_ProductionRegion,$D144,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#N/A</v>
      </c>
      <c r="H144" s="76" t="e">
        <f>InputFunctions_PastureBeef.LookupValueFromStateRegionMonth($E$7,X_Cell_PastureBeef_ProductionRegion,$D144,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#N/A</v>
      </c>
      <c r="I144" s="76" t="e">
        <f>InputFunctions_PastureBeef.LookupValueFromStateRegionMonth($E$7,X_Cell_PastureBeef_ProductionRegion,$D144,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#N/A</v>
      </c>
      <c r="J144" s="76" t="e">
        <f>InputFunctions_PastureBeef.LookupValueFromStateRegionMonth($E$7,X_Cell_PastureBeef_ProductionRegion,$D144,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#N/A</v>
      </c>
      <c r="K144" s="76" t="e">
        <f>InputFunctions_PastureBeef.LookupValueFromStateRegionMonth($E$7,X_Cell_PastureBeef_ProductionRegion,$D144,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#N/A</v>
      </c>
      <c r="L144" s="76" t="e">
        <f>InputFunctions_PastureBeef.LookupValueFromStateRegionMonth($E$7,X_Cell_PastureBeef_ProductionRegion,$D144,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#N/A</v>
      </c>
      <c r="M144" s="76" t="e">
        <f>InputFunctions_PastureBeef.LookupValueFromStateRegionMonth($E$7,X_Cell_PastureBeef_ProductionRegion,$D144,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#N/A</v>
      </c>
      <c r="N144" s="76" t="e">
        <f>InputFunctions_PastureBeef.LookupValueFromStateRegionMonth($E$7,X_Cell_PastureBeef_ProductionRegion,$D144,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#N/A</v>
      </c>
      <c r="O144" s="16" t="s">
        <v>346</v>
      </c>
    </row>
    <row r="145" spans="4:15" ht="20.100000000000001" customHeight="1" x14ac:dyDescent="0.2">
      <c r="L145" s="16"/>
      <c r="M145" s="16"/>
      <c r="N145" s="16"/>
      <c r="O145" s="16"/>
    </row>
    <row r="146" spans="4:15" ht="20.100000000000001" customHeight="1" x14ac:dyDescent="0.2">
      <c r="L146" s="16"/>
      <c r="M146" s="16"/>
      <c r="N146" s="16"/>
      <c r="O146" s="16"/>
    </row>
    <row r="147" spans="4:15" ht="20.100000000000001" customHeight="1" x14ac:dyDescent="0.2">
      <c r="D147" s="79" t="s">
        <v>348</v>
      </c>
      <c r="L147" s="16"/>
      <c r="M147" s="16"/>
      <c r="N147" s="16"/>
      <c r="O147" s="16"/>
    </row>
    <row r="149" spans="4:15" ht="20.100000000000001" customHeight="1" x14ac:dyDescent="0.2">
      <c r="D149" s="1" t="s">
        <v>349</v>
      </c>
      <c r="E149" s="13"/>
      <c r="F149" s="16" t="s">
        <v>106</v>
      </c>
      <c r="L149" s="16"/>
      <c r="M149" s="16"/>
      <c r="N149" s="16"/>
      <c r="O149" s="16"/>
    </row>
    <row r="151" spans="4:15" ht="20.100000000000001" customHeight="1" x14ac:dyDescent="0.2">
      <c r="D151" s="100" t="s">
        <v>351</v>
      </c>
      <c r="E151" s="100" t="s">
        <v>352</v>
      </c>
      <c r="L151" s="16"/>
      <c r="M151" s="16"/>
      <c r="N151" s="16"/>
      <c r="O151" s="16"/>
    </row>
    <row r="152" spans="4:15" ht="20.100000000000001" customHeight="1" x14ac:dyDescent="0.2">
      <c r="D152" s="1" t="s">
        <v>91</v>
      </c>
      <c r="E152" s="101" t="e">
        <f>IF(X_Cell_PastureBeef_FencedWater="Yes", 1, Common_InputFunctions.Utility_LookupValueInTableTwoColumns(Common_InputFunctions.Utility_ConvertStateCommonNameToAbbreviation($E$7, Table_AustralianStates[Common Name],Table_AustralianStates[Abbreviation]),X_Cell_PastureBeef_ProductionRegion,Table_SourceData_PastureBeef_FractionManureToMMS[State],Table_SourceData_PastureBeef_FractionManureToMMS[Region],Table_SourceData_PastureBeef_FractionManureToMMS[Pasture range and paddock]))/100</f>
        <v>#VALUE!</v>
      </c>
      <c r="F152" s="16" t="s">
        <v>353</v>
      </c>
      <c r="L152" s="16"/>
      <c r="M152" s="16"/>
      <c r="N152" s="16"/>
      <c r="O152" s="16"/>
    </row>
    <row r="153" spans="4:15" ht="20.100000000000001" customHeight="1" x14ac:dyDescent="0.2">
      <c r="D153" s="1" t="s">
        <v>79</v>
      </c>
      <c r="E153" s="101" t="e">
        <f>IF(X_Cell_PastureBeef_FencedWater="Yes", 0, Common_InputFunctions.Utility_LookupValueInTableTwoColumns(Common_InputFunctions.Utility_ConvertStateCommonNameToAbbreviation($E$7, Table_AustralianStates[Common Name],Table_AustralianStates[Abbreviation]),X_Cell_PastureBeef_ProductionRegion,Table_SourceData_PastureBeef_FractionManureToMMS[State],Table_SourceData_PastureBeef_FractionManureToMMS[Region],Table_SourceData_PastureBeef_FractionManureToMMS[Uncovered Anaerobic lagoon]))/100</f>
        <v>#VALUE!</v>
      </c>
      <c r="F153" s="16" t="s">
        <v>353</v>
      </c>
      <c r="L153" s="16"/>
      <c r="M153" s="16"/>
      <c r="N153" s="16"/>
      <c r="O153" s="16"/>
    </row>
    <row r="154" spans="4:15" ht="20.100000000000001" customHeight="1" x14ac:dyDescent="0.2">
      <c r="L154" s="16"/>
      <c r="M154" s="16"/>
      <c r="N154" s="16"/>
      <c r="O154" s="16"/>
    </row>
    <row r="156" spans="4:15" ht="20.100000000000001" customHeight="1" x14ac:dyDescent="0.2">
      <c r="D156" s="1" t="s">
        <v>354</v>
      </c>
      <c r="E156" s="13"/>
      <c r="F156" s="16" t="s">
        <v>106</v>
      </c>
      <c r="L156" s="16"/>
      <c r="M156" s="16"/>
      <c r="N156" s="16"/>
      <c r="O156" s="16"/>
    </row>
    <row r="157" spans="4:15" ht="20.100000000000001" customHeight="1" x14ac:dyDescent="0.2">
      <c r="E157" s="13"/>
      <c r="F157" s="16" t="s">
        <v>106</v>
      </c>
    </row>
    <row r="160" spans="4:15" ht="20.100000000000001" customHeight="1" x14ac:dyDescent="0.2">
      <c r="D160" s="79" t="s">
        <v>356</v>
      </c>
      <c r="K160" s="16"/>
      <c r="L160" s="16"/>
      <c r="M160" s="16"/>
      <c r="N160" s="16"/>
      <c r="O160" s="16"/>
    </row>
    <row r="161" spans="4:15" ht="20.100000000000001" customHeight="1" x14ac:dyDescent="0.2">
      <c r="D161" s="100" t="s">
        <v>341</v>
      </c>
      <c r="E161" s="100"/>
      <c r="F161" s="100"/>
      <c r="G161" s="100"/>
    </row>
    <row r="162" spans="4:15" ht="20.100000000000001" customHeight="1" x14ac:dyDescent="0.2">
      <c r="D162" s="1" t="s">
        <v>357</v>
      </c>
      <c r="E162" s="13" t="s">
        <v>338</v>
      </c>
      <c r="F162" s="16" t="s">
        <v>106</v>
      </c>
    </row>
    <row r="165" spans="4:15" ht="20.100000000000001" customHeight="1" x14ac:dyDescent="0.2">
      <c r="K165" s="1" t="s">
        <v>358</v>
      </c>
    </row>
    <row r="167" spans="4:15" ht="20.100000000000001" customHeight="1" x14ac:dyDescent="0.2">
      <c r="E167" s="100" t="s">
        <v>359</v>
      </c>
      <c r="F167" s="100" t="s">
        <v>328</v>
      </c>
      <c r="G167" s="100" t="s">
        <v>329</v>
      </c>
      <c r="H167" s="100" t="s">
        <v>330</v>
      </c>
      <c r="L167" s="1" t="s">
        <v>327</v>
      </c>
      <c r="M167" s="1" t="s">
        <v>331</v>
      </c>
      <c r="N167" s="16"/>
      <c r="O167" s="16"/>
    </row>
    <row r="168" spans="4:15" ht="20.100000000000001" customHeight="1" x14ac:dyDescent="0.2">
      <c r="D168" s="1" t="str">
        <f>"Proportion of cows &gt; 1 years in calf in " &amp; E162</f>
        <v>Proportion of cows &gt; 1 years in calf in Winter</v>
      </c>
      <c r="E168" s="13" t="s">
        <v>360</v>
      </c>
      <c r="F168" s="18">
        <v>0.7</v>
      </c>
      <c r="G168" s="18">
        <v>0.5</v>
      </c>
      <c r="H168" s="18">
        <v>0.5</v>
      </c>
      <c r="I168" s="16" t="s">
        <v>353</v>
      </c>
      <c r="L168" s="15">
        <f>MAX(0, G42-G41)</f>
        <v>0</v>
      </c>
      <c r="M168" s="15">
        <f>MAX(0,K42-K41)</f>
        <v>0</v>
      </c>
      <c r="N168" s="16"/>
      <c r="O168" s="16"/>
    </row>
    <row r="169" spans="4:15" ht="20.100000000000001" customHeight="1" x14ac:dyDescent="0.2">
      <c r="D169" s="1" t="s">
        <v>335</v>
      </c>
      <c r="E169" s="13" t="s">
        <v>360</v>
      </c>
      <c r="F169" s="18">
        <v>0.1</v>
      </c>
      <c r="G169" s="18">
        <v>0.4</v>
      </c>
      <c r="H169" s="18">
        <v>0.4</v>
      </c>
      <c r="I169" s="16" t="s">
        <v>353</v>
      </c>
      <c r="L169" s="15">
        <f>MAX(0, G39-G42)</f>
        <v>0</v>
      </c>
      <c r="M169" s="15">
        <f>MAX(0,K39-K42)</f>
        <v>0</v>
      </c>
    </row>
    <row r="170" spans="4:15" ht="20.100000000000001" customHeight="1" x14ac:dyDescent="0.2">
      <c r="D170" s="1" t="s">
        <v>336</v>
      </c>
      <c r="E170" s="13" t="s">
        <v>360</v>
      </c>
      <c r="F170" s="18">
        <v>0.1</v>
      </c>
      <c r="G170" s="18">
        <v>0</v>
      </c>
      <c r="H170" s="18">
        <v>0</v>
      </c>
      <c r="I170" s="16" t="s">
        <v>353</v>
      </c>
      <c r="L170" s="15">
        <f>MAX(0, G40-G39)</f>
        <v>0</v>
      </c>
      <c r="M170" s="15">
        <f>MAX(0,K40-K39)</f>
        <v>0</v>
      </c>
    </row>
    <row r="171" spans="4:15" ht="20.100000000000001" customHeight="1" x14ac:dyDescent="0.2">
      <c r="D171" s="1" t="s">
        <v>337</v>
      </c>
      <c r="E171" s="13" t="s">
        <v>350</v>
      </c>
      <c r="F171" s="18">
        <v>0</v>
      </c>
      <c r="G171" s="18">
        <v>0</v>
      </c>
      <c r="H171" s="18">
        <v>0</v>
      </c>
      <c r="I171" s="16" t="s">
        <v>353</v>
      </c>
      <c r="L171" s="15">
        <f>MAX(0,G41-G40)</f>
        <v>0</v>
      </c>
      <c r="M171" s="15">
        <f>MAX(0,K41-K40)</f>
        <v>0</v>
      </c>
    </row>
    <row r="172" spans="4:15" ht="20.100000000000001" customHeight="1" x14ac:dyDescent="0.2">
      <c r="J172" s="1" t="s">
        <v>361</v>
      </c>
    </row>
    <row r="175" spans="4:15" ht="20.100000000000001" customHeight="1" x14ac:dyDescent="0.2">
      <c r="D175" s="100" t="s">
        <v>342</v>
      </c>
      <c r="E175" s="100"/>
      <c r="F175" s="100"/>
      <c r="G175" s="100"/>
      <c r="L175" s="102" t="s">
        <v>362</v>
      </c>
    </row>
    <row r="176" spans="4:15" ht="20.100000000000001" customHeight="1" x14ac:dyDescent="0.2">
      <c r="D176" s="1" t="s">
        <v>363</v>
      </c>
      <c r="E176" s="13" t="s">
        <v>364</v>
      </c>
      <c r="F176" s="16" t="s">
        <v>106</v>
      </c>
      <c r="J176" s="77" t="s">
        <v>326</v>
      </c>
    </row>
    <row r="177" spans="4:15" ht="20.100000000000001" customHeight="1" x14ac:dyDescent="0.2">
      <c r="D177" s="1" t="s">
        <v>365</v>
      </c>
      <c r="E177" s="15" t="str">
        <f>TEXT(EDATE(E176,1), "mmmm yyyy")</f>
        <v>September 2024</v>
      </c>
      <c r="J177" s="1" t="s">
        <v>340</v>
      </c>
      <c r="K177" s="1" t="s">
        <v>366</v>
      </c>
      <c r="L177" s="1" t="s">
        <v>361</v>
      </c>
      <c r="M177" s="1" t="s">
        <v>367</v>
      </c>
      <c r="N177" s="1" t="s">
        <v>368</v>
      </c>
      <c r="O177" s="1" t="s">
        <v>369</v>
      </c>
    </row>
    <row r="178" spans="4:15" ht="20.100000000000001" customHeight="1" x14ac:dyDescent="0.2">
      <c r="D178" s="1" t="s">
        <v>370</v>
      </c>
      <c r="E178" s="15" t="str">
        <f>TEXT(EDATE(E176,2), "mmmm yyyy")</f>
        <v>October 2024</v>
      </c>
      <c r="J178" s="15">
        <f>E39</f>
        <v>0</v>
      </c>
      <c r="K178" s="15">
        <f>MAX(0, E39-E42)</f>
        <v>0</v>
      </c>
      <c r="L178" s="1" t="e">
        <f>K178/J178</f>
        <v>#DIV/0!</v>
      </c>
      <c r="M178" s="1" t="e">
        <f>K181/J178</f>
        <v>#DIV/0!</v>
      </c>
      <c r="N178" s="16" t="e">
        <f>1-(L178+M178)</f>
        <v>#DIV/0!</v>
      </c>
      <c r="O178" s="77" t="e">
        <f>(L178*6)+(M178*4)+(N178*0)</f>
        <v>#DIV/0!</v>
      </c>
    </row>
    <row r="179" spans="4:15" ht="20.100000000000001" customHeight="1" x14ac:dyDescent="0.2">
      <c r="J179" s="15">
        <f>E40</f>
        <v>0</v>
      </c>
      <c r="K179" s="15">
        <f>MAX(0, E40-E39)</f>
        <v>0</v>
      </c>
      <c r="L179" s="1" t="e">
        <f>K179/J179</f>
        <v>#DIV/0!</v>
      </c>
      <c r="M179" s="1" t="e">
        <f>K178/J179</f>
        <v>#DIV/0!</v>
      </c>
      <c r="N179" s="16" t="e">
        <f>1-(L179+M179)</f>
        <v>#DIV/0!</v>
      </c>
      <c r="O179" s="77" t="e">
        <f t="shared" ref="O179:O181" si="3">(L179*6)+(M179*4)+(N179*0)</f>
        <v>#DIV/0!</v>
      </c>
    </row>
    <row r="180" spans="4:15" ht="20.100000000000001" customHeight="1" x14ac:dyDescent="0.2">
      <c r="J180" s="15">
        <f>E41</f>
        <v>0</v>
      </c>
      <c r="K180" s="15">
        <f>MAX(0,E41-E40)</f>
        <v>0</v>
      </c>
      <c r="L180" s="1" t="e">
        <f>K180/J180</f>
        <v>#DIV/0!</v>
      </c>
      <c r="M180" s="1" t="e">
        <f>K179/J180</f>
        <v>#DIV/0!</v>
      </c>
      <c r="N180" s="16" t="e">
        <f>1-(L180+M180)</f>
        <v>#DIV/0!</v>
      </c>
      <c r="O180" s="77" t="e">
        <f t="shared" si="3"/>
        <v>#DIV/0!</v>
      </c>
    </row>
    <row r="181" spans="4:15" ht="20.100000000000001" customHeight="1" x14ac:dyDescent="0.2">
      <c r="E181" s="100" t="s">
        <v>328</v>
      </c>
      <c r="F181" s="100" t="s">
        <v>329</v>
      </c>
      <c r="G181" s="100" t="s">
        <v>330</v>
      </c>
      <c r="J181" s="15">
        <f>E42</f>
        <v>0</v>
      </c>
      <c r="K181" s="15">
        <f>MAX(0, E42-E41)</f>
        <v>0</v>
      </c>
      <c r="L181" s="1" t="e">
        <f>K181/J181</f>
        <v>#DIV/0!</v>
      </c>
      <c r="M181" s="16" t="e">
        <f>K180/J181</f>
        <v>#DIV/0!</v>
      </c>
      <c r="N181" s="16" t="e">
        <f>1-(L181+M181)</f>
        <v>#DIV/0!</v>
      </c>
      <c r="O181" s="77" t="e">
        <f t="shared" si="3"/>
        <v>#DIV/0!</v>
      </c>
    </row>
    <row r="182" spans="4:15" ht="20.100000000000001" customHeight="1" x14ac:dyDescent="0.2">
      <c r="D182" s="1" t="str">
        <f>E176</f>
        <v>August 2024</v>
      </c>
      <c r="E182" s="18">
        <v>0.25</v>
      </c>
      <c r="F182" s="18">
        <v>0.25</v>
      </c>
      <c r="G182" s="18">
        <v>0.25</v>
      </c>
      <c r="H182" s="16" t="s">
        <v>353</v>
      </c>
      <c r="L182" s="16"/>
      <c r="M182" s="16"/>
      <c r="N182" s="16"/>
      <c r="O182" s="16"/>
    </row>
    <row r="183" spans="4:15" ht="20.100000000000001" customHeight="1" x14ac:dyDescent="0.2">
      <c r="D183" s="1" t="str">
        <f>E177</f>
        <v>September 2024</v>
      </c>
      <c r="E183" s="18">
        <v>0.25</v>
      </c>
      <c r="F183" s="18">
        <v>0.25</v>
      </c>
      <c r="G183" s="18">
        <v>0.25</v>
      </c>
      <c r="H183" s="16" t="s">
        <v>353</v>
      </c>
    </row>
    <row r="184" spans="4:15" ht="20.100000000000001" customHeight="1" x14ac:dyDescent="0.2">
      <c r="D184" s="1" t="str">
        <f>E178</f>
        <v>October 2024</v>
      </c>
      <c r="E184" s="18">
        <v>0.25</v>
      </c>
      <c r="F184" s="18">
        <v>0.25</v>
      </c>
      <c r="G184" s="18">
        <v>0.25</v>
      </c>
      <c r="H184" s="16" t="s">
        <v>353</v>
      </c>
    </row>
    <row r="185" spans="4:15" ht="20.100000000000001" customHeight="1" x14ac:dyDescent="0.2">
      <c r="D185" s="1" t="str">
        <f>"Proportion of cows &gt; 1 years in calf in " &amp; D182 &amp; " to " &amp; D184</f>
        <v>Proportion of cows &gt; 1 years in calf in August 2024 to October 2024</v>
      </c>
      <c r="E185" s="19">
        <f>SUM(E182:E184)</f>
        <v>0.75</v>
      </c>
      <c r="F185" s="19">
        <f>SUM(F182:F184)</f>
        <v>0.75</v>
      </c>
      <c r="G185" s="19">
        <f>SUM(G182:G184)</f>
        <v>0.75</v>
      </c>
      <c r="H185" s="16" t="s">
        <v>353</v>
      </c>
    </row>
    <row r="195" spans="11:27" ht="20.100000000000001" customHeight="1" x14ac:dyDescent="0.2">
      <c r="K195" s="16"/>
    </row>
    <row r="205" spans="11:27" ht="20.100000000000001" customHeight="1" x14ac:dyDescent="0.2">
      <c r="Z205" s="98"/>
    </row>
    <row r="206" spans="11:27" ht="20.100000000000001" customHeight="1" x14ac:dyDescent="0.2">
      <c r="Z206" s="98"/>
      <c r="AA206" s="98"/>
    </row>
    <row r="207" spans="11:27" ht="20.100000000000001" customHeight="1" x14ac:dyDescent="0.2">
      <c r="Z207" s="98"/>
      <c r="AA207" s="98"/>
    </row>
    <row r="208" spans="11:27" ht="20.100000000000001" customHeight="1" x14ac:dyDescent="0.2">
      <c r="Z208" s="98"/>
      <c r="AA208" s="98"/>
    </row>
    <row r="209" spans="26:27" ht="20.100000000000001" customHeight="1" x14ac:dyDescent="0.2">
      <c r="Z209" s="98"/>
      <c r="AA209" s="98"/>
    </row>
    <row r="210" spans="26:27" ht="20.100000000000001" customHeight="1" x14ac:dyDescent="0.2">
      <c r="Z210" s="98"/>
      <c r="AA210" s="98"/>
    </row>
    <row r="211" spans="26:27" ht="20.100000000000001" customHeight="1" x14ac:dyDescent="0.2">
      <c r="Z211" s="98"/>
      <c r="AA211" s="98"/>
    </row>
    <row r="212" spans="26:27" ht="20.100000000000001" customHeight="1" x14ac:dyDescent="0.2">
      <c r="Z212" s="98"/>
      <c r="AA212" s="98"/>
    </row>
    <row r="213" spans="26:27" ht="20.100000000000001" customHeight="1" x14ac:dyDescent="0.2">
      <c r="Z213" s="98"/>
      <c r="AA213" s="98"/>
    </row>
    <row r="214" spans="26:27" ht="20.100000000000001" customHeight="1" x14ac:dyDescent="0.2">
      <c r="Z214" s="98"/>
      <c r="AA214" s="98"/>
    </row>
    <row r="215" spans="26:27" ht="20.100000000000001" customHeight="1" x14ac:dyDescent="0.2">
      <c r="Z215" s="98"/>
      <c r="AA215" s="98"/>
    </row>
    <row r="216" spans="26:27" ht="20.100000000000001" customHeight="1" x14ac:dyDescent="0.2">
      <c r="Z216" s="98"/>
    </row>
    <row r="227" spans="11:15" ht="20.100000000000001" customHeight="1" x14ac:dyDescent="0.2">
      <c r="L227" s="16"/>
      <c r="M227" s="16"/>
      <c r="N227" s="16"/>
      <c r="O227" s="16"/>
    </row>
    <row r="228" spans="11:15" ht="20.100000000000001" customHeight="1" x14ac:dyDescent="0.2">
      <c r="K228" s="16"/>
      <c r="L228" s="16"/>
      <c r="M228" s="16"/>
      <c r="N228" s="16"/>
      <c r="O228" s="16"/>
    </row>
    <row r="229" spans="11:15" ht="20.100000000000001" customHeight="1" x14ac:dyDescent="0.2">
      <c r="L229" s="16"/>
      <c r="M229" s="16"/>
      <c r="N229" s="16"/>
      <c r="O229" s="16"/>
    </row>
    <row r="232" spans="11:15" ht="20.100000000000001" customHeight="1" x14ac:dyDescent="0.2">
      <c r="L232" s="16"/>
      <c r="M232" s="16"/>
      <c r="N232" s="16"/>
      <c r="O232" s="16"/>
    </row>
    <row r="233" spans="11:15" ht="20.100000000000001" customHeight="1" x14ac:dyDescent="0.2">
      <c r="K233" s="16"/>
      <c r="L233" s="16"/>
      <c r="M233" s="16"/>
      <c r="N233" s="16"/>
      <c r="O233" s="16"/>
    </row>
    <row r="234" spans="11:15" ht="20.100000000000001" customHeight="1" x14ac:dyDescent="0.2">
      <c r="L234" s="16"/>
      <c r="M234" s="16"/>
      <c r="N234" s="16"/>
      <c r="O234" s="16"/>
    </row>
    <row r="237" spans="11:15" ht="20.100000000000001" customHeight="1" x14ac:dyDescent="0.2">
      <c r="L237" s="16"/>
      <c r="M237" s="16"/>
      <c r="N237" s="16"/>
      <c r="O237" s="16"/>
    </row>
    <row r="238" spans="11:15" ht="20.100000000000001" customHeight="1" x14ac:dyDescent="0.2">
      <c r="K238" s="16"/>
      <c r="L238" s="16"/>
      <c r="M238" s="16"/>
      <c r="N238" s="16"/>
      <c r="O238" s="16"/>
    </row>
    <row r="239" spans="11:15" ht="20.100000000000001" customHeight="1" x14ac:dyDescent="0.2">
      <c r="K239" s="16"/>
      <c r="L239" s="16"/>
      <c r="M239" s="16"/>
      <c r="N239" s="16"/>
      <c r="O239" s="16"/>
    </row>
    <row r="240" spans="11:15" ht="20.100000000000001" customHeight="1" x14ac:dyDescent="0.2">
      <c r="K240" s="16"/>
    </row>
    <row r="241" spans="11:15" ht="20.100000000000001" customHeight="1" x14ac:dyDescent="0.2">
      <c r="K241" s="16"/>
    </row>
    <row r="242" spans="11:15" ht="20.100000000000001" customHeight="1" x14ac:dyDescent="0.2">
      <c r="K242" s="16"/>
      <c r="L242" s="16"/>
      <c r="M242" s="16"/>
      <c r="N242" s="16"/>
      <c r="O242" s="16"/>
    </row>
    <row r="243" spans="11:15" ht="20.100000000000001" customHeight="1" x14ac:dyDescent="0.2">
      <c r="L243" s="16"/>
      <c r="M243" s="16"/>
      <c r="N243" s="16"/>
      <c r="O243" s="16"/>
    </row>
    <row r="244" spans="11:15" ht="20.100000000000001" customHeight="1" x14ac:dyDescent="0.2">
      <c r="K244" s="16"/>
      <c r="L244" s="16"/>
      <c r="M244" s="16"/>
      <c r="N244" s="16"/>
      <c r="O244" s="16"/>
    </row>
    <row r="246" spans="11:15" ht="20.100000000000001" customHeight="1" x14ac:dyDescent="0.2">
      <c r="K246" s="16"/>
    </row>
    <row r="247" spans="11:15" ht="20.100000000000001" customHeight="1" x14ac:dyDescent="0.2">
      <c r="K247" s="16"/>
    </row>
    <row r="248" spans="11:15" ht="20.100000000000001" customHeight="1" x14ac:dyDescent="0.2">
      <c r="K248" s="16"/>
    </row>
    <row r="249" spans="11:15" ht="20.100000000000001" customHeight="1" x14ac:dyDescent="0.2">
      <c r="K249" s="16"/>
    </row>
    <row r="251" spans="11:15" ht="20.100000000000001" customHeight="1" x14ac:dyDescent="0.2">
      <c r="K251" s="16"/>
      <c r="L251" s="16"/>
      <c r="M251" s="16"/>
      <c r="N251" s="16"/>
      <c r="O251" s="16"/>
    </row>
    <row r="252" spans="11:15" ht="20.100000000000001" customHeight="1" x14ac:dyDescent="0.2">
      <c r="L252" s="16"/>
      <c r="M252" s="16"/>
      <c r="N252" s="16"/>
      <c r="O252" s="16"/>
    </row>
    <row r="253" spans="11:15" ht="20.100000000000001" customHeight="1" x14ac:dyDescent="0.2">
      <c r="L253" s="16"/>
      <c r="M253" s="16"/>
      <c r="N253" s="16"/>
      <c r="O253" s="16"/>
    </row>
    <row r="256" spans="11:15" ht="20.100000000000001" customHeight="1" x14ac:dyDescent="0.2">
      <c r="L256" s="16"/>
      <c r="M256" s="16"/>
      <c r="N256" s="16"/>
      <c r="O256" s="16"/>
    </row>
    <row r="257" spans="11:15" ht="20.100000000000001" customHeight="1" x14ac:dyDescent="0.2">
      <c r="K257" s="16"/>
      <c r="L257" s="16"/>
      <c r="M257" s="16"/>
      <c r="N257" s="16"/>
      <c r="O257" s="16"/>
    </row>
    <row r="258" spans="11:15" ht="20.100000000000001" customHeight="1" x14ac:dyDescent="0.2">
      <c r="L258" s="16"/>
      <c r="M258" s="16"/>
      <c r="N258" s="16"/>
      <c r="O258" s="16"/>
    </row>
    <row r="261" spans="11:15" ht="20.100000000000001" customHeight="1" x14ac:dyDescent="0.2">
      <c r="L261" s="16"/>
      <c r="M261" s="16"/>
      <c r="N261" s="16"/>
      <c r="O261" s="16"/>
    </row>
    <row r="262" spans="11:15" ht="20.100000000000001" customHeight="1" x14ac:dyDescent="0.2">
      <c r="K262" s="16"/>
      <c r="L262" s="16"/>
      <c r="M262" s="16"/>
      <c r="N262" s="16"/>
      <c r="O262" s="16"/>
    </row>
    <row r="263" spans="11:15" ht="20.100000000000001" customHeight="1" x14ac:dyDescent="0.2">
      <c r="L263" s="16"/>
      <c r="M263" s="16"/>
      <c r="N263" s="16"/>
      <c r="O263" s="16"/>
    </row>
    <row r="266" spans="11:15" ht="20.100000000000001" customHeight="1" x14ac:dyDescent="0.2">
      <c r="L266" s="16"/>
      <c r="M266" s="16"/>
      <c r="N266" s="16"/>
      <c r="O266" s="16"/>
    </row>
    <row r="267" spans="11:15" ht="20.100000000000001" customHeight="1" x14ac:dyDescent="0.2">
      <c r="K267" s="16"/>
      <c r="L267" s="16"/>
      <c r="M267" s="16"/>
      <c r="N267" s="16"/>
      <c r="O267" s="16"/>
    </row>
    <row r="268" spans="11:15" ht="20.100000000000001" customHeight="1" x14ac:dyDescent="0.2">
      <c r="L268" s="16"/>
      <c r="M268" s="16"/>
      <c r="N268" s="16"/>
      <c r="O268" s="16"/>
    </row>
    <row r="272" spans="11:15" ht="20.100000000000001" customHeight="1" x14ac:dyDescent="0.2">
      <c r="K272" s="16"/>
    </row>
    <row r="273" spans="11:11" ht="20.100000000000001" customHeight="1" x14ac:dyDescent="0.2">
      <c r="K273" s="16"/>
    </row>
    <row r="274" spans="11:11" ht="20.100000000000001" customHeight="1" x14ac:dyDescent="0.2">
      <c r="K274" s="16"/>
    </row>
    <row r="275" spans="11:11" ht="20.100000000000001" customHeight="1" x14ac:dyDescent="0.2">
      <c r="K275" s="16"/>
    </row>
    <row r="276" spans="11:11" ht="20.100000000000001" customHeight="1" x14ac:dyDescent="0.2">
      <c r="K276" s="16"/>
    </row>
    <row r="278" spans="11:11" ht="20.100000000000001" customHeight="1" x14ac:dyDescent="0.2">
      <c r="K278" s="16"/>
    </row>
    <row r="280" spans="11:11" ht="20.100000000000001" customHeight="1" x14ac:dyDescent="0.2">
      <c r="K280" s="16"/>
    </row>
    <row r="281" spans="11:11" ht="20.100000000000001" customHeight="1" x14ac:dyDescent="0.2">
      <c r="K281" s="16"/>
    </row>
    <row r="282" spans="11:11" ht="20.100000000000001" customHeight="1" x14ac:dyDescent="0.2">
      <c r="K282" s="16"/>
    </row>
    <row r="283" spans="11:11" ht="20.100000000000001" customHeight="1" x14ac:dyDescent="0.2">
      <c r="K283" s="16"/>
    </row>
    <row r="285" spans="11:11" ht="20.100000000000001" customHeight="1" x14ac:dyDescent="0.2">
      <c r="K285" s="16"/>
    </row>
    <row r="293" spans="11:11" ht="20.100000000000001" customHeight="1" x14ac:dyDescent="0.2">
      <c r="K293" s="16"/>
    </row>
    <row r="294" spans="11:11" ht="20.100000000000001" customHeight="1" x14ac:dyDescent="0.2">
      <c r="K294" s="16"/>
    </row>
    <row r="295" spans="11:11" ht="20.100000000000001" customHeight="1" x14ac:dyDescent="0.2">
      <c r="K295" s="16"/>
    </row>
    <row r="298" spans="11:11" ht="20.100000000000001" customHeight="1" x14ac:dyDescent="0.2">
      <c r="K298" s="16"/>
    </row>
    <row r="299" spans="11:11" ht="20.100000000000001" customHeight="1" x14ac:dyDescent="0.2">
      <c r="K299" s="16"/>
    </row>
    <row r="300" spans="11:11" ht="20.100000000000001" customHeight="1" x14ac:dyDescent="0.2">
      <c r="K300" s="16"/>
    </row>
    <row r="303" spans="11:11" ht="20.100000000000001" customHeight="1" x14ac:dyDescent="0.2">
      <c r="K303" s="16"/>
    </row>
    <row r="304" spans="11:11" ht="20.100000000000001" customHeight="1" x14ac:dyDescent="0.2">
      <c r="K304" s="16"/>
    </row>
    <row r="305" spans="11:11" ht="20.100000000000001" customHeight="1" x14ac:dyDescent="0.2">
      <c r="K305" s="16"/>
    </row>
    <row r="308" spans="11:11" ht="20.100000000000001" customHeight="1" x14ac:dyDescent="0.2">
      <c r="K308" s="16"/>
    </row>
    <row r="309" spans="11:11" ht="20.100000000000001" customHeight="1" x14ac:dyDescent="0.2">
      <c r="K309" s="16"/>
    </row>
    <row r="310" spans="11:11" ht="20.100000000000001" customHeight="1" x14ac:dyDescent="0.2">
      <c r="K310" s="16"/>
    </row>
    <row r="317" spans="11:11" ht="20.100000000000001" customHeight="1" x14ac:dyDescent="0.2">
      <c r="K317" s="16"/>
    </row>
    <row r="318" spans="11:11" ht="20.100000000000001" customHeight="1" x14ac:dyDescent="0.2">
      <c r="K318" s="16"/>
    </row>
    <row r="319" spans="11:11" ht="20.100000000000001" customHeight="1" x14ac:dyDescent="0.2">
      <c r="K319" s="16"/>
    </row>
    <row r="322" spans="4:11" ht="20.100000000000001" customHeight="1" x14ac:dyDescent="0.2">
      <c r="K322" s="16"/>
    </row>
    <row r="323" spans="4:11" ht="20.100000000000001" customHeight="1" x14ac:dyDescent="0.2">
      <c r="K323" s="16"/>
    </row>
    <row r="324" spans="4:11" ht="20.100000000000001" customHeight="1" x14ac:dyDescent="0.2">
      <c r="K324" s="16"/>
    </row>
    <row r="327" spans="4:11" ht="20.100000000000001" customHeight="1" x14ac:dyDescent="0.2">
      <c r="K327" s="16"/>
    </row>
    <row r="328" spans="4:11" ht="20.100000000000001" customHeight="1" x14ac:dyDescent="0.2">
      <c r="D328" s="80"/>
      <c r="K328" s="16"/>
    </row>
    <row r="329" spans="4:11" ht="20.100000000000001" customHeight="1" x14ac:dyDescent="0.2">
      <c r="K329" s="16"/>
    </row>
    <row r="332" spans="4:11" ht="20.100000000000001" customHeight="1" x14ac:dyDescent="0.2">
      <c r="K332" s="16"/>
    </row>
    <row r="333" spans="4:11" ht="20.100000000000001" customHeight="1" x14ac:dyDescent="0.2">
      <c r="K333" s="16"/>
    </row>
    <row r="334" spans="4:11" ht="20.100000000000001" customHeight="1" x14ac:dyDescent="0.2">
      <c r="K334" s="16"/>
    </row>
  </sheetData>
  <conditionalFormatting sqref="F189:F190">
    <cfRule type="cellIs" dxfId="92" priority="10" operator="lessThan">
      <formula>0</formula>
    </cfRule>
  </conditionalFormatting>
  <conditionalFormatting sqref="F194:F195">
    <cfRule type="cellIs" dxfId="91" priority="9" operator="lessThan">
      <formula>0</formula>
    </cfRule>
  </conditionalFormatting>
  <conditionalFormatting sqref="F227:F228">
    <cfRule type="cellIs" dxfId="90" priority="8" operator="lessThan">
      <formula>0</formula>
    </cfRule>
  </conditionalFormatting>
  <conditionalFormatting sqref="F251:F252">
    <cfRule type="cellIs" dxfId="89" priority="7" operator="lessThan">
      <formula>0</formula>
    </cfRule>
  </conditionalFormatting>
  <conditionalFormatting sqref="F256:F257">
    <cfRule type="cellIs" dxfId="88" priority="6" operator="lessThan">
      <formula>0</formula>
    </cfRule>
  </conditionalFormatting>
  <conditionalFormatting sqref="F261:F262">
    <cfRule type="cellIs" dxfId="87" priority="5" operator="lessThan">
      <formula>0</formula>
    </cfRule>
  </conditionalFormatting>
  <conditionalFormatting sqref="H181:K181">
    <cfRule type="cellIs" dxfId="86" priority="4" operator="lessThan">
      <formula>0</formula>
    </cfRule>
  </conditionalFormatting>
  <conditionalFormatting sqref="I103:O103 L145:O147 L149:O149 L151:O154 L156:O156 E160:O160 L167:O168 M181:N181 I182 L182:O182 J195:K195 J228:K228 J233:K233 J238:K242 J244:K244 J246:K249 J251:K251 J257:K257 J262:K262 J267:K267 J272:K276 J278:K278 J280:K283 J285:K285">
    <cfRule type="cellIs" dxfId="85" priority="11" operator="lessThan">
      <formula>0</formula>
    </cfRule>
  </conditionalFormatting>
  <conditionalFormatting sqref="I125:O125">
    <cfRule type="cellIs" dxfId="84" priority="3" operator="lessThan">
      <formula>0</formula>
    </cfRule>
  </conditionalFormatting>
  <conditionalFormatting sqref="K180:K181">
    <cfRule type="cellIs" dxfId="83" priority="2" operator="lessThan">
      <formula>0</formula>
    </cfRule>
  </conditionalFormatting>
  <conditionalFormatting sqref="N178:N180">
    <cfRule type="cellIs" dxfId="82" priority="1" operator="lessThan">
      <formula>0</formula>
    </cfRule>
  </conditionalFormatting>
  <conditionalFormatting sqref="P43:R43">
    <cfRule type="cellIs" dxfId="81" priority="12" operator="lessThan">
      <formula>0</formula>
    </cfRule>
  </conditionalFormatting>
  <dataValidations count="9">
    <dataValidation type="list" allowBlank="1" showInputMessage="1" showErrorMessage="1" sqref="E176" xr:uid="{8F627AC8-B629-4821-8870-F11F9FB7544A}">
      <formula1>$D$23:$D$34</formula1>
    </dataValidation>
    <dataValidation type="list" allowBlank="1" showInputMessage="1" showErrorMessage="1" sqref="E162" xr:uid="{50F5643C-3E41-4E4C-9A11-4F2153AEBE1A}">
      <formula1>"Spring, Summer, Autumn, Winter"</formula1>
    </dataValidation>
    <dataValidation type="list" allowBlank="1" showInputMessage="1" showErrorMessage="1" sqref="E156" xr:uid="{31FD6CBE-1CFC-461C-AE9F-C11AB9FB7BF0}">
      <formula1>INDIRECT("Table_SourceData_PastureBeef_CropProdSystems[Production system]")</formula1>
    </dataValidation>
    <dataValidation type="list" allowBlank="1" showInputMessage="1" showErrorMessage="1" sqref="E157" xr:uid="{078FCE9B-E29F-4537-8F77-C18133044BFB}">
      <formula1>INDIRECT("Table_SourceData_PastureBeef_IrrigationMethods[Irrigation method]")</formula1>
    </dataValidation>
    <dataValidation type="list" allowBlank="1" showInputMessage="1" showErrorMessage="1" sqref="E9" xr:uid="{EC40A001-EB64-4B06-8F16-43082D58A3A9}">
      <formula1>INDIRECT("Table_SourceData_PastureBeef_FeedIntakeAdjustment[Breed]")</formula1>
    </dataValidation>
    <dataValidation type="list" allowBlank="1" showInputMessage="1" showErrorMessage="1" sqref="E8" xr:uid="{7555EDA9-2C0B-4C9B-A8DB-FB72448DDC71}">
      <formula1>INDIRECT("Table_SourceData_PastureBeef_Region_" &amp; SUBSTITUTE($E$7, " ", "") &amp; "[Region]")</formula1>
    </dataValidation>
    <dataValidation type="list" allowBlank="1" showInputMessage="1" showErrorMessage="1" sqref="E15 E37 E59 E81" xr:uid="{ABBCEAD2-3825-4236-9FAB-F9615D683AE6}">
      <formula1>INDIRECT("Table_SourceData_Dairy_WjCowsHeifers[Breed]")</formula1>
    </dataValidation>
    <dataValidation type="list" allowBlank="1" showInputMessage="1" showErrorMessage="1" sqref="E188 E193 E226 E260 E255 E250 E149" xr:uid="{C70A4B53-8D6E-4531-849E-0EDD370AD6FF}">
      <formula1>"Yes, No"</formula1>
    </dataValidation>
    <dataValidation type="list" allowBlank="1" showInputMessage="1" showErrorMessage="1" sqref="D244" xr:uid="{47685CEB-49C7-4185-89EF-CF8A14644FD1}">
      <formula1>INDIRECT("Table_SourceData_PoultryMMSStage1[MMS]")</formula1>
    </dataValidation>
  </dataValidations>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2D25AD-9AE3-44A6-90A7-1DB424260FEF}">
  <sheetPr>
    <tabColor rgb="FFCC6600"/>
  </sheetPr>
  <dimension ref="A1:M60"/>
  <sheetViews>
    <sheetView showGridLines="0" zoomScaleNormal="100" workbookViewId="0">
      <pane xSplit="1" topLeftCell="B1" activePane="topRight" state="frozen"/>
      <selection pane="topRight" activeCell="A59" sqref="A59"/>
    </sheetView>
  </sheetViews>
  <sheetFormatPr defaultRowHeight="20.100000000000001" customHeight="1" x14ac:dyDescent="0.2"/>
  <cols>
    <col min="1" max="1" width="36.7109375" customWidth="1"/>
    <col min="2" max="2" width="4.7109375" customWidth="1"/>
    <col min="3" max="3" width="4.7109375" style="1" customWidth="1"/>
    <col min="4" max="12" width="30.7109375" style="1" customWidth="1"/>
    <col min="13" max="13" width="4.7109375" style="1" customWidth="1"/>
  </cols>
  <sheetData>
    <row r="1" spans="1:13" s="10" customFormat="1" ht="30" customHeight="1" x14ac:dyDescent="0.35">
      <c r="A1" s="10" t="e" vm="1">
        <v>#VALUE!</v>
      </c>
      <c r="C1" s="10" t="s">
        <v>176</v>
      </c>
    </row>
    <row r="2" spans="1:13" s="3" customFormat="1" ht="20.100000000000001" customHeight="1" x14ac:dyDescent="0.2">
      <c r="A2"/>
    </row>
    <row r="3" spans="1:13" ht="20.100000000000001" customHeight="1" x14ac:dyDescent="0.2">
      <c r="A3" s="5" t="str">
        <f>HYPERLINK("#'Home'!A1", "Home")</f>
        <v>Home</v>
      </c>
      <c r="C3" s="29"/>
      <c r="D3" s="29"/>
      <c r="E3" s="29"/>
      <c r="F3" s="29"/>
      <c r="G3" s="29"/>
      <c r="H3" s="29"/>
      <c r="I3" s="29"/>
      <c r="J3" s="29"/>
      <c r="K3" s="29"/>
      <c r="L3" s="29"/>
      <c r="M3" s="29"/>
    </row>
    <row r="4" spans="1:13" ht="20.100000000000001" customHeight="1" x14ac:dyDescent="0.2">
      <c r="A4" s="5" t="str">
        <f>HYPERLINK("#'Results - Activity period'!A1", "Results - Activity period")</f>
        <v>Results - Activity period</v>
      </c>
    </row>
    <row r="5" spans="1:13" ht="20.100000000000001" customHeight="1" x14ac:dyDescent="0.2">
      <c r="A5" s="5" t="str">
        <f>HYPERLINK("#'Results - Product EI'!A1", "Results - Product Emissions Intensity")</f>
        <v>Results - Product Emissions Intensity</v>
      </c>
      <c r="D5" s="80" t="s">
        <v>177</v>
      </c>
    </row>
    <row r="6" spans="1:13" ht="20.100000000000001" customHeight="1" x14ac:dyDescent="0.2">
      <c r="D6" s="20" t="s">
        <v>178</v>
      </c>
      <c r="E6" s="20" t="s">
        <v>179</v>
      </c>
      <c r="F6" s="20" t="s">
        <v>180</v>
      </c>
      <c r="G6" s="20" t="s">
        <v>181</v>
      </c>
      <c r="H6" s="20" t="s">
        <v>182</v>
      </c>
      <c r="I6" s="20" t="s">
        <v>183</v>
      </c>
    </row>
    <row r="7" spans="1:13" ht="20.100000000000001" customHeight="1" x14ac:dyDescent="0.2">
      <c r="D7" s="34"/>
      <c r="E7" s="13"/>
      <c r="F7" s="81"/>
      <c r="G7" s="20"/>
      <c r="H7" s="20"/>
      <c r="I7" s="15">
        <f t="shared" ref="I7:I16" si="0">G7*H7</f>
        <v>0</v>
      </c>
    </row>
    <row r="8" spans="1:13" ht="20.100000000000001" customHeight="1" x14ac:dyDescent="0.2">
      <c r="A8" s="7" t="s">
        <v>0</v>
      </c>
      <c r="D8" s="34"/>
      <c r="E8" s="13"/>
      <c r="F8" s="81"/>
      <c r="G8" s="20"/>
      <c r="H8" s="20"/>
      <c r="I8" s="15">
        <f t="shared" si="0"/>
        <v>0</v>
      </c>
    </row>
    <row r="9" spans="1:13" ht="20.100000000000001" customHeight="1" x14ac:dyDescent="0.2">
      <c r="A9" s="5" t="str">
        <f>HYPERLINK("#'Input - Enterprise'!A1", "Enterprise")</f>
        <v>Enterprise</v>
      </c>
      <c r="D9" s="34"/>
      <c r="E9" s="13"/>
      <c r="F9" s="81"/>
      <c r="G9" s="20"/>
      <c r="H9" s="20"/>
      <c r="I9" s="15">
        <f t="shared" si="0"/>
        <v>0</v>
      </c>
    </row>
    <row r="10" spans="1:13" ht="20.100000000000001" customHeight="1" x14ac:dyDescent="0.2">
      <c r="A10" s="5" t="str">
        <f>HYPERLINK("#'Input - Site'!A1", "Site")</f>
        <v>Site</v>
      </c>
      <c r="D10" s="34"/>
      <c r="E10" s="13"/>
      <c r="F10" s="81"/>
      <c r="G10" s="20"/>
      <c r="H10" s="20"/>
      <c r="I10" s="15">
        <f t="shared" si="0"/>
        <v>0</v>
      </c>
    </row>
    <row r="11" spans="1:13" ht="20.100000000000001" customHeight="1" x14ac:dyDescent="0.2">
      <c r="A11" s="5" t="str">
        <f>HYPERLINK("#'Input - Pasture Beef'!A1", "Pasture Beef")</f>
        <v>Pasture Beef</v>
      </c>
      <c r="D11" s="34"/>
      <c r="E11" s="13"/>
      <c r="F11" s="81"/>
      <c r="G11" s="20"/>
      <c r="H11" s="20"/>
      <c r="I11" s="15">
        <f t="shared" si="0"/>
        <v>0</v>
      </c>
    </row>
    <row r="12" spans="1:13" ht="20.100000000000001" customHeight="1" x14ac:dyDescent="0.2">
      <c r="A12" s="99" t="str">
        <f>HYPERLINK("#'Input - Livestock sales'!A1", "Livestock sales")</f>
        <v>Livestock sales</v>
      </c>
      <c r="D12" s="34"/>
      <c r="E12" s="13"/>
      <c r="F12" s="81"/>
      <c r="G12" s="20"/>
      <c r="H12" s="20"/>
      <c r="I12" s="15">
        <f t="shared" si="0"/>
        <v>0</v>
      </c>
    </row>
    <row r="13" spans="1:13" ht="20.100000000000001" customHeight="1" x14ac:dyDescent="0.2">
      <c r="A13" s="5" t="str">
        <f>HYPERLINK("#'Input - Beef cattle purchases'!A1", "Beef cattle purchases")</f>
        <v>Beef cattle purchases</v>
      </c>
      <c r="D13" s="34"/>
      <c r="E13" s="13"/>
      <c r="F13" s="81"/>
      <c r="G13" s="20"/>
      <c r="H13" s="20"/>
      <c r="I13" s="15">
        <f t="shared" si="0"/>
        <v>0</v>
      </c>
    </row>
    <row r="14" spans="1:13" ht="20.100000000000001" customHeight="1" x14ac:dyDescent="0.2">
      <c r="A14" s="5" t="str">
        <f>HYPERLINK("#'Input - Pasture'!A1", "Pasture")</f>
        <v>Pasture</v>
      </c>
      <c r="D14" s="34"/>
      <c r="E14" s="13"/>
      <c r="F14" s="81"/>
      <c r="G14" s="20"/>
      <c r="H14" s="20"/>
      <c r="I14" s="15">
        <f t="shared" si="0"/>
        <v>0</v>
      </c>
    </row>
    <row r="15" spans="1:13" ht="20.100000000000001" customHeight="1" x14ac:dyDescent="0.2">
      <c r="A15" s="5" t="str">
        <f>HYPERLINK("#'Input - Fert Prod System'!A1", "Fert Prod System")</f>
        <v>Fert Prod System</v>
      </c>
      <c r="D15" s="34"/>
      <c r="E15" s="13"/>
      <c r="F15" s="81"/>
      <c r="G15" s="20"/>
      <c r="H15" s="20"/>
      <c r="I15" s="15">
        <f t="shared" si="0"/>
        <v>0</v>
      </c>
    </row>
    <row r="16" spans="1:13" ht="20.100000000000001" customHeight="1" x14ac:dyDescent="0.2">
      <c r="A16" s="5" t="str">
        <f>HYPERLINK("#'Input - Fertiliser'!A1", "Fertiliser")</f>
        <v>Fertiliser</v>
      </c>
      <c r="D16" s="34"/>
      <c r="E16" s="13"/>
      <c r="F16" s="81"/>
      <c r="G16" s="20"/>
      <c r="H16" s="20"/>
      <c r="I16" s="15">
        <f t="shared" si="0"/>
        <v>0</v>
      </c>
    </row>
    <row r="17" spans="1:1" ht="20.100000000000001" customHeight="1" x14ac:dyDescent="0.2">
      <c r="A17" s="5" t="str">
        <f>HYPERLINK("#'Input - Fuel'!A1", "Fuel")</f>
        <v>Fuel</v>
      </c>
    </row>
    <row r="18" spans="1:1" ht="20.100000000000001" customHeight="1" x14ac:dyDescent="0.2">
      <c r="A18" s="5" t="str">
        <f>HYPERLINK("#'Input - Electricity'!A1", "Electricity")</f>
        <v>Electricity</v>
      </c>
    </row>
    <row r="19" spans="1:1" ht="20.100000000000001" customHeight="1" x14ac:dyDescent="0.2">
      <c r="A19" s="5" t="str">
        <f>HYPERLINK("#'Input - Common farm inputs'!A1", "Common farm inputs")</f>
        <v>Common farm inputs</v>
      </c>
    </row>
    <row r="20" spans="1:1" ht="20.100000000000001" customHeight="1" x14ac:dyDescent="0.2">
      <c r="A20" s="5" t="str">
        <f>HYPERLINK("#'Input - Crop pasture farm input'!A1", "Crop pasture farm input")</f>
        <v>Crop pasture farm input</v>
      </c>
    </row>
    <row r="21" spans="1:1" ht="20.100000000000001" customHeight="1" x14ac:dyDescent="0.2">
      <c r="A21" s="5" t="str">
        <f>HYPERLINK("#'Input - Livestock farm Inputs'!A1", "Livestock farm Inputs")</f>
        <v>Livestock farm Inputs</v>
      </c>
    </row>
    <row r="22" spans="1:1" ht="20.100000000000001" customHeight="1" x14ac:dyDescent="0.2">
      <c r="A22" s="5" t="str">
        <f>HYPERLINK("#'Input - Freight'!A1", "Freight")</f>
        <v>Freight</v>
      </c>
    </row>
    <row r="23" spans="1:1" ht="20.100000000000001" customHeight="1" x14ac:dyDescent="0.2">
      <c r="A23" s="5" t="str">
        <f>HYPERLINK("#'Input - Solid waste'!A1", "Solid waste")</f>
        <v>Solid waste</v>
      </c>
    </row>
    <row r="24" spans="1:1" ht="20.100000000000001" customHeight="1" x14ac:dyDescent="0.2">
      <c r="A24" s="5" t="str">
        <f>HYPERLINK("#'Input - Manure sent off-site'!A1", "Manure sent off-site")</f>
        <v>Manure sent off-site</v>
      </c>
    </row>
    <row r="25" spans="1:1" ht="20.100000000000001" customHeight="1" x14ac:dyDescent="0.2">
      <c r="A25" s="5" t="str">
        <f>HYPERLINK("#'Input - Data quality'!A1", "Data quality")</f>
        <v>Data quality</v>
      </c>
    </row>
    <row r="28" spans="1:1" ht="20.100000000000001" customHeight="1" x14ac:dyDescent="0.2">
      <c r="A28" s="6" t="s">
        <v>2</v>
      </c>
    </row>
    <row r="29" spans="1:1" ht="20.100000000000001" customHeight="1" x14ac:dyDescent="0.2">
      <c r="A29" s="5" t="str">
        <f>HYPERLINK("#'3.2.1.1-2 Enteric Methane'!A1", "3.2.1.1-2 Enteric Methane")</f>
        <v>3.2.1.1-2 Enteric Methane</v>
      </c>
    </row>
    <row r="30" spans="1:1" ht="20.100000000000001" customHeight="1" x14ac:dyDescent="0.2">
      <c r="A30" s="5" t="str">
        <f>HYPERLINK("#'4.2.1.1-2 Methane'!A1", "4.2.1.1-2 Manure methane")</f>
        <v>4.2.1.1-2 Manure methane</v>
      </c>
    </row>
    <row r="31" spans="1:1" ht="20.100000000000001" customHeight="1" x14ac:dyDescent="0.2">
      <c r="A31" s="5" t="str">
        <f>HYPERLINK("#'4.2.1.3-4 Soil direct N20'!A1", "4.2.1.3-4 Soil direct N2O")</f>
        <v>4.2.1.3-4 Soil direct N2O</v>
      </c>
    </row>
    <row r="32" spans="1:1" ht="20.100000000000001" customHeight="1" x14ac:dyDescent="0.2">
      <c r="A32" s="5" t="str">
        <f>HYPERLINK("#'4.2.1.5-6 Soil Atmos Dep'!A1", "4.2.1.5-6 Soil atm. deposition")</f>
        <v>4.2.1.5-6 Soil atm. deposition</v>
      </c>
    </row>
    <row r="33" spans="1:1" ht="20.100000000000001" customHeight="1" x14ac:dyDescent="0.2">
      <c r="A33" s="5" t="str">
        <f>HYPERLINK("#'4.2.1.7-8 Soil leach runoff'!A1", "4.2.1.7-8 Soil leach &amp; runoff")</f>
        <v>4.2.1.7-8 Soil leach &amp; runoff</v>
      </c>
    </row>
    <row r="34" spans="1:1" ht="20.100000000000001" customHeight="1" x14ac:dyDescent="0.2">
      <c r="A34" s="5" t="str">
        <f>HYPERLINK("#'5.1.1.1-2 Inorganic fert N2O'!A1", "5.1.1.1-2 Inorganic fert N2O")</f>
        <v>5.1.1.1-2 Inorganic fert N2O</v>
      </c>
    </row>
    <row r="35" spans="1:1" ht="20.100000000000001" customHeight="1" x14ac:dyDescent="0.2">
      <c r="A35" s="5" t="str">
        <f>HYPERLINK("#'5.1.1.3-4 Inorganic fert CO2'!A1", "5.1.1.3-4 Inorganic fert CO2")</f>
        <v>5.1.1.3-4 Inorganic fert CO2</v>
      </c>
    </row>
    <row r="36" spans="1:1" ht="20.100000000000001" customHeight="1" x14ac:dyDescent="0.2">
      <c r="A36" s="5" t="str">
        <f>HYPERLINK("#'5.2.1.1-2 Organic Fert N2O'!A1", "5.2.1.1-2 Organic fert N2O")</f>
        <v>5.2.1.1-2 Organic fert N2O</v>
      </c>
    </row>
    <row r="37" spans="1:1" ht="20.100000000000001" customHeight="1" x14ac:dyDescent="0.2">
      <c r="A37" s="5" t="str">
        <f>HYPERLINK("#'5.3.1.1-2 Lime CO2'!A1", "5.3.1.1-2 Lime CO2")</f>
        <v>5.3.1.1-2 Lime CO2</v>
      </c>
    </row>
    <row r="38" spans="1:1" ht="20.100000000000001" customHeight="1" x14ac:dyDescent="0.2">
      <c r="A38" s="5" t="str">
        <f>HYPERLINK("#'5.4.1.1-4 Atmos deposition'!A1", "5.4.1.1-4 Atmos. deposition")</f>
        <v>5.4.1.1-4 Atmos. deposition</v>
      </c>
    </row>
    <row r="39" spans="1:1" ht="20.100000000000001" customHeight="1" x14ac:dyDescent="0.2">
      <c r="A39" s="5" t="str">
        <f>HYPERLINK("#'5.5.1.1-2 Leaching and runoff'!A1", "5.5.1.1-2 Leaching &amp; runoff")</f>
        <v>5.5.1.1-2 Leaching &amp; runoff</v>
      </c>
    </row>
    <row r="40" spans="1:1" ht="20.100000000000001" customHeight="1" x14ac:dyDescent="0.2">
      <c r="A40" s="5" t="str">
        <f>HYPERLINK("#'6.2.1.1-2 Pasture residue N2O'!A1", "6.2.1.1-2 Pasture residue N2O")</f>
        <v>6.2.1.1-2 Pasture residue N2O</v>
      </c>
    </row>
    <row r="41" spans="1:1" ht="20.100000000000001" customHeight="1" x14ac:dyDescent="0.2">
      <c r="A41" s="5" t="str">
        <f>HYPERLINK("#'6.3.1.1-2 Leach runoff pasture'!A1", "6.3.1.1-2 Leach &amp; runoff (pasture)")</f>
        <v>6.3.1.1-2 Leach &amp; runoff (pasture)</v>
      </c>
    </row>
    <row r="42" spans="1:1" ht="20.100000000000001" customHeight="1" x14ac:dyDescent="0.2">
      <c r="A42" s="5" t="str">
        <f>HYPERLINK("#'8.1.1.1-2 Transport fuel'!A1", "8.1.1.1-2 Transport fuel")</f>
        <v>8.1.1.1-2 Transport fuel</v>
      </c>
    </row>
    <row r="43" spans="1:1" ht="20.100000000000001" customHeight="1" x14ac:dyDescent="0.2">
      <c r="A43" s="5" t="str">
        <f>HYPERLINK("#'8.2.1.1-2 Stationary fuel'!A1", "8.2.1.1-2 Stationary fuel")</f>
        <v>8.2.1.1-2 Stationary fuel</v>
      </c>
    </row>
    <row r="44" spans="1:1" ht="20.100000000000001" customHeight="1" x14ac:dyDescent="0.2">
      <c r="A44" s="5" t="str">
        <f>HYPERLINK("#'10.1.1-2 Solid waste treatment'!A1", "10.1.1.1-2 Solid waste")</f>
        <v>10.1.1.1-2 Solid waste</v>
      </c>
    </row>
    <row r="45" spans="1:1" ht="20.100000000000001" customHeight="1" x14ac:dyDescent="0.2">
      <c r="A45" s="5" t="str">
        <f>HYPERLINK("#'14.1.1-2 Purchased electricity'!A1", "14.1.1-2 Purchased electricity")</f>
        <v>14.1.1-2 Purchased electricity</v>
      </c>
    </row>
    <row r="46" spans="1:1" ht="20.100000000000001" customHeight="1" x14ac:dyDescent="0.2">
      <c r="A46" s="5" t="str">
        <f>HYPERLINK("#'15 Scope 3'!A1", "15 Scope 3")</f>
        <v>15 Scope 3</v>
      </c>
    </row>
    <row r="47" spans="1:1" ht="20.100000000000001" customHeight="1" x14ac:dyDescent="0.2">
      <c r="A47" s="5" t="str">
        <f>HYPERLINK("#'Calcs - Manure sent off-site'!A1", "Calcs - Manure sent off-site")</f>
        <v>Calcs - Manure sent off-site</v>
      </c>
    </row>
    <row r="50" spans="1:1" ht="20.100000000000001" customHeight="1" x14ac:dyDescent="0.2">
      <c r="A50" s="85" t="s">
        <v>1</v>
      </c>
    </row>
    <row r="51" spans="1:1" ht="20.100000000000001" customHeight="1" x14ac:dyDescent="0.2">
      <c r="A51" s="5" t="str">
        <f>HYPERLINK("#'Constants - Pasture Beef'!A1", "Constants - Pasture Beef")</f>
        <v>Constants - Pasture Beef</v>
      </c>
    </row>
    <row r="52" spans="1:1" ht="20.100000000000001" customHeight="1" x14ac:dyDescent="0.2">
      <c r="A52" s="5" t="str">
        <f>HYPERLINK("#'Constants - Ag Residue'!A1", "Constants - Ag residue")</f>
        <v>Constants - Ag residue</v>
      </c>
    </row>
    <row r="53" spans="1:1" ht="20.100000000000001" customHeight="1" x14ac:dyDescent="0.2">
      <c r="A53" s="5" t="str">
        <f>HYPERLINK("#'Constants - Common Livestock'!A1", "Constants - Common Livestock")</f>
        <v>Constants - Common Livestock</v>
      </c>
    </row>
    <row r="54" spans="1:1" ht="20.100000000000001" customHeight="1" x14ac:dyDescent="0.2">
      <c r="A54" s="5" t="str">
        <f>HYPERLINK("#'Constants - Electricity'!A1", "Constants - Electricity")</f>
        <v>Constants - Electricity</v>
      </c>
    </row>
    <row r="55" spans="1:1" ht="20.100000000000001" customHeight="1" x14ac:dyDescent="0.2">
      <c r="A55" s="5" t="str">
        <f>HYPERLINK("#'Constants - Fertiliser'!A1", "Constants - Fertiliser")</f>
        <v>Constants - Fertiliser</v>
      </c>
    </row>
    <row r="56" spans="1:1" ht="20.100000000000001" customHeight="1" x14ac:dyDescent="0.2">
      <c r="A56" s="5" t="str">
        <f>HYPERLINK("#'Constants - Fuel'!A1", "Constants - Fuel")</f>
        <v>Constants - Fuel</v>
      </c>
    </row>
    <row r="57" spans="1:1" ht="20.100000000000001" customHeight="1" x14ac:dyDescent="0.2">
      <c r="A57" s="5" t="str">
        <f>HYPERLINK("#'Constants - Scope 3'!A1", "Constants - Scope 3")</f>
        <v>Constants - Scope 3</v>
      </c>
    </row>
    <row r="58" spans="1:1" ht="20.100000000000001" customHeight="1" x14ac:dyDescent="0.2">
      <c r="A58" s="5" t="str">
        <f>HYPERLINK("#'Constants - Solid Waste'!A1", "Constants - Solid Waste")</f>
        <v>Constants - Solid Waste</v>
      </c>
    </row>
    <row r="59" spans="1:1" ht="20.100000000000001" customHeight="1" x14ac:dyDescent="0.2">
      <c r="A59" s="5" t="str">
        <f>HYPERLINK("#'Constants - Common'!A1", "Constants - Common")</f>
        <v>Constants - Common</v>
      </c>
    </row>
    <row r="60" spans="1:1" ht="20.100000000000001" customHeight="1" x14ac:dyDescent="0.2">
      <c r="A60" s="5" t="str">
        <f>HYPERLINK("#'Acknowledgements'!A1", "Acknowledgements")</f>
        <v>Acknowledgements</v>
      </c>
    </row>
  </sheetData>
  <dataValidations count="1">
    <dataValidation type="list" allowBlank="1" showInputMessage="1" showErrorMessage="1" sqref="E7:E16" xr:uid="{0E55E714-DF79-4C4F-9167-29562056E30A}">
      <formula1>INDIRECT("Table_LivestockClasses_Beefcattle[Livestock class]")</formula1>
    </dataValidation>
  </dataValidations>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379AED-80C7-4D28-BE38-6DE177E22D61}">
  <sheetPr>
    <tabColor theme="5" tint="-0.249977111117893"/>
  </sheetPr>
  <dimension ref="A1:L160"/>
  <sheetViews>
    <sheetView showGridLines="0" zoomScaleNormal="100" workbookViewId="0">
      <pane xSplit="1" topLeftCell="B1" activePane="topRight" state="frozen"/>
      <selection pane="topRight" activeCell="A59" sqref="A59"/>
    </sheetView>
  </sheetViews>
  <sheetFormatPr defaultRowHeight="20.100000000000001" customHeight="1" x14ac:dyDescent="0.2"/>
  <cols>
    <col min="1" max="1" width="36.7109375" style="239" customWidth="1"/>
    <col min="2" max="2" width="5.28515625" style="239" customWidth="1"/>
    <col min="3" max="3" width="5.28515625" style="1" customWidth="1"/>
    <col min="4" max="11" width="35" style="1" customWidth="1"/>
    <col min="12" max="12" width="5.28515625" style="1" customWidth="1"/>
    <col min="13" max="16" width="35" style="239" customWidth="1"/>
    <col min="17" max="16384" width="9.140625" style="239"/>
  </cols>
  <sheetData>
    <row r="1" spans="1:12" ht="30" customHeight="1" x14ac:dyDescent="0.35">
      <c r="A1" s="10" t="e" vm="1">
        <v>#VALUE!</v>
      </c>
      <c r="B1" s="98"/>
      <c r="C1" s="10" t="s">
        <v>987</v>
      </c>
      <c r="D1" s="10"/>
      <c r="E1" s="10"/>
      <c r="F1" s="10"/>
      <c r="G1" s="10"/>
      <c r="H1" s="10"/>
      <c r="I1" s="10"/>
      <c r="J1" s="10"/>
      <c r="K1" s="10"/>
      <c r="L1" s="10"/>
    </row>
    <row r="2" spans="1:12" ht="20.100000000000001" customHeight="1" x14ac:dyDescent="0.2">
      <c r="A2"/>
      <c r="C2" s="3"/>
      <c r="D2" s="3"/>
      <c r="E2" s="3"/>
      <c r="F2" s="3"/>
      <c r="G2" s="3"/>
      <c r="H2" s="3"/>
      <c r="I2" s="3"/>
      <c r="J2" s="3"/>
      <c r="K2" s="3"/>
      <c r="L2" s="3"/>
    </row>
    <row r="3" spans="1:12" ht="20.100000000000001" customHeight="1" x14ac:dyDescent="0.2">
      <c r="A3" s="5" t="str">
        <f>HYPERLINK("#'Home'!A1", "Home")</f>
        <v>Home</v>
      </c>
      <c r="C3" s="29"/>
      <c r="D3" s="29"/>
      <c r="E3" s="29"/>
      <c r="F3" s="29"/>
      <c r="G3" s="29"/>
      <c r="H3" s="29"/>
      <c r="I3" s="29"/>
      <c r="J3" s="29"/>
      <c r="K3" s="29"/>
      <c r="L3" s="29"/>
    </row>
    <row r="4" spans="1:12" ht="20.100000000000001" customHeight="1" x14ac:dyDescent="0.2">
      <c r="A4" s="5" t="str">
        <f>HYPERLINK("#'Results - Activity period'!A1", "Results - Activity period")</f>
        <v>Results - Activity period</v>
      </c>
    </row>
    <row r="5" spans="1:12" ht="20.100000000000001" customHeight="1" x14ac:dyDescent="0.2">
      <c r="A5" s="5" t="str">
        <f>HYPERLINK("#'Results - Product EI'!A1", "Results - Product Emissions Intensity")</f>
        <v>Results - Product Emissions Intensity</v>
      </c>
      <c r="D5" s="80" t="s">
        <v>988</v>
      </c>
      <c r="E5" s="240"/>
      <c r="F5" s="240"/>
      <c r="G5" s="240"/>
      <c r="H5" s="240"/>
      <c r="I5" s="240"/>
      <c r="J5" s="240"/>
    </row>
    <row r="6" spans="1:12" ht="20.100000000000001" customHeight="1" x14ac:dyDescent="0.2">
      <c r="A6"/>
      <c r="D6" s="20" t="s">
        <v>178</v>
      </c>
      <c r="E6" s="20" t="s">
        <v>989</v>
      </c>
      <c r="F6" s="20" t="s">
        <v>179</v>
      </c>
      <c r="G6" s="20" t="s">
        <v>990</v>
      </c>
      <c r="H6" s="20" t="s">
        <v>991</v>
      </c>
      <c r="I6" s="20" t="s">
        <v>992</v>
      </c>
      <c r="J6" s="241" t="s">
        <v>993</v>
      </c>
      <c r="K6" s="241" t="s">
        <v>994</v>
      </c>
    </row>
    <row r="7" spans="1:12" ht="20.100000000000001" customHeight="1" x14ac:dyDescent="0.2">
      <c r="A7"/>
      <c r="D7" s="34"/>
      <c r="E7" s="242"/>
      <c r="F7" s="13"/>
      <c r="G7" s="133"/>
      <c r="H7" s="13"/>
      <c r="I7" s="76"/>
      <c r="J7" s="15" cm="1">
        <f t="array" ref="J7">Scope3_InputFunctions.GetLiveweight_PastureBeef(Table_Input_LivestockPurchases_Beefcattle[[#This Row],[Purchase date]],Table_Input_LivestockPurchases_Beefcattle[[#This Row],[Class (select)]],Table_Input_LivestockPurchases_Beefcattle[[#This Row],[Source region (Select)]],Table_SourceData_PastureBeef_LiveweightAllStates[State],Table_SourceData_PastureBeef_LiveweightAllStates[Region],Table_SourceData_PastureBeef_LiveweightAllStates[Season],Table_SourceData_PastureBeef_LiveweightAllStates[#Headers],Table_SourceData_PastureBeef_LiveweightAllStates[#Data])</f>
        <v>0</v>
      </c>
      <c r="K7" s="76"/>
    </row>
    <row r="8" spans="1:12" ht="20.100000000000001" customHeight="1" x14ac:dyDescent="0.2">
      <c r="A8" s="7" t="s">
        <v>0</v>
      </c>
      <c r="D8" s="34"/>
      <c r="E8" s="242"/>
      <c r="F8" s="84"/>
      <c r="G8" s="133"/>
      <c r="H8" s="13"/>
      <c r="I8" s="76"/>
      <c r="J8" s="15" cm="1">
        <f t="array" ref="J8">Scope3_InputFunctions.GetLiveweight_PastureBeef(Table_Input_LivestockPurchases_Beefcattle[[#This Row],[Purchase date]],Table_Input_LivestockPurchases_Beefcattle[[#This Row],[Class (select)]],Table_Input_LivestockPurchases_Beefcattle[[#This Row],[Source region (Select)]],Table_SourceData_PastureBeef_LiveweightAllStates[State],Table_SourceData_PastureBeef_LiveweightAllStates[Region],Table_SourceData_PastureBeef_LiveweightAllStates[Season],Table_SourceData_PastureBeef_LiveweightAllStates[#Headers],Table_SourceData_PastureBeef_LiveweightAllStates[#Data])</f>
        <v>0</v>
      </c>
      <c r="K8" s="76"/>
    </row>
    <row r="9" spans="1:12" ht="20.100000000000001" customHeight="1" x14ac:dyDescent="0.2">
      <c r="A9" s="5" t="str">
        <f>HYPERLINK("#'Input - Enterprise'!A1", "Enterprise")</f>
        <v>Enterprise</v>
      </c>
      <c r="D9" s="34"/>
      <c r="E9" s="34"/>
      <c r="F9" s="84"/>
      <c r="G9" s="133"/>
      <c r="H9" s="13"/>
      <c r="I9" s="76"/>
      <c r="J9" s="15" cm="1">
        <f t="array" ref="J9">Scope3_InputFunctions.GetLiveweight_PastureBeef(Table_Input_LivestockPurchases_Beefcattle[[#This Row],[Purchase date]],Table_Input_LivestockPurchases_Beefcattle[[#This Row],[Class (select)]],Table_Input_LivestockPurchases_Beefcattle[[#This Row],[Source region (Select)]],Table_SourceData_PastureBeef_LiveweightAllStates[State],Table_SourceData_PastureBeef_LiveweightAllStates[Region],Table_SourceData_PastureBeef_LiveweightAllStates[Season],Table_SourceData_PastureBeef_LiveweightAllStates[#Headers],Table_SourceData_PastureBeef_LiveweightAllStates[#Data])</f>
        <v>0</v>
      </c>
      <c r="K9" s="76"/>
    </row>
    <row r="10" spans="1:12" ht="20.100000000000001" customHeight="1" x14ac:dyDescent="0.2">
      <c r="A10" s="5" t="str">
        <f>HYPERLINK("#'Input - Site'!A1", "Site")</f>
        <v>Site</v>
      </c>
      <c r="D10" s="34"/>
      <c r="E10" s="34"/>
      <c r="F10" s="84"/>
      <c r="G10" s="133"/>
      <c r="H10" s="13"/>
      <c r="I10" s="76"/>
      <c r="J10" s="15" cm="1">
        <f t="array" ref="J10">Scope3_InputFunctions.GetLiveweight_PastureBeef(Table_Input_LivestockPurchases_Beefcattle[[#This Row],[Purchase date]],Table_Input_LivestockPurchases_Beefcattle[[#This Row],[Class (select)]],Table_Input_LivestockPurchases_Beefcattle[[#This Row],[Source region (Select)]],Table_SourceData_PastureBeef_LiveweightAllStates[State],Table_SourceData_PastureBeef_LiveweightAllStates[Region],Table_SourceData_PastureBeef_LiveweightAllStates[Season],Table_SourceData_PastureBeef_LiveweightAllStates[#Headers],Table_SourceData_PastureBeef_LiveweightAllStates[#Data])</f>
        <v>0</v>
      </c>
      <c r="K10" s="76"/>
    </row>
    <row r="11" spans="1:12" ht="20.100000000000001" customHeight="1" x14ac:dyDescent="0.2">
      <c r="A11" s="5" t="str">
        <f>HYPERLINK("#'Input - Pasture Beef'!A1", "Pasture Beef")</f>
        <v>Pasture Beef</v>
      </c>
      <c r="D11" s="34"/>
      <c r="E11" s="34"/>
      <c r="F11" s="84"/>
      <c r="G11" s="133"/>
      <c r="H11" s="13"/>
      <c r="I11" s="76"/>
      <c r="J11" s="15" cm="1">
        <f t="array" ref="J11">Scope3_InputFunctions.GetLiveweight_PastureBeef(Table_Input_LivestockPurchases_Beefcattle[[#This Row],[Purchase date]],Table_Input_LivestockPurchases_Beefcattle[[#This Row],[Class (select)]],Table_Input_LivestockPurchases_Beefcattle[[#This Row],[Source region (Select)]],Table_SourceData_PastureBeef_LiveweightAllStates[State],Table_SourceData_PastureBeef_LiveweightAllStates[Region],Table_SourceData_PastureBeef_LiveweightAllStates[Season],Table_SourceData_PastureBeef_LiveweightAllStates[#Headers],Table_SourceData_PastureBeef_LiveweightAllStates[#Data])</f>
        <v>0</v>
      </c>
      <c r="K11" s="76"/>
    </row>
    <row r="12" spans="1:12" ht="20.100000000000001" customHeight="1" x14ac:dyDescent="0.2">
      <c r="A12" s="5" t="str">
        <f>HYPERLINK("#'Input - Livestock sales'!A1", "Livestock sales")</f>
        <v>Livestock sales</v>
      </c>
      <c r="D12" s="34"/>
      <c r="E12" s="34"/>
      <c r="F12" s="84"/>
      <c r="G12" s="133"/>
      <c r="H12" s="13"/>
      <c r="I12" s="76"/>
      <c r="J12" s="15" cm="1">
        <f t="array" ref="J12">Scope3_InputFunctions.GetLiveweight_PastureBeef(Table_Input_LivestockPurchases_Beefcattle[[#This Row],[Purchase date]],Table_Input_LivestockPurchases_Beefcattle[[#This Row],[Class (select)]],Table_Input_LivestockPurchases_Beefcattle[[#This Row],[Source region (Select)]],Table_SourceData_PastureBeef_LiveweightAllStates[State],Table_SourceData_PastureBeef_LiveweightAllStates[Region],Table_SourceData_PastureBeef_LiveweightAllStates[Season],Table_SourceData_PastureBeef_LiveweightAllStates[#Headers],Table_SourceData_PastureBeef_LiveweightAllStates[#Data])</f>
        <v>0</v>
      </c>
      <c r="K12" s="76"/>
    </row>
    <row r="13" spans="1:12" ht="20.100000000000001" customHeight="1" x14ac:dyDescent="0.2">
      <c r="A13" s="99" t="str">
        <f>HYPERLINK("#'Input - Beef cattle purchases'!A1", "Beef cattle purchases")</f>
        <v>Beef cattle purchases</v>
      </c>
      <c r="D13" s="34"/>
      <c r="E13" s="34"/>
      <c r="F13" s="84"/>
      <c r="G13" s="133"/>
      <c r="H13" s="13"/>
      <c r="I13" s="76"/>
      <c r="J13" s="15" cm="1">
        <f t="array" ref="J13">Scope3_InputFunctions.GetLiveweight_PastureBeef(Table_Input_LivestockPurchases_Beefcattle[[#This Row],[Purchase date]],Table_Input_LivestockPurchases_Beefcattle[[#This Row],[Class (select)]],Table_Input_LivestockPurchases_Beefcattle[[#This Row],[Source region (Select)]],Table_SourceData_PastureBeef_LiveweightAllStates[State],Table_SourceData_PastureBeef_LiveweightAllStates[Region],Table_SourceData_PastureBeef_LiveweightAllStates[Season],Table_SourceData_PastureBeef_LiveweightAllStates[#Headers],Table_SourceData_PastureBeef_LiveweightAllStates[#Data])</f>
        <v>0</v>
      </c>
      <c r="K13" s="76"/>
    </row>
    <row r="14" spans="1:12" ht="20.100000000000001" customHeight="1" x14ac:dyDescent="0.2">
      <c r="A14" s="5" t="str">
        <f>HYPERLINK("#'Input - Pasture'!A1", "Pasture")</f>
        <v>Pasture</v>
      </c>
      <c r="D14" s="34"/>
      <c r="E14" s="34"/>
      <c r="F14" s="84"/>
      <c r="G14" s="133"/>
      <c r="H14" s="13"/>
      <c r="I14" s="76"/>
      <c r="J14" s="15" cm="1">
        <f t="array" ref="J14">Scope3_InputFunctions.GetLiveweight_PastureBeef(Table_Input_LivestockPurchases_Beefcattle[[#This Row],[Purchase date]],Table_Input_LivestockPurchases_Beefcattle[[#This Row],[Class (select)]],Table_Input_LivestockPurchases_Beefcattle[[#This Row],[Source region (Select)]],Table_SourceData_PastureBeef_LiveweightAllStates[State],Table_SourceData_PastureBeef_LiveweightAllStates[Region],Table_SourceData_PastureBeef_LiveweightAllStates[Season],Table_SourceData_PastureBeef_LiveweightAllStates[#Headers],Table_SourceData_PastureBeef_LiveweightAllStates[#Data])</f>
        <v>0</v>
      </c>
      <c r="K14" s="76"/>
    </row>
    <row r="15" spans="1:12" ht="20.100000000000001" customHeight="1" x14ac:dyDescent="0.2">
      <c r="A15" s="5" t="str">
        <f>HYPERLINK("#'Input - Fert Prod System'!A1", "Fert Prod System")</f>
        <v>Fert Prod System</v>
      </c>
      <c r="D15" s="34"/>
      <c r="E15" s="34"/>
      <c r="F15" s="84"/>
      <c r="G15" s="133"/>
      <c r="H15" s="13"/>
      <c r="I15" s="76"/>
      <c r="J15" s="15" cm="1">
        <f t="array" ref="J15">Scope3_InputFunctions.GetLiveweight_PastureBeef(Table_Input_LivestockPurchases_Beefcattle[[#This Row],[Purchase date]],Table_Input_LivestockPurchases_Beefcattle[[#This Row],[Class (select)]],Table_Input_LivestockPurchases_Beefcattle[[#This Row],[Source region (Select)]],Table_SourceData_PastureBeef_LiveweightAllStates[State],Table_SourceData_PastureBeef_LiveweightAllStates[Region],Table_SourceData_PastureBeef_LiveweightAllStates[Season],Table_SourceData_PastureBeef_LiveweightAllStates[#Headers],Table_SourceData_PastureBeef_LiveweightAllStates[#Data])</f>
        <v>0</v>
      </c>
      <c r="K15" s="76"/>
    </row>
    <row r="16" spans="1:12" ht="20.100000000000001" customHeight="1" x14ac:dyDescent="0.2">
      <c r="A16" s="5" t="str">
        <f>HYPERLINK("#'Input - Fertiliser'!A1", "Fertiliser")</f>
        <v>Fertiliser</v>
      </c>
      <c r="D16" s="34"/>
      <c r="E16" s="34"/>
      <c r="F16" s="84"/>
      <c r="G16" s="133"/>
      <c r="H16" s="13"/>
      <c r="I16" s="76"/>
      <c r="J16" s="15" cm="1">
        <f t="array" ref="J16">Scope3_InputFunctions.GetLiveweight_PastureBeef(Table_Input_LivestockPurchases_Beefcattle[[#This Row],[Purchase date]],Table_Input_LivestockPurchases_Beefcattle[[#This Row],[Class (select)]],Table_Input_LivestockPurchases_Beefcattle[[#This Row],[Source region (Select)]],Table_SourceData_PastureBeef_LiveweightAllStates[State],Table_SourceData_PastureBeef_LiveweightAllStates[Region],Table_SourceData_PastureBeef_LiveweightAllStates[Season],Table_SourceData_PastureBeef_LiveweightAllStates[#Headers],Table_SourceData_PastureBeef_LiveweightAllStates[#Data])</f>
        <v>0</v>
      </c>
      <c r="K16" s="76"/>
    </row>
    <row r="17" spans="1:10" ht="20.100000000000001" customHeight="1" x14ac:dyDescent="0.2">
      <c r="A17" s="5" t="str">
        <f>HYPERLINK("#'Input - Fuel'!A1", "Fuel")</f>
        <v>Fuel</v>
      </c>
    </row>
    <row r="18" spans="1:10" ht="20.100000000000001" customHeight="1" x14ac:dyDescent="0.2">
      <c r="A18" s="5" t="str">
        <f>HYPERLINK("#'Input - Electricity'!A1", "Electricity")</f>
        <v>Electricity</v>
      </c>
      <c r="D18" s="240"/>
      <c r="E18" s="240"/>
      <c r="F18" s="240"/>
      <c r="G18" s="240"/>
      <c r="H18" s="240"/>
      <c r="I18" s="240"/>
      <c r="J18" s="240"/>
    </row>
    <row r="19" spans="1:10" ht="20.100000000000001" customHeight="1" x14ac:dyDescent="0.2">
      <c r="A19" s="5" t="str">
        <f>HYPERLINK("#'Input - Common farm inputs'!A1", "Common farm inputs")</f>
        <v>Common farm inputs</v>
      </c>
      <c r="J19" s="240"/>
    </row>
    <row r="20" spans="1:10" ht="20.100000000000001" customHeight="1" x14ac:dyDescent="0.2">
      <c r="A20" s="5" t="str">
        <f>HYPERLINK("#'Input - Crop pasture farm input'!A1", "Crop pasture farm input")</f>
        <v>Crop pasture farm input</v>
      </c>
      <c r="J20" s="240"/>
    </row>
    <row r="21" spans="1:10" ht="20.100000000000001" customHeight="1" x14ac:dyDescent="0.2">
      <c r="A21" s="5" t="str">
        <f>HYPERLINK("#'Input - Livestock farm Inputs'!A1", "Livestock farm Inputs")</f>
        <v>Livestock farm Inputs</v>
      </c>
      <c r="J21" s="240"/>
    </row>
    <row r="22" spans="1:10" ht="20.100000000000001" customHeight="1" x14ac:dyDescent="0.2">
      <c r="A22" s="5" t="str">
        <f>HYPERLINK("#'Input - Freight'!A1", "Freight")</f>
        <v>Freight</v>
      </c>
      <c r="J22" s="240"/>
    </row>
    <row r="23" spans="1:10" ht="20.100000000000001" customHeight="1" x14ac:dyDescent="0.2">
      <c r="A23" s="5" t="str">
        <f>HYPERLINK("#'Input - Solid waste'!A1", "Solid waste")</f>
        <v>Solid waste</v>
      </c>
      <c r="J23" s="240"/>
    </row>
    <row r="24" spans="1:10" ht="20.100000000000001" customHeight="1" x14ac:dyDescent="0.2">
      <c r="A24" s="5" t="str">
        <f>HYPERLINK("#'Input - Manure sent off-site'!A1", "Manure sent off-site")</f>
        <v>Manure sent off-site</v>
      </c>
      <c r="J24" s="240"/>
    </row>
    <row r="25" spans="1:10" ht="20.100000000000001" customHeight="1" x14ac:dyDescent="0.2">
      <c r="A25" s="5" t="str">
        <f>HYPERLINK("#'Input - Data quality'!A1", "Data quality")</f>
        <v>Data quality</v>
      </c>
      <c r="J25" s="240"/>
    </row>
    <row r="26" spans="1:10" ht="20.100000000000001" customHeight="1" x14ac:dyDescent="0.2">
      <c r="A26"/>
      <c r="J26" s="240"/>
    </row>
    <row r="27" spans="1:10" ht="20.100000000000001" customHeight="1" x14ac:dyDescent="0.2">
      <c r="A27"/>
      <c r="J27" s="240"/>
    </row>
    <row r="28" spans="1:10" ht="20.100000000000001" customHeight="1" x14ac:dyDescent="0.2">
      <c r="A28" s="6" t="s">
        <v>2</v>
      </c>
      <c r="J28" s="240"/>
    </row>
    <row r="29" spans="1:10" ht="20.100000000000001" customHeight="1" x14ac:dyDescent="0.2">
      <c r="A29" s="5" t="str">
        <f>HYPERLINK("#'3.2.1.1-2 Enteric Methane'!A1", "3.2.1.1-2 Enteric Methane")</f>
        <v>3.2.1.1-2 Enteric Methane</v>
      </c>
      <c r="J29" s="240"/>
    </row>
    <row r="30" spans="1:10" ht="20.100000000000001" customHeight="1" x14ac:dyDescent="0.2">
      <c r="A30" s="5" t="str">
        <f>HYPERLINK("#'4.2.1.1-2 Methane'!A1", "4.2.1.1-2 Manure methane")</f>
        <v>4.2.1.1-2 Manure methane</v>
      </c>
      <c r="J30" s="240"/>
    </row>
    <row r="31" spans="1:10" ht="20.100000000000001" customHeight="1" x14ac:dyDescent="0.2">
      <c r="A31" s="5" t="str">
        <f>HYPERLINK("#'4.2.1.3-4 Soil direct N20'!A1", "4.2.1.3-4 Soil direct N2O")</f>
        <v>4.2.1.3-4 Soil direct N2O</v>
      </c>
      <c r="D31" s="240"/>
      <c r="E31" s="240"/>
      <c r="F31" s="240"/>
      <c r="G31" s="240"/>
      <c r="H31" s="240"/>
      <c r="I31" s="240"/>
      <c r="J31" s="240"/>
    </row>
    <row r="32" spans="1:10" ht="20.100000000000001" customHeight="1" x14ac:dyDescent="0.2">
      <c r="A32" s="5" t="str">
        <f>HYPERLINK("#'4.2.1.5-6 Soil Atmos Dep'!A1", "4.2.1.5-6 Soil atm. deposition")</f>
        <v>4.2.1.5-6 Soil atm. deposition</v>
      </c>
      <c r="I32" s="240"/>
      <c r="J32" s="240"/>
    </row>
    <row r="33" spans="1:10" ht="20.100000000000001" customHeight="1" x14ac:dyDescent="0.2">
      <c r="A33" s="5" t="str">
        <f>HYPERLINK("#'4.2.1.7-8 Soil leach runoff'!A1", "4.2.1.7-8 Soil leach &amp; runoff")</f>
        <v>4.2.1.7-8 Soil leach &amp; runoff</v>
      </c>
      <c r="I33" s="240"/>
      <c r="J33" s="240"/>
    </row>
    <row r="34" spans="1:10" ht="20.100000000000001" customHeight="1" x14ac:dyDescent="0.2">
      <c r="A34" s="5" t="str">
        <f>HYPERLINK("#'5.1.1.1-2 Inorganic fert N2O'!A1", "5.1.1.1-2 Inorganic fert N2O")</f>
        <v>5.1.1.1-2 Inorganic fert N2O</v>
      </c>
      <c r="I34" s="240"/>
      <c r="J34" s="240"/>
    </row>
    <row r="35" spans="1:10" ht="20.100000000000001" customHeight="1" x14ac:dyDescent="0.2">
      <c r="A35" s="5" t="str">
        <f>HYPERLINK("#'5.1.1.3-4 Inorganic fert CO2'!A1", "5.1.1.3-4 Inorganic fert CO2")</f>
        <v>5.1.1.3-4 Inorganic fert CO2</v>
      </c>
      <c r="I35" s="240"/>
      <c r="J35" s="240"/>
    </row>
    <row r="36" spans="1:10" ht="20.100000000000001" customHeight="1" x14ac:dyDescent="0.2">
      <c r="A36" s="5" t="str">
        <f>HYPERLINK("#'5.2.1.1-2 Organic Fert N2O'!A1", "5.2.1.1-2 Organic fert N2O")</f>
        <v>5.2.1.1-2 Organic fert N2O</v>
      </c>
      <c r="I36" s="240"/>
      <c r="J36" s="240"/>
    </row>
    <row r="37" spans="1:10" ht="20.100000000000001" customHeight="1" x14ac:dyDescent="0.2">
      <c r="A37" s="5" t="str">
        <f>HYPERLINK("#'5.3.1.1-2 Lime CO2'!A1", "5.3.1.1-2 Lime CO2")</f>
        <v>5.3.1.1-2 Lime CO2</v>
      </c>
      <c r="I37" s="240"/>
      <c r="J37" s="240"/>
    </row>
    <row r="38" spans="1:10" ht="20.100000000000001" customHeight="1" x14ac:dyDescent="0.2">
      <c r="A38" s="5" t="str">
        <f>HYPERLINK("#'5.4.1.1-4 Atmos deposition'!A1", "5.4.1.1-4 Atmos. deposition")</f>
        <v>5.4.1.1-4 Atmos. deposition</v>
      </c>
      <c r="I38" s="240"/>
      <c r="J38" s="240"/>
    </row>
    <row r="39" spans="1:10" ht="20.100000000000001" customHeight="1" x14ac:dyDescent="0.2">
      <c r="A39" s="5" t="str">
        <f>HYPERLINK("#'5.5.1.1-2 Leaching and runoff'!A1", "5.5.1.1-2 Leaching &amp; runoff")</f>
        <v>5.5.1.1-2 Leaching &amp; runoff</v>
      </c>
      <c r="I39" s="240"/>
      <c r="J39" s="240"/>
    </row>
    <row r="40" spans="1:10" ht="20.100000000000001" customHeight="1" x14ac:dyDescent="0.2">
      <c r="A40" s="5" t="str">
        <f>HYPERLINK("#'6.2.1.1-2 Pasture residue N2O'!A1", "6.2.1.1-2 Pasture residue N2O")</f>
        <v>6.2.1.1-2 Pasture residue N2O</v>
      </c>
      <c r="I40" s="240"/>
      <c r="J40" s="240"/>
    </row>
    <row r="41" spans="1:10" ht="20.100000000000001" customHeight="1" x14ac:dyDescent="0.2">
      <c r="A41" s="5" t="str">
        <f>HYPERLINK("#'6.3.1.1-2 Leach runoff pasture'!A1", "6.3.1.1-2 Leach &amp; runoff (pasture)")</f>
        <v>6.3.1.1-2 Leach &amp; runoff (pasture)</v>
      </c>
      <c r="I41" s="240"/>
      <c r="J41" s="240"/>
    </row>
    <row r="42" spans="1:10" ht="20.100000000000001" customHeight="1" x14ac:dyDescent="0.2">
      <c r="A42" s="5" t="str">
        <f>HYPERLINK("#'8.1.1.1-2 Transport fuel'!A1", "8.1.1.1-2 Transport fuel")</f>
        <v>8.1.1.1-2 Transport fuel</v>
      </c>
      <c r="I42" s="240"/>
      <c r="J42" s="240"/>
    </row>
    <row r="43" spans="1:10" ht="20.100000000000001" customHeight="1" x14ac:dyDescent="0.2">
      <c r="A43" s="5" t="str">
        <f>HYPERLINK("#'8.2.1.1-2 Stationary fuel'!A1", "8.2.1.1-2 Stationary fuel")</f>
        <v>8.2.1.1-2 Stationary fuel</v>
      </c>
      <c r="I43" s="240"/>
      <c r="J43" s="240"/>
    </row>
    <row r="44" spans="1:10" ht="20.100000000000001" customHeight="1" x14ac:dyDescent="0.2">
      <c r="A44" s="5" t="str">
        <f>HYPERLINK("#'10.1.1-2 Solid waste treatment'!A1", "10.1.1.1-2 Solid waste")</f>
        <v>10.1.1.1-2 Solid waste</v>
      </c>
      <c r="D44" s="240"/>
      <c r="E44" s="240"/>
      <c r="F44" s="240"/>
      <c r="G44" s="240"/>
      <c r="H44" s="240"/>
      <c r="I44" s="240"/>
      <c r="J44" s="240"/>
    </row>
    <row r="45" spans="1:10" ht="20.100000000000001" customHeight="1" x14ac:dyDescent="0.2">
      <c r="A45" s="5" t="str">
        <f>HYPERLINK("#'14.1.1-2 Purchased electricity'!A1", "14.1.1-2 Purchased electricity")</f>
        <v>14.1.1-2 Purchased electricity</v>
      </c>
      <c r="I45" s="240"/>
      <c r="J45" s="240"/>
    </row>
    <row r="46" spans="1:10" ht="20.100000000000001" customHeight="1" x14ac:dyDescent="0.2">
      <c r="A46" s="5" t="str">
        <f>HYPERLINK("#'15 Scope 3'!A1", "15 Scope 3")</f>
        <v>15 Scope 3</v>
      </c>
      <c r="I46" s="240"/>
      <c r="J46" s="240"/>
    </row>
    <row r="47" spans="1:10" ht="20.100000000000001" customHeight="1" x14ac:dyDescent="0.2">
      <c r="A47" s="5" t="str">
        <f>HYPERLINK("#'Calcs - Manure sent off-site'!A1", "Calcs - Manure sent off-site")</f>
        <v>Calcs - Manure sent off-site</v>
      </c>
      <c r="I47" s="240"/>
      <c r="J47" s="240"/>
    </row>
    <row r="48" spans="1:10" ht="20.100000000000001" customHeight="1" x14ac:dyDescent="0.2">
      <c r="A48"/>
      <c r="I48" s="240"/>
      <c r="J48" s="240"/>
    </row>
    <row r="49" spans="1:10" ht="20.100000000000001" customHeight="1" x14ac:dyDescent="0.2">
      <c r="A49"/>
      <c r="I49" s="240"/>
      <c r="J49" s="240"/>
    </row>
    <row r="50" spans="1:10" ht="20.100000000000001" customHeight="1" x14ac:dyDescent="0.2">
      <c r="A50" s="85" t="s">
        <v>1</v>
      </c>
      <c r="I50" s="240"/>
      <c r="J50" s="240"/>
    </row>
    <row r="51" spans="1:10" ht="20.100000000000001" customHeight="1" x14ac:dyDescent="0.2">
      <c r="A51" s="5" t="str">
        <f>HYPERLINK("#'Constants - Pasture Beef'!A1", "Constants - Pasture Beef")</f>
        <v>Constants - Pasture Beef</v>
      </c>
      <c r="I51" s="240"/>
      <c r="J51" s="240"/>
    </row>
    <row r="52" spans="1:10" ht="20.100000000000001" customHeight="1" x14ac:dyDescent="0.2">
      <c r="A52" s="5" t="str">
        <f>HYPERLINK("#'Constants - Ag Residue'!A1", "Constants - Ag residue")</f>
        <v>Constants - Ag residue</v>
      </c>
      <c r="I52" s="240"/>
      <c r="J52" s="240"/>
    </row>
    <row r="53" spans="1:10" ht="20.100000000000001" customHeight="1" x14ac:dyDescent="0.2">
      <c r="A53" s="5" t="str">
        <f>HYPERLINK("#'Constants - Common Livestock'!A1", "Constants - Common Livestock")</f>
        <v>Constants - Common Livestock</v>
      </c>
      <c r="I53" s="240"/>
      <c r="J53" s="240"/>
    </row>
    <row r="54" spans="1:10" ht="20.100000000000001" customHeight="1" x14ac:dyDescent="0.2">
      <c r="A54" s="5" t="str">
        <f>HYPERLINK("#'Constants - Electricity'!A1", "Constants - Electricity")</f>
        <v>Constants - Electricity</v>
      </c>
      <c r="I54" s="240"/>
      <c r="J54" s="240"/>
    </row>
    <row r="55" spans="1:10" ht="20.100000000000001" customHeight="1" x14ac:dyDescent="0.2">
      <c r="A55" s="5" t="str">
        <f>HYPERLINK("#'Constants - Fertiliser'!A1", "Constants - Fertiliser")</f>
        <v>Constants - Fertiliser</v>
      </c>
      <c r="I55" s="240"/>
      <c r="J55" s="240"/>
    </row>
    <row r="56" spans="1:10" ht="20.100000000000001" customHeight="1" x14ac:dyDescent="0.2">
      <c r="A56" s="5" t="str">
        <f>HYPERLINK("#'Constants - Fuel'!A1", "Constants - Fuel")</f>
        <v>Constants - Fuel</v>
      </c>
      <c r="I56" s="240"/>
      <c r="J56" s="240"/>
    </row>
    <row r="57" spans="1:10" ht="20.100000000000001" customHeight="1" x14ac:dyDescent="0.2">
      <c r="A57" s="5" t="str">
        <f>HYPERLINK("#'Constants - Scope 3'!A1", "Constants - Scope 3")</f>
        <v>Constants - Scope 3</v>
      </c>
      <c r="D57" s="240"/>
      <c r="E57" s="240"/>
      <c r="F57" s="240"/>
      <c r="G57" s="240"/>
      <c r="H57" s="240"/>
      <c r="I57" s="240"/>
      <c r="J57" s="240"/>
    </row>
    <row r="58" spans="1:10" ht="20.100000000000001" customHeight="1" x14ac:dyDescent="0.2">
      <c r="A58" s="5" t="str">
        <f>HYPERLINK("#'Constants - Solid Waste'!A1", "Constants - Solid Waste")</f>
        <v>Constants - Solid Waste</v>
      </c>
      <c r="D58" s="243"/>
      <c r="E58" s="240"/>
      <c r="F58" s="240"/>
      <c r="G58" s="240"/>
      <c r="H58" s="240"/>
      <c r="I58" s="240"/>
      <c r="J58" s="240"/>
    </row>
    <row r="59" spans="1:10" ht="20.100000000000001" customHeight="1" x14ac:dyDescent="0.2">
      <c r="A59" s="5" t="str">
        <f>HYPERLINK("#'Constants - Common'!A1", "Constants - Common")</f>
        <v>Constants - Common</v>
      </c>
      <c r="D59" s="240"/>
      <c r="E59" s="240"/>
      <c r="F59" s="240"/>
      <c r="G59" s="240"/>
      <c r="H59" s="240"/>
      <c r="I59" s="240"/>
      <c r="J59" s="240"/>
    </row>
    <row r="60" spans="1:10" ht="20.100000000000001" customHeight="1" x14ac:dyDescent="0.2">
      <c r="A60" s="5" t="str">
        <f>HYPERLINK("#'Acknowledgements'!A1", "Acknowledgements")</f>
        <v>Acknowledgements</v>
      </c>
      <c r="D60" s="240"/>
      <c r="E60" s="240"/>
      <c r="F60" s="240"/>
      <c r="G60" s="240"/>
      <c r="H60" s="240"/>
      <c r="I60" s="240"/>
      <c r="J60" s="240"/>
    </row>
    <row r="61" spans="1:10" ht="20.100000000000001" customHeight="1" x14ac:dyDescent="0.2">
      <c r="A61"/>
      <c r="D61" s="240"/>
      <c r="E61" s="240"/>
      <c r="F61" s="240"/>
      <c r="G61" s="240"/>
      <c r="H61" s="240"/>
      <c r="I61" s="240"/>
      <c r="J61" s="240"/>
    </row>
    <row r="62" spans="1:10" ht="20.100000000000001" customHeight="1" x14ac:dyDescent="0.2">
      <c r="A62"/>
      <c r="D62" s="240"/>
      <c r="E62" s="240"/>
      <c r="F62" s="240"/>
      <c r="G62" s="240"/>
      <c r="H62" s="240"/>
      <c r="I62" s="240"/>
      <c r="J62" s="240"/>
    </row>
    <row r="63" spans="1:10" ht="20.100000000000001" customHeight="1" x14ac:dyDescent="0.2">
      <c r="A63"/>
      <c r="D63" s="240"/>
      <c r="E63" s="240"/>
      <c r="F63" s="240"/>
      <c r="G63" s="240"/>
      <c r="H63" s="240"/>
      <c r="I63" s="240"/>
      <c r="J63" s="240"/>
    </row>
    <row r="64" spans="1:10" ht="20.100000000000001" customHeight="1" x14ac:dyDescent="0.2">
      <c r="A64"/>
    </row>
    <row r="65" spans="1:1" ht="20.100000000000001" customHeight="1" x14ac:dyDescent="0.2">
      <c r="A65"/>
    </row>
    <row r="66" spans="1:1" ht="20.100000000000001" customHeight="1" x14ac:dyDescent="0.2">
      <c r="A66"/>
    </row>
    <row r="67" spans="1:1" ht="20.100000000000001" customHeight="1" x14ac:dyDescent="0.2">
      <c r="A67"/>
    </row>
    <row r="68" spans="1:1" ht="20.100000000000001" customHeight="1" x14ac:dyDescent="0.2">
      <c r="A68"/>
    </row>
    <row r="69" spans="1:1" ht="20.100000000000001" customHeight="1" x14ac:dyDescent="0.2">
      <c r="A69"/>
    </row>
    <row r="70" spans="1:1" ht="20.100000000000001" customHeight="1" x14ac:dyDescent="0.2">
      <c r="A70"/>
    </row>
    <row r="71" spans="1:1" ht="20.100000000000001" customHeight="1" x14ac:dyDescent="0.2">
      <c r="A71"/>
    </row>
    <row r="72" spans="1:1" ht="20.100000000000001" customHeight="1" x14ac:dyDescent="0.2">
      <c r="A72"/>
    </row>
    <row r="73" spans="1:1" ht="20.100000000000001" customHeight="1" x14ac:dyDescent="0.2">
      <c r="A73"/>
    </row>
    <row r="74" spans="1:1" ht="20.100000000000001" customHeight="1" x14ac:dyDescent="0.2">
      <c r="A74"/>
    </row>
    <row r="75" spans="1:1" ht="20.100000000000001" customHeight="1" x14ac:dyDescent="0.2">
      <c r="A75"/>
    </row>
    <row r="76" spans="1:1" ht="20.100000000000001" customHeight="1" x14ac:dyDescent="0.2">
      <c r="A76"/>
    </row>
    <row r="77" spans="1:1" ht="20.100000000000001" customHeight="1" x14ac:dyDescent="0.2">
      <c r="A77"/>
    </row>
    <row r="78" spans="1:1" ht="20.100000000000001" customHeight="1" x14ac:dyDescent="0.2">
      <c r="A78"/>
    </row>
    <row r="79" spans="1:1" ht="20.100000000000001" customHeight="1" x14ac:dyDescent="0.2">
      <c r="A79"/>
    </row>
    <row r="80" spans="1:1" ht="20.100000000000001" customHeight="1" x14ac:dyDescent="0.2">
      <c r="A80"/>
    </row>
    <row r="81" spans="1:1" ht="20.100000000000001" customHeight="1" x14ac:dyDescent="0.2">
      <c r="A81"/>
    </row>
    <row r="82" spans="1:1" ht="20.100000000000001" customHeight="1" x14ac:dyDescent="0.2">
      <c r="A82"/>
    </row>
    <row r="83" spans="1:1" ht="20.100000000000001" customHeight="1" x14ac:dyDescent="0.2">
      <c r="A83"/>
    </row>
    <row r="84" spans="1:1" ht="20.100000000000001" customHeight="1" x14ac:dyDescent="0.2">
      <c r="A84"/>
    </row>
    <row r="85" spans="1:1" ht="20.100000000000001" customHeight="1" x14ac:dyDescent="0.2">
      <c r="A85"/>
    </row>
    <row r="86" spans="1:1" ht="20.100000000000001" customHeight="1" x14ac:dyDescent="0.2">
      <c r="A86"/>
    </row>
    <row r="87" spans="1:1" ht="20.100000000000001" customHeight="1" x14ac:dyDescent="0.2">
      <c r="A87"/>
    </row>
    <row r="88" spans="1:1" ht="20.100000000000001" customHeight="1" x14ac:dyDescent="0.2">
      <c r="A88"/>
    </row>
    <row r="89" spans="1:1" ht="20.100000000000001" customHeight="1" x14ac:dyDescent="0.2">
      <c r="A89"/>
    </row>
    <row r="90" spans="1:1" ht="20.100000000000001" customHeight="1" x14ac:dyDescent="0.2">
      <c r="A90"/>
    </row>
    <row r="91" spans="1:1" ht="20.100000000000001" customHeight="1" x14ac:dyDescent="0.2">
      <c r="A91"/>
    </row>
    <row r="92" spans="1:1" ht="20.100000000000001" customHeight="1" x14ac:dyDescent="0.2">
      <c r="A92"/>
    </row>
    <row r="93" spans="1:1" ht="20.100000000000001" customHeight="1" x14ac:dyDescent="0.2">
      <c r="A93"/>
    </row>
    <row r="94" spans="1:1" ht="20.100000000000001" customHeight="1" x14ac:dyDescent="0.2">
      <c r="A94"/>
    </row>
    <row r="95" spans="1:1" ht="20.100000000000001" customHeight="1" x14ac:dyDescent="0.2">
      <c r="A95"/>
    </row>
    <row r="96" spans="1:1" ht="20.100000000000001" customHeight="1" x14ac:dyDescent="0.2">
      <c r="A96"/>
    </row>
    <row r="97" spans="1:1" ht="20.100000000000001" customHeight="1" x14ac:dyDescent="0.2">
      <c r="A97"/>
    </row>
    <row r="98" spans="1:1" ht="20.100000000000001" customHeight="1" x14ac:dyDescent="0.2">
      <c r="A98"/>
    </row>
    <row r="99" spans="1:1" ht="20.100000000000001" customHeight="1" x14ac:dyDescent="0.2">
      <c r="A99"/>
    </row>
    <row r="100" spans="1:1" ht="20.100000000000001" customHeight="1" x14ac:dyDescent="0.2">
      <c r="A100"/>
    </row>
    <row r="101" spans="1:1" ht="20.100000000000001" customHeight="1" x14ac:dyDescent="0.2">
      <c r="A101"/>
    </row>
    <row r="102" spans="1:1" ht="20.100000000000001" customHeight="1" x14ac:dyDescent="0.2">
      <c r="A102"/>
    </row>
    <row r="103" spans="1:1" ht="20.100000000000001" customHeight="1" x14ac:dyDescent="0.2">
      <c r="A103"/>
    </row>
    <row r="104" spans="1:1" ht="20.100000000000001" customHeight="1" x14ac:dyDescent="0.2">
      <c r="A104"/>
    </row>
    <row r="105" spans="1:1" ht="20.100000000000001" customHeight="1" x14ac:dyDescent="0.2">
      <c r="A105"/>
    </row>
    <row r="106" spans="1:1" ht="20.100000000000001" customHeight="1" x14ac:dyDescent="0.2">
      <c r="A106"/>
    </row>
    <row r="107" spans="1:1" ht="20.100000000000001" customHeight="1" x14ac:dyDescent="0.2">
      <c r="A107"/>
    </row>
    <row r="108" spans="1:1" ht="20.100000000000001" customHeight="1" x14ac:dyDescent="0.2">
      <c r="A108"/>
    </row>
    <row r="109" spans="1:1" ht="20.100000000000001" customHeight="1" x14ac:dyDescent="0.2">
      <c r="A109"/>
    </row>
    <row r="110" spans="1:1" ht="20.100000000000001" customHeight="1" x14ac:dyDescent="0.2">
      <c r="A110"/>
    </row>
    <row r="111" spans="1:1" ht="20.100000000000001" customHeight="1" x14ac:dyDescent="0.2">
      <c r="A111"/>
    </row>
    <row r="112" spans="1:1" ht="20.100000000000001" customHeight="1" x14ac:dyDescent="0.2">
      <c r="A112"/>
    </row>
    <row r="113" spans="1:1" ht="20.100000000000001" customHeight="1" x14ac:dyDescent="0.2">
      <c r="A113"/>
    </row>
    <row r="114" spans="1:1" ht="20.100000000000001" customHeight="1" x14ac:dyDescent="0.2">
      <c r="A114"/>
    </row>
    <row r="115" spans="1:1" ht="20.100000000000001" customHeight="1" x14ac:dyDescent="0.2">
      <c r="A115"/>
    </row>
    <row r="116" spans="1:1" ht="20.100000000000001" customHeight="1" x14ac:dyDescent="0.2">
      <c r="A116"/>
    </row>
    <row r="117" spans="1:1" ht="20.100000000000001" customHeight="1" x14ac:dyDescent="0.2">
      <c r="A117"/>
    </row>
    <row r="118" spans="1:1" ht="20.100000000000001" customHeight="1" x14ac:dyDescent="0.2">
      <c r="A118"/>
    </row>
    <row r="119" spans="1:1" ht="20.100000000000001" customHeight="1" x14ac:dyDescent="0.2">
      <c r="A119"/>
    </row>
    <row r="120" spans="1:1" ht="20.100000000000001" customHeight="1" x14ac:dyDescent="0.2">
      <c r="A120"/>
    </row>
    <row r="121" spans="1:1" ht="20.100000000000001" customHeight="1" x14ac:dyDescent="0.2">
      <c r="A121"/>
    </row>
    <row r="122" spans="1:1" ht="20.100000000000001" customHeight="1" x14ac:dyDescent="0.2">
      <c r="A122"/>
    </row>
    <row r="123" spans="1:1" ht="20.100000000000001" customHeight="1" x14ac:dyDescent="0.2">
      <c r="A123"/>
    </row>
    <row r="124" spans="1:1" ht="20.100000000000001" customHeight="1" x14ac:dyDescent="0.2">
      <c r="A124"/>
    </row>
    <row r="125" spans="1:1" ht="20.100000000000001" customHeight="1" x14ac:dyDescent="0.2">
      <c r="A125"/>
    </row>
    <row r="126" spans="1:1" ht="20.100000000000001" customHeight="1" x14ac:dyDescent="0.2">
      <c r="A126"/>
    </row>
    <row r="127" spans="1:1" ht="20.100000000000001" customHeight="1" x14ac:dyDescent="0.2">
      <c r="A127"/>
    </row>
    <row r="128" spans="1:1" ht="20.100000000000001" customHeight="1" x14ac:dyDescent="0.2">
      <c r="A128"/>
    </row>
    <row r="129" spans="1:1" ht="20.100000000000001" customHeight="1" x14ac:dyDescent="0.2">
      <c r="A129"/>
    </row>
    <row r="130" spans="1:1" ht="20.100000000000001" customHeight="1" x14ac:dyDescent="0.2">
      <c r="A130"/>
    </row>
    <row r="131" spans="1:1" ht="20.100000000000001" customHeight="1" x14ac:dyDescent="0.2">
      <c r="A131"/>
    </row>
    <row r="132" spans="1:1" ht="20.100000000000001" customHeight="1" x14ac:dyDescent="0.2">
      <c r="A132"/>
    </row>
    <row r="133" spans="1:1" ht="20.100000000000001" customHeight="1" x14ac:dyDescent="0.2">
      <c r="A133"/>
    </row>
    <row r="134" spans="1:1" ht="20.100000000000001" customHeight="1" x14ac:dyDescent="0.2">
      <c r="A134"/>
    </row>
    <row r="135" spans="1:1" ht="20.100000000000001" customHeight="1" x14ac:dyDescent="0.2">
      <c r="A135"/>
    </row>
    <row r="136" spans="1:1" ht="20.100000000000001" customHeight="1" x14ac:dyDescent="0.2">
      <c r="A136"/>
    </row>
    <row r="137" spans="1:1" ht="20.100000000000001" customHeight="1" x14ac:dyDescent="0.2">
      <c r="A137"/>
    </row>
    <row r="138" spans="1:1" ht="20.100000000000001" customHeight="1" x14ac:dyDescent="0.2">
      <c r="A138"/>
    </row>
    <row r="139" spans="1:1" ht="20.100000000000001" customHeight="1" x14ac:dyDescent="0.2">
      <c r="A139"/>
    </row>
    <row r="140" spans="1:1" ht="20.100000000000001" customHeight="1" x14ac:dyDescent="0.2">
      <c r="A140"/>
    </row>
    <row r="141" spans="1:1" ht="20.100000000000001" customHeight="1" x14ac:dyDescent="0.2">
      <c r="A141"/>
    </row>
    <row r="142" spans="1:1" ht="20.100000000000001" customHeight="1" x14ac:dyDescent="0.2">
      <c r="A142"/>
    </row>
    <row r="143" spans="1:1" ht="20.100000000000001" customHeight="1" x14ac:dyDescent="0.2">
      <c r="A143"/>
    </row>
    <row r="144" spans="1:1" ht="20.100000000000001" customHeight="1" x14ac:dyDescent="0.2">
      <c r="A144"/>
    </row>
    <row r="145" spans="1:1" ht="20.100000000000001" customHeight="1" x14ac:dyDescent="0.2">
      <c r="A145"/>
    </row>
    <row r="146" spans="1:1" ht="20.100000000000001" customHeight="1" x14ac:dyDescent="0.2">
      <c r="A146"/>
    </row>
    <row r="147" spans="1:1" ht="20.100000000000001" customHeight="1" x14ac:dyDescent="0.2">
      <c r="A147"/>
    </row>
    <row r="148" spans="1:1" ht="20.100000000000001" customHeight="1" x14ac:dyDescent="0.2">
      <c r="A148"/>
    </row>
    <row r="149" spans="1:1" ht="20.100000000000001" customHeight="1" x14ac:dyDescent="0.2">
      <c r="A149"/>
    </row>
    <row r="150" spans="1:1" ht="20.100000000000001" customHeight="1" x14ac:dyDescent="0.2">
      <c r="A150"/>
    </row>
    <row r="151" spans="1:1" ht="20.100000000000001" customHeight="1" x14ac:dyDescent="0.2">
      <c r="A151"/>
    </row>
    <row r="152" spans="1:1" ht="20.100000000000001" customHeight="1" x14ac:dyDescent="0.2">
      <c r="A152"/>
    </row>
    <row r="153" spans="1:1" ht="20.100000000000001" customHeight="1" x14ac:dyDescent="0.2">
      <c r="A153"/>
    </row>
    <row r="154" spans="1:1" ht="20.100000000000001" customHeight="1" x14ac:dyDescent="0.2">
      <c r="A154"/>
    </row>
    <row r="155" spans="1:1" ht="20.100000000000001" customHeight="1" x14ac:dyDescent="0.2">
      <c r="A155"/>
    </row>
    <row r="156" spans="1:1" ht="20.100000000000001" customHeight="1" x14ac:dyDescent="0.2">
      <c r="A156"/>
    </row>
    <row r="157" spans="1:1" ht="20.100000000000001" customHeight="1" x14ac:dyDescent="0.2">
      <c r="A157"/>
    </row>
    <row r="158" spans="1:1" ht="20.100000000000001" customHeight="1" x14ac:dyDescent="0.2">
      <c r="A158"/>
    </row>
    <row r="159" spans="1:1" ht="20.100000000000001" customHeight="1" x14ac:dyDescent="0.2">
      <c r="A159"/>
    </row>
    <row r="160" spans="1:1" ht="20.100000000000001" customHeight="1" x14ac:dyDescent="0.2">
      <c r="A160"/>
    </row>
  </sheetData>
  <dataValidations count="3">
    <dataValidation type="list" allowBlank="1" showInputMessage="1" showErrorMessage="1" sqref="H7:H16" xr:uid="{FC06EE0F-2FAB-40DD-A86F-0CC329377A4C}">
      <formula1>INDIRECT("Table_ProductRegions_Beefcattle[Region]")</formula1>
    </dataValidation>
    <dataValidation type="list" allowBlank="1" showInputMessage="1" showErrorMessage="1" sqref="G7:G16" xr:uid="{286036DF-667F-4554-9FF7-BD042A581400}">
      <formula1>INDIRECT(TRIM("Table_SourceData_LivestockProduct_Beefcattle[Product]"))</formula1>
    </dataValidation>
    <dataValidation type="list" allowBlank="1" showInputMessage="1" showErrorMessage="1" sqref="F7:F16" xr:uid="{41F23F93-53E8-438F-AACF-DBB22E004EEA}">
      <formula1>INDIRECT("Table_LivestockClasses_Beefcattle[Livestock class]")</formula1>
    </dataValidation>
  </dataValidations>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5E5FBD-D588-4932-8531-AE4FD31B6C48}">
  <sheetPr>
    <tabColor theme="5" tint="-0.249977111117893"/>
  </sheetPr>
  <dimension ref="A1:G60"/>
  <sheetViews>
    <sheetView showGridLines="0" zoomScaleNormal="100" workbookViewId="0">
      <pane xSplit="1" topLeftCell="B1" activePane="topRight" state="frozen"/>
      <selection pane="topRight" activeCell="A59" sqref="A59"/>
    </sheetView>
  </sheetViews>
  <sheetFormatPr defaultRowHeight="20.100000000000001" customHeight="1" x14ac:dyDescent="0.2"/>
  <cols>
    <col min="1" max="1" width="36.7109375" customWidth="1"/>
    <col min="2" max="2" width="4.7109375" customWidth="1"/>
    <col min="3" max="3" width="4.7109375" style="1" customWidth="1"/>
    <col min="4" max="4" width="50.7109375" style="1" customWidth="1"/>
    <col min="5" max="6" width="30.7109375" style="1" customWidth="1"/>
    <col min="7" max="7" width="4.7109375" style="1" customWidth="1"/>
  </cols>
  <sheetData>
    <row r="1" spans="1:7" ht="30" customHeight="1" x14ac:dyDescent="0.35">
      <c r="A1" s="10" t="e" vm="1">
        <v>#VALUE!</v>
      </c>
      <c r="C1" s="10" t="s">
        <v>930</v>
      </c>
      <c r="D1" s="10"/>
      <c r="E1" s="10"/>
      <c r="F1" s="10"/>
      <c r="G1" s="10"/>
    </row>
    <row r="2" spans="1:7" ht="20.100000000000001" customHeight="1" x14ac:dyDescent="0.2">
      <c r="C2" s="3"/>
      <c r="D2" s="3"/>
      <c r="E2" s="3"/>
      <c r="F2" s="3"/>
      <c r="G2" s="3"/>
    </row>
    <row r="3" spans="1:7" ht="20.100000000000001" customHeight="1" x14ac:dyDescent="0.2">
      <c r="A3" s="5" t="str">
        <f>HYPERLINK("#'Home'!A1", "Home")</f>
        <v>Home</v>
      </c>
      <c r="C3" s="29"/>
      <c r="D3" s="29"/>
      <c r="E3" s="29"/>
      <c r="F3" s="29"/>
      <c r="G3" s="29"/>
    </row>
    <row r="4" spans="1:7" ht="20.100000000000001" customHeight="1" x14ac:dyDescent="0.2">
      <c r="A4" s="5" t="str">
        <f>HYPERLINK("#'Results - Activity period'!A1", "Results - Activity period")</f>
        <v>Results - Activity period</v>
      </c>
    </row>
    <row r="5" spans="1:7" ht="20.100000000000001" customHeight="1" x14ac:dyDescent="0.2">
      <c r="A5" s="5" t="str">
        <f>HYPERLINK("#'Results - Product EI'!A1", "Results - Product Emissions Intensity")</f>
        <v>Results - Product Emissions Intensity</v>
      </c>
      <c r="D5" s="2" t="s">
        <v>931</v>
      </c>
    </row>
    <row r="7" spans="1:7" ht="20.100000000000001" customHeight="1" x14ac:dyDescent="0.2">
      <c r="D7" s="70" t="s">
        <v>932</v>
      </c>
      <c r="E7" s="70"/>
      <c r="F7" s="70"/>
    </row>
    <row r="8" spans="1:7" ht="20.100000000000001" customHeight="1" x14ac:dyDescent="0.2">
      <c r="A8" s="7" t="s">
        <v>0</v>
      </c>
    </row>
    <row r="9" spans="1:7" ht="20.100000000000001" customHeight="1" x14ac:dyDescent="0.2">
      <c r="A9" s="5" t="str">
        <f>HYPERLINK("#'Input - Enterprise'!A1", "Enterprise")</f>
        <v>Enterprise</v>
      </c>
      <c r="D9" s="1" t="s">
        <v>257</v>
      </c>
      <c r="E9" s="13"/>
      <c r="F9" s="16" t="s">
        <v>933</v>
      </c>
    </row>
    <row r="10" spans="1:7" ht="20.100000000000001" customHeight="1" x14ac:dyDescent="0.2">
      <c r="A10" s="5" t="str">
        <f>HYPERLINK("#'Input - Site'!A1", "Site")</f>
        <v>Site</v>
      </c>
      <c r="D10" s="1" t="s">
        <v>72</v>
      </c>
      <c r="E10" s="13"/>
      <c r="F10" s="16" t="s">
        <v>933</v>
      </c>
    </row>
    <row r="11" spans="1:7" ht="20.100000000000001" customHeight="1" x14ac:dyDescent="0.2">
      <c r="A11" s="5" t="str">
        <f>HYPERLINK("#'Input - Pasture Beef'!A1", "Pasture Beef")</f>
        <v>Pasture Beef</v>
      </c>
    </row>
    <row r="12" spans="1:7" ht="20.100000000000001" customHeight="1" x14ac:dyDescent="0.2">
      <c r="A12" s="5" t="str">
        <f>HYPERLINK("#'Input - Livestock sales'!A1", "Livestock sales")</f>
        <v>Livestock sales</v>
      </c>
      <c r="D12" s="1" t="s">
        <v>258</v>
      </c>
      <c r="E12" s="76"/>
      <c r="F12" s="16" t="s">
        <v>934</v>
      </c>
    </row>
    <row r="13" spans="1:7" ht="20.100000000000001" customHeight="1" x14ac:dyDescent="0.2">
      <c r="A13" s="5" t="str">
        <f>HYPERLINK("#'Input - Beef cattle purchases'!A1", "Beef cattle purchases")</f>
        <v>Beef cattle purchases</v>
      </c>
    </row>
    <row r="14" spans="1:7" ht="20.100000000000001" customHeight="1" x14ac:dyDescent="0.2">
      <c r="A14" s="99" t="str">
        <f>HYPERLINK("#'Input - Pasture'!A1", "Pasture")</f>
        <v>Pasture</v>
      </c>
      <c r="D14" s="2" t="s">
        <v>935</v>
      </c>
    </row>
    <row r="15" spans="1:7" ht="20.100000000000001" customHeight="1" x14ac:dyDescent="0.2">
      <c r="A15" s="5" t="str">
        <f>HYPERLINK("#'Input - Fert Prod System'!A1", "Fert Prod System")</f>
        <v>Fert Prod System</v>
      </c>
    </row>
    <row r="16" spans="1:7" ht="20.100000000000001" customHeight="1" x14ac:dyDescent="0.2">
      <c r="A16" s="5" t="str">
        <f>HYPERLINK("#'Input - Fertiliser'!A1", "Fertiliser")</f>
        <v>Fertiliser</v>
      </c>
      <c r="D16" s="232" t="s">
        <v>936</v>
      </c>
      <c r="E16" s="44"/>
      <c r="F16" s="45"/>
    </row>
    <row r="17" spans="1:6" ht="20.100000000000001" customHeight="1" x14ac:dyDescent="0.2">
      <c r="A17" s="5" t="str">
        <f>HYPERLINK("#'Input - Fuel'!A1", "Fuel")</f>
        <v>Fuel</v>
      </c>
      <c r="D17" s="46" t="s">
        <v>937</v>
      </c>
      <c r="E17" s="47"/>
      <c r="F17" s="48"/>
    </row>
    <row r="18" spans="1:6" ht="20.100000000000001" customHeight="1" x14ac:dyDescent="0.2">
      <c r="A18" s="5" t="str">
        <f>HYPERLINK("#'Input - Electricity'!A1", "Electricity")</f>
        <v>Electricity</v>
      </c>
    </row>
    <row r="19" spans="1:6" ht="20.100000000000001" customHeight="1" x14ac:dyDescent="0.2">
      <c r="A19" s="5" t="str">
        <f>HYPERLINK("#'Input - Common farm inputs'!A1", "Common farm inputs")</f>
        <v>Common farm inputs</v>
      </c>
      <c r="D19" s="1" t="s">
        <v>259</v>
      </c>
      <c r="E19" s="76" t="e">
        <f>_xlfn.XLOOKUP(X_Cell_Pasture_PastureType, Table_SourceData_PastureAttributes[Pasture type],Table_SourceData_PastureAttributes[Average Yield (t DM ha) Yp])</f>
        <v>#N/A</v>
      </c>
      <c r="F19" s="16" t="s">
        <v>938</v>
      </c>
    </row>
    <row r="20" spans="1:6" ht="20.100000000000001" customHeight="1" x14ac:dyDescent="0.2">
      <c r="A20" s="5" t="str">
        <f>HYPERLINK("#'Input - Crop pasture farm input'!A1", "Crop pasture farm input")</f>
        <v>Crop pasture farm input</v>
      </c>
      <c r="D20" s="1" t="s">
        <v>939</v>
      </c>
      <c r="E20" s="15" t="e">
        <f>X_Cell_Pasture_AreaUnderPasture*X_Cell_Pasture_YieldPerHectare</f>
        <v>#N/A</v>
      </c>
      <c r="F20" s="16" t="s">
        <v>940</v>
      </c>
    </row>
    <row r="21" spans="1:6" ht="20.100000000000001" customHeight="1" x14ac:dyDescent="0.2">
      <c r="A21" s="5" t="str">
        <f>HYPERLINK("#'Input - Livestock farm Inputs'!A1", "Livestock farm Inputs")</f>
        <v>Livestock farm Inputs</v>
      </c>
    </row>
    <row r="22" spans="1:6" ht="20.100000000000001" customHeight="1" x14ac:dyDescent="0.2">
      <c r="A22" s="5" t="str">
        <f>HYPERLINK("#'Input - Freight'!A1", "Freight")</f>
        <v>Freight</v>
      </c>
    </row>
    <row r="23" spans="1:6" ht="20.100000000000001" customHeight="1" x14ac:dyDescent="0.2">
      <c r="A23" s="5" t="str">
        <f>HYPERLINK("#'Input - Solid waste'!A1", "Solid waste")</f>
        <v>Solid waste</v>
      </c>
      <c r="D23" s="2" t="s">
        <v>941</v>
      </c>
    </row>
    <row r="24" spans="1:6" ht="20.100000000000001" customHeight="1" x14ac:dyDescent="0.2">
      <c r="A24" s="5" t="str">
        <f>HYPERLINK("#'Input - Manure sent off-site'!A1", "Manure sent off-site")</f>
        <v>Manure sent off-site</v>
      </c>
    </row>
    <row r="25" spans="1:6" ht="20.100000000000001" customHeight="1" x14ac:dyDescent="0.2">
      <c r="A25" s="5" t="str">
        <f>HYPERLINK("#'Input - Data quality'!A1", "Data quality")</f>
        <v>Data quality</v>
      </c>
      <c r="D25" s="1" t="s">
        <v>261</v>
      </c>
      <c r="E25" s="76"/>
      <c r="F25" s="16" t="s">
        <v>934</v>
      </c>
    </row>
    <row r="28" spans="1:6" ht="20.100000000000001" customHeight="1" x14ac:dyDescent="0.2">
      <c r="A28" s="6" t="s">
        <v>2</v>
      </c>
    </row>
    <row r="29" spans="1:6" ht="20.100000000000001" customHeight="1" x14ac:dyDescent="0.2">
      <c r="A29" s="5" t="str">
        <f>HYPERLINK("#'3.2.1.1-2 Enteric Methane'!A1", "3.2.1.1-2 Enteric Methane")</f>
        <v>3.2.1.1-2 Enteric Methane</v>
      </c>
    </row>
    <row r="30" spans="1:6" ht="20.100000000000001" customHeight="1" x14ac:dyDescent="0.2">
      <c r="A30" s="5" t="str">
        <f>HYPERLINK("#'4.2.1.1-2 Methane'!A1", "4.2.1.1-2 Manure methane")</f>
        <v>4.2.1.1-2 Manure methane</v>
      </c>
    </row>
    <row r="31" spans="1:6" ht="20.100000000000001" customHeight="1" x14ac:dyDescent="0.2">
      <c r="A31" s="5" t="str">
        <f>HYPERLINK("#'4.2.1.3-4 Soil direct N20'!A1", "4.2.1.3-4 Soil direct N2O")</f>
        <v>4.2.1.3-4 Soil direct N2O</v>
      </c>
    </row>
    <row r="32" spans="1:6" ht="20.100000000000001" customHeight="1" x14ac:dyDescent="0.2">
      <c r="A32" s="5" t="str">
        <f>HYPERLINK("#'4.2.1.5-6 Soil Atmos Dep'!A1", "4.2.1.5-6 Soil atm. deposition")</f>
        <v>4.2.1.5-6 Soil atm. deposition</v>
      </c>
    </row>
    <row r="33" spans="1:1" ht="20.100000000000001" customHeight="1" x14ac:dyDescent="0.2">
      <c r="A33" s="5" t="str">
        <f>HYPERLINK("#'4.2.1.7-8 Soil leach runoff'!A1", "4.2.1.7-8 Soil leach &amp; runoff")</f>
        <v>4.2.1.7-8 Soil leach &amp; runoff</v>
      </c>
    </row>
    <row r="34" spans="1:1" ht="20.100000000000001" customHeight="1" x14ac:dyDescent="0.2">
      <c r="A34" s="5" t="str">
        <f>HYPERLINK("#'5.1.1.1-2 Inorganic fert N2O'!A1", "5.1.1.1-2 Inorganic fert N2O")</f>
        <v>5.1.1.1-2 Inorganic fert N2O</v>
      </c>
    </row>
    <row r="35" spans="1:1" ht="20.100000000000001" customHeight="1" x14ac:dyDescent="0.2">
      <c r="A35" s="5" t="str">
        <f>HYPERLINK("#'5.1.1.3-4 Inorganic fert CO2'!A1", "5.1.1.3-4 Inorganic fert CO2")</f>
        <v>5.1.1.3-4 Inorganic fert CO2</v>
      </c>
    </row>
    <row r="36" spans="1:1" ht="20.100000000000001" customHeight="1" x14ac:dyDescent="0.2">
      <c r="A36" s="5" t="str">
        <f>HYPERLINK("#'5.2.1.1-2 Organic Fert N2O'!A1", "5.2.1.1-2 Organic fert N2O")</f>
        <v>5.2.1.1-2 Organic fert N2O</v>
      </c>
    </row>
    <row r="37" spans="1:1" ht="20.100000000000001" customHeight="1" x14ac:dyDescent="0.2">
      <c r="A37" s="5" t="str">
        <f>HYPERLINK("#'5.3.1.1-2 Lime CO2'!A1", "5.3.1.1-2 Lime CO2")</f>
        <v>5.3.1.1-2 Lime CO2</v>
      </c>
    </row>
    <row r="38" spans="1:1" ht="20.100000000000001" customHeight="1" x14ac:dyDescent="0.2">
      <c r="A38" s="5" t="str">
        <f>HYPERLINK("#'5.4.1.1-4 Atmos deposition'!A1", "5.4.1.1-4 Atmos. deposition")</f>
        <v>5.4.1.1-4 Atmos. deposition</v>
      </c>
    </row>
    <row r="39" spans="1:1" ht="20.100000000000001" customHeight="1" x14ac:dyDescent="0.2">
      <c r="A39" s="5" t="str">
        <f>HYPERLINK("#'5.5.1.1-2 Leaching and runoff'!A1", "5.5.1.1-2 Leaching &amp; runoff")</f>
        <v>5.5.1.1-2 Leaching &amp; runoff</v>
      </c>
    </row>
    <row r="40" spans="1:1" ht="20.100000000000001" customHeight="1" x14ac:dyDescent="0.2">
      <c r="A40" s="5" t="str">
        <f>HYPERLINK("#'6.2.1.1-2 Pasture residue N2O'!A1", "6.2.1.1-2 Pasture residue N2O")</f>
        <v>6.2.1.1-2 Pasture residue N2O</v>
      </c>
    </row>
    <row r="41" spans="1:1" ht="20.100000000000001" customHeight="1" x14ac:dyDescent="0.2">
      <c r="A41" s="5" t="str">
        <f>HYPERLINK("#'6.3.1.1-2 Leach runoff pasture'!A1", "6.3.1.1-2 Leach &amp; runoff (pasture)")</f>
        <v>6.3.1.1-2 Leach &amp; runoff (pasture)</v>
      </c>
    </row>
    <row r="42" spans="1:1" ht="20.100000000000001" customHeight="1" x14ac:dyDescent="0.2">
      <c r="A42" s="5" t="str">
        <f>HYPERLINK("#'8.1.1.1-2 Transport fuel'!A1", "8.1.1.1-2 Transport fuel")</f>
        <v>8.1.1.1-2 Transport fuel</v>
      </c>
    </row>
    <row r="43" spans="1:1" ht="20.100000000000001" customHeight="1" x14ac:dyDescent="0.2">
      <c r="A43" s="5" t="str">
        <f>HYPERLINK("#'8.2.1.1-2 Stationary fuel'!A1", "8.2.1.1-2 Stationary fuel")</f>
        <v>8.2.1.1-2 Stationary fuel</v>
      </c>
    </row>
    <row r="44" spans="1:1" ht="20.100000000000001" customHeight="1" x14ac:dyDescent="0.2">
      <c r="A44" s="5" t="str">
        <f>HYPERLINK("#'10.1.1-2 Solid waste treatment'!A1", "10.1.1.1-2 Solid waste")</f>
        <v>10.1.1.1-2 Solid waste</v>
      </c>
    </row>
    <row r="45" spans="1:1" ht="20.100000000000001" customHeight="1" x14ac:dyDescent="0.2">
      <c r="A45" s="5" t="str">
        <f>HYPERLINK("#'14.1.1-2 Purchased electricity'!A1", "14.1.1-2 Purchased electricity")</f>
        <v>14.1.1-2 Purchased electricity</v>
      </c>
    </row>
    <row r="46" spans="1:1" ht="20.100000000000001" customHeight="1" x14ac:dyDescent="0.2">
      <c r="A46" s="5" t="str">
        <f>HYPERLINK("#'15 Scope 3'!A1", "15 Scope 3")</f>
        <v>15 Scope 3</v>
      </c>
    </row>
    <row r="47" spans="1:1" ht="20.100000000000001" customHeight="1" x14ac:dyDescent="0.2">
      <c r="A47" s="5" t="str">
        <f>HYPERLINK("#'Calcs - Manure sent off-site'!A1", "Calcs - Manure sent off-site")</f>
        <v>Calcs - Manure sent off-site</v>
      </c>
    </row>
    <row r="50" spans="1:1" ht="20.100000000000001" customHeight="1" x14ac:dyDescent="0.2">
      <c r="A50" s="85" t="s">
        <v>1</v>
      </c>
    </row>
    <row r="51" spans="1:1" ht="20.100000000000001" customHeight="1" x14ac:dyDescent="0.2">
      <c r="A51" s="5" t="str">
        <f>HYPERLINK("#'Constants - Pasture Beef'!A1", "Constants - Pasture Beef")</f>
        <v>Constants - Pasture Beef</v>
      </c>
    </row>
    <row r="52" spans="1:1" ht="20.100000000000001" customHeight="1" x14ac:dyDescent="0.2">
      <c r="A52" s="5" t="str">
        <f>HYPERLINK("#'Constants - Ag Residue'!A1", "Constants - Ag residue")</f>
        <v>Constants - Ag residue</v>
      </c>
    </row>
    <row r="53" spans="1:1" ht="20.100000000000001" customHeight="1" x14ac:dyDescent="0.2">
      <c r="A53" s="5" t="str">
        <f>HYPERLINK("#'Constants - Common Livestock'!A1", "Constants - Common Livestock")</f>
        <v>Constants - Common Livestock</v>
      </c>
    </row>
    <row r="54" spans="1:1" ht="20.100000000000001" customHeight="1" x14ac:dyDescent="0.2">
      <c r="A54" s="5" t="str">
        <f>HYPERLINK("#'Constants - Electricity'!A1", "Constants - Electricity")</f>
        <v>Constants - Electricity</v>
      </c>
    </row>
    <row r="55" spans="1:1" ht="20.100000000000001" customHeight="1" x14ac:dyDescent="0.2">
      <c r="A55" s="5" t="str">
        <f>HYPERLINK("#'Constants - Fertiliser'!A1", "Constants - Fertiliser")</f>
        <v>Constants - Fertiliser</v>
      </c>
    </row>
    <row r="56" spans="1:1" ht="20.100000000000001" customHeight="1" x14ac:dyDescent="0.2">
      <c r="A56" s="5" t="str">
        <f>HYPERLINK("#'Constants - Fuel'!A1", "Constants - Fuel")</f>
        <v>Constants - Fuel</v>
      </c>
    </row>
    <row r="57" spans="1:1" ht="20.100000000000001" customHeight="1" x14ac:dyDescent="0.2">
      <c r="A57" s="5" t="str">
        <f>HYPERLINK("#'Constants - Scope 3'!A1", "Constants - Scope 3")</f>
        <v>Constants - Scope 3</v>
      </c>
    </row>
    <row r="58" spans="1:1" ht="20.100000000000001" customHeight="1" x14ac:dyDescent="0.2">
      <c r="A58" s="5" t="str">
        <f>HYPERLINK("#'Constants - Solid Waste'!A1", "Constants - Solid Waste")</f>
        <v>Constants - Solid Waste</v>
      </c>
    </row>
    <row r="59" spans="1:1" ht="20.100000000000001" customHeight="1" x14ac:dyDescent="0.2">
      <c r="A59" s="5" t="str">
        <f>HYPERLINK("#'Constants - Common'!A1", "Constants - Common")</f>
        <v>Constants - Common</v>
      </c>
    </row>
    <row r="60" spans="1:1" ht="20.100000000000001" customHeight="1" x14ac:dyDescent="0.2">
      <c r="A60" s="5" t="str">
        <f>HYPERLINK("#'Acknowledgements'!A1", "Acknowledgements")</f>
        <v>Acknowledgements</v>
      </c>
    </row>
  </sheetData>
  <conditionalFormatting sqref="D16:G16">
    <cfRule type="expression" dxfId="80" priority="1">
      <formula>$D$24&gt;$D$11</formula>
    </cfRule>
  </conditionalFormatting>
  <dataValidations count="2">
    <dataValidation type="list" allowBlank="1" showInputMessage="1" showErrorMessage="1" sqref="E10" xr:uid="{DC3FE98D-7C03-40B6-855D-70D0DDA73532}">
      <formula1>INDIRECT("Table_SourceData_Fertiliser_IrrigationMethods[Irrigation method]")</formula1>
    </dataValidation>
    <dataValidation type="list" allowBlank="1" showInputMessage="1" showErrorMessage="1" sqref="E9" xr:uid="{22A95913-E5F2-445C-AB27-52A01671EE33}">
      <formula1>INDIRECT("Table_SourceData_PastureAttributes[Pasture type]")</formula1>
    </dataValidation>
  </dataValidations>
  <pageMargins left="0.7" right="0.7" top="0.75" bottom="0.75" header="0.3" footer="0.3"/>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ECDB01-675B-437E-9BE1-C7A5D3E87BF1}">
  <sheetPr>
    <tabColor rgb="FFCC6600"/>
  </sheetPr>
  <dimension ref="A1:K60"/>
  <sheetViews>
    <sheetView showGridLines="0" zoomScaleNormal="100" workbookViewId="0">
      <pane xSplit="1" topLeftCell="B1" activePane="topRight" state="frozen"/>
      <selection pane="topRight" activeCell="A59" sqref="A59"/>
    </sheetView>
  </sheetViews>
  <sheetFormatPr defaultRowHeight="20.100000000000001" customHeight="1" x14ac:dyDescent="0.2"/>
  <cols>
    <col min="1" max="1" width="36.7109375" customWidth="1"/>
    <col min="2" max="2" width="4.7109375" customWidth="1"/>
    <col min="3" max="3" width="4.7109375" style="1" customWidth="1"/>
    <col min="4" max="10" width="30.7109375" style="1" customWidth="1"/>
    <col min="11" max="11" width="4.7109375" style="1" customWidth="1"/>
  </cols>
  <sheetData>
    <row r="1" spans="1:11" s="10" customFormat="1" ht="30" customHeight="1" x14ac:dyDescent="0.35">
      <c r="A1" s="10" t="e" vm="1">
        <v>#VALUE!</v>
      </c>
      <c r="C1" s="10" t="s">
        <v>170</v>
      </c>
    </row>
    <row r="2" spans="1:11" s="3" customFormat="1" ht="20.100000000000001" customHeight="1" x14ac:dyDescent="0.2">
      <c r="A2"/>
    </row>
    <row r="3" spans="1:11" ht="20.100000000000001" customHeight="1" x14ac:dyDescent="0.2">
      <c r="A3" s="5" t="str">
        <f>HYPERLINK("#'Home'!A1", "Home")</f>
        <v>Home</v>
      </c>
      <c r="C3" s="29"/>
      <c r="D3" s="29"/>
      <c r="E3" s="29"/>
      <c r="F3" s="29"/>
      <c r="G3" s="29"/>
      <c r="H3" s="29"/>
      <c r="I3" s="29"/>
      <c r="J3" s="29"/>
      <c r="K3" s="29"/>
    </row>
    <row r="4" spans="1:11" ht="20.100000000000001" customHeight="1" x14ac:dyDescent="0.2">
      <c r="A4" s="5" t="str">
        <f>HYPERLINK("#'Results - Activity period'!A1", "Results - Activity period")</f>
        <v>Results - Activity period</v>
      </c>
    </row>
    <row r="5" spans="1:11" ht="20.100000000000001" customHeight="1" x14ac:dyDescent="0.2">
      <c r="A5" s="5" t="str">
        <f>HYPERLINK("#'Results - Product EI'!A1", "Results - Product Emissions Intensity")</f>
        <v>Results - Product Emissions Intensity</v>
      </c>
      <c r="D5" s="70" t="s">
        <v>175</v>
      </c>
      <c r="E5" s="70"/>
      <c r="F5" s="70"/>
      <c r="G5" s="70"/>
    </row>
    <row r="6" spans="1:11" ht="20.100000000000001" customHeight="1" x14ac:dyDescent="0.2">
      <c r="F6" s="16"/>
    </row>
    <row r="7" spans="1:11" ht="20.100000000000001" customHeight="1" x14ac:dyDescent="0.2">
      <c r="D7" s="1" t="s">
        <v>171</v>
      </c>
      <c r="E7" s="15"/>
      <c r="F7" s="16"/>
    </row>
    <row r="8" spans="1:11" ht="20.100000000000001" customHeight="1" x14ac:dyDescent="0.2">
      <c r="A8" s="7" t="s">
        <v>0</v>
      </c>
      <c r="D8" s="1" t="s">
        <v>172</v>
      </c>
      <c r="E8" s="15"/>
      <c r="F8" s="16"/>
    </row>
    <row r="9" spans="1:11" ht="20.100000000000001" customHeight="1" x14ac:dyDescent="0.2">
      <c r="A9" s="5" t="str">
        <f>HYPERLINK("#'Input - Enterprise'!A1", "Enterprise")</f>
        <v>Enterprise</v>
      </c>
      <c r="D9" s="1" t="s">
        <v>72</v>
      </c>
      <c r="E9" s="15" cm="1">
        <f t="array" ref="E9">X_Cell_Pasture_IrrigationMethod</f>
        <v>0</v>
      </c>
    </row>
    <row r="10" spans="1:11" ht="20.100000000000001" customHeight="1" x14ac:dyDescent="0.2">
      <c r="A10" s="5" t="str">
        <f>HYPERLINK("#'Input - Site'!A1", "Site")</f>
        <v>Site</v>
      </c>
      <c r="D10" s="1" t="s">
        <v>173</v>
      </c>
      <c r="E10" s="15" cm="1">
        <f t="array" ref="E10">X_Cell_Pasture_AreaUnderPasture</f>
        <v>0</v>
      </c>
    </row>
    <row r="11" spans="1:11" ht="20.100000000000001" customHeight="1" x14ac:dyDescent="0.2">
      <c r="A11" s="5" t="str">
        <f>HYPERLINK("#'Input - Pasture Beef'!A1", "Pasture Beef")</f>
        <v>Pasture Beef</v>
      </c>
    </row>
    <row r="12" spans="1:11" ht="20.100000000000001" customHeight="1" x14ac:dyDescent="0.2">
      <c r="A12" s="5" t="str">
        <f>HYPERLINK("#'Input - Livestock sales'!A1", "Livestock sales")</f>
        <v>Livestock sales</v>
      </c>
    </row>
    <row r="13" spans="1:11" ht="20.100000000000001" customHeight="1" x14ac:dyDescent="0.2">
      <c r="A13" s="5" t="str">
        <f>HYPERLINK("#'Input - Beef cattle purchases'!A1", "Beef cattle purchases")</f>
        <v>Beef cattle purchases</v>
      </c>
    </row>
    <row r="14" spans="1:11" ht="20.100000000000001" customHeight="1" x14ac:dyDescent="0.2">
      <c r="A14" s="5" t="str">
        <f>HYPERLINK("#'Input - Pasture'!A1", "Pasture")</f>
        <v>Pasture</v>
      </c>
    </row>
    <row r="15" spans="1:11" ht="20.100000000000001" customHeight="1" x14ac:dyDescent="0.2">
      <c r="A15" s="99" t="str">
        <f>HYPERLINK("#'Input - Fert Prod System'!A1", "Fert Prod System")</f>
        <v>Fert Prod System</v>
      </c>
    </row>
    <row r="16" spans="1:11" ht="20.100000000000001" customHeight="1" x14ac:dyDescent="0.2">
      <c r="A16" s="5" t="str">
        <f>HYPERLINK("#'Input - Fertiliser'!A1", "Fertiliser")</f>
        <v>Fertiliser</v>
      </c>
    </row>
    <row r="17" spans="1:1" ht="20.100000000000001" customHeight="1" x14ac:dyDescent="0.2">
      <c r="A17" s="5" t="str">
        <f>HYPERLINK("#'Input - Fuel'!A1", "Fuel")</f>
        <v>Fuel</v>
      </c>
    </row>
    <row r="18" spans="1:1" ht="20.100000000000001" customHeight="1" x14ac:dyDescent="0.2">
      <c r="A18" s="5" t="str">
        <f>HYPERLINK("#'Input - Electricity'!A1", "Electricity")</f>
        <v>Electricity</v>
      </c>
    </row>
    <row r="19" spans="1:1" ht="20.100000000000001" customHeight="1" x14ac:dyDescent="0.2">
      <c r="A19" s="5" t="str">
        <f>HYPERLINK("#'Input - Common farm inputs'!A1", "Common farm inputs")</f>
        <v>Common farm inputs</v>
      </c>
    </row>
    <row r="20" spans="1:1" ht="20.100000000000001" customHeight="1" x14ac:dyDescent="0.2">
      <c r="A20" s="5" t="str">
        <f>HYPERLINK("#'Input - Crop pasture farm input'!A1", "Crop pasture farm input")</f>
        <v>Crop pasture farm input</v>
      </c>
    </row>
    <row r="21" spans="1:1" ht="20.100000000000001" customHeight="1" x14ac:dyDescent="0.2">
      <c r="A21" s="5" t="str">
        <f>HYPERLINK("#'Input - Livestock farm Inputs'!A1", "Livestock farm Inputs")</f>
        <v>Livestock farm Inputs</v>
      </c>
    </row>
    <row r="22" spans="1:1" ht="20.100000000000001" customHeight="1" x14ac:dyDescent="0.2">
      <c r="A22" s="5" t="str">
        <f>HYPERLINK("#'Input - Freight'!A1", "Freight")</f>
        <v>Freight</v>
      </c>
    </row>
    <row r="23" spans="1:1" ht="20.100000000000001" customHeight="1" x14ac:dyDescent="0.2">
      <c r="A23" s="5" t="str">
        <f>HYPERLINK("#'Input - Solid waste'!A1", "Solid waste")</f>
        <v>Solid waste</v>
      </c>
    </row>
    <row r="24" spans="1:1" ht="20.100000000000001" customHeight="1" x14ac:dyDescent="0.2">
      <c r="A24" s="5" t="str">
        <f>HYPERLINK("#'Input - Manure sent off-site'!A1", "Manure sent off-site")</f>
        <v>Manure sent off-site</v>
      </c>
    </row>
    <row r="25" spans="1:1" ht="20.100000000000001" customHeight="1" x14ac:dyDescent="0.2">
      <c r="A25" s="5" t="str">
        <f>HYPERLINK("#'Input - Data quality'!A1", "Data quality")</f>
        <v>Data quality</v>
      </c>
    </row>
    <row r="28" spans="1:1" ht="20.100000000000001" customHeight="1" x14ac:dyDescent="0.2">
      <c r="A28" s="6" t="s">
        <v>2</v>
      </c>
    </row>
    <row r="29" spans="1:1" ht="20.100000000000001" customHeight="1" x14ac:dyDescent="0.2">
      <c r="A29" s="5" t="str">
        <f>HYPERLINK("#'3.2.1.1-2 Enteric Methane'!A1", "3.2.1.1-2 Enteric Methane")</f>
        <v>3.2.1.1-2 Enteric Methane</v>
      </c>
    </row>
    <row r="30" spans="1:1" ht="20.100000000000001" customHeight="1" x14ac:dyDescent="0.2">
      <c r="A30" s="5" t="str">
        <f>HYPERLINK("#'4.2.1.1-2 Methane'!A1", "4.2.1.1-2 Manure methane")</f>
        <v>4.2.1.1-2 Manure methane</v>
      </c>
    </row>
    <row r="31" spans="1:1" ht="20.100000000000001" customHeight="1" x14ac:dyDescent="0.2">
      <c r="A31" s="5" t="str">
        <f>HYPERLINK("#'4.2.1.3-4 Soil direct N20'!A1", "4.2.1.3-4 Soil direct N2O")</f>
        <v>4.2.1.3-4 Soil direct N2O</v>
      </c>
    </row>
    <row r="32" spans="1:1" ht="20.100000000000001" customHeight="1" x14ac:dyDescent="0.2">
      <c r="A32" s="5" t="str">
        <f>HYPERLINK("#'4.2.1.5-6 Soil Atmos Dep'!A1", "4.2.1.5-6 Soil atm. deposition")</f>
        <v>4.2.1.5-6 Soil atm. deposition</v>
      </c>
    </row>
    <row r="33" spans="1:1" ht="20.100000000000001" customHeight="1" x14ac:dyDescent="0.2">
      <c r="A33" s="5" t="str">
        <f>HYPERLINK("#'4.2.1.7-8 Soil leach runoff'!A1", "4.2.1.7-8 Soil leach &amp; runoff")</f>
        <v>4.2.1.7-8 Soil leach &amp; runoff</v>
      </c>
    </row>
    <row r="34" spans="1:1" ht="20.100000000000001" customHeight="1" x14ac:dyDescent="0.2">
      <c r="A34" s="5" t="str">
        <f>HYPERLINK("#'5.1.1.1-2 Inorganic fert N2O'!A1", "5.1.1.1-2 Inorganic fert N2O")</f>
        <v>5.1.1.1-2 Inorganic fert N2O</v>
      </c>
    </row>
    <row r="35" spans="1:1" ht="20.100000000000001" customHeight="1" x14ac:dyDescent="0.2">
      <c r="A35" s="5" t="str">
        <f>HYPERLINK("#'5.1.1.3-4 Inorganic fert CO2'!A1", "5.1.1.3-4 Inorganic fert CO2")</f>
        <v>5.1.1.3-4 Inorganic fert CO2</v>
      </c>
    </row>
    <row r="36" spans="1:1" ht="20.100000000000001" customHeight="1" x14ac:dyDescent="0.2">
      <c r="A36" s="5" t="str">
        <f>HYPERLINK("#'5.2.1.1-2 Organic Fert N2O'!A1", "5.2.1.1-2 Organic fert N2O")</f>
        <v>5.2.1.1-2 Organic fert N2O</v>
      </c>
    </row>
    <row r="37" spans="1:1" ht="20.100000000000001" customHeight="1" x14ac:dyDescent="0.2">
      <c r="A37" s="5" t="str">
        <f>HYPERLINK("#'5.3.1.1-2 Lime CO2'!A1", "5.3.1.1-2 Lime CO2")</f>
        <v>5.3.1.1-2 Lime CO2</v>
      </c>
    </row>
    <row r="38" spans="1:1" ht="20.100000000000001" customHeight="1" x14ac:dyDescent="0.2">
      <c r="A38" s="5" t="str">
        <f>HYPERLINK("#'5.4.1.1-4 Atmos deposition'!A1", "5.4.1.1-4 Atmos. deposition")</f>
        <v>5.4.1.1-4 Atmos. deposition</v>
      </c>
    </row>
    <row r="39" spans="1:1" ht="20.100000000000001" customHeight="1" x14ac:dyDescent="0.2">
      <c r="A39" s="5" t="str">
        <f>HYPERLINK("#'5.5.1.1-2 Leaching and runoff'!A1", "5.5.1.1-2 Leaching &amp; runoff")</f>
        <v>5.5.1.1-2 Leaching &amp; runoff</v>
      </c>
    </row>
    <row r="40" spans="1:1" ht="20.100000000000001" customHeight="1" x14ac:dyDescent="0.2">
      <c r="A40" s="5" t="str">
        <f>HYPERLINK("#'6.2.1.1-2 Pasture residue N2O'!A1", "6.2.1.1-2 Pasture residue N2O")</f>
        <v>6.2.1.1-2 Pasture residue N2O</v>
      </c>
    </row>
    <row r="41" spans="1:1" ht="20.100000000000001" customHeight="1" x14ac:dyDescent="0.2">
      <c r="A41" s="5" t="str">
        <f>HYPERLINK("#'6.3.1.1-2 Leach runoff pasture'!A1", "6.3.1.1-2 Leach &amp; runoff (pasture)")</f>
        <v>6.3.1.1-2 Leach &amp; runoff (pasture)</v>
      </c>
    </row>
    <row r="42" spans="1:1" ht="20.100000000000001" customHeight="1" x14ac:dyDescent="0.2">
      <c r="A42" s="5" t="str">
        <f>HYPERLINK("#'8.1.1.1-2 Transport fuel'!A1", "8.1.1.1-2 Transport fuel")</f>
        <v>8.1.1.1-2 Transport fuel</v>
      </c>
    </row>
    <row r="43" spans="1:1" ht="20.100000000000001" customHeight="1" x14ac:dyDescent="0.2">
      <c r="A43" s="5" t="str">
        <f>HYPERLINK("#'8.2.1.1-2 Stationary fuel'!A1", "8.2.1.1-2 Stationary fuel")</f>
        <v>8.2.1.1-2 Stationary fuel</v>
      </c>
    </row>
    <row r="44" spans="1:1" ht="20.100000000000001" customHeight="1" x14ac:dyDescent="0.2">
      <c r="A44" s="5" t="str">
        <f>HYPERLINK("#'10.1.1-2 Solid waste treatment'!A1", "10.1.1.1-2 Solid waste")</f>
        <v>10.1.1.1-2 Solid waste</v>
      </c>
    </row>
    <row r="45" spans="1:1" ht="20.100000000000001" customHeight="1" x14ac:dyDescent="0.2">
      <c r="A45" s="5" t="str">
        <f>HYPERLINK("#'14.1.1-2 Purchased electricity'!A1", "14.1.1-2 Purchased electricity")</f>
        <v>14.1.1-2 Purchased electricity</v>
      </c>
    </row>
    <row r="46" spans="1:1" ht="20.100000000000001" customHeight="1" x14ac:dyDescent="0.2">
      <c r="A46" s="5" t="str">
        <f>HYPERLINK("#'15 Scope 3'!A1", "15 Scope 3")</f>
        <v>15 Scope 3</v>
      </c>
    </row>
    <row r="47" spans="1:1" ht="20.100000000000001" customHeight="1" x14ac:dyDescent="0.2">
      <c r="A47" s="5" t="str">
        <f>HYPERLINK("#'Calcs - Manure sent off-site'!A1", "Calcs - Manure sent off-site")</f>
        <v>Calcs - Manure sent off-site</v>
      </c>
    </row>
    <row r="50" spans="1:1" ht="20.100000000000001" customHeight="1" x14ac:dyDescent="0.2">
      <c r="A50" s="85" t="s">
        <v>1</v>
      </c>
    </row>
    <row r="51" spans="1:1" ht="20.100000000000001" customHeight="1" x14ac:dyDescent="0.2">
      <c r="A51" s="5" t="str">
        <f>HYPERLINK("#'Constants - Pasture Beef'!A1", "Constants - Pasture Beef")</f>
        <v>Constants - Pasture Beef</v>
      </c>
    </row>
    <row r="52" spans="1:1" ht="20.100000000000001" customHeight="1" x14ac:dyDescent="0.2">
      <c r="A52" s="5" t="str">
        <f>HYPERLINK("#'Constants - Ag Residue'!A1", "Constants - Ag residue")</f>
        <v>Constants - Ag residue</v>
      </c>
    </row>
    <row r="53" spans="1:1" ht="20.100000000000001" customHeight="1" x14ac:dyDescent="0.2">
      <c r="A53" s="5" t="str">
        <f>HYPERLINK("#'Constants - Common Livestock'!A1", "Constants - Common Livestock")</f>
        <v>Constants - Common Livestock</v>
      </c>
    </row>
    <row r="54" spans="1:1" ht="20.100000000000001" customHeight="1" x14ac:dyDescent="0.2">
      <c r="A54" s="5" t="str">
        <f>HYPERLINK("#'Constants - Electricity'!A1", "Constants - Electricity")</f>
        <v>Constants - Electricity</v>
      </c>
    </row>
    <row r="55" spans="1:1" ht="20.100000000000001" customHeight="1" x14ac:dyDescent="0.2">
      <c r="A55" s="5" t="str">
        <f>HYPERLINK("#'Constants - Fertiliser'!A1", "Constants - Fertiliser")</f>
        <v>Constants - Fertiliser</v>
      </c>
    </row>
    <row r="56" spans="1:1" ht="20.100000000000001" customHeight="1" x14ac:dyDescent="0.2">
      <c r="A56" s="5" t="str">
        <f>HYPERLINK("#'Constants - Fuel'!A1", "Constants - Fuel")</f>
        <v>Constants - Fuel</v>
      </c>
    </row>
    <row r="57" spans="1:1" ht="20.100000000000001" customHeight="1" x14ac:dyDescent="0.2">
      <c r="A57" s="5" t="str">
        <f>HYPERLINK("#'Constants - Scope 3'!A1", "Constants - Scope 3")</f>
        <v>Constants - Scope 3</v>
      </c>
    </row>
    <row r="58" spans="1:1" ht="20.100000000000001" customHeight="1" x14ac:dyDescent="0.2">
      <c r="A58" s="5" t="str">
        <f>HYPERLINK("#'Constants - Solid Waste'!A1", "Constants - Solid Waste")</f>
        <v>Constants - Solid Waste</v>
      </c>
    </row>
    <row r="59" spans="1:1" ht="20.100000000000001" customHeight="1" x14ac:dyDescent="0.2">
      <c r="A59" s="5" t="str">
        <f>HYPERLINK("#'Constants - Common'!A1", "Constants - Common")</f>
        <v>Constants - Common</v>
      </c>
    </row>
    <row r="60" spans="1:1" ht="20.100000000000001" customHeight="1" x14ac:dyDescent="0.2">
      <c r="A60" s="5" t="str">
        <f>HYPERLINK("#'Acknowledgements'!A1", "Acknowledgements")</f>
        <v>Acknowledgements</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09B894-7694-4FF3-B077-1C0B0D5F4C2A}">
  <sheetPr>
    <tabColor theme="5" tint="-0.249977111117893"/>
  </sheetPr>
  <dimension ref="A1:AA378"/>
  <sheetViews>
    <sheetView showGridLines="0" zoomScaleNormal="100" workbookViewId="0">
      <pane xSplit="1" topLeftCell="B1" activePane="topRight" state="frozen"/>
      <selection pane="topRight" activeCell="A4" sqref="A4"/>
    </sheetView>
  </sheetViews>
  <sheetFormatPr defaultRowHeight="20.100000000000001" customHeight="1" x14ac:dyDescent="0.2"/>
  <cols>
    <col min="1" max="1" width="36.7109375" customWidth="1"/>
    <col min="2" max="2" width="4.7109375" customWidth="1"/>
    <col min="3" max="3" width="4.7109375" style="1" customWidth="1"/>
    <col min="4" max="4" width="52.140625" style="1" customWidth="1"/>
    <col min="5" max="24" width="30.7109375" style="1" customWidth="1"/>
    <col min="25" max="26" width="20.7109375" style="1" customWidth="1"/>
    <col min="27" max="27" width="4.7109375" style="1" customWidth="1"/>
  </cols>
  <sheetData>
    <row r="1" spans="1:27" s="10" customFormat="1" ht="30" customHeight="1" x14ac:dyDescent="0.35">
      <c r="A1" s="10" t="e" vm="1">
        <v>#VALUE!</v>
      </c>
      <c r="C1" s="10" t="s">
        <v>578</v>
      </c>
    </row>
    <row r="2" spans="1:27" s="3" customFormat="1" ht="20.100000000000001" customHeight="1" x14ac:dyDescent="0.2">
      <c r="A2"/>
    </row>
    <row r="3" spans="1:27" ht="20.100000000000001" customHeight="1" x14ac:dyDescent="0.2">
      <c r="A3" s="5" t="str">
        <f>HYPERLINK("#'Home'!A1", "Home")</f>
        <v>Home</v>
      </c>
      <c r="C3" s="29"/>
      <c r="D3" s="29"/>
      <c r="E3" s="29"/>
      <c r="F3" s="29"/>
      <c r="G3" s="29"/>
      <c r="H3" s="29"/>
      <c r="I3" s="29"/>
      <c r="J3" s="29"/>
      <c r="K3" s="29"/>
      <c r="L3" s="29"/>
      <c r="M3" s="29"/>
      <c r="N3" s="29"/>
      <c r="O3" s="29"/>
      <c r="P3" s="29"/>
      <c r="Q3" s="29"/>
      <c r="R3" s="29"/>
      <c r="S3" s="29"/>
      <c r="T3" s="29"/>
      <c r="U3" s="29"/>
      <c r="V3" s="29"/>
      <c r="W3" s="29"/>
      <c r="X3" s="29"/>
      <c r="Y3" s="29"/>
      <c r="Z3" s="29"/>
      <c r="AA3" s="29"/>
    </row>
    <row r="4" spans="1:27" ht="20.100000000000001" customHeight="1" x14ac:dyDescent="0.2">
      <c r="A4" s="5" t="str">
        <f>HYPERLINK("#'Results - Activity period'!A1", "Results - Activity period")</f>
        <v>Results - Activity period</v>
      </c>
    </row>
    <row r="5" spans="1:27" ht="20.100000000000001" customHeight="1" x14ac:dyDescent="0.2">
      <c r="A5" s="5" t="str">
        <f>HYPERLINK("#'Results - Product EI'!A1", "Results - Product Emissions Intensity")</f>
        <v>Results - Product Emissions Intensity</v>
      </c>
      <c r="D5" s="2" t="s">
        <v>579</v>
      </c>
      <c r="E5" s="25"/>
      <c r="F5" s="25"/>
      <c r="G5" s="25"/>
      <c r="H5" s="25"/>
      <c r="I5" s="25"/>
      <c r="J5" s="25"/>
      <c r="K5" s="25"/>
      <c r="L5" s="25"/>
      <c r="M5" s="25"/>
    </row>
    <row r="6" spans="1:27" ht="20.100000000000001" customHeight="1" x14ac:dyDescent="0.2">
      <c r="D6" s="8"/>
      <c r="E6" s="8"/>
      <c r="F6" s="8"/>
      <c r="G6" s="8"/>
      <c r="H6" s="8"/>
      <c r="I6" s="8"/>
      <c r="J6" s="8"/>
      <c r="K6" s="8"/>
      <c r="L6" s="8"/>
      <c r="M6" s="8"/>
    </row>
    <row r="7" spans="1:27" ht="20.100000000000001" customHeight="1" x14ac:dyDescent="0.2">
      <c r="D7" s="126" t="s">
        <v>580</v>
      </c>
      <c r="E7" s="44"/>
      <c r="F7" s="44"/>
      <c r="G7" s="44"/>
      <c r="H7" s="45"/>
      <c r="I7" s="127"/>
      <c r="J7" s="128"/>
      <c r="K7" s="129"/>
      <c r="L7" s="129"/>
      <c r="M7" s="129"/>
    </row>
    <row r="8" spans="1:27" ht="20.100000000000001" customHeight="1" x14ac:dyDescent="0.2">
      <c r="A8" s="7" t="s">
        <v>0</v>
      </c>
      <c r="D8" s="46" t="s">
        <v>581</v>
      </c>
      <c r="E8" s="47"/>
      <c r="F8" s="47"/>
      <c r="G8" s="47"/>
      <c r="H8" s="48"/>
      <c r="I8" s="8"/>
      <c r="J8" s="8"/>
      <c r="K8" s="8"/>
      <c r="L8" s="8"/>
      <c r="M8" s="8"/>
    </row>
    <row r="9" spans="1:27" ht="20.100000000000001" customHeight="1" x14ac:dyDescent="0.2">
      <c r="A9" s="5" t="str">
        <f>HYPERLINK("#'Input - Enterprise'!A1", "Enterprise")</f>
        <v>Enterprise</v>
      </c>
      <c r="D9" s="8"/>
      <c r="E9" s="8"/>
      <c r="F9" s="8"/>
      <c r="G9" s="8"/>
      <c r="H9" s="8"/>
      <c r="I9" s="8"/>
      <c r="J9" s="8"/>
      <c r="K9" s="8"/>
      <c r="L9" s="8"/>
      <c r="M9" s="8"/>
    </row>
    <row r="10" spans="1:27" ht="20.100000000000001" customHeight="1" x14ac:dyDescent="0.2">
      <c r="A10" s="5" t="str">
        <f>HYPERLINK("#'Input - Site'!A1", "Site")</f>
        <v>Site</v>
      </c>
      <c r="D10" s="79" t="s">
        <v>582</v>
      </c>
      <c r="E10" s="8"/>
      <c r="F10" s="8"/>
      <c r="G10" s="8"/>
      <c r="H10" s="8"/>
      <c r="I10" s="8"/>
      <c r="J10" s="8"/>
      <c r="K10" s="8"/>
      <c r="L10" s="8"/>
      <c r="M10" s="8"/>
    </row>
    <row r="11" spans="1:27" ht="20.100000000000001" customHeight="1" x14ac:dyDescent="0.2">
      <c r="A11" s="5" t="str">
        <f>HYPERLINK("#'Input - Pasture Beef'!A1", "Pasture Beef")</f>
        <v>Pasture Beef</v>
      </c>
      <c r="D11" s="130" t="s">
        <v>583</v>
      </c>
      <c r="E11" s="131" t="s">
        <v>584</v>
      </c>
      <c r="F11" s="132" t="s">
        <v>585</v>
      </c>
      <c r="G11" s="131" t="s">
        <v>586</v>
      </c>
      <c r="H11" s="132" t="s">
        <v>587</v>
      </c>
      <c r="I11" s="131" t="s">
        <v>588</v>
      </c>
      <c r="J11" s="130" t="s">
        <v>589</v>
      </c>
      <c r="K11" s="130" t="s">
        <v>590</v>
      </c>
      <c r="L11" s="130" t="s">
        <v>591</v>
      </c>
      <c r="M11" s="130" t="s">
        <v>592</v>
      </c>
      <c r="N11" s="130" t="s">
        <v>593</v>
      </c>
      <c r="O11" s="130" t="s">
        <v>594</v>
      </c>
      <c r="P11" s="130" t="s">
        <v>595</v>
      </c>
      <c r="Q11" s="130" t="s">
        <v>596</v>
      </c>
      <c r="R11" s="130" t="s">
        <v>597</v>
      </c>
      <c r="S11" s="130" t="s">
        <v>598</v>
      </c>
      <c r="T11" s="130" t="s">
        <v>599</v>
      </c>
      <c r="U11" s="130" t="s">
        <v>600</v>
      </c>
      <c r="V11" s="130" t="s">
        <v>601</v>
      </c>
      <c r="W11" s="130" t="s">
        <v>602</v>
      </c>
      <c r="X11" s="130" t="s">
        <v>603</v>
      </c>
      <c r="Y11" s="130" t="s">
        <v>604</v>
      </c>
      <c r="Z11" s="130" t="s">
        <v>605</v>
      </c>
    </row>
    <row r="12" spans="1:27" ht="20.100000000000001" customHeight="1" x14ac:dyDescent="0.2">
      <c r="A12" s="5" t="str">
        <f>HYPERLINK("#'Input - Livestock sales'!A1", "Livestock sales")</f>
        <v>Livestock sales</v>
      </c>
      <c r="D12" s="133"/>
      <c r="E12" s="134"/>
      <c r="F12" s="15" t="str">
        <f>IFERROR(_xlfn.XLOOKUP(Table_Input_InorganicFertiliser_Brands[[#This Row],[Product (select)]],FertiliserProducts[Product],FertiliserProducts[Unit]), "kg")</f>
        <v>kg</v>
      </c>
      <c r="G12" s="134">
        <f t="shared" ref="G12:G15" si="0">X_Cell_Fertiliser_AreaUnderCropping</f>
        <v>0</v>
      </c>
      <c r="H12" s="135">
        <f>IFERROR(_xlfn.XLOOKUP(Table_Input_InorganicFertiliser_Brands[[#This Row],[Product (select)]],FertiliserProducts[Product],FertiliserProducts[Density]), 1)</f>
        <v>1</v>
      </c>
      <c r="I12" s="136">
        <f>(Table_Input_InorganicFertiliser_Brands[[#This Row],[Amount applied per hectare]]*Table_Input_InorganicFertiliser_Brands[[#This Row],[Density]])*Table_Input_InorganicFertiliser_Brands[[#This Row],[Application area (ha)]]</f>
        <v>0</v>
      </c>
      <c r="J12" s="136" t="str" cm="1">
        <f t="array" ref="J12">Fertiliser_InputFunctions.Fertiliser_FertiliserProductLookup(Table_Input_InorganicFertiliser_Brands[[#This Row],[Product (select)]], Table_Input_InorganicFertiliser_Brands[[#Headers],[Ingredient 1]], FertiliserProducts[#Data], FertiliserProducts[Product], FertiliserProducts[#Headers])</f>
        <v/>
      </c>
      <c r="K12" s="136" t="str" cm="1">
        <f t="array" ref="K12">Fertiliser_InputFunctions.Fertiliser_FertiliserProductLookup(Table_Input_InorganicFertiliser_Brands[[#This Row],[Product (select)]], Table_Input_InorganicFertiliser_Brands[[#Headers],[Ingredient 1 percent]], FertiliserProducts[#Data], FertiliserProducts[Product], FertiliserProducts[#Headers])</f>
        <v/>
      </c>
      <c r="L12" s="136" t="str" cm="1">
        <f t="array" ref="L12">Fertiliser_InputFunctions.Fertiliser_FertiliserProductLookup(Table_Input_InorganicFertiliser_Brands[[#This Row],[Product (select)]], Table_Input_InorganicFertiliser_Brands[[#Headers],[Ingredient 2]], FertiliserProducts[#Data], FertiliserProducts[Product], FertiliserProducts[#Headers])</f>
        <v/>
      </c>
      <c r="M12" s="136" t="str" cm="1">
        <f t="array" ref="M12">Fertiliser_InputFunctions.Fertiliser_FertiliserProductLookup(Table_Input_InorganicFertiliser_Brands[[#This Row],[Product (select)]], Table_Input_InorganicFertiliser_Brands[[#Headers],[Ingredient 2 percent]], FertiliserProducts[#Data], FertiliserProducts[Product], FertiliserProducts[#Headers])</f>
        <v/>
      </c>
      <c r="N12" s="136" t="str" cm="1">
        <f t="array" ref="N12">Fertiliser_InputFunctions.Fertiliser_FertiliserProductLookup(Table_Input_InorganicFertiliser_Brands[[#This Row],[Product (select)]], Table_Input_InorganicFertiliser_Brands[[#Headers],[Ingredient 3]], FertiliserProducts[#Data], FertiliserProducts[Product], FertiliserProducts[#Headers])</f>
        <v/>
      </c>
      <c r="O12" s="136" t="str" cm="1">
        <f t="array" ref="O12">Fertiliser_InputFunctions.Fertiliser_FertiliserProductLookup(Table_Input_InorganicFertiliser_Brands[[#This Row],[Product (select)]], Table_Input_InorganicFertiliser_Brands[[#Headers],[Ingredient 3 percent]], FertiliserProducts[#Data], FertiliserProducts[Product], FertiliserProducts[#Headers])</f>
        <v/>
      </c>
      <c r="P12" s="136" t="str" cm="1">
        <f t="array" ref="P12">Fertiliser_InputFunctions.Fertiliser_FertiliserProductLookup(Table_Input_InorganicFertiliser_Brands[[#This Row],[Product (select)]], Table_Input_InorganicFertiliser_Brands[[#Headers],[Ingredient 4]], FertiliserProducts[#Data], FertiliserProducts[Product], FertiliserProducts[#Headers])</f>
        <v/>
      </c>
      <c r="Q12" s="136" t="str" cm="1">
        <f t="array" ref="Q12">Fertiliser_InputFunctions.Fertiliser_FertiliserProductLookup(Table_Input_InorganicFertiliser_Brands[[#This Row],[Product (select)]], Table_Input_InorganicFertiliser_Brands[[#Headers],[Ingredient 4 percent]], FertiliserProducts[#Data], FertiliserProducts[Product], FertiliserProducts[#Headers])</f>
        <v/>
      </c>
      <c r="R12" s="136" t="str" cm="1">
        <f t="array" ref="R12">Fertiliser_InputFunctions.Fertiliser_FertiliserProductLookup(Table_Input_InorganicFertiliser_Brands[[#This Row],[Product (select)]], Table_Input_InorganicFertiliser_Brands[[#Headers],[Ingredient 5]], FertiliserProducts[#Data], FertiliserProducts[Product], FertiliserProducts[#Headers])</f>
        <v/>
      </c>
      <c r="S12" s="136" t="str" cm="1">
        <f t="array" ref="S12">Fertiliser_InputFunctions.Fertiliser_FertiliserProductLookup(Table_Input_InorganicFertiliser_Brands[[#This Row],[Product (select)]], Table_Input_InorganicFertiliser_Brands[[#Headers],[Ingredient 5 percent]], FertiliserProducts[#Data], FertiliserProducts[Product], FertiliserProducts[#Headers])</f>
        <v/>
      </c>
      <c r="T12" s="136" t="str" cm="1">
        <f t="array" ref="T12">Fertiliser_InputFunctions.Fertiliser_FertiliserProductLookup(Table_Input_InorganicFertiliser_Brands[[#This Row],[Product (select)]], Table_Input_InorganicFertiliser_Brands[[#Headers],[Ingredient 6]], FertiliserProducts[#Data], FertiliserProducts[Product], FertiliserProducts[#Headers])</f>
        <v/>
      </c>
      <c r="U12" s="136" t="str" cm="1">
        <f t="array" ref="U12">Fertiliser_InputFunctions.Fertiliser_FertiliserProductLookup(Table_Input_InorganicFertiliser_Brands[[#This Row],[Product (select)]], Table_Input_InorganicFertiliser_Brands[[#Headers],[Ingredient 6 percent]], FertiliserProducts[#Data], FertiliserProducts[Product], FertiliserProducts[#Headers])</f>
        <v/>
      </c>
      <c r="V12" s="136">
        <f>IFERROR((_xlfn.XLOOKUP(Table_Input_InorganicFertiliser_Brands[[#This Row],[Ingredient 1]], Table_Fertiliser_ChemicalCompounds[Fertiliser type f],Table_Fertiliser_ChemicalCompounds[FNinorganic f])*Table_Input_InorganicFertiliser_Brands[[#This Row],[Ingredient 1 percent]]), 0)+
IFERROR((_xlfn.XLOOKUP(Table_Input_InorganicFertiliser_Brands[[#This Row],[Ingredient 2]],Table_Fertiliser_ChemicalCompounds[Fertiliser type f],Table_Fertiliser_ChemicalCompounds[FNinorganic f])*Table_Input_InorganicFertiliser_Brands[[#This Row],[Ingredient 2 percent]]), 0)+
IFERROR((_xlfn.XLOOKUP(Table_Input_InorganicFertiliser_Brands[[#This Row],[Ingredient 3]],Table_Fertiliser_ChemicalCompounds[Fertiliser type f],Table_Fertiliser_ChemicalCompounds[FNinorganic f])*Table_Input_InorganicFertiliser_Brands[[#This Row],[Ingredient 3 percent]]), 0)+
IFERROR((_xlfn.XLOOKUP(Table_Input_InorganicFertiliser_Brands[[#This Row],[Ingredient 4]],Table_Fertiliser_ChemicalCompounds[Fertiliser type f],Table_Fertiliser_ChemicalCompounds[FNinorganic f])*Table_Input_InorganicFertiliser_Brands[[#This Row],[Ingredient 4 percent]]), 0)+
IFERROR((_xlfn.XLOOKUP(Table_Input_InorganicFertiliser_Brands[[#This Row],[Ingredient 5]],Table_Fertiliser_ChemicalCompounds[Fertiliser type f],Table_Fertiliser_ChemicalCompounds[FNinorganic f])*Table_Input_InorganicFertiliser_Brands[[#This Row],[Ingredient 5 percent]]), 0)+
IFERROR((_xlfn.XLOOKUP(Table_Input_InorganicFertiliser_Brands[[#This Row],[Ingredient 6]],Table_Fertiliser_ChemicalCompounds[Fertiliser type f],Table_Fertiliser_ChemicalCompounds[FNinorganic f])*Table_Input_InorganicFertiliser_Brands[[#This Row],[Ingredient 6 percent]]), 0)</f>
        <v>0</v>
      </c>
      <c r="W12" s="136" cm="1">
        <f t="array" ref="W12">IFERROR(Fertiliser_InputFunctions.Fertiliser_FertiliserProductLookup(Table_Input_InorganicFertiliser_Brands[[#This Row],[Product (select)]], "N declared", FertiliserProducts[#Data], FertiliserProducts[Product], FertiliserProducts[#Headers])*0.01, 0)</f>
        <v>0</v>
      </c>
      <c r="X12" s="136">
        <f>(Table_Input_InorganicFertiliser_Brands[[#This Row],[Amount applied per hectare]]*Table_Input_InorganicFertiliser_Brands[[#This Row],[Density]])*(IF(Table_Input_InorganicFertiliser_Brands[[#This Row],[% N (declared)]], Table_Input_InorganicFertiliser_Brands[[#This Row],[% N (declared)]], Table_Input_InorganicFertiliser_Brands[[#This Row],[% N (Ingredients)]]))</f>
        <v>0</v>
      </c>
      <c r="Y12" s="136" t="str">
        <f>IFERROR(_xlfn.XLOOKUP(Table_Input_InorganicFertiliser_Brands[[#This Row],[Product (select)]],FertiliserProducts[Product],FertiliserProducts[Urea source]), "")</f>
        <v/>
      </c>
      <c r="Z12" s="136" t="str">
        <f>IFERROR(_xlfn.XLOOKUP(Table_Input_InorganicFertiliser_Brands[[#This Row],[Product (select)]],FertiliserProducts[Product],FertiliserProducts[Ammonia source]), "")</f>
        <v/>
      </c>
    </row>
    <row r="13" spans="1:27" ht="20.100000000000001" customHeight="1" x14ac:dyDescent="0.2">
      <c r="A13" s="5" t="str">
        <f>HYPERLINK("#'Input - Beef cattle purchases'!A1", "Beef cattle purchases")</f>
        <v>Beef cattle purchases</v>
      </c>
      <c r="D13" s="133"/>
      <c r="E13" s="134"/>
      <c r="F13" s="15" t="str">
        <f>IFERROR(_xlfn.XLOOKUP(Table_Input_InorganicFertiliser_Brands[[#This Row],[Product (select)]],FertiliserProducts[Product],FertiliserProducts[Unit]), "kg")</f>
        <v>kg</v>
      </c>
      <c r="G13" s="134">
        <f t="shared" ref="G13" si="1">X_Cell_Fertiliser_AreaUnderCropping</f>
        <v>0</v>
      </c>
      <c r="H13" s="135">
        <f>IFERROR(_xlfn.XLOOKUP(Table_Input_InorganicFertiliser_Brands[[#This Row],[Product (select)]],FertiliserProducts[Product],FertiliserProducts[Density]), 1)</f>
        <v>1</v>
      </c>
      <c r="I13" s="136">
        <f>(Table_Input_InorganicFertiliser_Brands[[#This Row],[Amount applied per hectare]]*Table_Input_InorganicFertiliser_Brands[[#This Row],[Density]])*Table_Input_InorganicFertiliser_Brands[[#This Row],[Application area (ha)]]</f>
        <v>0</v>
      </c>
      <c r="J13" s="136" t="str" cm="1">
        <f t="array" ref="J13">Fertiliser_InputFunctions.Fertiliser_FertiliserProductLookup(Table_Input_InorganicFertiliser_Brands[[#This Row],[Product (select)]], Table_Input_InorganicFertiliser_Brands[[#Headers],[Ingredient 1]], FertiliserProducts[#Data], FertiliserProducts[Product], FertiliserProducts[#Headers])</f>
        <v/>
      </c>
      <c r="K13" s="136" t="str" cm="1">
        <f t="array" ref="K13">Fertiliser_InputFunctions.Fertiliser_FertiliserProductLookup(Table_Input_InorganicFertiliser_Brands[[#This Row],[Product (select)]], Table_Input_InorganicFertiliser_Brands[[#Headers],[Ingredient 1 percent]], FertiliserProducts[#Data], FertiliserProducts[Product], FertiliserProducts[#Headers])</f>
        <v/>
      </c>
      <c r="L13" s="136" t="str" cm="1">
        <f t="array" ref="L13">Fertiliser_InputFunctions.Fertiliser_FertiliserProductLookup(Table_Input_InorganicFertiliser_Brands[[#This Row],[Product (select)]], Table_Input_InorganicFertiliser_Brands[[#Headers],[Ingredient 2]], FertiliserProducts[#Data], FertiliserProducts[Product], FertiliserProducts[#Headers])</f>
        <v/>
      </c>
      <c r="M13" s="136" t="str" cm="1">
        <f t="array" ref="M13">Fertiliser_InputFunctions.Fertiliser_FertiliserProductLookup(Table_Input_InorganicFertiliser_Brands[[#This Row],[Product (select)]], Table_Input_InorganicFertiliser_Brands[[#Headers],[Ingredient 2 percent]], FertiliserProducts[#Data], FertiliserProducts[Product], FertiliserProducts[#Headers])</f>
        <v/>
      </c>
      <c r="N13" s="136" t="str" cm="1">
        <f t="array" ref="N13">Fertiliser_InputFunctions.Fertiliser_FertiliserProductLookup(Table_Input_InorganicFertiliser_Brands[[#This Row],[Product (select)]], Table_Input_InorganicFertiliser_Brands[[#Headers],[Ingredient 3]], FertiliserProducts[#Data], FertiliserProducts[Product], FertiliserProducts[#Headers])</f>
        <v/>
      </c>
      <c r="O13" s="136" t="str" cm="1">
        <f t="array" ref="O13">Fertiliser_InputFunctions.Fertiliser_FertiliserProductLookup(Table_Input_InorganicFertiliser_Brands[[#This Row],[Product (select)]], Table_Input_InorganicFertiliser_Brands[[#Headers],[Ingredient 3 percent]], FertiliserProducts[#Data], FertiliserProducts[Product], FertiliserProducts[#Headers])</f>
        <v/>
      </c>
      <c r="P13" s="136" t="str" cm="1">
        <f t="array" ref="P13">Fertiliser_InputFunctions.Fertiliser_FertiliserProductLookup(Table_Input_InorganicFertiliser_Brands[[#This Row],[Product (select)]], Table_Input_InorganicFertiliser_Brands[[#Headers],[Ingredient 4]], FertiliserProducts[#Data], FertiliserProducts[Product], FertiliserProducts[#Headers])</f>
        <v/>
      </c>
      <c r="Q13" s="136" t="str" cm="1">
        <f t="array" ref="Q13">Fertiliser_InputFunctions.Fertiliser_FertiliserProductLookup(Table_Input_InorganicFertiliser_Brands[[#This Row],[Product (select)]], Table_Input_InorganicFertiliser_Brands[[#Headers],[Ingredient 4 percent]], FertiliserProducts[#Data], FertiliserProducts[Product], FertiliserProducts[#Headers])</f>
        <v/>
      </c>
      <c r="R13" s="136" t="str" cm="1">
        <f t="array" ref="R13">Fertiliser_InputFunctions.Fertiliser_FertiliserProductLookup(Table_Input_InorganicFertiliser_Brands[[#This Row],[Product (select)]], Table_Input_InorganicFertiliser_Brands[[#Headers],[Ingredient 5]], FertiliserProducts[#Data], FertiliserProducts[Product], FertiliserProducts[#Headers])</f>
        <v/>
      </c>
      <c r="S13" s="136" t="str" cm="1">
        <f t="array" ref="S13">Fertiliser_InputFunctions.Fertiliser_FertiliserProductLookup(Table_Input_InorganicFertiliser_Brands[[#This Row],[Product (select)]], Table_Input_InorganicFertiliser_Brands[[#Headers],[Ingredient 5 percent]], FertiliserProducts[#Data], FertiliserProducts[Product], FertiliserProducts[#Headers])</f>
        <v/>
      </c>
      <c r="T13" s="136" t="str" cm="1">
        <f t="array" ref="T13">Fertiliser_InputFunctions.Fertiliser_FertiliserProductLookup(Table_Input_InorganicFertiliser_Brands[[#This Row],[Product (select)]], Table_Input_InorganicFertiliser_Brands[[#Headers],[Ingredient 6]], FertiliserProducts[#Data], FertiliserProducts[Product], FertiliserProducts[#Headers])</f>
        <v/>
      </c>
      <c r="U13" s="136" t="str" cm="1">
        <f t="array" ref="U13">Fertiliser_InputFunctions.Fertiliser_FertiliserProductLookup(Table_Input_InorganicFertiliser_Brands[[#This Row],[Product (select)]], Table_Input_InorganicFertiliser_Brands[[#Headers],[Ingredient 6 percent]], FertiliserProducts[#Data], FertiliserProducts[Product], FertiliserProducts[#Headers])</f>
        <v/>
      </c>
      <c r="V13" s="136">
        <f>IFERROR((_xlfn.XLOOKUP(Table_Input_InorganicFertiliser_Brands[[#This Row],[Ingredient 1]], Table_Fertiliser_ChemicalCompounds[Fertiliser type f],Table_Fertiliser_ChemicalCompounds[FNinorganic f])*Table_Input_InorganicFertiliser_Brands[[#This Row],[Ingredient 1 percent]]), 0)+
IFERROR((_xlfn.XLOOKUP(Table_Input_InorganicFertiliser_Brands[[#This Row],[Ingredient 2]],Table_Fertiliser_ChemicalCompounds[Fertiliser type f],Table_Fertiliser_ChemicalCompounds[FNinorganic f])*Table_Input_InorganicFertiliser_Brands[[#This Row],[Ingredient 2 percent]]), 0)+
IFERROR((_xlfn.XLOOKUP(Table_Input_InorganicFertiliser_Brands[[#This Row],[Ingredient 3]],Table_Fertiliser_ChemicalCompounds[Fertiliser type f],Table_Fertiliser_ChemicalCompounds[FNinorganic f])*Table_Input_InorganicFertiliser_Brands[[#This Row],[Ingredient 3 percent]]), 0)+
IFERROR((_xlfn.XLOOKUP(Table_Input_InorganicFertiliser_Brands[[#This Row],[Ingredient 4]],Table_Fertiliser_ChemicalCompounds[Fertiliser type f],Table_Fertiliser_ChemicalCompounds[FNinorganic f])*Table_Input_InorganicFertiliser_Brands[[#This Row],[Ingredient 4 percent]]), 0)+
IFERROR((_xlfn.XLOOKUP(Table_Input_InorganicFertiliser_Brands[[#This Row],[Ingredient 5]],Table_Fertiliser_ChemicalCompounds[Fertiliser type f],Table_Fertiliser_ChemicalCompounds[FNinorganic f])*Table_Input_InorganicFertiliser_Brands[[#This Row],[Ingredient 5 percent]]), 0)+
IFERROR((_xlfn.XLOOKUP(Table_Input_InorganicFertiliser_Brands[[#This Row],[Ingredient 6]],Table_Fertiliser_ChemicalCompounds[Fertiliser type f],Table_Fertiliser_ChemicalCompounds[FNinorganic f])*Table_Input_InorganicFertiliser_Brands[[#This Row],[Ingredient 6 percent]]), 0)</f>
        <v>0</v>
      </c>
      <c r="W13" s="137" cm="1">
        <f t="array" ref="W13">IFERROR(Fertiliser_InputFunctions.Fertiliser_FertiliserProductLookup(Table_Input_InorganicFertiliser_Brands[[#This Row],[Product (select)]], "N declared", FertiliserProducts[#Data], FertiliserProducts[Product], FertiliserProducts[#Headers])*0.01, 0)</f>
        <v>0</v>
      </c>
      <c r="X13" s="136">
        <f>(Table_Input_InorganicFertiliser_Brands[[#This Row],[Amount applied per hectare]]*Table_Input_InorganicFertiliser_Brands[[#This Row],[Density]])*(IF(Table_Input_InorganicFertiliser_Brands[[#This Row],[% N (declared)]], Table_Input_InorganicFertiliser_Brands[[#This Row],[% N (declared)]], Table_Input_InorganicFertiliser_Brands[[#This Row],[% N (Ingredients)]]))</f>
        <v>0</v>
      </c>
      <c r="Y13" s="136" t="str">
        <f>IFERROR(_xlfn.XLOOKUP(Table_Input_InorganicFertiliser_Brands[[#This Row],[Product (select)]],FertiliserProducts[Product],FertiliserProducts[Urea source]), "")</f>
        <v/>
      </c>
      <c r="Z13" s="136" t="str">
        <f>IFERROR(_xlfn.XLOOKUP(Table_Input_InorganicFertiliser_Brands[[#This Row],[Product (select)]],FertiliserProducts[Product],FertiliserProducts[Ammonia source]), "")</f>
        <v/>
      </c>
    </row>
    <row r="14" spans="1:27" ht="20.100000000000001" customHeight="1" x14ac:dyDescent="0.2">
      <c r="A14" s="5" t="str">
        <f>HYPERLINK("#'Input - Pasture'!A1", "Pasture")</f>
        <v>Pasture</v>
      </c>
      <c r="D14" s="133"/>
      <c r="E14" s="134"/>
      <c r="F14" s="15" t="str">
        <f>IFERROR(_xlfn.XLOOKUP(Table_Input_InorganicFertiliser_Brands[[#This Row],[Product (select)]],FertiliserProducts[Product],FertiliserProducts[Unit]), "kg")</f>
        <v>kg</v>
      </c>
      <c r="G14" s="134">
        <f t="shared" si="0"/>
        <v>0</v>
      </c>
      <c r="H14" s="135">
        <f>IFERROR(_xlfn.XLOOKUP(Table_Input_InorganicFertiliser_Brands[[#This Row],[Product (select)]],FertiliserProducts[Product],FertiliserProducts[Density]), 1)</f>
        <v>1</v>
      </c>
      <c r="I14" s="136">
        <f>(Table_Input_InorganicFertiliser_Brands[[#This Row],[Amount applied per hectare]]*Table_Input_InorganicFertiliser_Brands[[#This Row],[Density]])*Table_Input_InorganicFertiliser_Brands[[#This Row],[Application area (ha)]]</f>
        <v>0</v>
      </c>
      <c r="J14" s="136" t="str" cm="1">
        <f t="array" ref="J14">Fertiliser_InputFunctions.Fertiliser_FertiliserProductLookup(Table_Input_InorganicFertiliser_Brands[[#This Row],[Product (select)]], Table_Input_InorganicFertiliser_Brands[[#Headers],[Ingredient 1]], FertiliserProducts[#Data], FertiliserProducts[Product], FertiliserProducts[#Headers])</f>
        <v/>
      </c>
      <c r="K14" s="136" t="str" cm="1">
        <f t="array" ref="K14">Fertiliser_InputFunctions.Fertiliser_FertiliserProductLookup(Table_Input_InorganicFertiliser_Brands[[#This Row],[Product (select)]], Table_Input_InorganicFertiliser_Brands[[#Headers],[Ingredient 1 percent]], FertiliserProducts[#Data], FertiliserProducts[Product], FertiliserProducts[#Headers])</f>
        <v/>
      </c>
      <c r="L14" s="136" t="str" cm="1">
        <f t="array" ref="L14">Fertiliser_InputFunctions.Fertiliser_FertiliserProductLookup(Table_Input_InorganicFertiliser_Brands[[#This Row],[Product (select)]], Table_Input_InorganicFertiliser_Brands[[#Headers],[Ingredient 2]], FertiliserProducts[#Data], FertiliserProducts[Product], FertiliserProducts[#Headers])</f>
        <v/>
      </c>
      <c r="M14" s="136" t="str" cm="1">
        <f t="array" ref="M14">Fertiliser_InputFunctions.Fertiliser_FertiliserProductLookup(Table_Input_InorganicFertiliser_Brands[[#This Row],[Product (select)]], Table_Input_InorganicFertiliser_Brands[[#Headers],[Ingredient 2 percent]], FertiliserProducts[#Data], FertiliserProducts[Product], FertiliserProducts[#Headers])</f>
        <v/>
      </c>
      <c r="N14" s="136" t="str" cm="1">
        <f t="array" ref="N14">Fertiliser_InputFunctions.Fertiliser_FertiliserProductLookup(Table_Input_InorganicFertiliser_Brands[[#This Row],[Product (select)]], Table_Input_InorganicFertiliser_Brands[[#Headers],[Ingredient 3]], FertiliserProducts[#Data], FertiliserProducts[Product], FertiliserProducts[#Headers])</f>
        <v/>
      </c>
      <c r="O14" s="136" t="str" cm="1">
        <f t="array" ref="O14">Fertiliser_InputFunctions.Fertiliser_FertiliserProductLookup(Table_Input_InorganicFertiliser_Brands[[#This Row],[Product (select)]], Table_Input_InorganicFertiliser_Brands[[#Headers],[Ingredient 3 percent]], FertiliserProducts[#Data], FertiliserProducts[Product], FertiliserProducts[#Headers])</f>
        <v/>
      </c>
      <c r="P14" s="136" t="str" cm="1">
        <f t="array" ref="P14">Fertiliser_InputFunctions.Fertiliser_FertiliserProductLookup(Table_Input_InorganicFertiliser_Brands[[#This Row],[Product (select)]], Table_Input_InorganicFertiliser_Brands[[#Headers],[Ingredient 4]], FertiliserProducts[#Data], FertiliserProducts[Product], FertiliserProducts[#Headers])</f>
        <v/>
      </c>
      <c r="Q14" s="136" t="str" cm="1">
        <f t="array" ref="Q14">Fertiliser_InputFunctions.Fertiliser_FertiliserProductLookup(Table_Input_InorganicFertiliser_Brands[[#This Row],[Product (select)]], Table_Input_InorganicFertiliser_Brands[[#Headers],[Ingredient 4 percent]], FertiliserProducts[#Data], FertiliserProducts[Product], FertiliserProducts[#Headers])</f>
        <v/>
      </c>
      <c r="R14" s="136" t="str" cm="1">
        <f t="array" ref="R14">Fertiliser_InputFunctions.Fertiliser_FertiliserProductLookup(Table_Input_InorganicFertiliser_Brands[[#This Row],[Product (select)]], Table_Input_InorganicFertiliser_Brands[[#Headers],[Ingredient 5]], FertiliserProducts[#Data], FertiliserProducts[Product], FertiliserProducts[#Headers])</f>
        <v/>
      </c>
      <c r="S14" s="136" t="str" cm="1">
        <f t="array" ref="S14">Fertiliser_InputFunctions.Fertiliser_FertiliserProductLookup(Table_Input_InorganicFertiliser_Brands[[#This Row],[Product (select)]], Table_Input_InorganicFertiliser_Brands[[#Headers],[Ingredient 5 percent]], FertiliserProducts[#Data], FertiliserProducts[Product], FertiliserProducts[#Headers])</f>
        <v/>
      </c>
      <c r="T14" s="136" t="str" cm="1">
        <f t="array" ref="T14">Fertiliser_InputFunctions.Fertiliser_FertiliserProductLookup(Table_Input_InorganicFertiliser_Brands[[#This Row],[Product (select)]], Table_Input_InorganicFertiliser_Brands[[#Headers],[Ingredient 6]], FertiliserProducts[#Data], FertiliserProducts[Product], FertiliserProducts[#Headers])</f>
        <v/>
      </c>
      <c r="U14" s="136" t="str" cm="1">
        <f t="array" ref="U14">Fertiliser_InputFunctions.Fertiliser_FertiliserProductLookup(Table_Input_InorganicFertiliser_Brands[[#This Row],[Product (select)]], Table_Input_InorganicFertiliser_Brands[[#Headers],[Ingredient 6 percent]], FertiliserProducts[#Data], FertiliserProducts[Product], FertiliserProducts[#Headers])</f>
        <v/>
      </c>
      <c r="V14" s="136">
        <f>IFERROR((_xlfn.XLOOKUP(Table_Input_InorganicFertiliser_Brands[[#This Row],[Ingredient 1]], Table_Fertiliser_ChemicalCompounds[Fertiliser type f],Table_Fertiliser_ChemicalCompounds[FNinorganic f])*Table_Input_InorganicFertiliser_Brands[[#This Row],[Ingredient 1 percent]]), 0)+
IFERROR((_xlfn.XLOOKUP(Table_Input_InorganicFertiliser_Brands[[#This Row],[Ingredient 2]],Table_Fertiliser_ChemicalCompounds[Fertiliser type f],Table_Fertiliser_ChemicalCompounds[FNinorganic f])*Table_Input_InorganicFertiliser_Brands[[#This Row],[Ingredient 2 percent]]), 0)+
IFERROR((_xlfn.XLOOKUP(Table_Input_InorganicFertiliser_Brands[[#This Row],[Ingredient 3]],Table_Fertiliser_ChemicalCompounds[Fertiliser type f],Table_Fertiliser_ChemicalCompounds[FNinorganic f])*Table_Input_InorganicFertiliser_Brands[[#This Row],[Ingredient 3 percent]]), 0)+
IFERROR((_xlfn.XLOOKUP(Table_Input_InorganicFertiliser_Brands[[#This Row],[Ingredient 4]],Table_Fertiliser_ChemicalCompounds[Fertiliser type f],Table_Fertiliser_ChemicalCompounds[FNinorganic f])*Table_Input_InorganicFertiliser_Brands[[#This Row],[Ingredient 4 percent]]), 0)+
IFERROR((_xlfn.XLOOKUP(Table_Input_InorganicFertiliser_Brands[[#This Row],[Ingredient 5]],Table_Fertiliser_ChemicalCompounds[Fertiliser type f],Table_Fertiliser_ChemicalCompounds[FNinorganic f])*Table_Input_InorganicFertiliser_Brands[[#This Row],[Ingredient 5 percent]]), 0)+
IFERROR((_xlfn.XLOOKUP(Table_Input_InorganicFertiliser_Brands[[#This Row],[Ingredient 6]],Table_Fertiliser_ChemicalCompounds[Fertiliser type f],Table_Fertiliser_ChemicalCompounds[FNinorganic f])*Table_Input_InorganicFertiliser_Brands[[#This Row],[Ingredient 6 percent]]), 0)</f>
        <v>0</v>
      </c>
      <c r="W14" s="137" cm="1">
        <f t="array" ref="W14">IFERROR(Fertiliser_InputFunctions.Fertiliser_FertiliserProductLookup(Table_Input_InorganicFertiliser_Brands[[#This Row],[Product (select)]], "N declared", FertiliserProducts[#Data], FertiliserProducts[Product], FertiliserProducts[#Headers])*0.01, 0)</f>
        <v>0</v>
      </c>
      <c r="X14" s="136">
        <f>(Table_Input_InorganicFertiliser_Brands[[#This Row],[Amount applied per hectare]]*Table_Input_InorganicFertiliser_Brands[[#This Row],[Density]])*(IF(Table_Input_InorganicFertiliser_Brands[[#This Row],[% N (declared)]], Table_Input_InorganicFertiliser_Brands[[#This Row],[% N (declared)]], Table_Input_InorganicFertiliser_Brands[[#This Row],[% N (Ingredients)]]))</f>
        <v>0</v>
      </c>
      <c r="Y14" s="136" t="str">
        <f>IFERROR(_xlfn.XLOOKUP(Table_Input_InorganicFertiliser_Brands[[#This Row],[Product (select)]],FertiliserProducts[Product],FertiliserProducts[Urea source]), "")</f>
        <v/>
      </c>
      <c r="Z14" s="136" t="str">
        <f>IFERROR(_xlfn.XLOOKUP(Table_Input_InorganicFertiliser_Brands[[#This Row],[Product (select)]],FertiliserProducts[Product],FertiliserProducts[Ammonia source]), "")</f>
        <v/>
      </c>
    </row>
    <row r="15" spans="1:27" ht="20.100000000000001" customHeight="1" x14ac:dyDescent="0.2">
      <c r="A15" s="5" t="str">
        <f>HYPERLINK("#'Input - Fert Prod System'!A1", "Fert Prod System")</f>
        <v>Fert Prod System</v>
      </c>
      <c r="D15" s="133"/>
      <c r="E15" s="134"/>
      <c r="F15" s="15" t="str">
        <f>IFERROR(_xlfn.XLOOKUP(Table_Input_InorganicFertiliser_Brands[[#This Row],[Product (select)]],FertiliserProducts[Product],FertiliserProducts[Unit]), "kg")</f>
        <v>kg</v>
      </c>
      <c r="G15" s="134">
        <f t="shared" si="0"/>
        <v>0</v>
      </c>
      <c r="H15" s="135">
        <f>IFERROR(_xlfn.XLOOKUP(Table_Input_InorganicFertiliser_Brands[[#This Row],[Product (select)]],FertiliserProducts[Product],FertiliserProducts[Density]), 1)</f>
        <v>1</v>
      </c>
      <c r="I15" s="136">
        <f>(Table_Input_InorganicFertiliser_Brands[[#This Row],[Amount applied per hectare]]*Table_Input_InorganicFertiliser_Brands[[#This Row],[Density]])*Table_Input_InorganicFertiliser_Brands[[#This Row],[Application area (ha)]]</f>
        <v>0</v>
      </c>
      <c r="J15" s="136" t="str" cm="1">
        <f t="array" ref="J15">Fertiliser_InputFunctions.Fertiliser_FertiliserProductLookup(Table_Input_InorganicFertiliser_Brands[[#This Row],[Product (select)]], Table_Input_InorganicFertiliser_Brands[[#Headers],[Ingredient 1]], FertiliserProducts[#Data], FertiliserProducts[Product], FertiliserProducts[#Headers])</f>
        <v/>
      </c>
      <c r="K15" s="136" t="str" cm="1">
        <f t="array" ref="K15">Fertiliser_InputFunctions.Fertiliser_FertiliserProductLookup(Table_Input_InorganicFertiliser_Brands[[#This Row],[Product (select)]], Table_Input_InorganicFertiliser_Brands[[#Headers],[Ingredient 1 percent]], FertiliserProducts[#Data], FertiliserProducts[Product], FertiliserProducts[#Headers])</f>
        <v/>
      </c>
      <c r="L15" s="136" t="str" cm="1">
        <f t="array" ref="L15">Fertiliser_InputFunctions.Fertiliser_FertiliserProductLookup(Table_Input_InorganicFertiliser_Brands[[#This Row],[Product (select)]], Table_Input_InorganicFertiliser_Brands[[#Headers],[Ingredient 2]], FertiliserProducts[#Data], FertiliserProducts[Product], FertiliserProducts[#Headers])</f>
        <v/>
      </c>
      <c r="M15" s="136" t="str" cm="1">
        <f t="array" ref="M15">Fertiliser_InputFunctions.Fertiliser_FertiliserProductLookup(Table_Input_InorganicFertiliser_Brands[[#This Row],[Product (select)]], Table_Input_InorganicFertiliser_Brands[[#Headers],[Ingredient 2 percent]], FertiliserProducts[#Data], FertiliserProducts[Product], FertiliserProducts[#Headers])</f>
        <v/>
      </c>
      <c r="N15" s="136" t="str" cm="1">
        <f t="array" ref="N15">Fertiliser_InputFunctions.Fertiliser_FertiliserProductLookup(Table_Input_InorganicFertiliser_Brands[[#This Row],[Product (select)]], Table_Input_InorganicFertiliser_Brands[[#Headers],[Ingredient 3]], FertiliserProducts[#Data], FertiliserProducts[Product], FertiliserProducts[#Headers])</f>
        <v/>
      </c>
      <c r="O15" s="136" t="str" cm="1">
        <f t="array" ref="O15">Fertiliser_InputFunctions.Fertiliser_FertiliserProductLookup(Table_Input_InorganicFertiliser_Brands[[#This Row],[Product (select)]], Table_Input_InorganicFertiliser_Brands[[#Headers],[Ingredient 3 percent]], FertiliserProducts[#Data], FertiliserProducts[Product], FertiliserProducts[#Headers])</f>
        <v/>
      </c>
      <c r="P15" s="136" t="str" cm="1">
        <f t="array" ref="P15">Fertiliser_InputFunctions.Fertiliser_FertiliserProductLookup(Table_Input_InorganicFertiliser_Brands[[#This Row],[Product (select)]], Table_Input_InorganicFertiliser_Brands[[#Headers],[Ingredient 4]], FertiliserProducts[#Data], FertiliserProducts[Product], FertiliserProducts[#Headers])</f>
        <v/>
      </c>
      <c r="Q15" s="136" t="str" cm="1">
        <f t="array" ref="Q15">Fertiliser_InputFunctions.Fertiliser_FertiliserProductLookup(Table_Input_InorganicFertiliser_Brands[[#This Row],[Product (select)]], Table_Input_InorganicFertiliser_Brands[[#Headers],[Ingredient 4 percent]], FertiliserProducts[#Data], FertiliserProducts[Product], FertiliserProducts[#Headers])</f>
        <v/>
      </c>
      <c r="R15" s="136" t="str" cm="1">
        <f t="array" ref="R15">Fertiliser_InputFunctions.Fertiliser_FertiliserProductLookup(Table_Input_InorganicFertiliser_Brands[[#This Row],[Product (select)]], Table_Input_InorganicFertiliser_Brands[[#Headers],[Ingredient 5]], FertiliserProducts[#Data], FertiliserProducts[Product], FertiliserProducts[#Headers])</f>
        <v/>
      </c>
      <c r="S15" s="136" t="str" cm="1">
        <f t="array" ref="S15">Fertiliser_InputFunctions.Fertiliser_FertiliserProductLookup(Table_Input_InorganicFertiliser_Brands[[#This Row],[Product (select)]], Table_Input_InorganicFertiliser_Brands[[#Headers],[Ingredient 5 percent]], FertiliserProducts[#Data], FertiliserProducts[Product], FertiliserProducts[#Headers])</f>
        <v/>
      </c>
      <c r="T15" s="136" t="str" cm="1">
        <f t="array" ref="T15">Fertiliser_InputFunctions.Fertiliser_FertiliserProductLookup(Table_Input_InorganicFertiliser_Brands[[#This Row],[Product (select)]], Table_Input_InorganicFertiliser_Brands[[#Headers],[Ingredient 6]], FertiliserProducts[#Data], FertiliserProducts[Product], FertiliserProducts[#Headers])</f>
        <v/>
      </c>
      <c r="U15" s="136" t="str" cm="1">
        <f t="array" ref="U15">Fertiliser_InputFunctions.Fertiliser_FertiliserProductLookup(Table_Input_InorganicFertiliser_Brands[[#This Row],[Product (select)]], Table_Input_InorganicFertiliser_Brands[[#Headers],[Ingredient 6 percent]], FertiliserProducts[#Data], FertiliserProducts[Product], FertiliserProducts[#Headers])</f>
        <v/>
      </c>
      <c r="V15" s="136">
        <f>IFERROR((_xlfn.XLOOKUP(Table_Input_InorganicFertiliser_Brands[[#This Row],[Ingredient 1]], Table_Fertiliser_ChemicalCompounds[Fertiliser type f],Table_Fertiliser_ChemicalCompounds[FNinorganic f])*Table_Input_InorganicFertiliser_Brands[[#This Row],[Ingredient 1 percent]]), 0)+
IFERROR((_xlfn.XLOOKUP(Table_Input_InorganicFertiliser_Brands[[#This Row],[Ingredient 2]],Table_Fertiliser_ChemicalCompounds[Fertiliser type f],Table_Fertiliser_ChemicalCompounds[FNinorganic f])*Table_Input_InorganicFertiliser_Brands[[#This Row],[Ingredient 2 percent]]), 0)+
IFERROR((_xlfn.XLOOKUP(Table_Input_InorganicFertiliser_Brands[[#This Row],[Ingredient 3]],Table_Fertiliser_ChemicalCompounds[Fertiliser type f],Table_Fertiliser_ChemicalCompounds[FNinorganic f])*Table_Input_InorganicFertiliser_Brands[[#This Row],[Ingredient 3 percent]]), 0)+
IFERROR((_xlfn.XLOOKUP(Table_Input_InorganicFertiliser_Brands[[#This Row],[Ingredient 4]],Table_Fertiliser_ChemicalCompounds[Fertiliser type f],Table_Fertiliser_ChemicalCompounds[FNinorganic f])*Table_Input_InorganicFertiliser_Brands[[#This Row],[Ingredient 4 percent]]), 0)+
IFERROR((_xlfn.XLOOKUP(Table_Input_InorganicFertiliser_Brands[[#This Row],[Ingredient 5]],Table_Fertiliser_ChemicalCompounds[Fertiliser type f],Table_Fertiliser_ChemicalCompounds[FNinorganic f])*Table_Input_InorganicFertiliser_Brands[[#This Row],[Ingredient 5 percent]]), 0)+
IFERROR((_xlfn.XLOOKUP(Table_Input_InorganicFertiliser_Brands[[#This Row],[Ingredient 6]],Table_Fertiliser_ChemicalCompounds[Fertiliser type f],Table_Fertiliser_ChemicalCompounds[FNinorganic f])*Table_Input_InorganicFertiliser_Brands[[#This Row],[Ingredient 6 percent]]), 0)</f>
        <v>0</v>
      </c>
      <c r="W15" s="137" cm="1">
        <f t="array" ref="W15">IFERROR(Fertiliser_InputFunctions.Fertiliser_FertiliserProductLookup(Table_Input_InorganicFertiliser_Brands[[#This Row],[Product (select)]], "N declared", FertiliserProducts[#Data], FertiliserProducts[Product], FertiliserProducts[#Headers])*0.01, 0)</f>
        <v>0</v>
      </c>
      <c r="X15" s="136">
        <f>(Table_Input_InorganicFertiliser_Brands[[#This Row],[Amount applied per hectare]]*Table_Input_InorganicFertiliser_Brands[[#This Row],[Density]])*(IF(Table_Input_InorganicFertiliser_Brands[[#This Row],[% N (declared)]], Table_Input_InorganicFertiliser_Brands[[#This Row],[% N (declared)]], Table_Input_InorganicFertiliser_Brands[[#This Row],[% N (Ingredients)]]))</f>
        <v>0</v>
      </c>
      <c r="Y15" s="136" t="str">
        <f>IFERROR(_xlfn.XLOOKUP(Table_Input_InorganicFertiliser_Brands[[#This Row],[Product (select)]],FertiliserProducts[Product],FertiliserProducts[Urea source]), "")</f>
        <v/>
      </c>
      <c r="Z15" s="136" t="str">
        <f>IFERROR(_xlfn.XLOOKUP(Table_Input_InorganicFertiliser_Brands[[#This Row],[Product (select)]],FertiliserProducts[Product],FertiliserProducts[Ammonia source]), "")</f>
        <v/>
      </c>
    </row>
    <row r="16" spans="1:27" ht="20.100000000000001" customHeight="1" x14ac:dyDescent="0.2">
      <c r="A16" s="99" t="str">
        <f>HYPERLINK("#'Input - Fertiliser'!A1", "Fertiliser")</f>
        <v>Fertiliser</v>
      </c>
      <c r="D16" s="133"/>
      <c r="E16" s="134"/>
      <c r="F16" s="15" t="str">
        <f>IFERROR(_xlfn.XLOOKUP(Table_Input_InorganicFertiliser_Brands[[#This Row],[Product (select)]],FertiliserProducts[Product],FertiliserProducts[Unit]), "kg")</f>
        <v>kg</v>
      </c>
      <c r="G16" s="134">
        <f t="shared" ref="G16" si="2">X_Cell_Fertiliser_AreaUnderCropping</f>
        <v>0</v>
      </c>
      <c r="H16" s="135">
        <f>IFERROR(_xlfn.XLOOKUP(Table_Input_InorganicFertiliser_Brands[[#This Row],[Product (select)]],FertiliserProducts[Product],FertiliserProducts[Density]), 1)</f>
        <v>1</v>
      </c>
      <c r="I16" s="136">
        <f>(Table_Input_InorganicFertiliser_Brands[[#This Row],[Amount applied per hectare]]*Table_Input_InorganicFertiliser_Brands[[#This Row],[Density]])*Table_Input_InorganicFertiliser_Brands[[#This Row],[Application area (ha)]]</f>
        <v>0</v>
      </c>
      <c r="J16" s="136" t="str" cm="1">
        <f t="array" ref="J16">Fertiliser_InputFunctions.Fertiliser_FertiliserProductLookup(Table_Input_InorganicFertiliser_Brands[[#This Row],[Product (select)]], Table_Input_InorganicFertiliser_Brands[[#Headers],[Ingredient 1]], FertiliserProducts[#Data], FertiliserProducts[Product], FertiliserProducts[#Headers])</f>
        <v/>
      </c>
      <c r="K16" s="136" t="str" cm="1">
        <f t="array" ref="K16">Fertiliser_InputFunctions.Fertiliser_FertiliserProductLookup(Table_Input_InorganicFertiliser_Brands[[#This Row],[Product (select)]], Table_Input_InorganicFertiliser_Brands[[#Headers],[Ingredient 1 percent]], FertiliserProducts[#Data], FertiliserProducts[Product], FertiliserProducts[#Headers])</f>
        <v/>
      </c>
      <c r="L16" s="136" t="str" cm="1">
        <f t="array" ref="L16">Fertiliser_InputFunctions.Fertiliser_FertiliserProductLookup(Table_Input_InorganicFertiliser_Brands[[#This Row],[Product (select)]], Table_Input_InorganicFertiliser_Brands[[#Headers],[Ingredient 2]], FertiliserProducts[#Data], FertiliserProducts[Product], FertiliserProducts[#Headers])</f>
        <v/>
      </c>
      <c r="M16" s="136" t="str" cm="1">
        <f t="array" ref="M16">Fertiliser_InputFunctions.Fertiliser_FertiliserProductLookup(Table_Input_InorganicFertiliser_Brands[[#This Row],[Product (select)]], Table_Input_InorganicFertiliser_Brands[[#Headers],[Ingredient 2 percent]], FertiliserProducts[#Data], FertiliserProducts[Product], FertiliserProducts[#Headers])</f>
        <v/>
      </c>
      <c r="N16" s="136" t="str" cm="1">
        <f t="array" ref="N16">Fertiliser_InputFunctions.Fertiliser_FertiliserProductLookup(Table_Input_InorganicFertiliser_Brands[[#This Row],[Product (select)]], Table_Input_InorganicFertiliser_Brands[[#Headers],[Ingredient 3]], FertiliserProducts[#Data], FertiliserProducts[Product], FertiliserProducts[#Headers])</f>
        <v/>
      </c>
      <c r="O16" s="136" t="str" cm="1">
        <f t="array" ref="O16">Fertiliser_InputFunctions.Fertiliser_FertiliserProductLookup(Table_Input_InorganicFertiliser_Brands[[#This Row],[Product (select)]], Table_Input_InorganicFertiliser_Brands[[#Headers],[Ingredient 3 percent]], FertiliserProducts[#Data], FertiliserProducts[Product], FertiliserProducts[#Headers])</f>
        <v/>
      </c>
      <c r="P16" s="136" t="str" cm="1">
        <f t="array" ref="P16">Fertiliser_InputFunctions.Fertiliser_FertiliserProductLookup(Table_Input_InorganicFertiliser_Brands[[#This Row],[Product (select)]], Table_Input_InorganicFertiliser_Brands[[#Headers],[Ingredient 4]], FertiliserProducts[#Data], FertiliserProducts[Product], FertiliserProducts[#Headers])</f>
        <v/>
      </c>
      <c r="Q16" s="136" t="str" cm="1">
        <f t="array" ref="Q16">Fertiliser_InputFunctions.Fertiliser_FertiliserProductLookup(Table_Input_InorganicFertiliser_Brands[[#This Row],[Product (select)]], Table_Input_InorganicFertiliser_Brands[[#Headers],[Ingredient 4 percent]], FertiliserProducts[#Data], FertiliserProducts[Product], FertiliserProducts[#Headers])</f>
        <v/>
      </c>
      <c r="R16" s="136" t="str" cm="1">
        <f t="array" ref="R16">Fertiliser_InputFunctions.Fertiliser_FertiliserProductLookup(Table_Input_InorganicFertiliser_Brands[[#This Row],[Product (select)]], Table_Input_InorganicFertiliser_Brands[[#Headers],[Ingredient 5]], FertiliserProducts[#Data], FertiliserProducts[Product], FertiliserProducts[#Headers])</f>
        <v/>
      </c>
      <c r="S16" s="136" t="str" cm="1">
        <f t="array" ref="S16">Fertiliser_InputFunctions.Fertiliser_FertiliserProductLookup(Table_Input_InorganicFertiliser_Brands[[#This Row],[Product (select)]], Table_Input_InorganicFertiliser_Brands[[#Headers],[Ingredient 5 percent]], FertiliserProducts[#Data], FertiliserProducts[Product], FertiliserProducts[#Headers])</f>
        <v/>
      </c>
      <c r="T16" s="136" t="str" cm="1">
        <f t="array" ref="T16">Fertiliser_InputFunctions.Fertiliser_FertiliserProductLookup(Table_Input_InorganicFertiliser_Brands[[#This Row],[Product (select)]], Table_Input_InorganicFertiliser_Brands[[#Headers],[Ingredient 6]], FertiliserProducts[#Data], FertiliserProducts[Product], FertiliserProducts[#Headers])</f>
        <v/>
      </c>
      <c r="U16" s="136" t="str" cm="1">
        <f t="array" ref="U16">Fertiliser_InputFunctions.Fertiliser_FertiliserProductLookup(Table_Input_InorganicFertiliser_Brands[[#This Row],[Product (select)]], Table_Input_InorganicFertiliser_Brands[[#Headers],[Ingredient 6 percent]], FertiliserProducts[#Data], FertiliserProducts[Product], FertiliserProducts[#Headers])</f>
        <v/>
      </c>
      <c r="V16" s="136">
        <f>IFERROR((_xlfn.XLOOKUP(Table_Input_InorganicFertiliser_Brands[[#This Row],[Ingredient 1]], Table_Fertiliser_ChemicalCompounds[Fertiliser type f],Table_Fertiliser_ChemicalCompounds[FNinorganic f])*Table_Input_InorganicFertiliser_Brands[[#This Row],[Ingredient 1 percent]]), 0)+
IFERROR((_xlfn.XLOOKUP(Table_Input_InorganicFertiliser_Brands[[#This Row],[Ingredient 2]],Table_Fertiliser_ChemicalCompounds[Fertiliser type f],Table_Fertiliser_ChemicalCompounds[FNinorganic f])*Table_Input_InorganicFertiliser_Brands[[#This Row],[Ingredient 2 percent]]), 0)+
IFERROR((_xlfn.XLOOKUP(Table_Input_InorganicFertiliser_Brands[[#This Row],[Ingredient 3]],Table_Fertiliser_ChemicalCompounds[Fertiliser type f],Table_Fertiliser_ChemicalCompounds[FNinorganic f])*Table_Input_InorganicFertiliser_Brands[[#This Row],[Ingredient 3 percent]]), 0)+
IFERROR((_xlfn.XLOOKUP(Table_Input_InorganicFertiliser_Brands[[#This Row],[Ingredient 4]],Table_Fertiliser_ChemicalCompounds[Fertiliser type f],Table_Fertiliser_ChemicalCompounds[FNinorganic f])*Table_Input_InorganicFertiliser_Brands[[#This Row],[Ingredient 4 percent]]), 0)+
IFERROR((_xlfn.XLOOKUP(Table_Input_InorganicFertiliser_Brands[[#This Row],[Ingredient 5]],Table_Fertiliser_ChemicalCompounds[Fertiliser type f],Table_Fertiliser_ChemicalCompounds[FNinorganic f])*Table_Input_InorganicFertiliser_Brands[[#This Row],[Ingredient 5 percent]]), 0)+
IFERROR((_xlfn.XLOOKUP(Table_Input_InorganicFertiliser_Brands[[#This Row],[Ingredient 6]],Table_Fertiliser_ChemicalCompounds[Fertiliser type f],Table_Fertiliser_ChemicalCompounds[FNinorganic f])*Table_Input_InorganicFertiliser_Brands[[#This Row],[Ingredient 6 percent]]), 0)</f>
        <v>0</v>
      </c>
      <c r="W16" s="137" cm="1">
        <f t="array" ref="W16">IFERROR(Fertiliser_InputFunctions.Fertiliser_FertiliserProductLookup(Table_Input_InorganicFertiliser_Brands[[#This Row],[Product (select)]], "N declared", FertiliserProducts[#Data], FertiliserProducts[Product], FertiliserProducts[#Headers])*0.01, 0)</f>
        <v>0</v>
      </c>
      <c r="X16" s="136">
        <f>(Table_Input_InorganicFertiliser_Brands[[#This Row],[Amount applied per hectare]]*Table_Input_InorganicFertiliser_Brands[[#This Row],[Density]])*(IF(Table_Input_InorganicFertiliser_Brands[[#This Row],[% N (declared)]], Table_Input_InorganicFertiliser_Brands[[#This Row],[% N (declared)]], Table_Input_InorganicFertiliser_Brands[[#This Row],[% N (Ingredients)]]))</f>
        <v>0</v>
      </c>
      <c r="Y16" s="136" t="str">
        <f>IFERROR(_xlfn.XLOOKUP(Table_Input_InorganicFertiliser_Brands[[#This Row],[Product (select)]],FertiliserProducts[Product],FertiliserProducts[Urea source]), "")</f>
        <v/>
      </c>
      <c r="Z16" s="136" t="str">
        <f>IFERROR(_xlfn.XLOOKUP(Table_Input_InorganicFertiliser_Brands[[#This Row],[Product (select)]],FertiliserProducts[Product],FertiliserProducts[Ammonia source]), "")</f>
        <v/>
      </c>
    </row>
    <row r="17" spans="1:26" ht="20.100000000000001" customHeight="1" x14ac:dyDescent="0.2">
      <c r="A17" s="5" t="str">
        <f>HYPERLINK("#'Input - Fuel'!A1", "Fuel")</f>
        <v>Fuel</v>
      </c>
      <c r="D17" s="133"/>
      <c r="E17" s="134"/>
      <c r="F17" s="15" t="str">
        <f>IFERROR(_xlfn.XLOOKUP(Table_Input_InorganicFertiliser_Brands[[#This Row],[Product (select)]],FertiliserProducts[Product],FertiliserProducts[Unit]), "kg")</f>
        <v>kg</v>
      </c>
      <c r="G17" s="134">
        <f t="shared" ref="G17" si="3">X_Cell_Fertiliser_AreaUnderCropping</f>
        <v>0</v>
      </c>
      <c r="H17" s="135">
        <f>IFERROR(_xlfn.XLOOKUP(Table_Input_InorganicFertiliser_Brands[[#This Row],[Product (select)]],FertiliserProducts[Product],FertiliserProducts[Density]), 1)</f>
        <v>1</v>
      </c>
      <c r="I17" s="136">
        <f>(Table_Input_InorganicFertiliser_Brands[[#This Row],[Amount applied per hectare]]*Table_Input_InorganicFertiliser_Brands[[#This Row],[Density]])*Table_Input_InorganicFertiliser_Brands[[#This Row],[Application area (ha)]]</f>
        <v>0</v>
      </c>
      <c r="J17" s="136" t="str" cm="1">
        <f t="array" ref="J17">Fertiliser_InputFunctions.Fertiliser_FertiliserProductLookup(Table_Input_InorganicFertiliser_Brands[[#This Row],[Product (select)]], Table_Input_InorganicFertiliser_Brands[[#Headers],[Ingredient 1]], FertiliserProducts[#Data], FertiliserProducts[Product], FertiliserProducts[#Headers])</f>
        <v/>
      </c>
      <c r="K17" s="136" t="str" cm="1">
        <f t="array" ref="K17">Fertiliser_InputFunctions.Fertiliser_FertiliserProductLookup(Table_Input_InorganicFertiliser_Brands[[#This Row],[Product (select)]], Table_Input_InorganicFertiliser_Brands[[#Headers],[Ingredient 1 percent]], FertiliserProducts[#Data], FertiliserProducts[Product], FertiliserProducts[#Headers])</f>
        <v/>
      </c>
      <c r="L17" s="136" t="str" cm="1">
        <f t="array" ref="L17">Fertiliser_InputFunctions.Fertiliser_FertiliserProductLookup(Table_Input_InorganicFertiliser_Brands[[#This Row],[Product (select)]], Table_Input_InorganicFertiliser_Brands[[#Headers],[Ingredient 2]], FertiliserProducts[#Data], FertiliserProducts[Product], FertiliserProducts[#Headers])</f>
        <v/>
      </c>
      <c r="M17" s="136" t="str" cm="1">
        <f t="array" ref="M17">Fertiliser_InputFunctions.Fertiliser_FertiliserProductLookup(Table_Input_InorganicFertiliser_Brands[[#This Row],[Product (select)]], Table_Input_InorganicFertiliser_Brands[[#Headers],[Ingredient 2 percent]], FertiliserProducts[#Data], FertiliserProducts[Product], FertiliserProducts[#Headers])</f>
        <v/>
      </c>
      <c r="N17" s="136" t="str" cm="1">
        <f t="array" ref="N17">Fertiliser_InputFunctions.Fertiliser_FertiliserProductLookup(Table_Input_InorganicFertiliser_Brands[[#This Row],[Product (select)]], Table_Input_InorganicFertiliser_Brands[[#Headers],[Ingredient 3]], FertiliserProducts[#Data], FertiliserProducts[Product], FertiliserProducts[#Headers])</f>
        <v/>
      </c>
      <c r="O17" s="136" t="str" cm="1">
        <f t="array" ref="O17">Fertiliser_InputFunctions.Fertiliser_FertiliserProductLookup(Table_Input_InorganicFertiliser_Brands[[#This Row],[Product (select)]], Table_Input_InorganicFertiliser_Brands[[#Headers],[Ingredient 3 percent]], FertiliserProducts[#Data], FertiliserProducts[Product], FertiliserProducts[#Headers])</f>
        <v/>
      </c>
      <c r="P17" s="136" t="str" cm="1">
        <f t="array" ref="P17">Fertiliser_InputFunctions.Fertiliser_FertiliserProductLookup(Table_Input_InorganicFertiliser_Brands[[#This Row],[Product (select)]], Table_Input_InorganicFertiliser_Brands[[#Headers],[Ingredient 4]], FertiliserProducts[#Data], FertiliserProducts[Product], FertiliserProducts[#Headers])</f>
        <v/>
      </c>
      <c r="Q17" s="136" t="str" cm="1">
        <f t="array" ref="Q17">Fertiliser_InputFunctions.Fertiliser_FertiliserProductLookup(Table_Input_InorganicFertiliser_Brands[[#This Row],[Product (select)]], Table_Input_InorganicFertiliser_Brands[[#Headers],[Ingredient 4 percent]], FertiliserProducts[#Data], FertiliserProducts[Product], FertiliserProducts[#Headers])</f>
        <v/>
      </c>
      <c r="R17" s="136" t="str" cm="1">
        <f t="array" ref="R17">Fertiliser_InputFunctions.Fertiliser_FertiliserProductLookup(Table_Input_InorganicFertiliser_Brands[[#This Row],[Product (select)]], Table_Input_InorganicFertiliser_Brands[[#Headers],[Ingredient 5]], FertiliserProducts[#Data], FertiliserProducts[Product], FertiliserProducts[#Headers])</f>
        <v/>
      </c>
      <c r="S17" s="136" t="str" cm="1">
        <f t="array" ref="S17">Fertiliser_InputFunctions.Fertiliser_FertiliserProductLookup(Table_Input_InorganicFertiliser_Brands[[#This Row],[Product (select)]], Table_Input_InorganicFertiliser_Brands[[#Headers],[Ingredient 5 percent]], FertiliserProducts[#Data], FertiliserProducts[Product], FertiliserProducts[#Headers])</f>
        <v/>
      </c>
      <c r="T17" s="136" t="str" cm="1">
        <f t="array" ref="T17">Fertiliser_InputFunctions.Fertiliser_FertiliserProductLookup(Table_Input_InorganicFertiliser_Brands[[#This Row],[Product (select)]], Table_Input_InorganicFertiliser_Brands[[#Headers],[Ingredient 6]], FertiliserProducts[#Data], FertiliserProducts[Product], FertiliserProducts[#Headers])</f>
        <v/>
      </c>
      <c r="U17" s="136" t="str" cm="1">
        <f t="array" ref="U17">Fertiliser_InputFunctions.Fertiliser_FertiliserProductLookup(Table_Input_InorganicFertiliser_Brands[[#This Row],[Product (select)]], Table_Input_InorganicFertiliser_Brands[[#Headers],[Ingredient 6 percent]], FertiliserProducts[#Data], FertiliserProducts[Product], FertiliserProducts[#Headers])</f>
        <v/>
      </c>
      <c r="V17" s="136">
        <f>IFERROR((_xlfn.XLOOKUP(Table_Input_InorganicFertiliser_Brands[[#This Row],[Ingredient 1]], Table_Fertiliser_ChemicalCompounds[Fertiliser type f],Table_Fertiliser_ChemicalCompounds[FNinorganic f])*Table_Input_InorganicFertiliser_Brands[[#This Row],[Ingredient 1 percent]]), 0)+
IFERROR((_xlfn.XLOOKUP(Table_Input_InorganicFertiliser_Brands[[#This Row],[Ingredient 2]],Table_Fertiliser_ChemicalCompounds[Fertiliser type f],Table_Fertiliser_ChemicalCompounds[FNinorganic f])*Table_Input_InorganicFertiliser_Brands[[#This Row],[Ingredient 2 percent]]), 0)+
IFERROR((_xlfn.XLOOKUP(Table_Input_InorganicFertiliser_Brands[[#This Row],[Ingredient 3]],Table_Fertiliser_ChemicalCompounds[Fertiliser type f],Table_Fertiliser_ChemicalCompounds[FNinorganic f])*Table_Input_InorganicFertiliser_Brands[[#This Row],[Ingredient 3 percent]]), 0)+
IFERROR((_xlfn.XLOOKUP(Table_Input_InorganicFertiliser_Brands[[#This Row],[Ingredient 4]],Table_Fertiliser_ChemicalCompounds[Fertiliser type f],Table_Fertiliser_ChemicalCompounds[FNinorganic f])*Table_Input_InorganicFertiliser_Brands[[#This Row],[Ingredient 4 percent]]), 0)+
IFERROR((_xlfn.XLOOKUP(Table_Input_InorganicFertiliser_Brands[[#This Row],[Ingredient 5]],Table_Fertiliser_ChemicalCompounds[Fertiliser type f],Table_Fertiliser_ChemicalCompounds[FNinorganic f])*Table_Input_InorganicFertiliser_Brands[[#This Row],[Ingredient 5 percent]]), 0)+
IFERROR((_xlfn.XLOOKUP(Table_Input_InorganicFertiliser_Brands[[#This Row],[Ingredient 6]],Table_Fertiliser_ChemicalCompounds[Fertiliser type f],Table_Fertiliser_ChemicalCompounds[FNinorganic f])*Table_Input_InorganicFertiliser_Brands[[#This Row],[Ingredient 6 percent]]), 0)</f>
        <v>0</v>
      </c>
      <c r="W17" s="137" cm="1">
        <f t="array" ref="W17">IFERROR(Fertiliser_InputFunctions.Fertiliser_FertiliserProductLookup(Table_Input_InorganicFertiliser_Brands[[#This Row],[Product (select)]], "N declared", FertiliserProducts[#Data], FertiliserProducts[Product], FertiliserProducts[#Headers])*0.01, 0)</f>
        <v>0</v>
      </c>
      <c r="X17" s="136">
        <f>(Table_Input_InorganicFertiliser_Brands[[#This Row],[Amount applied per hectare]]*Table_Input_InorganicFertiliser_Brands[[#This Row],[Density]])*(IF(Table_Input_InorganicFertiliser_Brands[[#This Row],[% N (declared)]], Table_Input_InorganicFertiliser_Brands[[#This Row],[% N (declared)]], Table_Input_InorganicFertiliser_Brands[[#This Row],[% N (Ingredients)]]))</f>
        <v>0</v>
      </c>
      <c r="Y17" s="136" t="str">
        <f>IFERROR(_xlfn.XLOOKUP(Table_Input_InorganicFertiliser_Brands[[#This Row],[Product (select)]],FertiliserProducts[Product],FertiliserProducts[Urea source]), "")</f>
        <v/>
      </c>
      <c r="Z17" s="136" t="str">
        <f>IFERROR(_xlfn.XLOOKUP(Table_Input_InorganicFertiliser_Brands[[#This Row],[Product (select)]],FertiliserProducts[Product],FertiliserProducts[Ammonia source]), "")</f>
        <v/>
      </c>
    </row>
    <row r="18" spans="1:26" ht="20.100000000000001" customHeight="1" x14ac:dyDescent="0.2">
      <c r="A18" s="5" t="str">
        <f>HYPERLINK("#'Input - Electricity'!A1", "Electricity")</f>
        <v>Electricity</v>
      </c>
      <c r="D18" s="133"/>
      <c r="E18" s="134"/>
      <c r="F18" s="15" t="str">
        <f>IFERROR(_xlfn.XLOOKUP(Table_Input_InorganicFertiliser_Brands[[#This Row],[Product (select)]],FertiliserProducts[Product],FertiliserProducts[Unit]), "kg")</f>
        <v>kg</v>
      </c>
      <c r="G18" s="134">
        <f t="shared" ref="G18" si="4">X_Cell_Fertiliser_AreaUnderCropping</f>
        <v>0</v>
      </c>
      <c r="H18" s="135">
        <f>IFERROR(_xlfn.XLOOKUP(Table_Input_InorganicFertiliser_Brands[[#This Row],[Product (select)]],FertiliserProducts[Product],FertiliserProducts[Density]), 1)</f>
        <v>1</v>
      </c>
      <c r="I18" s="136">
        <f>(Table_Input_InorganicFertiliser_Brands[[#This Row],[Amount applied per hectare]]*Table_Input_InorganicFertiliser_Brands[[#This Row],[Density]])*Table_Input_InorganicFertiliser_Brands[[#This Row],[Application area (ha)]]</f>
        <v>0</v>
      </c>
      <c r="J18" s="136" t="str" cm="1">
        <f t="array" ref="J18">Fertiliser_InputFunctions.Fertiliser_FertiliserProductLookup(Table_Input_InorganicFertiliser_Brands[[#This Row],[Product (select)]], Table_Input_InorganicFertiliser_Brands[[#Headers],[Ingredient 1]], FertiliserProducts[#Data], FertiliserProducts[Product], FertiliserProducts[#Headers])</f>
        <v/>
      </c>
      <c r="K18" s="136" t="str" cm="1">
        <f t="array" ref="K18">Fertiliser_InputFunctions.Fertiliser_FertiliserProductLookup(Table_Input_InorganicFertiliser_Brands[[#This Row],[Product (select)]], Table_Input_InorganicFertiliser_Brands[[#Headers],[Ingredient 1 percent]], FertiliserProducts[#Data], FertiliserProducts[Product], FertiliserProducts[#Headers])</f>
        <v/>
      </c>
      <c r="L18" s="136" t="str" cm="1">
        <f t="array" ref="L18">Fertiliser_InputFunctions.Fertiliser_FertiliserProductLookup(Table_Input_InorganicFertiliser_Brands[[#This Row],[Product (select)]], Table_Input_InorganicFertiliser_Brands[[#Headers],[Ingredient 2]], FertiliserProducts[#Data], FertiliserProducts[Product], FertiliserProducts[#Headers])</f>
        <v/>
      </c>
      <c r="M18" s="136" t="str" cm="1">
        <f t="array" ref="M18">Fertiliser_InputFunctions.Fertiliser_FertiliserProductLookup(Table_Input_InorganicFertiliser_Brands[[#This Row],[Product (select)]], Table_Input_InorganicFertiliser_Brands[[#Headers],[Ingredient 2 percent]], FertiliserProducts[#Data], FertiliserProducts[Product], FertiliserProducts[#Headers])</f>
        <v/>
      </c>
      <c r="N18" s="136" t="str" cm="1">
        <f t="array" ref="N18">Fertiliser_InputFunctions.Fertiliser_FertiliserProductLookup(Table_Input_InorganicFertiliser_Brands[[#This Row],[Product (select)]], Table_Input_InorganicFertiliser_Brands[[#Headers],[Ingredient 3]], FertiliserProducts[#Data], FertiliserProducts[Product], FertiliserProducts[#Headers])</f>
        <v/>
      </c>
      <c r="O18" s="136" t="str" cm="1">
        <f t="array" ref="O18">Fertiliser_InputFunctions.Fertiliser_FertiliserProductLookup(Table_Input_InorganicFertiliser_Brands[[#This Row],[Product (select)]], Table_Input_InorganicFertiliser_Brands[[#Headers],[Ingredient 3 percent]], FertiliserProducts[#Data], FertiliserProducts[Product], FertiliserProducts[#Headers])</f>
        <v/>
      </c>
      <c r="P18" s="136" t="str" cm="1">
        <f t="array" ref="P18">Fertiliser_InputFunctions.Fertiliser_FertiliserProductLookup(Table_Input_InorganicFertiliser_Brands[[#This Row],[Product (select)]], Table_Input_InorganicFertiliser_Brands[[#Headers],[Ingredient 4]], FertiliserProducts[#Data], FertiliserProducts[Product], FertiliserProducts[#Headers])</f>
        <v/>
      </c>
      <c r="Q18" s="136" t="str" cm="1">
        <f t="array" ref="Q18">Fertiliser_InputFunctions.Fertiliser_FertiliserProductLookup(Table_Input_InorganicFertiliser_Brands[[#This Row],[Product (select)]], Table_Input_InorganicFertiliser_Brands[[#Headers],[Ingredient 4 percent]], FertiliserProducts[#Data], FertiliserProducts[Product], FertiliserProducts[#Headers])</f>
        <v/>
      </c>
      <c r="R18" s="136" t="str" cm="1">
        <f t="array" ref="R18">Fertiliser_InputFunctions.Fertiliser_FertiliserProductLookup(Table_Input_InorganicFertiliser_Brands[[#This Row],[Product (select)]], Table_Input_InorganicFertiliser_Brands[[#Headers],[Ingredient 5]], FertiliserProducts[#Data], FertiliserProducts[Product], FertiliserProducts[#Headers])</f>
        <v/>
      </c>
      <c r="S18" s="136" t="str" cm="1">
        <f t="array" ref="S18">Fertiliser_InputFunctions.Fertiliser_FertiliserProductLookup(Table_Input_InorganicFertiliser_Brands[[#This Row],[Product (select)]], Table_Input_InorganicFertiliser_Brands[[#Headers],[Ingredient 5 percent]], FertiliserProducts[#Data], FertiliserProducts[Product], FertiliserProducts[#Headers])</f>
        <v/>
      </c>
      <c r="T18" s="136" t="str" cm="1">
        <f t="array" ref="T18">Fertiliser_InputFunctions.Fertiliser_FertiliserProductLookup(Table_Input_InorganicFertiliser_Brands[[#This Row],[Product (select)]], Table_Input_InorganicFertiliser_Brands[[#Headers],[Ingredient 6]], FertiliserProducts[#Data], FertiliserProducts[Product], FertiliserProducts[#Headers])</f>
        <v/>
      </c>
      <c r="U18" s="136" t="str" cm="1">
        <f t="array" ref="U18">Fertiliser_InputFunctions.Fertiliser_FertiliserProductLookup(Table_Input_InorganicFertiliser_Brands[[#This Row],[Product (select)]], Table_Input_InorganicFertiliser_Brands[[#Headers],[Ingredient 6 percent]], FertiliserProducts[#Data], FertiliserProducts[Product], FertiliserProducts[#Headers])</f>
        <v/>
      </c>
      <c r="V18" s="136">
        <f>IFERROR((_xlfn.XLOOKUP(Table_Input_InorganicFertiliser_Brands[[#This Row],[Ingredient 1]], Table_Fertiliser_ChemicalCompounds[Fertiliser type f],Table_Fertiliser_ChemicalCompounds[FNinorganic f])*Table_Input_InorganicFertiliser_Brands[[#This Row],[Ingredient 1 percent]]), 0)+
IFERROR((_xlfn.XLOOKUP(Table_Input_InorganicFertiliser_Brands[[#This Row],[Ingredient 2]],Table_Fertiliser_ChemicalCompounds[Fertiliser type f],Table_Fertiliser_ChemicalCompounds[FNinorganic f])*Table_Input_InorganicFertiliser_Brands[[#This Row],[Ingredient 2 percent]]), 0)+
IFERROR((_xlfn.XLOOKUP(Table_Input_InorganicFertiliser_Brands[[#This Row],[Ingredient 3]],Table_Fertiliser_ChemicalCompounds[Fertiliser type f],Table_Fertiliser_ChemicalCompounds[FNinorganic f])*Table_Input_InorganicFertiliser_Brands[[#This Row],[Ingredient 3 percent]]), 0)+
IFERROR((_xlfn.XLOOKUP(Table_Input_InorganicFertiliser_Brands[[#This Row],[Ingredient 4]],Table_Fertiliser_ChemicalCompounds[Fertiliser type f],Table_Fertiliser_ChemicalCompounds[FNinorganic f])*Table_Input_InorganicFertiliser_Brands[[#This Row],[Ingredient 4 percent]]), 0)+
IFERROR((_xlfn.XLOOKUP(Table_Input_InorganicFertiliser_Brands[[#This Row],[Ingredient 5]],Table_Fertiliser_ChemicalCompounds[Fertiliser type f],Table_Fertiliser_ChemicalCompounds[FNinorganic f])*Table_Input_InorganicFertiliser_Brands[[#This Row],[Ingredient 5 percent]]), 0)+
IFERROR((_xlfn.XLOOKUP(Table_Input_InorganicFertiliser_Brands[[#This Row],[Ingredient 6]],Table_Fertiliser_ChemicalCompounds[Fertiliser type f],Table_Fertiliser_ChemicalCompounds[FNinorganic f])*Table_Input_InorganicFertiliser_Brands[[#This Row],[Ingredient 6 percent]]), 0)</f>
        <v>0</v>
      </c>
      <c r="W18" s="137" cm="1">
        <f t="array" ref="W18">IFERROR(Fertiliser_InputFunctions.Fertiliser_FertiliserProductLookup(Table_Input_InorganicFertiliser_Brands[[#This Row],[Product (select)]], "N declared", FertiliserProducts[#Data], FertiliserProducts[Product], FertiliserProducts[#Headers])*0.01, 0)</f>
        <v>0</v>
      </c>
      <c r="X18" s="136">
        <f>(Table_Input_InorganicFertiliser_Brands[[#This Row],[Amount applied per hectare]]*Table_Input_InorganicFertiliser_Brands[[#This Row],[Density]])*(IF(Table_Input_InorganicFertiliser_Brands[[#This Row],[% N (declared)]], Table_Input_InorganicFertiliser_Brands[[#This Row],[% N (declared)]], Table_Input_InorganicFertiliser_Brands[[#This Row],[% N (Ingredients)]]))</f>
        <v>0</v>
      </c>
      <c r="Y18" s="136" t="str">
        <f>IFERROR(_xlfn.XLOOKUP(Table_Input_InorganicFertiliser_Brands[[#This Row],[Product (select)]],FertiliserProducts[Product],FertiliserProducts[Urea source]), "")</f>
        <v/>
      </c>
      <c r="Z18" s="136" t="str">
        <f>IFERROR(_xlfn.XLOOKUP(Table_Input_InorganicFertiliser_Brands[[#This Row],[Product (select)]],FertiliserProducts[Product],FertiliserProducts[Ammonia source]), "")</f>
        <v/>
      </c>
    </row>
    <row r="19" spans="1:26" ht="20.100000000000001" customHeight="1" x14ac:dyDescent="0.2">
      <c r="A19" s="5" t="str">
        <f>HYPERLINK("#'Input - Common farm inputs'!A1", "Common farm inputs")</f>
        <v>Common farm inputs</v>
      </c>
      <c r="D19" s="133"/>
      <c r="E19" s="134"/>
      <c r="F19" s="15" t="str">
        <f>IFERROR(_xlfn.XLOOKUP(Table_Input_InorganicFertiliser_Brands[[#This Row],[Product (select)]],FertiliserProducts[Product],FertiliserProducts[Unit]), "kg")</f>
        <v>kg</v>
      </c>
      <c r="G19" s="134">
        <f t="shared" ref="G19" si="5">X_Cell_Fertiliser_AreaUnderCropping</f>
        <v>0</v>
      </c>
      <c r="H19" s="135">
        <f>IFERROR(_xlfn.XLOOKUP(Table_Input_InorganicFertiliser_Brands[[#This Row],[Product (select)]],FertiliserProducts[Product],FertiliserProducts[Density]), 1)</f>
        <v>1</v>
      </c>
      <c r="I19" s="136">
        <f>(Table_Input_InorganicFertiliser_Brands[[#This Row],[Amount applied per hectare]]*Table_Input_InorganicFertiliser_Brands[[#This Row],[Density]])*Table_Input_InorganicFertiliser_Brands[[#This Row],[Application area (ha)]]</f>
        <v>0</v>
      </c>
      <c r="J19" s="136" t="str" cm="1">
        <f t="array" ref="J19">Fertiliser_InputFunctions.Fertiliser_FertiliserProductLookup(Table_Input_InorganicFertiliser_Brands[[#This Row],[Product (select)]], Table_Input_InorganicFertiliser_Brands[[#Headers],[Ingredient 1]], FertiliserProducts[#Data], FertiliserProducts[Product], FertiliserProducts[#Headers])</f>
        <v/>
      </c>
      <c r="K19" s="136" t="str" cm="1">
        <f t="array" ref="K19">Fertiliser_InputFunctions.Fertiliser_FertiliserProductLookup(Table_Input_InorganicFertiliser_Brands[[#This Row],[Product (select)]], Table_Input_InorganicFertiliser_Brands[[#Headers],[Ingredient 1 percent]], FertiliserProducts[#Data], FertiliserProducts[Product], FertiliserProducts[#Headers])</f>
        <v/>
      </c>
      <c r="L19" s="136" t="str" cm="1">
        <f t="array" ref="L19">Fertiliser_InputFunctions.Fertiliser_FertiliserProductLookup(Table_Input_InorganicFertiliser_Brands[[#This Row],[Product (select)]], Table_Input_InorganicFertiliser_Brands[[#Headers],[Ingredient 2]], FertiliserProducts[#Data], FertiliserProducts[Product], FertiliserProducts[#Headers])</f>
        <v/>
      </c>
      <c r="M19" s="136" t="str" cm="1">
        <f t="array" ref="M19">Fertiliser_InputFunctions.Fertiliser_FertiliserProductLookup(Table_Input_InorganicFertiliser_Brands[[#This Row],[Product (select)]], Table_Input_InorganicFertiliser_Brands[[#Headers],[Ingredient 2 percent]], FertiliserProducts[#Data], FertiliserProducts[Product], FertiliserProducts[#Headers])</f>
        <v/>
      </c>
      <c r="N19" s="136" t="str" cm="1">
        <f t="array" ref="N19">Fertiliser_InputFunctions.Fertiliser_FertiliserProductLookup(Table_Input_InorganicFertiliser_Brands[[#This Row],[Product (select)]], Table_Input_InorganicFertiliser_Brands[[#Headers],[Ingredient 3]], FertiliserProducts[#Data], FertiliserProducts[Product], FertiliserProducts[#Headers])</f>
        <v/>
      </c>
      <c r="O19" s="136" t="str" cm="1">
        <f t="array" ref="O19">Fertiliser_InputFunctions.Fertiliser_FertiliserProductLookup(Table_Input_InorganicFertiliser_Brands[[#This Row],[Product (select)]], Table_Input_InorganicFertiliser_Brands[[#Headers],[Ingredient 3 percent]], FertiliserProducts[#Data], FertiliserProducts[Product], FertiliserProducts[#Headers])</f>
        <v/>
      </c>
      <c r="P19" s="136" t="str" cm="1">
        <f t="array" ref="P19">Fertiliser_InputFunctions.Fertiliser_FertiliserProductLookup(Table_Input_InorganicFertiliser_Brands[[#This Row],[Product (select)]], Table_Input_InorganicFertiliser_Brands[[#Headers],[Ingredient 4]], FertiliserProducts[#Data], FertiliserProducts[Product], FertiliserProducts[#Headers])</f>
        <v/>
      </c>
      <c r="Q19" s="136" t="str" cm="1">
        <f t="array" ref="Q19">Fertiliser_InputFunctions.Fertiliser_FertiliserProductLookup(Table_Input_InorganicFertiliser_Brands[[#This Row],[Product (select)]], Table_Input_InorganicFertiliser_Brands[[#Headers],[Ingredient 4 percent]], FertiliserProducts[#Data], FertiliserProducts[Product], FertiliserProducts[#Headers])</f>
        <v/>
      </c>
      <c r="R19" s="136" t="str" cm="1">
        <f t="array" ref="R19">Fertiliser_InputFunctions.Fertiliser_FertiliserProductLookup(Table_Input_InorganicFertiliser_Brands[[#This Row],[Product (select)]], Table_Input_InorganicFertiliser_Brands[[#Headers],[Ingredient 5]], FertiliserProducts[#Data], FertiliserProducts[Product], FertiliserProducts[#Headers])</f>
        <v/>
      </c>
      <c r="S19" s="136" t="str" cm="1">
        <f t="array" ref="S19">Fertiliser_InputFunctions.Fertiliser_FertiliserProductLookup(Table_Input_InorganicFertiliser_Brands[[#This Row],[Product (select)]], Table_Input_InorganicFertiliser_Brands[[#Headers],[Ingredient 5 percent]], FertiliserProducts[#Data], FertiliserProducts[Product], FertiliserProducts[#Headers])</f>
        <v/>
      </c>
      <c r="T19" s="136" t="str" cm="1">
        <f t="array" ref="T19">Fertiliser_InputFunctions.Fertiliser_FertiliserProductLookup(Table_Input_InorganicFertiliser_Brands[[#This Row],[Product (select)]], Table_Input_InorganicFertiliser_Brands[[#Headers],[Ingredient 6]], FertiliserProducts[#Data], FertiliserProducts[Product], FertiliserProducts[#Headers])</f>
        <v/>
      </c>
      <c r="U19" s="136" t="str" cm="1">
        <f t="array" ref="U19">Fertiliser_InputFunctions.Fertiliser_FertiliserProductLookup(Table_Input_InorganicFertiliser_Brands[[#This Row],[Product (select)]], Table_Input_InorganicFertiliser_Brands[[#Headers],[Ingredient 6 percent]], FertiliserProducts[#Data], FertiliserProducts[Product], FertiliserProducts[#Headers])</f>
        <v/>
      </c>
      <c r="V19" s="136">
        <f>IFERROR((_xlfn.XLOOKUP(Table_Input_InorganicFertiliser_Brands[[#This Row],[Ingredient 1]], Table_Fertiliser_ChemicalCompounds[Fertiliser type f],Table_Fertiliser_ChemicalCompounds[FNinorganic f])*Table_Input_InorganicFertiliser_Brands[[#This Row],[Ingredient 1 percent]]), 0)+
IFERROR((_xlfn.XLOOKUP(Table_Input_InorganicFertiliser_Brands[[#This Row],[Ingredient 2]],Table_Fertiliser_ChemicalCompounds[Fertiliser type f],Table_Fertiliser_ChemicalCompounds[FNinorganic f])*Table_Input_InorganicFertiliser_Brands[[#This Row],[Ingredient 2 percent]]), 0)+
IFERROR((_xlfn.XLOOKUP(Table_Input_InorganicFertiliser_Brands[[#This Row],[Ingredient 3]],Table_Fertiliser_ChemicalCompounds[Fertiliser type f],Table_Fertiliser_ChemicalCompounds[FNinorganic f])*Table_Input_InorganicFertiliser_Brands[[#This Row],[Ingredient 3 percent]]), 0)+
IFERROR((_xlfn.XLOOKUP(Table_Input_InorganicFertiliser_Brands[[#This Row],[Ingredient 4]],Table_Fertiliser_ChemicalCompounds[Fertiliser type f],Table_Fertiliser_ChemicalCompounds[FNinorganic f])*Table_Input_InorganicFertiliser_Brands[[#This Row],[Ingredient 4 percent]]), 0)+
IFERROR((_xlfn.XLOOKUP(Table_Input_InorganicFertiliser_Brands[[#This Row],[Ingredient 5]],Table_Fertiliser_ChemicalCompounds[Fertiliser type f],Table_Fertiliser_ChemicalCompounds[FNinorganic f])*Table_Input_InorganicFertiliser_Brands[[#This Row],[Ingredient 5 percent]]), 0)+
IFERROR((_xlfn.XLOOKUP(Table_Input_InorganicFertiliser_Brands[[#This Row],[Ingredient 6]],Table_Fertiliser_ChemicalCompounds[Fertiliser type f],Table_Fertiliser_ChemicalCompounds[FNinorganic f])*Table_Input_InorganicFertiliser_Brands[[#This Row],[Ingredient 6 percent]]), 0)</f>
        <v>0</v>
      </c>
      <c r="W19" s="137" cm="1">
        <f t="array" ref="W19">IFERROR(Fertiliser_InputFunctions.Fertiliser_FertiliserProductLookup(Table_Input_InorganicFertiliser_Brands[[#This Row],[Product (select)]], "N declared", FertiliserProducts[#Data], FertiliserProducts[Product], FertiliserProducts[#Headers])*0.01, 0)</f>
        <v>0</v>
      </c>
      <c r="X19" s="136">
        <f>(Table_Input_InorganicFertiliser_Brands[[#This Row],[Amount applied per hectare]]*Table_Input_InorganicFertiliser_Brands[[#This Row],[Density]])*(IF(Table_Input_InorganicFertiliser_Brands[[#This Row],[% N (declared)]], Table_Input_InorganicFertiliser_Brands[[#This Row],[% N (declared)]], Table_Input_InorganicFertiliser_Brands[[#This Row],[% N (Ingredients)]]))</f>
        <v>0</v>
      </c>
      <c r="Y19" s="136" t="str">
        <f>IFERROR(_xlfn.XLOOKUP(Table_Input_InorganicFertiliser_Brands[[#This Row],[Product (select)]],FertiliserProducts[Product],FertiliserProducts[Urea source]), "")</f>
        <v/>
      </c>
      <c r="Z19" s="136" t="str">
        <f>IFERROR(_xlfn.XLOOKUP(Table_Input_InorganicFertiliser_Brands[[#This Row],[Product (select)]],FertiliserProducts[Product],FertiliserProducts[Ammonia source]), "")</f>
        <v/>
      </c>
    </row>
    <row r="20" spans="1:26" ht="20.100000000000001" customHeight="1" x14ac:dyDescent="0.2">
      <c r="A20" s="5" t="str">
        <f>HYPERLINK("#'Input - Crop pasture farm input'!A1", "Crop pasture farm input")</f>
        <v>Crop pasture farm input</v>
      </c>
      <c r="D20" s="133"/>
      <c r="E20" s="134"/>
      <c r="F20" s="15" t="str">
        <f>IFERROR(_xlfn.XLOOKUP(Table_Input_InorganicFertiliser_Brands[[#This Row],[Product (select)]],FertiliserProducts[Product],FertiliserProducts[Unit]), "kg")</f>
        <v>kg</v>
      </c>
      <c r="G20" s="134">
        <f t="shared" ref="G20" si="6">X_Cell_Fertiliser_AreaUnderCropping</f>
        <v>0</v>
      </c>
      <c r="H20" s="135">
        <f>IFERROR(_xlfn.XLOOKUP(Table_Input_InorganicFertiliser_Brands[[#This Row],[Product (select)]],FertiliserProducts[Product],FertiliserProducts[Density]), 1)</f>
        <v>1</v>
      </c>
      <c r="I20" s="136">
        <f>(Table_Input_InorganicFertiliser_Brands[[#This Row],[Amount applied per hectare]]*Table_Input_InorganicFertiliser_Brands[[#This Row],[Density]])*Table_Input_InorganicFertiliser_Brands[[#This Row],[Application area (ha)]]</f>
        <v>0</v>
      </c>
      <c r="J20" s="136" t="str" cm="1">
        <f t="array" ref="J20">Fertiliser_InputFunctions.Fertiliser_FertiliserProductLookup(Table_Input_InorganicFertiliser_Brands[[#This Row],[Product (select)]], Table_Input_InorganicFertiliser_Brands[[#Headers],[Ingredient 1]], FertiliserProducts[#Data], FertiliserProducts[Product], FertiliserProducts[#Headers])</f>
        <v/>
      </c>
      <c r="K20" s="136" t="str" cm="1">
        <f t="array" ref="K20">Fertiliser_InputFunctions.Fertiliser_FertiliserProductLookup(Table_Input_InorganicFertiliser_Brands[[#This Row],[Product (select)]], Table_Input_InorganicFertiliser_Brands[[#Headers],[Ingredient 1 percent]], FertiliserProducts[#Data], FertiliserProducts[Product], FertiliserProducts[#Headers])</f>
        <v/>
      </c>
      <c r="L20" s="136" t="str" cm="1">
        <f t="array" ref="L20">Fertiliser_InputFunctions.Fertiliser_FertiliserProductLookup(Table_Input_InorganicFertiliser_Brands[[#This Row],[Product (select)]], Table_Input_InorganicFertiliser_Brands[[#Headers],[Ingredient 2]], FertiliserProducts[#Data], FertiliserProducts[Product], FertiliserProducts[#Headers])</f>
        <v/>
      </c>
      <c r="M20" s="136" t="str" cm="1">
        <f t="array" ref="M20">Fertiliser_InputFunctions.Fertiliser_FertiliserProductLookup(Table_Input_InorganicFertiliser_Brands[[#This Row],[Product (select)]], Table_Input_InorganicFertiliser_Brands[[#Headers],[Ingredient 2 percent]], FertiliserProducts[#Data], FertiliserProducts[Product], FertiliserProducts[#Headers])</f>
        <v/>
      </c>
      <c r="N20" s="136" t="str" cm="1">
        <f t="array" ref="N20">Fertiliser_InputFunctions.Fertiliser_FertiliserProductLookup(Table_Input_InorganicFertiliser_Brands[[#This Row],[Product (select)]], Table_Input_InorganicFertiliser_Brands[[#Headers],[Ingredient 3]], FertiliserProducts[#Data], FertiliserProducts[Product], FertiliserProducts[#Headers])</f>
        <v/>
      </c>
      <c r="O20" s="136" t="str" cm="1">
        <f t="array" ref="O20">Fertiliser_InputFunctions.Fertiliser_FertiliserProductLookup(Table_Input_InorganicFertiliser_Brands[[#This Row],[Product (select)]], Table_Input_InorganicFertiliser_Brands[[#Headers],[Ingredient 3 percent]], FertiliserProducts[#Data], FertiliserProducts[Product], FertiliserProducts[#Headers])</f>
        <v/>
      </c>
      <c r="P20" s="136" t="str" cm="1">
        <f t="array" ref="P20">Fertiliser_InputFunctions.Fertiliser_FertiliserProductLookup(Table_Input_InorganicFertiliser_Brands[[#This Row],[Product (select)]], Table_Input_InorganicFertiliser_Brands[[#Headers],[Ingredient 4]], FertiliserProducts[#Data], FertiliserProducts[Product], FertiliserProducts[#Headers])</f>
        <v/>
      </c>
      <c r="Q20" s="136" t="str" cm="1">
        <f t="array" ref="Q20">Fertiliser_InputFunctions.Fertiliser_FertiliserProductLookup(Table_Input_InorganicFertiliser_Brands[[#This Row],[Product (select)]], Table_Input_InorganicFertiliser_Brands[[#Headers],[Ingredient 4 percent]], FertiliserProducts[#Data], FertiliserProducts[Product], FertiliserProducts[#Headers])</f>
        <v/>
      </c>
      <c r="R20" s="136" t="str" cm="1">
        <f t="array" ref="R20">Fertiliser_InputFunctions.Fertiliser_FertiliserProductLookup(Table_Input_InorganicFertiliser_Brands[[#This Row],[Product (select)]], Table_Input_InorganicFertiliser_Brands[[#Headers],[Ingredient 5]], FertiliserProducts[#Data], FertiliserProducts[Product], FertiliserProducts[#Headers])</f>
        <v/>
      </c>
      <c r="S20" s="136" t="str" cm="1">
        <f t="array" ref="S20">Fertiliser_InputFunctions.Fertiliser_FertiliserProductLookup(Table_Input_InorganicFertiliser_Brands[[#This Row],[Product (select)]], Table_Input_InorganicFertiliser_Brands[[#Headers],[Ingredient 5 percent]], FertiliserProducts[#Data], FertiliserProducts[Product], FertiliserProducts[#Headers])</f>
        <v/>
      </c>
      <c r="T20" s="136" t="str" cm="1">
        <f t="array" ref="T20">Fertiliser_InputFunctions.Fertiliser_FertiliserProductLookup(Table_Input_InorganicFertiliser_Brands[[#This Row],[Product (select)]], Table_Input_InorganicFertiliser_Brands[[#Headers],[Ingredient 6]], FertiliserProducts[#Data], FertiliserProducts[Product], FertiliserProducts[#Headers])</f>
        <v/>
      </c>
      <c r="U20" s="136" t="str" cm="1">
        <f t="array" ref="U20">Fertiliser_InputFunctions.Fertiliser_FertiliserProductLookup(Table_Input_InorganicFertiliser_Brands[[#This Row],[Product (select)]], Table_Input_InorganicFertiliser_Brands[[#Headers],[Ingredient 6 percent]], FertiliserProducts[#Data], FertiliserProducts[Product], FertiliserProducts[#Headers])</f>
        <v/>
      </c>
      <c r="V20" s="136">
        <f>IFERROR((_xlfn.XLOOKUP(Table_Input_InorganicFertiliser_Brands[[#This Row],[Ingredient 1]], Table_Fertiliser_ChemicalCompounds[Fertiliser type f],Table_Fertiliser_ChemicalCompounds[FNinorganic f])*Table_Input_InorganicFertiliser_Brands[[#This Row],[Ingredient 1 percent]]), 0)+
IFERROR((_xlfn.XLOOKUP(Table_Input_InorganicFertiliser_Brands[[#This Row],[Ingredient 2]],Table_Fertiliser_ChemicalCompounds[Fertiliser type f],Table_Fertiliser_ChemicalCompounds[FNinorganic f])*Table_Input_InorganicFertiliser_Brands[[#This Row],[Ingredient 2 percent]]), 0)+
IFERROR((_xlfn.XLOOKUP(Table_Input_InorganicFertiliser_Brands[[#This Row],[Ingredient 3]],Table_Fertiliser_ChemicalCompounds[Fertiliser type f],Table_Fertiliser_ChemicalCompounds[FNinorganic f])*Table_Input_InorganicFertiliser_Brands[[#This Row],[Ingredient 3 percent]]), 0)+
IFERROR((_xlfn.XLOOKUP(Table_Input_InorganicFertiliser_Brands[[#This Row],[Ingredient 4]],Table_Fertiliser_ChemicalCompounds[Fertiliser type f],Table_Fertiliser_ChemicalCompounds[FNinorganic f])*Table_Input_InorganicFertiliser_Brands[[#This Row],[Ingredient 4 percent]]), 0)+
IFERROR((_xlfn.XLOOKUP(Table_Input_InorganicFertiliser_Brands[[#This Row],[Ingredient 5]],Table_Fertiliser_ChemicalCompounds[Fertiliser type f],Table_Fertiliser_ChemicalCompounds[FNinorganic f])*Table_Input_InorganicFertiliser_Brands[[#This Row],[Ingredient 5 percent]]), 0)+
IFERROR((_xlfn.XLOOKUP(Table_Input_InorganicFertiliser_Brands[[#This Row],[Ingredient 6]],Table_Fertiliser_ChemicalCompounds[Fertiliser type f],Table_Fertiliser_ChemicalCompounds[FNinorganic f])*Table_Input_InorganicFertiliser_Brands[[#This Row],[Ingredient 6 percent]]), 0)</f>
        <v>0</v>
      </c>
      <c r="W20" s="137" cm="1">
        <f t="array" ref="W20">IFERROR(Fertiliser_InputFunctions.Fertiliser_FertiliserProductLookup(Table_Input_InorganicFertiliser_Brands[[#This Row],[Product (select)]], "N declared", FertiliserProducts[#Data], FertiliserProducts[Product], FertiliserProducts[#Headers])*0.01, 0)</f>
        <v>0</v>
      </c>
      <c r="X20" s="136">
        <f>(Table_Input_InorganicFertiliser_Brands[[#This Row],[Amount applied per hectare]]*Table_Input_InorganicFertiliser_Brands[[#This Row],[Density]])*(IF(Table_Input_InorganicFertiliser_Brands[[#This Row],[% N (declared)]], Table_Input_InorganicFertiliser_Brands[[#This Row],[% N (declared)]], Table_Input_InorganicFertiliser_Brands[[#This Row],[% N (Ingredients)]]))</f>
        <v>0</v>
      </c>
      <c r="Y20" s="136" t="str">
        <f>IFERROR(_xlfn.XLOOKUP(Table_Input_InorganicFertiliser_Brands[[#This Row],[Product (select)]],FertiliserProducts[Product],FertiliserProducts[Urea source]), "")</f>
        <v/>
      </c>
      <c r="Z20" s="136" t="str">
        <f>IFERROR(_xlfn.XLOOKUP(Table_Input_InorganicFertiliser_Brands[[#This Row],[Product (select)]],FertiliserProducts[Product],FertiliserProducts[Ammonia source]), "")</f>
        <v/>
      </c>
    </row>
    <row r="21" spans="1:26" ht="20.100000000000001" customHeight="1" x14ac:dyDescent="0.2">
      <c r="A21" s="5" t="str">
        <f>HYPERLINK("#'Input - Livestock farm Inputs'!A1", "Livestock farm Inputs")</f>
        <v>Livestock farm Inputs</v>
      </c>
      <c r="D21" s="133"/>
      <c r="E21" s="134"/>
      <c r="F21" s="15" t="str">
        <f>IFERROR(_xlfn.XLOOKUP(Table_Input_InorganicFertiliser_Brands[[#This Row],[Product (select)]],FertiliserProducts[Product],FertiliserProducts[Unit]), "kg")</f>
        <v>kg</v>
      </c>
      <c r="G21" s="134">
        <f t="shared" ref="G21" si="7">X_Cell_Fertiliser_AreaUnderCropping</f>
        <v>0</v>
      </c>
      <c r="H21" s="135">
        <f>IFERROR(_xlfn.XLOOKUP(Table_Input_InorganicFertiliser_Brands[[#This Row],[Product (select)]],FertiliserProducts[Product],FertiliserProducts[Density]), 1)</f>
        <v>1</v>
      </c>
      <c r="I21" s="136">
        <f>(Table_Input_InorganicFertiliser_Brands[[#This Row],[Amount applied per hectare]]*Table_Input_InorganicFertiliser_Brands[[#This Row],[Density]])*Table_Input_InorganicFertiliser_Brands[[#This Row],[Application area (ha)]]</f>
        <v>0</v>
      </c>
      <c r="J21" s="136" t="str" cm="1">
        <f t="array" ref="J21">Fertiliser_InputFunctions.Fertiliser_FertiliserProductLookup(Table_Input_InorganicFertiliser_Brands[[#This Row],[Product (select)]], Table_Input_InorganicFertiliser_Brands[[#Headers],[Ingredient 1]], FertiliserProducts[#Data], FertiliserProducts[Product], FertiliserProducts[#Headers])</f>
        <v/>
      </c>
      <c r="K21" s="136" t="str" cm="1">
        <f t="array" ref="K21">Fertiliser_InputFunctions.Fertiliser_FertiliserProductLookup(Table_Input_InorganicFertiliser_Brands[[#This Row],[Product (select)]], Table_Input_InorganicFertiliser_Brands[[#Headers],[Ingredient 1 percent]], FertiliserProducts[#Data], FertiliserProducts[Product], FertiliserProducts[#Headers])</f>
        <v/>
      </c>
      <c r="L21" s="136" t="str" cm="1">
        <f t="array" ref="L21">Fertiliser_InputFunctions.Fertiliser_FertiliserProductLookup(Table_Input_InorganicFertiliser_Brands[[#This Row],[Product (select)]], Table_Input_InorganicFertiliser_Brands[[#Headers],[Ingredient 2]], FertiliserProducts[#Data], FertiliserProducts[Product], FertiliserProducts[#Headers])</f>
        <v/>
      </c>
      <c r="M21" s="136" t="str" cm="1">
        <f t="array" ref="M21">Fertiliser_InputFunctions.Fertiliser_FertiliserProductLookup(Table_Input_InorganicFertiliser_Brands[[#This Row],[Product (select)]], Table_Input_InorganicFertiliser_Brands[[#Headers],[Ingredient 2 percent]], FertiliserProducts[#Data], FertiliserProducts[Product], FertiliserProducts[#Headers])</f>
        <v/>
      </c>
      <c r="N21" s="136" t="str" cm="1">
        <f t="array" ref="N21">Fertiliser_InputFunctions.Fertiliser_FertiliserProductLookup(Table_Input_InorganicFertiliser_Brands[[#This Row],[Product (select)]], Table_Input_InorganicFertiliser_Brands[[#Headers],[Ingredient 3]], FertiliserProducts[#Data], FertiliserProducts[Product], FertiliserProducts[#Headers])</f>
        <v/>
      </c>
      <c r="O21" s="136" t="str" cm="1">
        <f t="array" ref="O21">Fertiliser_InputFunctions.Fertiliser_FertiliserProductLookup(Table_Input_InorganicFertiliser_Brands[[#This Row],[Product (select)]], Table_Input_InorganicFertiliser_Brands[[#Headers],[Ingredient 3 percent]], FertiliserProducts[#Data], FertiliserProducts[Product], FertiliserProducts[#Headers])</f>
        <v/>
      </c>
      <c r="P21" s="136" t="str" cm="1">
        <f t="array" ref="P21">Fertiliser_InputFunctions.Fertiliser_FertiliserProductLookup(Table_Input_InorganicFertiliser_Brands[[#This Row],[Product (select)]], Table_Input_InorganicFertiliser_Brands[[#Headers],[Ingredient 4]], FertiliserProducts[#Data], FertiliserProducts[Product], FertiliserProducts[#Headers])</f>
        <v/>
      </c>
      <c r="Q21" s="136" t="str" cm="1">
        <f t="array" ref="Q21">Fertiliser_InputFunctions.Fertiliser_FertiliserProductLookup(Table_Input_InorganicFertiliser_Brands[[#This Row],[Product (select)]], Table_Input_InorganicFertiliser_Brands[[#Headers],[Ingredient 4 percent]], FertiliserProducts[#Data], FertiliserProducts[Product], FertiliserProducts[#Headers])</f>
        <v/>
      </c>
      <c r="R21" s="136" t="str" cm="1">
        <f t="array" ref="R21">Fertiliser_InputFunctions.Fertiliser_FertiliserProductLookup(Table_Input_InorganicFertiliser_Brands[[#This Row],[Product (select)]], Table_Input_InorganicFertiliser_Brands[[#Headers],[Ingredient 5]], FertiliserProducts[#Data], FertiliserProducts[Product], FertiliserProducts[#Headers])</f>
        <v/>
      </c>
      <c r="S21" s="136" t="str" cm="1">
        <f t="array" ref="S21">Fertiliser_InputFunctions.Fertiliser_FertiliserProductLookup(Table_Input_InorganicFertiliser_Brands[[#This Row],[Product (select)]], Table_Input_InorganicFertiliser_Brands[[#Headers],[Ingredient 5 percent]], FertiliserProducts[#Data], FertiliserProducts[Product], FertiliserProducts[#Headers])</f>
        <v/>
      </c>
      <c r="T21" s="136" t="str" cm="1">
        <f t="array" ref="T21">Fertiliser_InputFunctions.Fertiliser_FertiliserProductLookup(Table_Input_InorganicFertiliser_Brands[[#This Row],[Product (select)]], Table_Input_InorganicFertiliser_Brands[[#Headers],[Ingredient 6]], FertiliserProducts[#Data], FertiliserProducts[Product], FertiliserProducts[#Headers])</f>
        <v/>
      </c>
      <c r="U21" s="136" t="str" cm="1">
        <f t="array" ref="U21">Fertiliser_InputFunctions.Fertiliser_FertiliserProductLookup(Table_Input_InorganicFertiliser_Brands[[#This Row],[Product (select)]], Table_Input_InorganicFertiliser_Brands[[#Headers],[Ingredient 6 percent]], FertiliserProducts[#Data], FertiliserProducts[Product], FertiliserProducts[#Headers])</f>
        <v/>
      </c>
      <c r="V21" s="136">
        <f>IFERROR((_xlfn.XLOOKUP(Table_Input_InorganicFertiliser_Brands[[#This Row],[Ingredient 1]], Table_Fertiliser_ChemicalCompounds[Fertiliser type f],Table_Fertiliser_ChemicalCompounds[FNinorganic f])*Table_Input_InorganicFertiliser_Brands[[#This Row],[Ingredient 1 percent]]), 0)+
IFERROR((_xlfn.XLOOKUP(Table_Input_InorganicFertiliser_Brands[[#This Row],[Ingredient 2]],Table_Fertiliser_ChemicalCompounds[Fertiliser type f],Table_Fertiliser_ChemicalCompounds[FNinorganic f])*Table_Input_InorganicFertiliser_Brands[[#This Row],[Ingredient 2 percent]]), 0)+
IFERROR((_xlfn.XLOOKUP(Table_Input_InorganicFertiliser_Brands[[#This Row],[Ingredient 3]],Table_Fertiliser_ChemicalCompounds[Fertiliser type f],Table_Fertiliser_ChemicalCompounds[FNinorganic f])*Table_Input_InorganicFertiliser_Brands[[#This Row],[Ingredient 3 percent]]), 0)+
IFERROR((_xlfn.XLOOKUP(Table_Input_InorganicFertiliser_Brands[[#This Row],[Ingredient 4]],Table_Fertiliser_ChemicalCompounds[Fertiliser type f],Table_Fertiliser_ChemicalCompounds[FNinorganic f])*Table_Input_InorganicFertiliser_Brands[[#This Row],[Ingredient 4 percent]]), 0)+
IFERROR((_xlfn.XLOOKUP(Table_Input_InorganicFertiliser_Brands[[#This Row],[Ingredient 5]],Table_Fertiliser_ChemicalCompounds[Fertiliser type f],Table_Fertiliser_ChemicalCompounds[FNinorganic f])*Table_Input_InorganicFertiliser_Brands[[#This Row],[Ingredient 5 percent]]), 0)+
IFERROR((_xlfn.XLOOKUP(Table_Input_InorganicFertiliser_Brands[[#This Row],[Ingredient 6]],Table_Fertiliser_ChemicalCompounds[Fertiliser type f],Table_Fertiliser_ChemicalCompounds[FNinorganic f])*Table_Input_InorganicFertiliser_Brands[[#This Row],[Ingredient 6 percent]]), 0)</f>
        <v>0</v>
      </c>
      <c r="W21" s="137" cm="1">
        <f t="array" ref="W21">IFERROR(Fertiliser_InputFunctions.Fertiliser_FertiliserProductLookup(Table_Input_InorganicFertiliser_Brands[[#This Row],[Product (select)]], "N declared", FertiliserProducts[#Data], FertiliserProducts[Product], FertiliserProducts[#Headers])*0.01, 0)</f>
        <v>0</v>
      </c>
      <c r="X21" s="136">
        <f>(Table_Input_InorganicFertiliser_Brands[[#This Row],[Amount applied per hectare]]*Table_Input_InorganicFertiliser_Brands[[#This Row],[Density]])*(IF(Table_Input_InorganicFertiliser_Brands[[#This Row],[% N (declared)]], Table_Input_InorganicFertiliser_Brands[[#This Row],[% N (declared)]], Table_Input_InorganicFertiliser_Brands[[#This Row],[% N (Ingredients)]]))</f>
        <v>0</v>
      </c>
      <c r="Y21" s="136" t="str">
        <f>IFERROR(_xlfn.XLOOKUP(Table_Input_InorganicFertiliser_Brands[[#This Row],[Product (select)]],FertiliserProducts[Product],FertiliserProducts[Urea source]), "")</f>
        <v/>
      </c>
      <c r="Z21" s="136" t="str">
        <f>IFERROR(_xlfn.XLOOKUP(Table_Input_InorganicFertiliser_Brands[[#This Row],[Product (select)]],FertiliserProducts[Product],FertiliserProducts[Ammonia source]), "")</f>
        <v/>
      </c>
    </row>
    <row r="22" spans="1:26" ht="20.100000000000001" customHeight="1" x14ac:dyDescent="0.2">
      <c r="A22" s="5" t="str">
        <f>HYPERLINK("#'Input - Freight'!A1", "Freight")</f>
        <v>Freight</v>
      </c>
      <c r="D22" s="138"/>
      <c r="E22" s="139"/>
      <c r="F22" s="140"/>
      <c r="G22" s="140"/>
      <c r="H22" s="140"/>
      <c r="I22" s="140"/>
      <c r="J22" s="141"/>
      <c r="K22" s="141"/>
      <c r="L22" s="142"/>
      <c r="M22" s="142"/>
      <c r="N22" s="143"/>
      <c r="O22" s="143"/>
      <c r="P22" s="143"/>
      <c r="Q22" s="143"/>
      <c r="R22" s="143"/>
      <c r="S22" s="143"/>
      <c r="T22" s="143"/>
      <c r="U22" s="143"/>
      <c r="V22" s="143"/>
      <c r="W22" s="143"/>
      <c r="X22" s="143"/>
    </row>
    <row r="23" spans="1:26" ht="20.100000000000001" customHeight="1" x14ac:dyDescent="0.2">
      <c r="A23" s="5" t="str">
        <f>HYPERLINK("#'Input - Solid waste'!A1", "Solid waste")</f>
        <v>Solid waste</v>
      </c>
      <c r="D23" s="144" t="s">
        <v>606</v>
      </c>
      <c r="E23" s="145"/>
      <c r="F23" s="145"/>
      <c r="G23" s="145"/>
      <c r="H23" s="145"/>
      <c r="I23" s="145"/>
      <c r="J23" s="145"/>
      <c r="K23" s="145"/>
      <c r="L23" s="145"/>
      <c r="M23" s="145"/>
      <c r="N23" s="143"/>
      <c r="O23" s="143"/>
      <c r="P23" s="143"/>
      <c r="Q23" s="143"/>
      <c r="R23" s="143"/>
      <c r="S23" s="143"/>
      <c r="T23" s="143"/>
      <c r="V23" s="143"/>
      <c r="W23" s="143"/>
      <c r="X23" s="143"/>
    </row>
    <row r="24" spans="1:26" ht="20.100000000000001" customHeight="1" x14ac:dyDescent="0.2">
      <c r="A24" s="5" t="str">
        <f>HYPERLINK("#'Input - Manure sent off-site'!A1", "Manure sent off-site")</f>
        <v>Manure sent off-site</v>
      </c>
      <c r="D24" s="131" t="s">
        <v>607</v>
      </c>
      <c r="E24" s="131" t="s">
        <v>608</v>
      </c>
      <c r="F24" s="131" t="s">
        <v>586</v>
      </c>
      <c r="G24" s="131" t="s">
        <v>588</v>
      </c>
      <c r="H24" s="131" t="s">
        <v>609</v>
      </c>
      <c r="I24" s="131" t="s">
        <v>590</v>
      </c>
      <c r="J24" s="131" t="s">
        <v>591</v>
      </c>
      <c r="K24" s="131" t="s">
        <v>592</v>
      </c>
      <c r="L24" s="131" t="s">
        <v>593</v>
      </c>
      <c r="M24" s="131" t="s">
        <v>594</v>
      </c>
      <c r="N24" s="131" t="s">
        <v>595</v>
      </c>
      <c r="O24" s="131" t="s">
        <v>596</v>
      </c>
      <c r="P24" s="131" t="s">
        <v>603</v>
      </c>
      <c r="Q24" s="146" t="s">
        <v>610</v>
      </c>
      <c r="R24" s="146" t="s">
        <v>611</v>
      </c>
      <c r="S24" s="143"/>
      <c r="T24" s="143"/>
      <c r="V24" s="143"/>
      <c r="W24" s="143"/>
      <c r="X24" s="143"/>
    </row>
    <row r="25" spans="1:26" ht="20.100000000000001" customHeight="1" x14ac:dyDescent="0.2">
      <c r="A25" s="5" t="str">
        <f>HYPERLINK("#'Input - Data quality'!A1", "Data quality")</f>
        <v>Data quality</v>
      </c>
      <c r="D25" s="34"/>
      <c r="E25" s="131"/>
      <c r="F25" s="134">
        <f t="shared" ref="F25:F34" si="8">X_Cell_Fertiliser_AreaUnderCropping</f>
        <v>0</v>
      </c>
      <c r="G25" s="136">
        <f>Table_Input_InorganicFertiliser_Custom[[#This Row],[Amount applied (kg / ha)]]*Table_Input_InorganicFertiliser_Custom[[#This Row],[Application area (ha)]]</f>
        <v>0</v>
      </c>
      <c r="H25" s="147"/>
      <c r="I25" s="148"/>
      <c r="J25" s="147"/>
      <c r="K25" s="148"/>
      <c r="L25" s="147"/>
      <c r="M25" s="148"/>
      <c r="N25" s="149"/>
      <c r="O25" s="18"/>
      <c r="P25" s="136">
        <f>Table_Input_InorganicFertiliser_Custom[[#This Row],[Amount applied (kg / ha)]]*
(IFERROR((_xlfn.XLOOKUP(Table_Input_InorganicFertiliser_Custom[[#This Row],[Ingredient 1 (select)]], Table_Fertiliser_ChemicalCompounds[Fertiliser type f],Table_Fertiliser_ChemicalCompounds[FNinorganic f])*Table_Input_InorganicFertiliser_Custom[[#This Row],[Ingredient 1 percent]]), 0) +
IFERROR((_xlfn.XLOOKUP(Table_Input_InorganicFertiliser_Custom[[#This Row],[Ingredient 2]], Table_Fertiliser_ChemicalCompounds[Fertiliser type f],Table_Fertiliser_ChemicalCompounds[FNinorganic f])*Table_Input_InorganicFertiliser_Custom[[#This Row],[Ingredient 2 percent]]), 0) +
IFERROR((_xlfn.XLOOKUP(Table_Input_InorganicFertiliser_Custom[[#This Row],[Ingredient 3]], Table_Fertiliser_ChemicalCompounds[Fertiliser type f],Table_Fertiliser_ChemicalCompounds[FNinorganic f])*Table_Input_InorganicFertiliser_Custom[[#This Row],[Ingredient 3 percent]]), 0) +
IFERROR((_xlfn.XLOOKUP(Table_Input_InorganicFertiliser_Custom[[#This Row],[Ingredient 4]], Table_Fertiliser_ChemicalCompounds[Fertiliser type f],Table_Fertiliser_ChemicalCompounds[FNinorganic f])*Table_Input_InorganicFertiliser_Custom[[#This Row],[Ingredient 4 percent]]), 0)
)</f>
        <v>0</v>
      </c>
      <c r="Q25" s="13"/>
      <c r="R25" s="13"/>
      <c r="T25" s="77"/>
      <c r="V25" s="143"/>
    </row>
    <row r="26" spans="1:26" ht="20.100000000000001" customHeight="1" x14ac:dyDescent="0.2">
      <c r="D26" s="34"/>
      <c r="E26" s="131"/>
      <c r="F26" s="134">
        <f t="shared" si="8"/>
        <v>0</v>
      </c>
      <c r="G26" s="136">
        <f>Table_Input_InorganicFertiliser_Custom[[#This Row],[Amount applied (kg / ha)]]*Table_Input_InorganicFertiliser_Custom[[#This Row],[Application area (ha)]]</f>
        <v>0</v>
      </c>
      <c r="H26" s="147"/>
      <c r="I26" s="150"/>
      <c r="J26" s="147"/>
      <c r="K26" s="150"/>
      <c r="L26" s="147"/>
      <c r="M26" s="150"/>
      <c r="N26" s="149"/>
      <c r="O26" s="18"/>
      <c r="P26" s="136">
        <f>Table_Input_InorganicFertiliser_Custom[[#This Row],[Amount applied (kg / ha)]]*
(IFERROR((_xlfn.XLOOKUP(Table_Input_InorganicFertiliser_Custom[[#This Row],[Ingredient 1 (select)]], Table_Fertiliser_ChemicalCompounds[Fertiliser type f],Table_Fertiliser_ChemicalCompounds[FNinorganic f])*Table_Input_InorganicFertiliser_Custom[[#This Row],[Ingredient 1 percent]]), 0) +
IFERROR((_xlfn.XLOOKUP(Table_Input_InorganicFertiliser_Custom[[#This Row],[Ingredient 2]], Table_Fertiliser_ChemicalCompounds[Fertiliser type f],Table_Fertiliser_ChemicalCompounds[FNinorganic f])*Table_Input_InorganicFertiliser_Custom[[#This Row],[Ingredient 2 percent]]), 0) +
IFERROR((_xlfn.XLOOKUP(Table_Input_InorganicFertiliser_Custom[[#This Row],[Ingredient 3]], Table_Fertiliser_ChemicalCompounds[Fertiliser type f],Table_Fertiliser_ChemicalCompounds[FNinorganic f])*Table_Input_InorganicFertiliser_Custom[[#This Row],[Ingredient 3 percent]]), 0) +
IFERROR((_xlfn.XLOOKUP(Table_Input_InorganicFertiliser_Custom[[#This Row],[Ingredient 4]], Table_Fertiliser_ChemicalCompounds[Fertiliser type f],Table_Fertiliser_ChemicalCompounds[FNinorganic f])*Table_Input_InorganicFertiliser_Custom[[#This Row],[Ingredient 4 percent]]), 0)
)</f>
        <v>0</v>
      </c>
      <c r="Q26" s="13"/>
      <c r="R26" s="13"/>
      <c r="V26" s="143"/>
      <c r="W26" s="77"/>
    </row>
    <row r="27" spans="1:26" ht="20.100000000000001" customHeight="1" x14ac:dyDescent="0.2">
      <c r="D27" s="34"/>
      <c r="E27" s="131"/>
      <c r="F27" s="134">
        <f t="shared" si="8"/>
        <v>0</v>
      </c>
      <c r="G27" s="136">
        <f>Table_Input_InorganicFertiliser_Custom[[#This Row],[Amount applied (kg / ha)]]*Table_Input_InorganicFertiliser_Custom[[#This Row],[Application area (ha)]]</f>
        <v>0</v>
      </c>
      <c r="H27" s="147"/>
      <c r="I27" s="150"/>
      <c r="J27" s="147"/>
      <c r="K27" s="150"/>
      <c r="L27" s="147"/>
      <c r="M27" s="150"/>
      <c r="N27" s="149"/>
      <c r="O27" s="18"/>
      <c r="P27" s="136">
        <f>Table_Input_InorganicFertiliser_Custom[[#This Row],[Amount applied (kg / ha)]]*
(IFERROR((_xlfn.XLOOKUP(Table_Input_InorganicFertiliser_Custom[[#This Row],[Ingredient 1 (select)]], Table_Fertiliser_ChemicalCompounds[Fertiliser type f],Table_Fertiliser_ChemicalCompounds[FNinorganic f])*Table_Input_InorganicFertiliser_Custom[[#This Row],[Ingredient 1 percent]]), 0) +
IFERROR((_xlfn.XLOOKUP(Table_Input_InorganicFertiliser_Custom[[#This Row],[Ingredient 2]], Table_Fertiliser_ChemicalCompounds[Fertiliser type f],Table_Fertiliser_ChemicalCompounds[FNinorganic f])*Table_Input_InorganicFertiliser_Custom[[#This Row],[Ingredient 2 percent]]), 0) +
IFERROR((_xlfn.XLOOKUP(Table_Input_InorganicFertiliser_Custom[[#This Row],[Ingredient 3]], Table_Fertiliser_ChemicalCompounds[Fertiliser type f],Table_Fertiliser_ChemicalCompounds[FNinorganic f])*Table_Input_InorganicFertiliser_Custom[[#This Row],[Ingredient 3 percent]]), 0) +
IFERROR((_xlfn.XLOOKUP(Table_Input_InorganicFertiliser_Custom[[#This Row],[Ingredient 4]], Table_Fertiliser_ChemicalCompounds[Fertiliser type f],Table_Fertiliser_ChemicalCompounds[FNinorganic f])*Table_Input_InorganicFertiliser_Custom[[#This Row],[Ingredient 4 percent]]), 0)
)</f>
        <v>0</v>
      </c>
      <c r="Q27" s="13"/>
      <c r="R27" s="13"/>
      <c r="V27" s="143"/>
    </row>
    <row r="28" spans="1:26" ht="20.100000000000001" customHeight="1" x14ac:dyDescent="0.2">
      <c r="A28" s="6" t="s">
        <v>2</v>
      </c>
      <c r="D28" s="34"/>
      <c r="E28" s="131"/>
      <c r="F28" s="151">
        <f t="shared" si="8"/>
        <v>0</v>
      </c>
      <c r="G28" s="136">
        <f>Table_Input_InorganicFertiliser_Custom[[#This Row],[Amount applied (kg / ha)]]*Table_Input_InorganicFertiliser_Custom[[#This Row],[Application area (ha)]]</f>
        <v>0</v>
      </c>
      <c r="H28" s="147"/>
      <c r="I28" s="150"/>
      <c r="J28" s="147"/>
      <c r="K28" s="150"/>
      <c r="L28" s="147"/>
      <c r="M28" s="150"/>
      <c r="N28" s="149"/>
      <c r="O28" s="18"/>
      <c r="P28" s="136">
        <f>Table_Input_InorganicFertiliser_Custom[[#This Row],[Amount applied (kg / ha)]]*
(IFERROR((_xlfn.XLOOKUP(Table_Input_InorganicFertiliser_Custom[[#This Row],[Ingredient 1 (select)]], Table_Fertiliser_ChemicalCompounds[Fertiliser type f],Table_Fertiliser_ChemicalCompounds[FNinorganic f])*Table_Input_InorganicFertiliser_Custom[[#This Row],[Ingredient 1 percent]]), 0) +
IFERROR((_xlfn.XLOOKUP(Table_Input_InorganicFertiliser_Custom[[#This Row],[Ingredient 2]], Table_Fertiliser_ChemicalCompounds[Fertiliser type f],Table_Fertiliser_ChemicalCompounds[FNinorganic f])*Table_Input_InorganicFertiliser_Custom[[#This Row],[Ingredient 2 percent]]), 0) +
IFERROR((_xlfn.XLOOKUP(Table_Input_InorganicFertiliser_Custom[[#This Row],[Ingredient 3]], Table_Fertiliser_ChemicalCompounds[Fertiliser type f],Table_Fertiliser_ChemicalCompounds[FNinorganic f])*Table_Input_InorganicFertiliser_Custom[[#This Row],[Ingredient 3 percent]]), 0) +
IFERROR((_xlfn.XLOOKUP(Table_Input_InorganicFertiliser_Custom[[#This Row],[Ingredient 4]], Table_Fertiliser_ChemicalCompounds[Fertiliser type f],Table_Fertiliser_ChemicalCompounds[FNinorganic f])*Table_Input_InorganicFertiliser_Custom[[#This Row],[Ingredient 4 percent]]), 0)
)</f>
        <v>0</v>
      </c>
      <c r="Q28" s="13"/>
      <c r="R28" s="13"/>
      <c r="V28" s="77"/>
    </row>
    <row r="29" spans="1:26" ht="20.100000000000001" customHeight="1" x14ac:dyDescent="0.2">
      <c r="A29" s="5" t="str">
        <f>HYPERLINK("#'3.2.1.1-2 Enteric Methane'!A1", "3.2.1.1-2 Enteric Methane")</f>
        <v>3.2.1.1-2 Enteric Methane</v>
      </c>
      <c r="D29" s="34"/>
      <c r="E29" s="131"/>
      <c r="F29" s="151">
        <f t="shared" si="8"/>
        <v>0</v>
      </c>
      <c r="G29" s="136">
        <f>Table_Input_InorganicFertiliser_Custom[[#This Row],[Amount applied (kg / ha)]]*Table_Input_InorganicFertiliser_Custom[[#This Row],[Application area (ha)]]</f>
        <v>0</v>
      </c>
      <c r="H29" s="147"/>
      <c r="I29" s="150"/>
      <c r="J29" s="147"/>
      <c r="K29" s="150"/>
      <c r="L29" s="147"/>
      <c r="M29" s="150"/>
      <c r="N29" s="149"/>
      <c r="O29" s="18"/>
      <c r="P29" s="136">
        <f>Table_Input_InorganicFertiliser_Custom[[#This Row],[Amount applied (kg / ha)]]*
(IFERROR((_xlfn.XLOOKUP(Table_Input_InorganicFertiliser_Custom[[#This Row],[Ingredient 1 (select)]], Table_Fertiliser_ChemicalCompounds[Fertiliser type f],Table_Fertiliser_ChemicalCompounds[FNinorganic f])*Table_Input_InorganicFertiliser_Custom[[#This Row],[Ingredient 1 percent]]), 0) +
IFERROR((_xlfn.XLOOKUP(Table_Input_InorganicFertiliser_Custom[[#This Row],[Ingredient 2]], Table_Fertiliser_ChemicalCompounds[Fertiliser type f],Table_Fertiliser_ChemicalCompounds[FNinorganic f])*Table_Input_InorganicFertiliser_Custom[[#This Row],[Ingredient 2 percent]]), 0) +
IFERROR((_xlfn.XLOOKUP(Table_Input_InorganicFertiliser_Custom[[#This Row],[Ingredient 3]], Table_Fertiliser_ChemicalCompounds[Fertiliser type f],Table_Fertiliser_ChemicalCompounds[FNinorganic f])*Table_Input_InorganicFertiliser_Custom[[#This Row],[Ingredient 3 percent]]), 0) +
IFERROR((_xlfn.XLOOKUP(Table_Input_InorganicFertiliser_Custom[[#This Row],[Ingredient 4]], Table_Fertiliser_ChemicalCompounds[Fertiliser type f],Table_Fertiliser_ChemicalCompounds[FNinorganic f])*Table_Input_InorganicFertiliser_Custom[[#This Row],[Ingredient 4 percent]]), 0)
)</f>
        <v>0</v>
      </c>
      <c r="Q29" s="13"/>
      <c r="R29" s="13"/>
    </row>
    <row r="30" spans="1:26" ht="20.100000000000001" customHeight="1" x14ac:dyDescent="0.2">
      <c r="A30" s="5" t="str">
        <f>HYPERLINK("#'4.2.1.1-2 Methane'!A1", "4.2.1.1-2 Manure methane")</f>
        <v>4.2.1.1-2 Manure methane</v>
      </c>
      <c r="D30" s="34"/>
      <c r="E30" s="131"/>
      <c r="F30" s="151">
        <f t="shared" si="8"/>
        <v>0</v>
      </c>
      <c r="G30" s="136">
        <f>Table_Input_InorganicFertiliser_Custom[[#This Row],[Amount applied (kg / ha)]]*Table_Input_InorganicFertiliser_Custom[[#This Row],[Application area (ha)]]</f>
        <v>0</v>
      </c>
      <c r="H30" s="147"/>
      <c r="I30" s="150"/>
      <c r="J30" s="147"/>
      <c r="K30" s="150"/>
      <c r="L30" s="147"/>
      <c r="M30" s="150"/>
      <c r="N30" s="149"/>
      <c r="O30" s="18"/>
      <c r="P30" s="136">
        <f>Table_Input_InorganicFertiliser_Custom[[#This Row],[Amount applied (kg / ha)]]*
(IFERROR((_xlfn.XLOOKUP(Table_Input_InorganicFertiliser_Custom[[#This Row],[Ingredient 1 (select)]], Table_Fertiliser_ChemicalCompounds[Fertiliser type f],Table_Fertiliser_ChemicalCompounds[FNinorganic f])*Table_Input_InorganicFertiliser_Custom[[#This Row],[Ingredient 1 percent]]), 0) +
IFERROR((_xlfn.XLOOKUP(Table_Input_InorganicFertiliser_Custom[[#This Row],[Ingredient 2]], Table_Fertiliser_ChemicalCompounds[Fertiliser type f],Table_Fertiliser_ChemicalCompounds[FNinorganic f])*Table_Input_InorganicFertiliser_Custom[[#This Row],[Ingredient 2 percent]]), 0) +
IFERROR((_xlfn.XLOOKUP(Table_Input_InorganicFertiliser_Custom[[#This Row],[Ingredient 3]], Table_Fertiliser_ChemicalCompounds[Fertiliser type f],Table_Fertiliser_ChemicalCompounds[FNinorganic f])*Table_Input_InorganicFertiliser_Custom[[#This Row],[Ingredient 3 percent]]), 0) +
IFERROR((_xlfn.XLOOKUP(Table_Input_InorganicFertiliser_Custom[[#This Row],[Ingredient 4]], Table_Fertiliser_ChemicalCompounds[Fertiliser type f],Table_Fertiliser_ChemicalCompounds[FNinorganic f])*Table_Input_InorganicFertiliser_Custom[[#This Row],[Ingredient 4 percent]]), 0)
)</f>
        <v>0</v>
      </c>
      <c r="Q30" s="13"/>
      <c r="R30" s="13"/>
    </row>
    <row r="31" spans="1:26" ht="20.100000000000001" customHeight="1" x14ac:dyDescent="0.2">
      <c r="A31" s="5" t="str">
        <f>HYPERLINK("#'4.2.1.3-4 Soil direct N20'!A1", "4.2.1.3-4 Soil direct N2O")</f>
        <v>4.2.1.3-4 Soil direct N2O</v>
      </c>
      <c r="D31" s="34"/>
      <c r="E31" s="131"/>
      <c r="F31" s="151">
        <f t="shared" si="8"/>
        <v>0</v>
      </c>
      <c r="G31" s="136">
        <f>Table_Input_InorganicFertiliser_Custom[[#This Row],[Amount applied (kg / ha)]]*Table_Input_InorganicFertiliser_Custom[[#This Row],[Application area (ha)]]</f>
        <v>0</v>
      </c>
      <c r="H31" s="147"/>
      <c r="I31" s="150"/>
      <c r="J31" s="147"/>
      <c r="K31" s="150"/>
      <c r="L31" s="147"/>
      <c r="M31" s="150"/>
      <c r="N31" s="149"/>
      <c r="O31" s="18"/>
      <c r="P31" s="136">
        <f>Table_Input_InorganicFertiliser_Custom[[#This Row],[Amount applied (kg / ha)]]*
(IFERROR((_xlfn.XLOOKUP(Table_Input_InorganicFertiliser_Custom[[#This Row],[Ingredient 1 (select)]], Table_Fertiliser_ChemicalCompounds[Fertiliser type f],Table_Fertiliser_ChemicalCompounds[FNinorganic f])*Table_Input_InorganicFertiliser_Custom[[#This Row],[Ingredient 1 percent]]), 0) +
IFERROR((_xlfn.XLOOKUP(Table_Input_InorganicFertiliser_Custom[[#This Row],[Ingredient 2]], Table_Fertiliser_ChemicalCompounds[Fertiliser type f],Table_Fertiliser_ChemicalCompounds[FNinorganic f])*Table_Input_InorganicFertiliser_Custom[[#This Row],[Ingredient 2 percent]]), 0) +
IFERROR((_xlfn.XLOOKUP(Table_Input_InorganicFertiliser_Custom[[#This Row],[Ingredient 3]], Table_Fertiliser_ChemicalCompounds[Fertiliser type f],Table_Fertiliser_ChemicalCompounds[FNinorganic f])*Table_Input_InorganicFertiliser_Custom[[#This Row],[Ingredient 3 percent]]), 0) +
IFERROR((_xlfn.XLOOKUP(Table_Input_InorganicFertiliser_Custom[[#This Row],[Ingredient 4]], Table_Fertiliser_ChemicalCompounds[Fertiliser type f],Table_Fertiliser_ChemicalCompounds[FNinorganic f])*Table_Input_InorganicFertiliser_Custom[[#This Row],[Ingredient 4 percent]]), 0)
)</f>
        <v>0</v>
      </c>
      <c r="Q31" s="13"/>
      <c r="R31" s="13"/>
    </row>
    <row r="32" spans="1:26" ht="20.100000000000001" customHeight="1" x14ac:dyDescent="0.2">
      <c r="A32" s="5" t="str">
        <f>HYPERLINK("#'4.2.1.5-6 Soil Atmos Dep'!A1", "4.2.1.5-6 Soil atm. deposition")</f>
        <v>4.2.1.5-6 Soil atm. deposition</v>
      </c>
      <c r="D32" s="34"/>
      <c r="E32" s="131"/>
      <c r="F32" s="151">
        <f t="shared" si="8"/>
        <v>0</v>
      </c>
      <c r="G32" s="136">
        <f>Table_Input_InorganicFertiliser_Custom[[#This Row],[Amount applied (kg / ha)]]*Table_Input_InorganicFertiliser_Custom[[#This Row],[Application area (ha)]]</f>
        <v>0</v>
      </c>
      <c r="H32" s="147"/>
      <c r="I32" s="150"/>
      <c r="J32" s="147"/>
      <c r="K32" s="150"/>
      <c r="L32" s="147"/>
      <c r="M32" s="150"/>
      <c r="N32" s="149"/>
      <c r="O32" s="18"/>
      <c r="P32" s="136">
        <f>Table_Input_InorganicFertiliser_Custom[[#This Row],[Amount applied (kg / ha)]]*
(IFERROR((_xlfn.XLOOKUP(Table_Input_InorganicFertiliser_Custom[[#This Row],[Ingredient 1 (select)]], Table_Fertiliser_ChemicalCompounds[Fertiliser type f],Table_Fertiliser_ChemicalCompounds[FNinorganic f])*Table_Input_InorganicFertiliser_Custom[[#This Row],[Ingredient 1 percent]]), 0) +
IFERROR((_xlfn.XLOOKUP(Table_Input_InorganicFertiliser_Custom[[#This Row],[Ingredient 2]], Table_Fertiliser_ChemicalCompounds[Fertiliser type f],Table_Fertiliser_ChemicalCompounds[FNinorganic f])*Table_Input_InorganicFertiliser_Custom[[#This Row],[Ingredient 2 percent]]), 0) +
IFERROR((_xlfn.XLOOKUP(Table_Input_InorganicFertiliser_Custom[[#This Row],[Ingredient 3]], Table_Fertiliser_ChemicalCompounds[Fertiliser type f],Table_Fertiliser_ChemicalCompounds[FNinorganic f])*Table_Input_InorganicFertiliser_Custom[[#This Row],[Ingredient 3 percent]]), 0) +
IFERROR((_xlfn.XLOOKUP(Table_Input_InorganicFertiliser_Custom[[#This Row],[Ingredient 4]], Table_Fertiliser_ChemicalCompounds[Fertiliser type f],Table_Fertiliser_ChemicalCompounds[FNinorganic f])*Table_Input_InorganicFertiliser_Custom[[#This Row],[Ingredient 4 percent]]), 0)
)</f>
        <v>0</v>
      </c>
      <c r="Q32" s="13"/>
      <c r="R32" s="13"/>
    </row>
    <row r="33" spans="1:27" ht="20.100000000000001" customHeight="1" x14ac:dyDescent="0.2">
      <c r="A33" s="5" t="str">
        <f>HYPERLINK("#'4.2.1.7-8 Soil leach runoff'!A1", "4.2.1.7-8 Soil leach &amp; runoff")</f>
        <v>4.2.1.7-8 Soil leach &amp; runoff</v>
      </c>
      <c r="D33" s="34"/>
      <c r="E33" s="131"/>
      <c r="F33" s="151">
        <f t="shared" si="8"/>
        <v>0</v>
      </c>
      <c r="G33" s="136">
        <f>Table_Input_InorganicFertiliser_Custom[[#This Row],[Amount applied (kg / ha)]]*Table_Input_InorganicFertiliser_Custom[[#This Row],[Application area (ha)]]</f>
        <v>0</v>
      </c>
      <c r="H33" s="147"/>
      <c r="I33" s="150"/>
      <c r="J33" s="147"/>
      <c r="K33" s="150"/>
      <c r="L33" s="147"/>
      <c r="M33" s="150"/>
      <c r="N33" s="149"/>
      <c r="O33" s="18"/>
      <c r="P33" s="136">
        <f>Table_Input_InorganicFertiliser_Custom[[#This Row],[Amount applied (kg / ha)]]*
(IFERROR((_xlfn.XLOOKUP(Table_Input_InorganicFertiliser_Custom[[#This Row],[Ingredient 1 (select)]], Table_Fertiliser_ChemicalCompounds[Fertiliser type f],Table_Fertiliser_ChemicalCompounds[FNinorganic f])*Table_Input_InorganicFertiliser_Custom[[#This Row],[Ingredient 1 percent]]), 0) +
IFERROR((_xlfn.XLOOKUP(Table_Input_InorganicFertiliser_Custom[[#This Row],[Ingredient 2]], Table_Fertiliser_ChemicalCompounds[Fertiliser type f],Table_Fertiliser_ChemicalCompounds[FNinorganic f])*Table_Input_InorganicFertiliser_Custom[[#This Row],[Ingredient 2 percent]]), 0) +
IFERROR((_xlfn.XLOOKUP(Table_Input_InorganicFertiliser_Custom[[#This Row],[Ingredient 3]], Table_Fertiliser_ChemicalCompounds[Fertiliser type f],Table_Fertiliser_ChemicalCompounds[FNinorganic f])*Table_Input_InorganicFertiliser_Custom[[#This Row],[Ingredient 3 percent]]), 0) +
IFERROR((_xlfn.XLOOKUP(Table_Input_InorganicFertiliser_Custom[[#This Row],[Ingredient 4]], Table_Fertiliser_ChemicalCompounds[Fertiliser type f],Table_Fertiliser_ChemicalCompounds[FNinorganic f])*Table_Input_InorganicFertiliser_Custom[[#This Row],[Ingredient 4 percent]]), 0)
)</f>
        <v>0</v>
      </c>
      <c r="Q33" s="13"/>
      <c r="R33" s="13"/>
    </row>
    <row r="34" spans="1:27" ht="20.100000000000001" customHeight="1" x14ac:dyDescent="0.2">
      <c r="A34" s="5" t="str">
        <f>HYPERLINK("#'5.1.1.1-2 Inorganic fert N2O'!A1", "5.1.1.1-2 Inorganic fert N2O")</f>
        <v>5.1.1.1-2 Inorganic fert N2O</v>
      </c>
      <c r="D34" s="34"/>
      <c r="E34" s="131"/>
      <c r="F34" s="151">
        <f t="shared" si="8"/>
        <v>0</v>
      </c>
      <c r="G34" s="136">
        <f>Table_Input_InorganicFertiliser_Custom[[#This Row],[Amount applied (kg / ha)]]*Table_Input_InorganicFertiliser_Custom[[#This Row],[Application area (ha)]]</f>
        <v>0</v>
      </c>
      <c r="H34" s="147"/>
      <c r="I34" s="150"/>
      <c r="J34" s="147"/>
      <c r="K34" s="150"/>
      <c r="L34" s="147"/>
      <c r="M34" s="150"/>
      <c r="N34" s="149"/>
      <c r="O34" s="18"/>
      <c r="P34" s="136">
        <f>Table_Input_InorganicFertiliser_Custom[[#This Row],[Amount applied (kg / ha)]]*
(IFERROR((_xlfn.XLOOKUP(Table_Input_InorganicFertiliser_Custom[[#This Row],[Ingredient 1 (select)]], Table_Fertiliser_ChemicalCompounds[Fertiliser type f],Table_Fertiliser_ChemicalCompounds[FNinorganic f])*Table_Input_InorganicFertiliser_Custom[[#This Row],[Ingredient 1 percent]]), 0) +
IFERROR((_xlfn.XLOOKUP(Table_Input_InorganicFertiliser_Custom[[#This Row],[Ingredient 2]], Table_Fertiliser_ChemicalCompounds[Fertiliser type f],Table_Fertiliser_ChemicalCompounds[FNinorganic f])*Table_Input_InorganicFertiliser_Custom[[#This Row],[Ingredient 2 percent]]), 0) +
IFERROR((_xlfn.XLOOKUP(Table_Input_InorganicFertiliser_Custom[[#This Row],[Ingredient 3]], Table_Fertiliser_ChemicalCompounds[Fertiliser type f],Table_Fertiliser_ChemicalCompounds[FNinorganic f])*Table_Input_InorganicFertiliser_Custom[[#This Row],[Ingredient 3 percent]]), 0) +
IFERROR((_xlfn.XLOOKUP(Table_Input_InorganicFertiliser_Custom[[#This Row],[Ingredient 4]], Table_Fertiliser_ChemicalCompounds[Fertiliser type f],Table_Fertiliser_ChemicalCompounds[FNinorganic f])*Table_Input_InorganicFertiliser_Custom[[#This Row],[Ingredient 4 percent]]), 0)
)</f>
        <v>0</v>
      </c>
      <c r="Q34" s="13"/>
      <c r="R34" s="13"/>
    </row>
    <row r="35" spans="1:27" ht="20.100000000000001" customHeight="1" x14ac:dyDescent="0.2">
      <c r="A35" s="5" t="str">
        <f>HYPERLINK("#'5.1.1.3-4 Inorganic fert CO2'!A1", "5.1.1.3-4 Inorganic fert CO2")</f>
        <v>5.1.1.3-4 Inorganic fert CO2</v>
      </c>
    </row>
    <row r="36" spans="1:27" ht="20.100000000000001" customHeight="1" x14ac:dyDescent="0.2">
      <c r="A36" s="5" t="str">
        <f>HYPERLINK("#'5.2.1.1-2 Organic Fert N2O'!A1", "5.2.1.1-2 Organic fert N2O")</f>
        <v>5.2.1.1-2 Organic fert N2O</v>
      </c>
      <c r="D36" s="2" t="s">
        <v>263</v>
      </c>
      <c r="E36" s="25"/>
      <c r="F36" s="25"/>
      <c r="G36" s="25"/>
      <c r="H36" s="25"/>
      <c r="I36" s="25"/>
      <c r="J36" s="25"/>
      <c r="K36" s="8"/>
      <c r="L36" s="8"/>
      <c r="M36" s="8"/>
    </row>
    <row r="37" spans="1:27" ht="20.100000000000001" customHeight="1" x14ac:dyDescent="0.2">
      <c r="A37" s="5" t="str">
        <f>HYPERLINK("#'5.3.1.1-2 Lime CO2'!A1", "5.3.1.1-2 Lime CO2")</f>
        <v>5.3.1.1-2 Lime CO2</v>
      </c>
      <c r="D37" s="126" t="s">
        <v>612</v>
      </c>
      <c r="E37" s="44"/>
      <c r="F37" s="45"/>
      <c r="G37" s="126"/>
      <c r="H37" s="45"/>
      <c r="I37" s="25"/>
      <c r="J37" s="25"/>
      <c r="K37" s="8"/>
      <c r="L37" s="8"/>
      <c r="M37" s="25"/>
    </row>
    <row r="38" spans="1:27" ht="20.100000000000001" customHeight="1" x14ac:dyDescent="0.2">
      <c r="A38" s="5" t="str">
        <f>HYPERLINK("#'5.4.1.1-4 Atmos deposition'!A1", "5.4.1.1-4 Atmos. deposition")</f>
        <v>5.4.1.1-4 Atmos. deposition</v>
      </c>
      <c r="C38" s="143"/>
      <c r="D38" s="152" t="s">
        <v>613</v>
      </c>
      <c r="E38" s="153"/>
      <c r="F38" s="154"/>
      <c r="G38" s="152"/>
      <c r="H38" s="154"/>
      <c r="I38" s="8"/>
      <c r="J38" s="8"/>
      <c r="K38" s="8"/>
      <c r="L38" s="8"/>
      <c r="M38" s="8"/>
    </row>
    <row r="39" spans="1:27" ht="20.100000000000001" customHeight="1" x14ac:dyDescent="0.2">
      <c r="A39" s="5" t="str">
        <f>HYPERLINK("#'5.5.1.1-2 Leaching and runoff'!A1", "5.5.1.1-2 Leaching &amp; runoff")</f>
        <v>5.5.1.1-2 Leaching &amp; runoff</v>
      </c>
      <c r="C39" s="143"/>
      <c r="D39" s="46" t="s">
        <v>581</v>
      </c>
      <c r="E39" s="47"/>
      <c r="F39" s="47"/>
      <c r="G39" s="47"/>
      <c r="H39" s="48"/>
      <c r="I39" s="8"/>
      <c r="J39" s="8"/>
      <c r="K39" s="8"/>
      <c r="L39" s="8"/>
      <c r="M39" s="25"/>
    </row>
    <row r="40" spans="1:27" s="155" customFormat="1" ht="20.100000000000001" customHeight="1" x14ac:dyDescent="0.2">
      <c r="A40" s="5" t="str">
        <f>HYPERLINK("#'6.2.1.1-2 Pasture residue N2O'!A1", "6.2.1.1-2 Pasture residue N2O")</f>
        <v>6.2.1.1-2 Pasture residue N2O</v>
      </c>
      <c r="C40" s="1"/>
      <c r="D40" s="80" t="str">
        <f>IF(MAX(Table_Input_Lime[Total]) &gt; 1, "There can not be more than 100% ingredients in a product. Check the table below.", "")</f>
        <v/>
      </c>
      <c r="E40" s="1"/>
      <c r="F40" s="1"/>
      <c r="G40" s="1"/>
      <c r="H40" s="1"/>
      <c r="I40" s="1"/>
      <c r="J40" s="1"/>
      <c r="K40" s="1"/>
      <c r="L40" s="8"/>
      <c r="M40" s="25"/>
      <c r="N40" s="1"/>
      <c r="O40" s="1"/>
      <c r="P40" s="1"/>
      <c r="Q40" s="1"/>
      <c r="R40" s="1"/>
      <c r="S40" s="1"/>
      <c r="T40" s="1"/>
      <c r="U40" s="1"/>
      <c r="V40" s="1"/>
      <c r="W40" s="1"/>
      <c r="X40" s="1"/>
      <c r="Y40" s="1"/>
      <c r="Z40" s="1"/>
      <c r="AA40" s="1"/>
    </row>
    <row r="41" spans="1:27" s="155" customFormat="1" ht="20.100000000000001" customHeight="1" x14ac:dyDescent="0.2">
      <c r="A41" s="5" t="str">
        <f>HYPERLINK("#'6.3.1.1-2 Leach runoff pasture'!A1", "6.3.1.1-2 Leach &amp; runoff (pasture)")</f>
        <v>6.3.1.1-2 Leach &amp; runoff (pasture)</v>
      </c>
      <c r="C41" s="1"/>
      <c r="D41" s="156" t="s">
        <v>139</v>
      </c>
      <c r="E41" s="156" t="s">
        <v>614</v>
      </c>
      <c r="F41" s="156" t="s">
        <v>586</v>
      </c>
      <c r="G41" s="156" t="s">
        <v>615</v>
      </c>
      <c r="H41" s="156" t="s">
        <v>616</v>
      </c>
      <c r="I41" s="156" t="s">
        <v>617</v>
      </c>
      <c r="J41" s="156" t="s">
        <v>618</v>
      </c>
      <c r="K41" s="156" t="s">
        <v>619</v>
      </c>
      <c r="L41" s="1"/>
      <c r="M41" s="1"/>
      <c r="N41" s="1"/>
      <c r="O41" s="1"/>
      <c r="P41" s="1"/>
      <c r="Q41" s="1"/>
      <c r="R41" s="1"/>
      <c r="S41" s="143"/>
      <c r="T41" s="1"/>
      <c r="U41" s="1"/>
      <c r="V41" s="1"/>
      <c r="W41" s="1"/>
      <c r="X41" s="1"/>
      <c r="Y41" s="1"/>
      <c r="Z41" s="1"/>
      <c r="AA41" s="1"/>
    </row>
    <row r="42" spans="1:27" ht="20.100000000000001" customHeight="1" x14ac:dyDescent="0.2">
      <c r="A42" s="5" t="str">
        <f>HYPERLINK("#'8.1.1.1-2 Transport fuel'!A1", "8.1.1.1-2 Transport fuel")</f>
        <v>8.1.1.1-2 Transport fuel</v>
      </c>
      <c r="D42" s="157"/>
      <c r="E42" s="134"/>
      <c r="F42" s="134">
        <f>X_Cell_Fertiliser_AreaUnderCropping</f>
        <v>0</v>
      </c>
      <c r="G42" s="136">
        <f>IFERROR(Table_Input_Lime[[#This Row],[Amount applied (t/hectare)]]*Table_Input_Lime[[#This Row],[Application area (ha)]], 0)</f>
        <v>0</v>
      </c>
      <c r="H42" s="158"/>
      <c r="I42" s="158"/>
      <c r="J42" s="158"/>
      <c r="K42" s="159">
        <f>SUM(Table_Input_Lime[[#This Row],[Percent Lime CaCO3]:[Percent Gypsum]])</f>
        <v>0</v>
      </c>
      <c r="S42" s="143"/>
    </row>
    <row r="43" spans="1:27" ht="20.100000000000001" customHeight="1" x14ac:dyDescent="0.2">
      <c r="A43" s="5" t="str">
        <f>HYPERLINK("#'8.2.1.1-2 Stationary fuel'!A1", "8.2.1.1-2 Stationary fuel")</f>
        <v>8.2.1.1-2 Stationary fuel</v>
      </c>
      <c r="D43" s="157"/>
      <c r="E43" s="134"/>
      <c r="F43" s="134">
        <f>X_Cell_Fertiliser_AreaUnderCropping</f>
        <v>0</v>
      </c>
      <c r="G43" s="136">
        <f>IFERROR(Table_Input_Lime[[#This Row],[Amount applied (t/hectare)]]*Table_Input_Lime[[#This Row],[Application area (ha)]], 0)</f>
        <v>0</v>
      </c>
      <c r="H43" s="158"/>
      <c r="I43" s="158"/>
      <c r="J43" s="158"/>
      <c r="K43" s="159">
        <f>SUM(Table_Input_Lime[[#This Row],[Percent Lime CaCO3]:[Percent Gypsum]])</f>
        <v>0</v>
      </c>
    </row>
    <row r="44" spans="1:27" ht="20.100000000000001" customHeight="1" x14ac:dyDescent="0.2">
      <c r="A44" s="5" t="str">
        <f>HYPERLINK("#'10.1.1-2 Solid waste treatment'!A1", "10.1.1.1-2 Solid waste")</f>
        <v>10.1.1.1-2 Solid waste</v>
      </c>
      <c r="D44" s="157"/>
      <c r="E44" s="134"/>
      <c r="F44" s="134">
        <f>X_Cell_Fertiliser_AreaUnderCropping</f>
        <v>0</v>
      </c>
      <c r="G44" s="136">
        <f>IFERROR(Table_Input_Lime[[#This Row],[Amount applied (t/hectare)]]*Table_Input_Lime[[#This Row],[Application area (ha)]], 0)</f>
        <v>0</v>
      </c>
      <c r="H44" s="158"/>
      <c r="I44" s="158"/>
      <c r="J44" s="158"/>
      <c r="K44" s="159">
        <f>SUM(Table_Input_Lime[[#This Row],[Percent Lime CaCO3]:[Percent Gypsum]])</f>
        <v>0</v>
      </c>
      <c r="L44" s="25"/>
    </row>
    <row r="45" spans="1:27" ht="20.100000000000001" customHeight="1" x14ac:dyDescent="0.2">
      <c r="A45" s="5" t="str">
        <f>HYPERLINK("#'14.1.1-2 Purchased electricity'!A1", "14.1.1-2 Purchased electricity")</f>
        <v>14.1.1-2 Purchased electricity</v>
      </c>
      <c r="L45" s="25"/>
      <c r="M45" s="25"/>
    </row>
    <row r="46" spans="1:27" ht="20.100000000000001" customHeight="1" x14ac:dyDescent="0.2">
      <c r="A46" s="5" t="str">
        <f>HYPERLINK("#'15 Scope 3'!A1", "15 Scope 3")</f>
        <v>15 Scope 3</v>
      </c>
      <c r="D46" s="8"/>
      <c r="E46" s="8"/>
      <c r="F46" s="8"/>
      <c r="G46" s="8"/>
      <c r="H46" s="8"/>
      <c r="I46" s="8"/>
      <c r="J46" s="8"/>
      <c r="L46" s="8"/>
      <c r="M46" s="25"/>
    </row>
    <row r="47" spans="1:27" ht="20.100000000000001" customHeight="1" x14ac:dyDescent="0.2">
      <c r="A47" s="5" t="str">
        <f>HYPERLINK("#'Calcs - Manure sent off-site'!A1", "Calcs - Manure sent off-site")</f>
        <v>Calcs - Manure sent off-site</v>
      </c>
      <c r="D47" s="8"/>
      <c r="E47" s="8"/>
      <c r="F47" s="8"/>
      <c r="G47" s="8"/>
      <c r="H47" s="8"/>
      <c r="I47" s="8"/>
      <c r="J47" s="160"/>
      <c r="K47" s="25"/>
      <c r="L47" s="8"/>
      <c r="M47" s="8"/>
    </row>
    <row r="48" spans="1:27" ht="20.100000000000001" customHeight="1" x14ac:dyDescent="0.2">
      <c r="D48" s="2" t="s">
        <v>264</v>
      </c>
      <c r="E48" s="25"/>
      <c r="F48" s="25"/>
      <c r="G48" s="25"/>
      <c r="H48" s="8"/>
      <c r="I48" s="8"/>
      <c r="J48" s="8"/>
      <c r="K48" s="8"/>
      <c r="L48" s="8"/>
      <c r="M48" s="8"/>
    </row>
    <row r="49" spans="1:18" ht="20.100000000000001" customHeight="1" x14ac:dyDescent="0.2">
      <c r="D49" s="8"/>
      <c r="E49" s="8"/>
      <c r="F49" s="8"/>
      <c r="G49" s="8"/>
      <c r="H49" s="8"/>
      <c r="I49" s="8"/>
      <c r="J49" s="8"/>
      <c r="K49" s="8"/>
      <c r="L49" s="8"/>
      <c r="M49" s="8"/>
      <c r="Q49" s="143"/>
      <c r="R49" s="143"/>
    </row>
    <row r="50" spans="1:18" ht="20.100000000000001" customHeight="1" x14ac:dyDescent="0.2">
      <c r="A50" s="85" t="s">
        <v>1</v>
      </c>
      <c r="D50" s="126" t="s">
        <v>612</v>
      </c>
      <c r="E50" s="44"/>
      <c r="F50" s="44"/>
      <c r="G50" s="44"/>
      <c r="H50" s="45"/>
      <c r="I50" s="8"/>
      <c r="J50" s="8"/>
      <c r="K50" s="8"/>
      <c r="L50" s="8"/>
      <c r="M50" s="8"/>
      <c r="O50" s="143"/>
      <c r="P50" s="143"/>
      <c r="Q50" s="143"/>
      <c r="R50" s="143"/>
    </row>
    <row r="51" spans="1:18" ht="20.100000000000001" customHeight="1" x14ac:dyDescent="0.2">
      <c r="A51" s="5" t="str">
        <f>HYPERLINK("#'Constants - Pasture Beef'!A1", "Constants - Pasture Beef")</f>
        <v>Constants - Pasture Beef</v>
      </c>
      <c r="D51" s="46" t="s">
        <v>581</v>
      </c>
      <c r="E51" s="47"/>
      <c r="F51" s="47"/>
      <c r="G51" s="47"/>
      <c r="H51" s="48"/>
      <c r="I51" s="8"/>
      <c r="J51" s="8"/>
      <c r="K51" s="8"/>
      <c r="L51" s="145"/>
      <c r="M51" s="143"/>
      <c r="N51" s="143"/>
      <c r="O51" s="143"/>
      <c r="P51" s="143"/>
    </row>
    <row r="52" spans="1:18" ht="20.100000000000001" customHeight="1" x14ac:dyDescent="0.2">
      <c r="A52" s="5" t="str">
        <f>HYPERLINK("#'Constants - Ag Residue'!A1", "Constants - Ag residue")</f>
        <v>Constants - Ag residue</v>
      </c>
      <c r="D52" s="8"/>
      <c r="E52" s="8"/>
      <c r="F52" s="8"/>
      <c r="G52" s="8"/>
      <c r="H52" s="8"/>
      <c r="I52" s="8"/>
      <c r="J52" s="8"/>
      <c r="K52" s="8"/>
      <c r="L52" s="145"/>
      <c r="M52" s="143"/>
      <c r="N52" s="143"/>
    </row>
    <row r="53" spans="1:18" ht="20.100000000000001" customHeight="1" x14ac:dyDescent="0.2">
      <c r="A53" s="5" t="str">
        <f>HYPERLINK("#'Constants - Common Livestock'!A1", "Constants - Common Livestock")</f>
        <v>Constants - Common Livestock</v>
      </c>
      <c r="D53" s="156" t="s">
        <v>620</v>
      </c>
      <c r="E53" s="156" t="s">
        <v>621</v>
      </c>
      <c r="F53" s="156" t="s">
        <v>622</v>
      </c>
      <c r="G53" s="156" t="s">
        <v>623</v>
      </c>
      <c r="H53" s="156" t="s">
        <v>586</v>
      </c>
      <c r="I53" s="156" t="s">
        <v>624</v>
      </c>
      <c r="J53" s="156" t="s">
        <v>625</v>
      </c>
      <c r="K53" s="145"/>
    </row>
    <row r="54" spans="1:18" ht="20.100000000000001" customHeight="1" x14ac:dyDescent="0.2">
      <c r="A54" s="5" t="str">
        <f>HYPERLINK("#'Constants - Electricity'!A1", "Constants - Electricity")</f>
        <v>Constants - Electricity</v>
      </c>
      <c r="D54" s="133"/>
      <c r="E54" s="158"/>
      <c r="F54" s="134"/>
      <c r="G54" s="136">
        <f>Table_Input_OrganicFertiliser[[#This Row],[Amount applied (kg/hectare)]]*Table_Input_OrganicFertiliser[[#This Row],[Percentage of N in fertiliser]]</f>
        <v>0</v>
      </c>
      <c r="H54" s="134">
        <f>X_Cell_Fertiliser_AreaUnderCropping</f>
        <v>0</v>
      </c>
      <c r="I54" s="136">
        <f>Table_Input_OrganicFertiliser[[#This Row],[Amount applied (kg/hectare)]]*Table_Input_OrganicFertiliser[[#This Row],[Application area (ha)]]</f>
        <v>0</v>
      </c>
      <c r="J54" s="136">
        <f>IFERROR(Table_Input_OrganicFertiliser[[#This Row],[Amount N applied (kg/hectare)]]*Table_Input_OrganicFertiliser[[#This Row],[Application area (ha)]], 0)</f>
        <v>0</v>
      </c>
      <c r="K54" s="145"/>
    </row>
    <row r="55" spans="1:18" ht="20.100000000000001" customHeight="1" x14ac:dyDescent="0.2">
      <c r="A55" s="5" t="str">
        <f>HYPERLINK("#'Constants - Fertiliser'!A1", "Constants - Fertiliser")</f>
        <v>Constants - Fertiliser</v>
      </c>
      <c r="D55" s="133"/>
      <c r="E55" s="158"/>
      <c r="F55" s="134"/>
      <c r="G55" s="136">
        <f>Table_Input_OrganicFertiliser[[#This Row],[Amount applied (kg/hectare)]]*Table_Input_OrganicFertiliser[[#This Row],[Percentage of N in fertiliser]]</f>
        <v>0</v>
      </c>
      <c r="H55" s="134">
        <f>X_Cell_Fertiliser_AreaUnderCropping</f>
        <v>0</v>
      </c>
      <c r="I55" s="136">
        <f>Table_Input_OrganicFertiliser[[#This Row],[Amount applied (kg/hectare)]]*Table_Input_OrganicFertiliser[[#This Row],[Application area (ha)]]</f>
        <v>0</v>
      </c>
      <c r="J55" s="136">
        <f>IFERROR(Table_Input_OrganicFertiliser[[#This Row],[Amount N applied (kg/hectare)]]*Table_Input_OrganicFertiliser[[#This Row],[Application area (ha)]], 0)</f>
        <v>0</v>
      </c>
    </row>
    <row r="56" spans="1:18" ht="20.100000000000001" customHeight="1" x14ac:dyDescent="0.2">
      <c r="A56" s="5" t="str">
        <f>HYPERLINK("#'Constants - Fuel'!A1", "Constants - Fuel")</f>
        <v>Constants - Fuel</v>
      </c>
      <c r="D56" s="133"/>
      <c r="E56" s="158"/>
      <c r="F56" s="134"/>
      <c r="G56" s="136">
        <f>Table_Input_OrganicFertiliser[[#This Row],[Amount applied (kg/hectare)]]*Table_Input_OrganicFertiliser[[#This Row],[Percentage of N in fertiliser]]</f>
        <v>0</v>
      </c>
      <c r="H56" s="134">
        <f>X_Cell_Fertiliser_AreaUnderCropping</f>
        <v>0</v>
      </c>
      <c r="I56" s="136">
        <f>Table_Input_OrganicFertiliser[[#This Row],[Amount applied (kg/hectare)]]*Table_Input_OrganicFertiliser[[#This Row],[Application area (ha)]]</f>
        <v>0</v>
      </c>
      <c r="J56" s="136">
        <f>IFERROR(Table_Input_OrganicFertiliser[[#This Row],[Amount N applied (kg/hectare)]]*Table_Input_OrganicFertiliser[[#This Row],[Application area (ha)]], 0)</f>
        <v>0</v>
      </c>
    </row>
    <row r="57" spans="1:18" ht="20.100000000000001" customHeight="1" x14ac:dyDescent="0.2">
      <c r="A57" s="5" t="str">
        <f>HYPERLINK("#'Constants - Scope 3'!A1", "Constants - Scope 3")</f>
        <v>Constants - Scope 3</v>
      </c>
    </row>
    <row r="58" spans="1:18" ht="20.100000000000001" customHeight="1" x14ac:dyDescent="0.2">
      <c r="A58" s="5" t="str">
        <f>HYPERLINK("#'Constants - Solid Waste'!A1", "Constants - Solid Waste")</f>
        <v>Constants - Solid Waste</v>
      </c>
    </row>
    <row r="59" spans="1:18" ht="20.100000000000001" customHeight="1" x14ac:dyDescent="0.2">
      <c r="A59" s="5" t="str">
        <f>HYPERLINK("#'Constants - Common'!A1", "Constants - Common")</f>
        <v>Constants - Common</v>
      </c>
    </row>
    <row r="60" spans="1:18" ht="20.100000000000001" customHeight="1" x14ac:dyDescent="0.2">
      <c r="A60" s="5" t="str">
        <f>HYPERLINK("#'Acknowledgements'!A1", "Acknowledgements")</f>
        <v>Acknowledgements</v>
      </c>
    </row>
    <row r="126" spans="13:13" ht="20.100000000000001" customHeight="1" x14ac:dyDescent="0.2">
      <c r="M126" s="25"/>
    </row>
    <row r="127" spans="13:13" ht="20.100000000000001" customHeight="1" x14ac:dyDescent="0.2">
      <c r="M127" s="25"/>
    </row>
    <row r="128" spans="13:13" ht="20.100000000000001" customHeight="1" x14ac:dyDescent="0.2">
      <c r="M128" s="25"/>
    </row>
    <row r="129" spans="13:13" ht="20.100000000000001" customHeight="1" x14ac:dyDescent="0.2">
      <c r="M129" s="25"/>
    </row>
    <row r="130" spans="13:13" ht="20.100000000000001" customHeight="1" x14ac:dyDescent="0.2">
      <c r="M130" s="25"/>
    </row>
    <row r="131" spans="13:13" ht="20.100000000000001" customHeight="1" x14ac:dyDescent="0.2">
      <c r="M131" s="25"/>
    </row>
    <row r="132" spans="13:13" ht="20.100000000000001" customHeight="1" x14ac:dyDescent="0.2">
      <c r="M132" s="25"/>
    </row>
    <row r="133" spans="13:13" ht="20.100000000000001" customHeight="1" x14ac:dyDescent="0.2">
      <c r="M133" s="25"/>
    </row>
    <row r="134" spans="13:13" ht="20.100000000000001" customHeight="1" x14ac:dyDescent="0.2">
      <c r="M134" s="25"/>
    </row>
    <row r="135" spans="13:13" ht="20.100000000000001" customHeight="1" x14ac:dyDescent="0.2">
      <c r="M135" s="25"/>
    </row>
    <row r="136" spans="13:13" ht="20.100000000000001" customHeight="1" x14ac:dyDescent="0.2">
      <c r="M136" s="25"/>
    </row>
    <row r="137" spans="13:13" ht="20.100000000000001" customHeight="1" x14ac:dyDescent="0.2">
      <c r="M137" s="25"/>
    </row>
    <row r="138" spans="13:13" ht="20.100000000000001" customHeight="1" x14ac:dyDescent="0.2">
      <c r="M138" s="25"/>
    </row>
    <row r="139" spans="13:13" ht="20.100000000000001" customHeight="1" x14ac:dyDescent="0.2">
      <c r="M139" s="25"/>
    </row>
    <row r="140" spans="13:13" ht="20.100000000000001" customHeight="1" x14ac:dyDescent="0.2">
      <c r="M140" s="25"/>
    </row>
    <row r="141" spans="13:13" ht="20.100000000000001" customHeight="1" x14ac:dyDescent="0.2">
      <c r="M141" s="25"/>
    </row>
    <row r="142" spans="13:13" ht="20.100000000000001" customHeight="1" x14ac:dyDescent="0.2">
      <c r="M142" s="25"/>
    </row>
    <row r="143" spans="13:13" ht="20.100000000000001" customHeight="1" x14ac:dyDescent="0.2">
      <c r="M143" s="25"/>
    </row>
    <row r="144" spans="13:13" ht="20.100000000000001" customHeight="1" x14ac:dyDescent="0.2">
      <c r="M144" s="25"/>
    </row>
    <row r="145" spans="13:13" ht="20.100000000000001" customHeight="1" x14ac:dyDescent="0.2">
      <c r="M145" s="25"/>
    </row>
    <row r="146" spans="13:13" ht="20.100000000000001" customHeight="1" x14ac:dyDescent="0.2">
      <c r="M146" s="25"/>
    </row>
    <row r="147" spans="13:13" ht="20.100000000000001" customHeight="1" x14ac:dyDescent="0.2">
      <c r="M147" s="25"/>
    </row>
    <row r="224" spans="12:12" ht="20.100000000000001" customHeight="1" x14ac:dyDescent="0.2">
      <c r="L224" s="16"/>
    </row>
    <row r="225" spans="12:12" ht="20.100000000000001" customHeight="1" x14ac:dyDescent="0.2">
      <c r="L225" s="16"/>
    </row>
    <row r="226" spans="12:12" ht="20.100000000000001" customHeight="1" x14ac:dyDescent="0.2">
      <c r="L226" s="16"/>
    </row>
    <row r="227" spans="12:12" ht="20.100000000000001" customHeight="1" x14ac:dyDescent="0.2">
      <c r="L227" s="16"/>
    </row>
    <row r="228" spans="12:12" ht="20.100000000000001" customHeight="1" x14ac:dyDescent="0.2">
      <c r="L228" s="16"/>
    </row>
    <row r="230" spans="12:12" ht="20.100000000000001" customHeight="1" x14ac:dyDescent="0.2">
      <c r="L230" s="16"/>
    </row>
    <row r="232" spans="12:12" ht="20.100000000000001" customHeight="1" x14ac:dyDescent="0.2">
      <c r="L232" s="16"/>
    </row>
    <row r="233" spans="12:12" ht="20.100000000000001" customHeight="1" x14ac:dyDescent="0.2">
      <c r="L233" s="16"/>
    </row>
    <row r="234" spans="12:12" ht="20.100000000000001" customHeight="1" x14ac:dyDescent="0.2">
      <c r="L234" s="16"/>
    </row>
    <row r="235" spans="12:12" ht="20.100000000000001" customHeight="1" x14ac:dyDescent="0.2">
      <c r="L235" s="16"/>
    </row>
    <row r="237" spans="12:12" ht="20.100000000000001" customHeight="1" x14ac:dyDescent="0.2">
      <c r="L237" s="16"/>
    </row>
    <row r="245" spans="12:12" ht="20.100000000000001" customHeight="1" x14ac:dyDescent="0.2">
      <c r="L245" s="16"/>
    </row>
    <row r="246" spans="12:12" ht="20.100000000000001" customHeight="1" x14ac:dyDescent="0.2">
      <c r="L246" s="16"/>
    </row>
    <row r="247" spans="12:12" ht="20.100000000000001" customHeight="1" x14ac:dyDescent="0.2">
      <c r="L247" s="16"/>
    </row>
    <row r="250" spans="12:12" ht="20.100000000000001" customHeight="1" x14ac:dyDescent="0.2">
      <c r="L250" s="16"/>
    </row>
    <row r="251" spans="12:12" ht="20.100000000000001" customHeight="1" x14ac:dyDescent="0.2">
      <c r="L251" s="16"/>
    </row>
    <row r="252" spans="12:12" ht="20.100000000000001" customHeight="1" x14ac:dyDescent="0.2">
      <c r="L252" s="16"/>
    </row>
    <row r="255" spans="12:12" ht="20.100000000000001" customHeight="1" x14ac:dyDescent="0.2">
      <c r="L255" s="16"/>
    </row>
    <row r="256" spans="12:12" ht="20.100000000000001" customHeight="1" x14ac:dyDescent="0.2">
      <c r="L256" s="16"/>
    </row>
    <row r="257" spans="11:12" ht="20.100000000000001" customHeight="1" x14ac:dyDescent="0.2">
      <c r="L257" s="16"/>
    </row>
    <row r="260" spans="11:12" ht="20.100000000000001" customHeight="1" x14ac:dyDescent="0.2">
      <c r="L260" s="16"/>
    </row>
    <row r="261" spans="11:12" ht="20.100000000000001" customHeight="1" x14ac:dyDescent="0.2">
      <c r="L261" s="16"/>
    </row>
    <row r="262" spans="11:12" ht="20.100000000000001" customHeight="1" x14ac:dyDescent="0.2">
      <c r="L262" s="16"/>
    </row>
    <row r="263" spans="11:12" ht="20.100000000000001" customHeight="1" x14ac:dyDescent="0.2">
      <c r="K263" s="16"/>
    </row>
    <row r="268" spans="11:12" ht="20.100000000000001" customHeight="1" x14ac:dyDescent="0.2">
      <c r="K268" s="16"/>
    </row>
    <row r="269" spans="11:12" ht="20.100000000000001" customHeight="1" x14ac:dyDescent="0.2">
      <c r="L269" s="16"/>
    </row>
    <row r="270" spans="11:12" ht="20.100000000000001" customHeight="1" x14ac:dyDescent="0.2">
      <c r="L270" s="16"/>
    </row>
    <row r="271" spans="11:12" ht="20.100000000000001" customHeight="1" x14ac:dyDescent="0.2">
      <c r="L271" s="16"/>
    </row>
    <row r="273" spans="11:12" ht="20.100000000000001" customHeight="1" x14ac:dyDescent="0.2">
      <c r="K273" s="16"/>
    </row>
    <row r="274" spans="11:12" ht="20.100000000000001" customHeight="1" x14ac:dyDescent="0.2">
      <c r="L274" s="16"/>
    </row>
    <row r="275" spans="11:12" ht="20.100000000000001" customHeight="1" x14ac:dyDescent="0.2">
      <c r="L275" s="16"/>
    </row>
    <row r="276" spans="11:12" ht="20.100000000000001" customHeight="1" x14ac:dyDescent="0.2">
      <c r="L276" s="16"/>
    </row>
    <row r="278" spans="11:12" ht="20.100000000000001" customHeight="1" x14ac:dyDescent="0.2">
      <c r="K278" s="16"/>
    </row>
    <row r="279" spans="11:12" ht="20.100000000000001" customHeight="1" x14ac:dyDescent="0.2">
      <c r="K279" s="16"/>
      <c r="L279" s="16"/>
    </row>
    <row r="280" spans="11:12" ht="20.100000000000001" customHeight="1" x14ac:dyDescent="0.2">
      <c r="K280" s="16"/>
      <c r="L280" s="16"/>
    </row>
    <row r="281" spans="11:12" ht="20.100000000000001" customHeight="1" x14ac:dyDescent="0.2">
      <c r="K281" s="16"/>
      <c r="L281" s="16"/>
    </row>
    <row r="282" spans="11:12" ht="20.100000000000001" customHeight="1" x14ac:dyDescent="0.2">
      <c r="K282" s="16"/>
    </row>
    <row r="284" spans="11:12" ht="20.100000000000001" customHeight="1" x14ac:dyDescent="0.2">
      <c r="K284" s="16"/>
      <c r="L284" s="16"/>
    </row>
    <row r="285" spans="11:12" ht="20.100000000000001" customHeight="1" x14ac:dyDescent="0.2">
      <c r="L285" s="16"/>
    </row>
    <row r="286" spans="11:12" ht="20.100000000000001" customHeight="1" x14ac:dyDescent="0.2">
      <c r="K286" s="16"/>
      <c r="L286" s="16"/>
    </row>
    <row r="287" spans="11:12" ht="20.100000000000001" customHeight="1" x14ac:dyDescent="0.2">
      <c r="K287" s="16"/>
    </row>
    <row r="288" spans="11:12" ht="20.100000000000001" customHeight="1" x14ac:dyDescent="0.2">
      <c r="K288" s="16"/>
    </row>
    <row r="289" spans="11:11" ht="20.100000000000001" customHeight="1" x14ac:dyDescent="0.2">
      <c r="K289" s="16"/>
    </row>
    <row r="291" spans="11:11" ht="20.100000000000001" customHeight="1" x14ac:dyDescent="0.2">
      <c r="K291" s="16"/>
    </row>
    <row r="297" spans="11:11" ht="20.100000000000001" customHeight="1" x14ac:dyDescent="0.2">
      <c r="K297" s="16"/>
    </row>
    <row r="302" spans="11:11" ht="20.100000000000001" customHeight="1" x14ac:dyDescent="0.2">
      <c r="K302" s="16"/>
    </row>
    <row r="307" spans="11:11" ht="20.100000000000001" customHeight="1" x14ac:dyDescent="0.2">
      <c r="K307" s="16"/>
    </row>
    <row r="312" spans="11:11" ht="20.100000000000001" customHeight="1" x14ac:dyDescent="0.2">
      <c r="K312" s="16"/>
    </row>
    <row r="313" spans="11:11" ht="20.100000000000001" customHeight="1" x14ac:dyDescent="0.2">
      <c r="K313" s="16"/>
    </row>
    <row r="314" spans="11:11" ht="20.100000000000001" customHeight="1" x14ac:dyDescent="0.2">
      <c r="K314" s="16"/>
    </row>
    <row r="315" spans="11:11" ht="20.100000000000001" customHeight="1" x14ac:dyDescent="0.2">
      <c r="K315" s="16"/>
    </row>
    <row r="316" spans="11:11" ht="20.100000000000001" customHeight="1" x14ac:dyDescent="0.2">
      <c r="K316" s="16"/>
    </row>
    <row r="318" spans="11:11" ht="20.100000000000001" customHeight="1" x14ac:dyDescent="0.2">
      <c r="K318" s="16"/>
    </row>
    <row r="320" spans="11:11" ht="20.100000000000001" customHeight="1" x14ac:dyDescent="0.2">
      <c r="K320" s="16"/>
    </row>
    <row r="321" spans="11:11" ht="20.100000000000001" customHeight="1" x14ac:dyDescent="0.2">
      <c r="K321" s="16"/>
    </row>
    <row r="322" spans="11:11" ht="20.100000000000001" customHeight="1" x14ac:dyDescent="0.2">
      <c r="K322" s="16"/>
    </row>
    <row r="323" spans="11:11" ht="20.100000000000001" customHeight="1" x14ac:dyDescent="0.2">
      <c r="K323" s="16"/>
    </row>
    <row r="325" spans="11:11" ht="20.100000000000001" customHeight="1" x14ac:dyDescent="0.2">
      <c r="K325" s="16"/>
    </row>
    <row r="333" spans="11:11" ht="20.100000000000001" customHeight="1" x14ac:dyDescent="0.2">
      <c r="K333" s="16"/>
    </row>
    <row r="334" spans="11:11" ht="20.100000000000001" customHeight="1" x14ac:dyDescent="0.2">
      <c r="K334" s="16"/>
    </row>
    <row r="335" spans="11:11" ht="20.100000000000001" customHeight="1" x14ac:dyDescent="0.2">
      <c r="K335" s="16"/>
    </row>
    <row r="338" spans="11:11" ht="20.100000000000001" customHeight="1" x14ac:dyDescent="0.2">
      <c r="K338" s="16"/>
    </row>
    <row r="339" spans="11:11" ht="20.100000000000001" customHeight="1" x14ac:dyDescent="0.2">
      <c r="K339" s="16"/>
    </row>
    <row r="340" spans="11:11" ht="20.100000000000001" customHeight="1" x14ac:dyDescent="0.2">
      <c r="K340" s="16"/>
    </row>
    <row r="343" spans="11:11" ht="20.100000000000001" customHeight="1" x14ac:dyDescent="0.2">
      <c r="K343" s="16"/>
    </row>
    <row r="344" spans="11:11" ht="20.100000000000001" customHeight="1" x14ac:dyDescent="0.2">
      <c r="K344" s="16"/>
    </row>
    <row r="345" spans="11:11" ht="20.100000000000001" customHeight="1" x14ac:dyDescent="0.2">
      <c r="K345" s="16"/>
    </row>
    <row r="348" spans="11:11" ht="20.100000000000001" customHeight="1" x14ac:dyDescent="0.2">
      <c r="K348" s="16"/>
    </row>
    <row r="349" spans="11:11" ht="20.100000000000001" customHeight="1" x14ac:dyDescent="0.2">
      <c r="K349" s="16"/>
    </row>
    <row r="350" spans="11:11" ht="20.100000000000001" customHeight="1" x14ac:dyDescent="0.2">
      <c r="K350" s="16"/>
    </row>
    <row r="357" spans="11:11" ht="20.100000000000001" customHeight="1" x14ac:dyDescent="0.2">
      <c r="K357" s="16"/>
    </row>
    <row r="358" spans="11:11" ht="20.100000000000001" customHeight="1" x14ac:dyDescent="0.2">
      <c r="K358" s="16"/>
    </row>
    <row r="359" spans="11:11" ht="20.100000000000001" customHeight="1" x14ac:dyDescent="0.2">
      <c r="K359" s="16"/>
    </row>
    <row r="362" spans="11:11" ht="20.100000000000001" customHeight="1" x14ac:dyDescent="0.2">
      <c r="K362" s="16"/>
    </row>
    <row r="363" spans="11:11" ht="20.100000000000001" customHeight="1" x14ac:dyDescent="0.2">
      <c r="K363" s="16"/>
    </row>
    <row r="364" spans="11:11" ht="20.100000000000001" customHeight="1" x14ac:dyDescent="0.2">
      <c r="K364" s="16"/>
    </row>
    <row r="367" spans="11:11" ht="20.100000000000001" customHeight="1" x14ac:dyDescent="0.2">
      <c r="K367" s="16"/>
    </row>
    <row r="368" spans="11:11" ht="20.100000000000001" customHeight="1" x14ac:dyDescent="0.2">
      <c r="K368" s="16"/>
    </row>
    <row r="369" spans="4:11" ht="20.100000000000001" customHeight="1" x14ac:dyDescent="0.2">
      <c r="K369" s="16"/>
    </row>
    <row r="372" spans="4:11" ht="20.100000000000001" customHeight="1" x14ac:dyDescent="0.2">
      <c r="K372" s="16"/>
    </row>
    <row r="373" spans="4:11" ht="20.100000000000001" customHeight="1" x14ac:dyDescent="0.2">
      <c r="K373" s="16"/>
    </row>
    <row r="374" spans="4:11" ht="20.100000000000001" customHeight="1" x14ac:dyDescent="0.2">
      <c r="K374" s="16"/>
    </row>
    <row r="378" spans="4:11" ht="20.100000000000001" customHeight="1" x14ac:dyDescent="0.2">
      <c r="D378" s="80"/>
    </row>
  </sheetData>
  <conditionalFormatting sqref="F155:F156">
    <cfRule type="cellIs" dxfId="79" priority="15" operator="lessThan">
      <formula>0</formula>
    </cfRule>
  </conditionalFormatting>
  <conditionalFormatting sqref="F167:F168">
    <cfRule type="cellIs" dxfId="78" priority="14" operator="lessThan">
      <formula>0</formula>
    </cfRule>
  </conditionalFormatting>
  <conditionalFormatting sqref="F179:F180">
    <cfRule type="cellIs" dxfId="77" priority="13" operator="lessThan">
      <formula>0</formula>
    </cfRule>
  </conditionalFormatting>
  <conditionalFormatting sqref="F267:F268">
    <cfRule type="cellIs" dxfId="76" priority="26" operator="lessThan">
      <formula>0</formula>
    </cfRule>
  </conditionalFormatting>
  <conditionalFormatting sqref="F272:F273">
    <cfRule type="cellIs" dxfId="75" priority="25" operator="lessThan">
      <formula>0</formula>
    </cfRule>
  </conditionalFormatting>
  <conditionalFormatting sqref="F277:F278">
    <cfRule type="cellIs" dxfId="74" priority="24" operator="lessThan">
      <formula>0</formula>
    </cfRule>
  </conditionalFormatting>
  <conditionalFormatting sqref="F301:F302">
    <cfRule type="cellIs" dxfId="73" priority="23" operator="lessThan">
      <formula>0</formula>
    </cfRule>
  </conditionalFormatting>
  <conditionalFormatting sqref="F306:F307">
    <cfRule type="cellIs" dxfId="72" priority="22" operator="lessThan">
      <formula>0</formula>
    </cfRule>
  </conditionalFormatting>
  <conditionalFormatting sqref="F311:F312">
    <cfRule type="cellIs" dxfId="71" priority="21" operator="lessThan">
      <formula>0</formula>
    </cfRule>
  </conditionalFormatting>
  <conditionalFormatting sqref="H53 F143:F144">
    <cfRule type="cellIs" dxfId="70" priority="16" operator="lessThan">
      <formula>0</formula>
    </cfRule>
  </conditionalFormatting>
  <conditionalFormatting sqref="I39 I51:I52 O53 N54 I57 I59:I61 I63:I64 I221:J221 E227:G227 I227:J227 K263 J265 K268 J270 K273 J275 K278:K282 J280:J284 K284 J286 K286:K289 J288:J291 K291 J293 K297 J299 K302 J304 K307 J309 K312:K316 J314:J318 K318 J320 K320:K323 J322:J325 K325 J327">
    <cfRule type="cellIs" dxfId="69" priority="20" operator="lessThan">
      <formula>0</formula>
    </cfRule>
  </conditionalFormatting>
  <conditionalFormatting sqref="I41:I44 I46:I47 F58 I75:I78 L198 K200 L202:L203 K204:K205 L206:L207 K208:K209 L212:L213 K214:K215 L216:L217 K218:K219 L223:L228 K225">
    <cfRule type="cellIs" dxfId="68" priority="18" operator="lessThan">
      <formula>0</formula>
    </cfRule>
  </conditionalFormatting>
  <conditionalFormatting sqref="I82 M119 I141:J141">
    <cfRule type="cellIs" dxfId="67" priority="19" operator="lessThan">
      <formula>0</formula>
    </cfRule>
  </conditionalFormatting>
  <conditionalFormatting sqref="I93:I95">
    <cfRule type="cellIs" dxfId="66" priority="3" operator="lessThan">
      <formula>0</formula>
    </cfRule>
  </conditionalFormatting>
  <conditionalFormatting sqref="I99:I102">
    <cfRule type="cellIs" dxfId="65" priority="2" operator="lessThan">
      <formula>0</formula>
    </cfRule>
  </conditionalFormatting>
  <conditionalFormatting sqref="I106:I110">
    <cfRule type="cellIs" dxfId="64" priority="1" operator="lessThan">
      <formula>0</formula>
    </cfRule>
  </conditionalFormatting>
  <conditionalFormatting sqref="J169">
    <cfRule type="cellIs" dxfId="63" priority="17" operator="lessThan">
      <formula>0</formula>
    </cfRule>
  </conditionalFormatting>
  <conditionalFormatting sqref="L131:L134">
    <cfRule type="cellIs" dxfId="62" priority="7" operator="lessThan">
      <formula>0</formula>
    </cfRule>
  </conditionalFormatting>
  <conditionalFormatting sqref="L137">
    <cfRule type="cellIs" dxfId="61" priority="12" operator="lessThan">
      <formula>0</formula>
    </cfRule>
  </conditionalFormatting>
  <conditionalFormatting sqref="L143:L146">
    <cfRule type="cellIs" dxfId="60" priority="6" operator="lessThan">
      <formula>0</formula>
    </cfRule>
  </conditionalFormatting>
  <conditionalFormatting sqref="L149">
    <cfRule type="cellIs" dxfId="59" priority="11" operator="lessThan">
      <formula>0</formula>
    </cfRule>
  </conditionalFormatting>
  <conditionalFormatting sqref="L155:L158">
    <cfRule type="cellIs" dxfId="58" priority="5" operator="lessThan">
      <formula>0</formula>
    </cfRule>
  </conditionalFormatting>
  <conditionalFormatting sqref="L161">
    <cfRule type="cellIs" dxfId="57" priority="10" operator="lessThan">
      <formula>0</formula>
    </cfRule>
  </conditionalFormatting>
  <conditionalFormatting sqref="L167:L170">
    <cfRule type="cellIs" dxfId="56" priority="4" operator="lessThan">
      <formula>0</formula>
    </cfRule>
  </conditionalFormatting>
  <conditionalFormatting sqref="L173">
    <cfRule type="cellIs" dxfId="55" priority="9" operator="lessThan">
      <formula>0</formula>
    </cfRule>
  </conditionalFormatting>
  <conditionalFormatting sqref="L177:L178">
    <cfRule type="cellIs" dxfId="54" priority="8" operator="lessThan">
      <formula>0</formula>
    </cfRule>
  </conditionalFormatting>
  <conditionalFormatting sqref="L230 L232:L235 L237 J245:J247 J250:J252">
    <cfRule type="cellIs" dxfId="53" priority="27" operator="lessThan">
      <formula>0</formula>
    </cfRule>
  </conditionalFormatting>
  <dataValidations count="9">
    <dataValidation type="list" allowBlank="1" showInputMessage="1" showErrorMessage="1" sqref="D12:D21" xr:uid="{E631A4F8-F588-4B90-9277-F10F9F5B56A3}">
      <formula1>INDIRECT("FertiliserProducts[Product]")</formula1>
    </dataValidation>
    <dataValidation type="list" allowBlank="1" showInputMessage="1" showErrorMessage="1" sqref="Q25:R34" xr:uid="{76D338C0-986D-4E86-BE72-EFAB2B39C5A4}">
      <formula1>INDIRECT("Table_SourceData_Fertiliser_UreaAmmoniaSources[Source]")</formula1>
    </dataValidation>
    <dataValidation type="list" allowBlank="1" showInputMessage="1" showErrorMessage="1" sqref="D54:D56" xr:uid="{ECF11402-F3AB-4798-8861-FCBD6AD74A80}">
      <formula1>INDIRECT("Table_SourceData_OrganicFertiliserTypes[Organic fertiliser type]")</formula1>
    </dataValidation>
    <dataValidation type="list" allowBlank="1" showInputMessage="1" showErrorMessage="1" sqref="H25:H34 J25:J34 L25:L34 N25:N34" xr:uid="{FD583BDE-1BA6-4DE4-8111-1BC80B072109}">
      <formula1>INDIRECT("Table_Fertiliser_ChemicalCompounds[Fertiliser type f]")</formula1>
    </dataValidation>
    <dataValidation type="list" allowBlank="1" showInputMessage="1" showErrorMessage="1" sqref="E81" xr:uid="{84DA3773-88EA-4B36-9F09-DFCE95D48668}">
      <formula1>INDIRECT("Table_SourceData_Swine_CropProdSystems[Production system]")</formula1>
    </dataValidation>
    <dataValidation type="list" allowBlank="1" showInputMessage="1" showErrorMessage="1" sqref="E82" xr:uid="{14112DD2-EC74-438A-8B6C-F540D0E659E2}">
      <formula1>INDIRECT("Table_SourceData_Swine_IrrigationMethods[Irrigation method]")</formula1>
    </dataValidation>
    <dataValidation type="list" allowBlank="1" showInputMessage="1" showErrorMessage="1" sqref="E266 E271 E276 E310 E305 E300 E178 E166 E142 E154" xr:uid="{50848B57-58E0-472C-9250-DBE9DE8A94A8}">
      <formula1>"Yes, No"</formula1>
    </dataValidation>
    <dataValidation type="list" allowBlank="1" showInputMessage="1" showErrorMessage="1" sqref="E242" xr:uid="{E7D650A9-4107-459F-A4A9-C8A69CA0AEAC}">
      <formula1>INDIRECT("Table_SourceData_Dairy_ProductionSystemTemplates[Area]")</formula1>
    </dataValidation>
    <dataValidation type="list" allowBlank="1" showInputMessage="1" showErrorMessage="1" sqref="D294" xr:uid="{987B46BD-EAC4-4E37-96B7-1862880FFF1E}">
      <formula1>INDIRECT("Table_SourceData_PoultryMMSStage1[MMS]")</formula1>
    </dataValidation>
  </dataValidations>
  <pageMargins left="0.7" right="0.7" top="0.75" bottom="0.75" header="0.3" footer="0.3"/>
  <pageSetup paperSize="9" orientation="portrait" r:id="rId1"/>
  <tableParts count="4">
    <tablePart r:id="rId2"/>
    <tablePart r:id="rId3"/>
    <tablePart r:id="rId4"/>
    <tablePart r:id="rId5"/>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EF2882-2B21-4F32-B845-402B32D291A4}">
  <sheetPr>
    <tabColor theme="5" tint="-0.249977111117893"/>
  </sheetPr>
  <dimension ref="A1:K346"/>
  <sheetViews>
    <sheetView showGridLines="0" zoomScaleNormal="100" workbookViewId="0">
      <pane xSplit="1" topLeftCell="B1" activePane="topRight" state="frozen"/>
      <selection pane="topRight" activeCell="A59" sqref="A59"/>
    </sheetView>
  </sheetViews>
  <sheetFormatPr defaultRowHeight="20.100000000000001" customHeight="1" x14ac:dyDescent="0.2"/>
  <cols>
    <col min="1" max="1" width="36.7109375" customWidth="1"/>
    <col min="2" max="2" width="4.7109375" customWidth="1"/>
    <col min="3" max="3" width="4.7109375" style="1" customWidth="1"/>
    <col min="4" max="4" width="52.140625" style="1" customWidth="1"/>
    <col min="5" max="5" width="47" style="1" customWidth="1"/>
    <col min="6" max="10" width="24.85546875" style="1" customWidth="1"/>
    <col min="11" max="11" width="4.7109375" style="1" customWidth="1"/>
    <col min="12" max="12" width="4.7109375" customWidth="1"/>
  </cols>
  <sheetData>
    <row r="1" spans="1:11" s="10" customFormat="1" ht="30" customHeight="1" x14ac:dyDescent="0.35">
      <c r="A1" s="10" t="e" vm="1">
        <v>#VALUE!</v>
      </c>
      <c r="C1" s="10" t="s">
        <v>796</v>
      </c>
    </row>
    <row r="2" spans="1:11" s="3" customFormat="1" ht="20.100000000000001" customHeight="1" x14ac:dyDescent="0.2">
      <c r="A2"/>
    </row>
    <row r="3" spans="1:11" ht="20.100000000000001" customHeight="1" x14ac:dyDescent="0.2">
      <c r="A3" s="5" t="str">
        <f>HYPERLINK("#'Home'!A1", "Home")</f>
        <v>Home</v>
      </c>
      <c r="C3" s="29"/>
      <c r="D3" s="29"/>
      <c r="E3" s="29"/>
      <c r="F3" s="29"/>
      <c r="G3" s="29"/>
      <c r="H3" s="29"/>
      <c r="I3" s="29"/>
      <c r="J3" s="29"/>
      <c r="K3" s="29"/>
    </row>
    <row r="4" spans="1:11" ht="20.100000000000001" customHeight="1" x14ac:dyDescent="0.2">
      <c r="A4" s="5" t="str">
        <f>HYPERLINK("#'Results - Activity period'!A1", "Results - Activity period")</f>
        <v>Results - Activity period</v>
      </c>
    </row>
    <row r="5" spans="1:11" ht="20.100000000000001" customHeight="1" x14ac:dyDescent="0.2">
      <c r="A5" s="5" t="str">
        <f>HYPERLINK("#'Results - Product EI'!A1", "Results - Product Emissions Intensity")</f>
        <v>Results - Product Emissions Intensity</v>
      </c>
      <c r="D5" s="2" t="s">
        <v>797</v>
      </c>
      <c r="E5" s="25"/>
      <c r="F5" s="25"/>
      <c r="G5" s="25"/>
      <c r="H5" s="25"/>
    </row>
    <row r="6" spans="1:11" ht="20.100000000000001" customHeight="1" x14ac:dyDescent="0.2">
      <c r="D6" s="8"/>
      <c r="E6" s="8"/>
      <c r="F6" s="8"/>
      <c r="G6" s="8"/>
      <c r="H6" s="8"/>
      <c r="I6" s="8"/>
      <c r="J6" s="8"/>
    </row>
    <row r="7" spans="1:11" ht="20.100000000000001" customHeight="1" x14ac:dyDescent="0.2">
      <c r="D7" s="1" t="s">
        <v>798</v>
      </c>
    </row>
    <row r="8" spans="1:11" ht="20.100000000000001" customHeight="1" x14ac:dyDescent="0.2">
      <c r="A8" s="7" t="s">
        <v>0</v>
      </c>
      <c r="D8" s="1" t="s">
        <v>799</v>
      </c>
    </row>
    <row r="9" spans="1:11" ht="20.100000000000001" customHeight="1" x14ac:dyDescent="0.2">
      <c r="A9" s="5" t="str">
        <f>HYPERLINK("#'Input - Enterprise'!A1", "Enterprise")</f>
        <v>Enterprise</v>
      </c>
      <c r="D9" s="1" t="s">
        <v>800</v>
      </c>
    </row>
    <row r="10" spans="1:11" ht="20.100000000000001" customHeight="1" x14ac:dyDescent="0.2">
      <c r="A10" s="5" t="str">
        <f>HYPERLINK("#'Input - Site'!A1", "Site")</f>
        <v>Site</v>
      </c>
    </row>
    <row r="11" spans="1:11" ht="20.100000000000001" customHeight="1" x14ac:dyDescent="0.2">
      <c r="A11" s="5" t="str">
        <f>HYPERLINK("#'Input - Pasture Beef'!A1", "Pasture Beef")</f>
        <v>Pasture Beef</v>
      </c>
      <c r="D11" s="1" t="s">
        <v>801</v>
      </c>
      <c r="E11" s="13"/>
      <c r="F11" s="16" t="s">
        <v>106</v>
      </c>
    </row>
    <row r="12" spans="1:11" ht="20.100000000000001" customHeight="1" x14ac:dyDescent="0.2">
      <c r="A12" s="5" t="str">
        <f>HYPERLINK("#'Input - Livestock sales'!A1", "Livestock sales")</f>
        <v>Livestock sales</v>
      </c>
    </row>
    <row r="13" spans="1:11" ht="20.100000000000001" customHeight="1" x14ac:dyDescent="0.2">
      <c r="A13" s="5" t="str">
        <f>HYPERLINK("#'Input - Beef cattle purchases'!A1", "Beef cattle purchases")</f>
        <v>Beef cattle purchases</v>
      </c>
      <c r="D13" s="126" t="s">
        <v>771</v>
      </c>
      <c r="E13" s="44"/>
      <c r="F13" s="44"/>
      <c r="G13" s="44"/>
      <c r="H13" s="45"/>
    </row>
    <row r="14" spans="1:11" ht="20.100000000000001" customHeight="1" x14ac:dyDescent="0.2">
      <c r="A14" s="5" t="str">
        <f>HYPERLINK("#'Input - Pasture'!A1", "Pasture")</f>
        <v>Pasture</v>
      </c>
      <c r="D14" s="46" t="s">
        <v>803</v>
      </c>
      <c r="E14" s="47"/>
      <c r="F14" s="47"/>
      <c r="G14" s="47"/>
      <c r="H14" s="48"/>
    </row>
    <row r="15" spans="1:11" ht="20.100000000000001" customHeight="1" x14ac:dyDescent="0.2">
      <c r="A15" s="5" t="str">
        <f>HYPERLINK("#'Input - Fert Prod System'!A1", "Fert Prod System")</f>
        <v>Fert Prod System</v>
      </c>
      <c r="D15" s="8"/>
      <c r="E15" s="8"/>
      <c r="F15" s="8"/>
      <c r="G15" s="8"/>
      <c r="H15" s="8"/>
      <c r="I15" s="8"/>
      <c r="J15" s="8"/>
    </row>
    <row r="16" spans="1:11" ht="20.100000000000001" customHeight="1" x14ac:dyDescent="0.2">
      <c r="A16" s="5" t="str">
        <f>HYPERLINK("#'Input - Fertiliser'!A1", "Fertiliser")</f>
        <v>Fertiliser</v>
      </c>
      <c r="D16" s="82" t="s">
        <v>804</v>
      </c>
      <c r="E16" s="82" t="s">
        <v>805</v>
      </c>
      <c r="F16" s="82" t="s">
        <v>806</v>
      </c>
      <c r="G16" s="82" t="s">
        <v>807</v>
      </c>
      <c r="H16" s="82" t="s">
        <v>808</v>
      </c>
      <c r="I16" s="82" t="s">
        <v>809</v>
      </c>
      <c r="J16" s="82" t="s">
        <v>810</v>
      </c>
    </row>
    <row r="17" spans="1:10" ht="20.100000000000001" customHeight="1" x14ac:dyDescent="0.2">
      <c r="A17" s="99" t="str">
        <f>HYPERLINK("#'Input - Fuel'!A1", "Fuel")</f>
        <v>Fuel</v>
      </c>
      <c r="D17" s="13"/>
      <c r="E17" s="13"/>
      <c r="F17" s="187"/>
      <c r="G17" s="15" t="str" cm="1">
        <f t="array" ref="G17">Common_InputFunctions.Utility_LookupValueInTable(Table_Input_Fuel[[#This Row],[Fuel type (select)]],Table_FuelTypes_Units[Fuel type], Table_FuelTypes_Units[Input Unit])</f>
        <v/>
      </c>
      <c r="H17" s="188">
        <f>1</f>
        <v>1</v>
      </c>
      <c r="I17" s="15">
        <f>Table_Input_Fuel[[#This Row],[Amount purchased]]*Table_Input_Fuel[[#This Row],[Percent consumed]]*IF(Table_Input_Fuel[[#This Row],[Amount unit]]="L", 10^-3, 1)</f>
        <v>0</v>
      </c>
      <c r="J17" s="15" t="str" cm="1">
        <f t="array" ref="J17">Common_InputFunctions.Utility_LookupValueInTable(Table_Input_Fuel[[#This Row],[Fuel type (select)]],Table_FuelTypes_Units[Fuel type], Table_FuelTypes_Units[Unit])</f>
        <v/>
      </c>
    </row>
    <row r="18" spans="1:10" ht="20.100000000000001" customHeight="1" x14ac:dyDescent="0.2">
      <c r="A18" s="5" t="str">
        <f>HYPERLINK("#'Input - Electricity'!A1", "Electricity")</f>
        <v>Electricity</v>
      </c>
      <c r="D18" s="13"/>
      <c r="E18" s="13"/>
      <c r="F18" s="187"/>
      <c r="G18" s="15" t="str" cm="1">
        <f t="array" ref="G18">Common_InputFunctions.Utility_LookupValueInTable(Table_Input_Fuel[[#This Row],[Fuel type (select)]],Table_FuelTypes_Units[Fuel type], Table_FuelTypes_Units[Input Unit])</f>
        <v/>
      </c>
      <c r="H18" s="189">
        <f>1</f>
        <v>1</v>
      </c>
      <c r="I18" s="15">
        <f>Table_Input_Fuel[[#This Row],[Amount purchased]]*Table_Input_Fuel[[#This Row],[Percent consumed]]*IF(Table_Input_Fuel[[#This Row],[Amount unit]]="L", 10^-3, 1)</f>
        <v>0</v>
      </c>
      <c r="J18" s="15" t="str" cm="1">
        <f t="array" ref="J18">Common_InputFunctions.Utility_LookupValueInTable(Table_Input_Fuel[[#This Row],[Fuel type (select)]],Table_FuelTypes_Units[Fuel type], Table_FuelTypes_Units[Unit])</f>
        <v/>
      </c>
    </row>
    <row r="19" spans="1:10" ht="20.100000000000001" customHeight="1" x14ac:dyDescent="0.2">
      <c r="A19" s="5" t="str">
        <f>HYPERLINK("#'Input - Common farm inputs'!A1", "Common farm inputs")</f>
        <v>Common farm inputs</v>
      </c>
      <c r="D19" s="13"/>
      <c r="E19" s="13"/>
      <c r="F19" s="187"/>
      <c r="G19" s="15" t="str" cm="1">
        <f t="array" ref="G19">Common_InputFunctions.Utility_LookupValueInTable(Table_Input_Fuel[[#This Row],[Fuel type (select)]],Table_FuelTypes_Units[Fuel type], Table_FuelTypes_Units[Input Unit])</f>
        <v/>
      </c>
      <c r="H19" s="189">
        <f>1</f>
        <v>1</v>
      </c>
      <c r="I19" s="15">
        <f>Table_Input_Fuel[[#This Row],[Amount purchased]]*Table_Input_Fuel[[#This Row],[Percent consumed]]*IF(Table_Input_Fuel[[#This Row],[Amount unit]]="L", 10^-3, 1)</f>
        <v>0</v>
      </c>
      <c r="J19" s="15" t="str" cm="1">
        <f t="array" ref="J19">Common_InputFunctions.Utility_LookupValueInTable(Table_Input_Fuel[[#This Row],[Fuel type (select)]],Table_FuelTypes_Units[Fuel type], Table_FuelTypes_Units[Unit])</f>
        <v/>
      </c>
    </row>
    <row r="20" spans="1:10" ht="20.100000000000001" customHeight="1" x14ac:dyDescent="0.2">
      <c r="A20" s="5" t="str">
        <f>HYPERLINK("#'Input - Crop pasture farm input'!A1", "Crop pasture farm input")</f>
        <v>Crop pasture farm input</v>
      </c>
      <c r="D20" s="13"/>
      <c r="E20" s="13"/>
      <c r="F20" s="187"/>
      <c r="G20" s="15" t="str" cm="1">
        <f t="array" ref="G20">Common_InputFunctions.Utility_LookupValueInTable(Table_Input_Fuel[[#This Row],[Fuel type (select)]],Table_FuelTypes_Units[Fuel type], Table_FuelTypes_Units[Input Unit])</f>
        <v/>
      </c>
      <c r="H20" s="189">
        <f>1</f>
        <v>1</v>
      </c>
      <c r="I20" s="15">
        <f>Table_Input_Fuel[[#This Row],[Amount purchased]]*Table_Input_Fuel[[#This Row],[Percent consumed]]*IF(Table_Input_Fuel[[#This Row],[Amount unit]]="L", 10^-3, 1)</f>
        <v>0</v>
      </c>
      <c r="J20" s="15" t="str" cm="1">
        <f t="array" ref="J20">Common_InputFunctions.Utility_LookupValueInTable(Table_Input_Fuel[[#This Row],[Fuel type (select)]],Table_FuelTypes_Units[Fuel type], Table_FuelTypes_Units[Unit])</f>
        <v/>
      </c>
    </row>
    <row r="21" spans="1:10" ht="20.100000000000001" customHeight="1" x14ac:dyDescent="0.2">
      <c r="A21" s="5" t="str">
        <f>HYPERLINK("#'Input - Livestock farm Inputs'!A1", "Livestock farm Inputs")</f>
        <v>Livestock farm Inputs</v>
      </c>
      <c r="D21" s="84"/>
      <c r="E21" s="84"/>
      <c r="F21" s="187"/>
      <c r="G21" s="190" t="str" cm="1">
        <f t="array" ref="G21">Common_InputFunctions.Utility_LookupValueInTable(Table_Input_Fuel[[#This Row],[Fuel type (select)]],Table_FuelTypes_Units[Fuel type], Table_FuelTypes_Units[Input Unit])</f>
        <v/>
      </c>
      <c r="H21" s="191">
        <f>1</f>
        <v>1</v>
      </c>
      <c r="I21" s="190">
        <f>Table_Input_Fuel[[#This Row],[Amount purchased]]*Table_Input_Fuel[[#This Row],[Percent consumed]]*IF(Table_Input_Fuel[[#This Row],[Amount unit]]="L", 10^-3, 1)</f>
        <v>0</v>
      </c>
      <c r="J21" s="15" t="str" cm="1">
        <f t="array" ref="J21">Common_InputFunctions.Utility_LookupValueInTable(Table_Input_Fuel[[#This Row],[Fuel type (select)]],Table_FuelTypes_Units[Fuel type], Table_FuelTypes_Units[Unit])</f>
        <v/>
      </c>
    </row>
    <row r="22" spans="1:10" ht="20.100000000000001" customHeight="1" x14ac:dyDescent="0.2">
      <c r="A22" s="5" t="str">
        <f>HYPERLINK("#'Input - Freight'!A1", "Freight")</f>
        <v>Freight</v>
      </c>
    </row>
    <row r="23" spans="1:10" ht="20.100000000000001" customHeight="1" x14ac:dyDescent="0.2">
      <c r="A23" s="5" t="str">
        <f>HYPERLINK("#'Input - Solid waste'!A1", "Solid waste")</f>
        <v>Solid waste</v>
      </c>
    </row>
    <row r="24" spans="1:10" ht="20.100000000000001" customHeight="1" x14ac:dyDescent="0.2">
      <c r="A24" s="5" t="str">
        <f>HYPERLINK("#'Input - Manure sent off-site'!A1", "Manure sent off-site")</f>
        <v>Manure sent off-site</v>
      </c>
    </row>
    <row r="25" spans="1:10" ht="20.100000000000001" customHeight="1" x14ac:dyDescent="0.2">
      <c r="A25" s="5" t="str">
        <f>HYPERLINK("#'Input - Data quality'!A1", "Data quality")</f>
        <v>Data quality</v>
      </c>
    </row>
    <row r="28" spans="1:10" ht="20.100000000000001" customHeight="1" x14ac:dyDescent="0.2">
      <c r="A28" s="6" t="s">
        <v>2</v>
      </c>
    </row>
    <row r="29" spans="1:10" ht="20.100000000000001" customHeight="1" x14ac:dyDescent="0.2">
      <c r="A29" s="5" t="str">
        <f>HYPERLINK("#'3.2.1.1-2 Enteric Methane'!A1", "3.2.1.1-2 Enteric Methane")</f>
        <v>3.2.1.1-2 Enteric Methane</v>
      </c>
    </row>
    <row r="30" spans="1:10" ht="20.100000000000001" customHeight="1" x14ac:dyDescent="0.2">
      <c r="A30" s="5" t="str">
        <f>HYPERLINK("#'4.2.1.1-2 Methane'!A1", "4.2.1.1-2 Manure methane")</f>
        <v>4.2.1.1-2 Manure methane</v>
      </c>
    </row>
    <row r="31" spans="1:10" ht="20.100000000000001" customHeight="1" x14ac:dyDescent="0.2">
      <c r="A31" s="5" t="str">
        <f>HYPERLINK("#'4.2.1.3-4 Soil direct N20'!A1", "4.2.1.3-4 Soil direct N2O")</f>
        <v>4.2.1.3-4 Soil direct N2O</v>
      </c>
    </row>
    <row r="32" spans="1:10" ht="20.100000000000001" customHeight="1" x14ac:dyDescent="0.2">
      <c r="A32" s="5" t="str">
        <f>HYPERLINK("#'4.2.1.5-6 Soil Atmos Dep'!A1", "4.2.1.5-6 Soil atm. deposition")</f>
        <v>4.2.1.5-6 Soil atm. deposition</v>
      </c>
    </row>
    <row r="33" spans="1:11" ht="20.100000000000001" customHeight="1" x14ac:dyDescent="0.2">
      <c r="A33" s="5" t="str">
        <f>HYPERLINK("#'4.2.1.7-8 Soil leach runoff'!A1", "4.2.1.7-8 Soil leach &amp; runoff")</f>
        <v>4.2.1.7-8 Soil leach &amp; runoff</v>
      </c>
    </row>
    <row r="34" spans="1:11" ht="20.100000000000001" customHeight="1" x14ac:dyDescent="0.2">
      <c r="A34" s="5" t="str">
        <f>HYPERLINK("#'5.1.1.1-2 Inorganic fert N2O'!A1", "5.1.1.1-2 Inorganic fert N2O")</f>
        <v>5.1.1.1-2 Inorganic fert N2O</v>
      </c>
    </row>
    <row r="35" spans="1:11" ht="20.100000000000001" customHeight="1" x14ac:dyDescent="0.2">
      <c r="A35" s="5" t="str">
        <f>HYPERLINK("#'5.1.1.3-4 Inorganic fert CO2'!A1", "5.1.1.3-4 Inorganic fert CO2")</f>
        <v>5.1.1.3-4 Inorganic fert CO2</v>
      </c>
    </row>
    <row r="36" spans="1:11" ht="20.100000000000001" customHeight="1" x14ac:dyDescent="0.2">
      <c r="A36" s="5" t="str">
        <f>HYPERLINK("#'5.2.1.1-2 Organic Fert N2O'!A1", "5.2.1.1-2 Organic fert N2O")</f>
        <v>5.2.1.1-2 Organic fert N2O</v>
      </c>
    </row>
    <row r="37" spans="1:11" ht="20.100000000000001" customHeight="1" x14ac:dyDescent="0.2">
      <c r="A37" s="5" t="str">
        <f>HYPERLINK("#'5.3.1.1-2 Lime CO2'!A1", "5.3.1.1-2 Lime CO2")</f>
        <v>5.3.1.1-2 Lime CO2</v>
      </c>
    </row>
    <row r="38" spans="1:11" ht="20.100000000000001" customHeight="1" x14ac:dyDescent="0.2">
      <c r="A38" s="5" t="str">
        <f>HYPERLINK("#'5.4.1.1-4 Atmos deposition'!A1", "5.4.1.1-4 Atmos. deposition")</f>
        <v>5.4.1.1-4 Atmos. deposition</v>
      </c>
      <c r="C38" s="143"/>
      <c r="K38" s="143"/>
    </row>
    <row r="39" spans="1:11" ht="20.100000000000001" customHeight="1" x14ac:dyDescent="0.2">
      <c r="A39" s="5" t="str">
        <f>HYPERLINK("#'5.5.1.1-2 Leaching and runoff'!A1", "5.5.1.1-2 Leaching &amp; runoff")</f>
        <v>5.5.1.1-2 Leaching &amp; runoff</v>
      </c>
      <c r="C39" s="143"/>
      <c r="K39" s="143"/>
    </row>
    <row r="40" spans="1:11" s="155" customFormat="1" ht="20.100000000000001" customHeight="1" x14ac:dyDescent="0.2">
      <c r="A40" s="5" t="str">
        <f>HYPERLINK("#'6.2.1.1-2 Pasture residue N2O'!A1", "6.2.1.1-2 Pasture residue N2O")</f>
        <v>6.2.1.1-2 Pasture residue N2O</v>
      </c>
      <c r="C40" s="1"/>
      <c r="D40" s="1"/>
      <c r="E40" s="1"/>
      <c r="F40" s="1"/>
      <c r="G40" s="1"/>
      <c r="H40" s="1"/>
      <c r="I40" s="1"/>
      <c r="J40" s="1"/>
      <c r="K40" s="1"/>
    </row>
    <row r="41" spans="1:11" s="155" customFormat="1" ht="20.100000000000001" customHeight="1" x14ac:dyDescent="0.2">
      <c r="A41" s="5" t="str">
        <f>HYPERLINK("#'6.3.1.1-2 Leach runoff pasture'!A1", "6.3.1.1-2 Leach &amp; runoff (pasture)")</f>
        <v>6.3.1.1-2 Leach &amp; runoff (pasture)</v>
      </c>
      <c r="C41" s="1"/>
      <c r="D41" s="1"/>
      <c r="E41" s="1"/>
      <c r="F41" s="1"/>
      <c r="G41" s="1"/>
      <c r="H41" s="1"/>
      <c r="I41" s="1"/>
      <c r="J41" s="1"/>
      <c r="K41" s="1"/>
    </row>
    <row r="42" spans="1:11" ht="20.100000000000001" customHeight="1" x14ac:dyDescent="0.2">
      <c r="A42" s="5" t="str">
        <f>HYPERLINK("#'8.1.1.1-2 Transport fuel'!A1", "8.1.1.1-2 Transport fuel")</f>
        <v>8.1.1.1-2 Transport fuel</v>
      </c>
    </row>
    <row r="43" spans="1:11" ht="20.100000000000001" customHeight="1" x14ac:dyDescent="0.2">
      <c r="A43" s="5" t="str">
        <f>HYPERLINK("#'8.2.1.1-2 Stationary fuel'!A1", "8.2.1.1-2 Stationary fuel")</f>
        <v>8.2.1.1-2 Stationary fuel</v>
      </c>
    </row>
    <row r="44" spans="1:11" ht="20.100000000000001" customHeight="1" x14ac:dyDescent="0.2">
      <c r="A44" s="5" t="str">
        <f>HYPERLINK("#'10.1.1-2 Solid waste treatment'!A1", "10.1.1.1-2 Solid waste")</f>
        <v>10.1.1.1-2 Solid waste</v>
      </c>
    </row>
    <row r="45" spans="1:11" ht="20.100000000000001" customHeight="1" x14ac:dyDescent="0.2">
      <c r="A45" s="5" t="str">
        <f>HYPERLINK("#'14.1.1-2 Purchased electricity'!A1", "14.1.1-2 Purchased electricity")</f>
        <v>14.1.1-2 Purchased electricity</v>
      </c>
    </row>
    <row r="46" spans="1:11" ht="20.100000000000001" customHeight="1" x14ac:dyDescent="0.2">
      <c r="A46" s="5" t="str">
        <f>HYPERLINK("#'15 Scope 3'!A1", "15 Scope 3")</f>
        <v>15 Scope 3</v>
      </c>
    </row>
    <row r="47" spans="1:11" ht="20.100000000000001" customHeight="1" x14ac:dyDescent="0.2">
      <c r="A47" s="5" t="str">
        <f>HYPERLINK("#'Calcs - Manure sent off-site'!A1", "Calcs - Manure sent off-site")</f>
        <v>Calcs - Manure sent off-site</v>
      </c>
    </row>
    <row r="50" spans="1:1" ht="20.100000000000001" customHeight="1" x14ac:dyDescent="0.2">
      <c r="A50" s="85" t="s">
        <v>1</v>
      </c>
    </row>
    <row r="51" spans="1:1" ht="20.100000000000001" customHeight="1" x14ac:dyDescent="0.2">
      <c r="A51" s="5" t="str">
        <f>HYPERLINK("#'Constants - Pasture Beef'!A1", "Constants - Pasture Beef")</f>
        <v>Constants - Pasture Beef</v>
      </c>
    </row>
    <row r="52" spans="1:1" ht="20.100000000000001" customHeight="1" x14ac:dyDescent="0.2">
      <c r="A52" s="5" t="str">
        <f>HYPERLINK("#'Constants - Ag Residue'!A1", "Constants - Ag residue")</f>
        <v>Constants - Ag residue</v>
      </c>
    </row>
    <row r="53" spans="1:1" ht="20.100000000000001" customHeight="1" x14ac:dyDescent="0.2">
      <c r="A53" s="5" t="str">
        <f>HYPERLINK("#'Constants - Common Livestock'!A1", "Constants - Common Livestock")</f>
        <v>Constants - Common Livestock</v>
      </c>
    </row>
    <row r="54" spans="1:1" ht="20.100000000000001" customHeight="1" x14ac:dyDescent="0.2">
      <c r="A54" s="5" t="str">
        <f>HYPERLINK("#'Constants - Electricity'!A1", "Constants - Electricity")</f>
        <v>Constants - Electricity</v>
      </c>
    </row>
    <row r="55" spans="1:1" ht="20.100000000000001" customHeight="1" x14ac:dyDescent="0.2">
      <c r="A55" s="5" t="str">
        <f>HYPERLINK("#'Constants - Fertiliser'!A1", "Constants - Fertiliser")</f>
        <v>Constants - Fertiliser</v>
      </c>
    </row>
    <row r="56" spans="1:1" ht="20.100000000000001" customHeight="1" x14ac:dyDescent="0.2">
      <c r="A56" s="5" t="str">
        <f>HYPERLINK("#'Constants - Fuel'!A1", "Constants - Fuel")</f>
        <v>Constants - Fuel</v>
      </c>
    </row>
    <row r="57" spans="1:1" ht="20.100000000000001" customHeight="1" x14ac:dyDescent="0.2">
      <c r="A57" s="5" t="str">
        <f>HYPERLINK("#'Constants - Scope 3'!A1", "Constants - Scope 3")</f>
        <v>Constants - Scope 3</v>
      </c>
    </row>
    <row r="58" spans="1:1" ht="20.100000000000001" customHeight="1" x14ac:dyDescent="0.2">
      <c r="A58" s="5" t="str">
        <f>HYPERLINK("#'Constants - Solid Waste'!A1", "Constants - Solid Waste")</f>
        <v>Constants - Solid Waste</v>
      </c>
    </row>
    <row r="59" spans="1:1" ht="20.100000000000001" customHeight="1" x14ac:dyDescent="0.2">
      <c r="A59" s="5" t="str">
        <f>HYPERLINK("#'Constants - Common'!A1", "Constants - Common")</f>
        <v>Constants - Common</v>
      </c>
    </row>
    <row r="60" spans="1:1" ht="20.100000000000001" customHeight="1" x14ac:dyDescent="0.2">
      <c r="A60" s="5" t="str">
        <f>HYPERLINK("#'Acknowledgements'!A1", "Acknowledgements")</f>
        <v>Acknowledgements</v>
      </c>
    </row>
    <row r="346" spans="4:4" ht="20.100000000000001" customHeight="1" x14ac:dyDescent="0.2">
      <c r="D346" s="80"/>
    </row>
  </sheetData>
  <conditionalFormatting sqref="F32">
    <cfRule type="cellIs" dxfId="52" priority="9" operator="lessThan">
      <formula>0</formula>
    </cfRule>
  </conditionalFormatting>
  <conditionalFormatting sqref="F111:F112">
    <cfRule type="cellIs" dxfId="51" priority="8" operator="lessThan">
      <formula>0</formula>
    </cfRule>
  </conditionalFormatting>
  <conditionalFormatting sqref="F123:F124">
    <cfRule type="cellIs" dxfId="50" priority="7" operator="lessThan">
      <formula>0</formula>
    </cfRule>
  </conditionalFormatting>
  <conditionalFormatting sqref="F135:F136">
    <cfRule type="cellIs" dxfId="49" priority="6" operator="lessThan">
      <formula>0</formula>
    </cfRule>
  </conditionalFormatting>
  <conditionalFormatting sqref="F147:F148">
    <cfRule type="cellIs" dxfId="48" priority="5" operator="lessThan">
      <formula>0</formula>
    </cfRule>
  </conditionalFormatting>
  <conditionalFormatting sqref="F235:F236">
    <cfRule type="cellIs" dxfId="47" priority="17" operator="lessThan">
      <formula>0</formula>
    </cfRule>
  </conditionalFormatting>
  <conditionalFormatting sqref="F240:F241">
    <cfRule type="cellIs" dxfId="46" priority="16" operator="lessThan">
      <formula>0</formula>
    </cfRule>
  </conditionalFormatting>
  <conditionalFormatting sqref="F245:F246">
    <cfRule type="cellIs" dxfId="45" priority="15" operator="lessThan">
      <formula>0</formula>
    </cfRule>
  </conditionalFormatting>
  <conditionalFormatting sqref="F269:F270">
    <cfRule type="cellIs" dxfId="44" priority="14" operator="lessThan">
      <formula>0</formula>
    </cfRule>
  </conditionalFormatting>
  <conditionalFormatting sqref="F274:F275">
    <cfRule type="cellIs" dxfId="43" priority="13" operator="lessThan">
      <formula>0</formula>
    </cfRule>
  </conditionalFormatting>
  <conditionalFormatting sqref="F279:F280">
    <cfRule type="cellIs" dxfId="42" priority="12" operator="lessThan">
      <formula>0</formula>
    </cfRule>
  </conditionalFormatting>
  <conditionalFormatting sqref="I26:J27 H28:H30 I31:J31 I33:J35 I37:J38 I189:J189 E195:G195 I195:J195">
    <cfRule type="cellIs" dxfId="41" priority="11" operator="lessThan">
      <formula>0</formula>
    </cfRule>
  </conditionalFormatting>
  <conditionalFormatting sqref="I42:J46">
    <cfRule type="cellIs" dxfId="40" priority="4" operator="lessThan">
      <formula>0</formula>
    </cfRule>
  </conditionalFormatting>
  <conditionalFormatting sqref="I50:J50 I109:J109">
    <cfRule type="cellIs" dxfId="39" priority="10" operator="lessThan">
      <formula>0</formula>
    </cfRule>
  </conditionalFormatting>
  <conditionalFormatting sqref="I61:J63">
    <cfRule type="cellIs" dxfId="38" priority="3" operator="lessThan">
      <formula>0</formula>
    </cfRule>
  </conditionalFormatting>
  <conditionalFormatting sqref="I67:J70">
    <cfRule type="cellIs" dxfId="37" priority="2" operator="lessThan">
      <formula>0</formula>
    </cfRule>
  </conditionalFormatting>
  <conditionalFormatting sqref="I74:J78">
    <cfRule type="cellIs" dxfId="36" priority="1" operator="lessThan">
      <formula>0</formula>
    </cfRule>
  </conditionalFormatting>
  <dataValidations count="9">
    <dataValidation type="list" allowBlank="1" showInputMessage="1" showErrorMessage="1" sqref="E17:E21" xr:uid="{4D866974-ADA1-4681-971E-F3A3FC8F113E}">
      <formula1>_xlfn.TRIMRANGE(INDIRECT("Table_FuelTypesPerUse["&amp;D17&amp;"]"))</formula1>
    </dataValidation>
    <dataValidation type="list" allowBlank="1" showInputMessage="1" showErrorMessage="1" sqref="D17:D21" xr:uid="{24169EF7-4D10-4878-B473-E96CB503BBF0}">
      <formula1>INDIRECT("Table_FuelTypesPerUse[#Headers]")</formula1>
    </dataValidation>
    <dataValidation type="list" allowBlank="1" showInputMessage="1" showErrorMessage="1" sqref="E11" xr:uid="{9747F583-108A-4C58-BB5A-C01EABE1D1EF}">
      <formula1>"Metro, Non-metro"</formula1>
    </dataValidation>
    <dataValidation type="list" allowBlank="1" showInputMessage="1" showErrorMessage="1" sqref="D29:D30" xr:uid="{35F43C47-6E6E-4724-89F6-F2B845B6914E}">
      <formula1>INDIRECT("Table_SourceData_OrganicFertiliserTypes[Organic fertiliser type]")</formula1>
    </dataValidation>
    <dataValidation type="list" allowBlank="1" showInputMessage="1" showErrorMessage="1" sqref="E49" xr:uid="{4DF8C49D-4D03-4CC3-832F-52E247BD0D7E}">
      <formula1>INDIRECT("Table_SourceData_Swine_CropProdSystems[Production system]")</formula1>
    </dataValidation>
    <dataValidation type="list" allowBlank="1" showInputMessage="1" showErrorMessage="1" sqref="E50" xr:uid="{58B9A5CD-CF84-4BCB-B723-4A170D7DB1E0}">
      <formula1>INDIRECT("Table_SourceData_Swine_IrrigationMethods[Irrigation method]")</formula1>
    </dataValidation>
    <dataValidation type="list" allowBlank="1" showInputMessage="1" showErrorMessage="1" sqref="E234 E239 E244 E278 E273 E268 E146 E134 E110 E122" xr:uid="{AEC5DE25-8C63-45C5-8217-8A0EC4C3B1D3}">
      <formula1>"Yes, No"</formula1>
    </dataValidation>
    <dataValidation type="list" allowBlank="1" showInputMessage="1" showErrorMessage="1" sqref="E210" xr:uid="{67BA1328-9494-4510-99F4-816CD39AF00C}">
      <formula1>INDIRECT("Table_SourceData_Dairy_ProductionSystemTemplates[Area]")</formula1>
    </dataValidation>
    <dataValidation type="list" allowBlank="1" showInputMessage="1" showErrorMessage="1" sqref="D262" xr:uid="{40CF03B7-F97D-46CA-BB01-D7F669A6712D}">
      <formula1>INDIRECT("Table_SourceData_PoultryMMSStage1[MMS]")</formula1>
    </dataValidation>
  </dataValidations>
  <pageMargins left="0.7" right="0.7" top="0.75" bottom="0.75" header="0.3" footer="0.3"/>
  <pageSetup paperSize="9" orientation="portrait" r:id="rId1"/>
  <tableParts count="1">
    <tablePart r:id="rId2"/>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0B812E-8D1C-470A-9329-A7A40C096E7B}">
  <sheetPr>
    <tabColor theme="5" tint="-0.249977111117893"/>
  </sheetPr>
  <dimension ref="A1:L365"/>
  <sheetViews>
    <sheetView showGridLines="0" zoomScaleNormal="100" workbookViewId="0">
      <pane xSplit="1" topLeftCell="B1" activePane="topRight" state="frozen"/>
      <selection pane="topRight" activeCell="A59" sqref="A59"/>
    </sheetView>
  </sheetViews>
  <sheetFormatPr defaultRowHeight="20.100000000000001" customHeight="1" x14ac:dyDescent="0.2"/>
  <cols>
    <col min="1" max="1" width="36.7109375" customWidth="1"/>
    <col min="2" max="2" width="4.7109375" customWidth="1"/>
    <col min="3" max="3" width="4.7109375" style="1" customWidth="1"/>
    <col min="4" max="4" width="66.7109375" style="1" customWidth="1"/>
    <col min="5" max="5" width="47" style="1" customWidth="1"/>
    <col min="6" max="8" width="24.85546875" style="1" customWidth="1"/>
    <col min="9" max="9" width="29.7109375" style="1" customWidth="1"/>
    <col min="10" max="10" width="4.7109375" style="1" customWidth="1"/>
    <col min="11" max="11" width="4.7109375" customWidth="1"/>
  </cols>
  <sheetData>
    <row r="1" spans="1:10" s="10" customFormat="1" ht="30" customHeight="1" x14ac:dyDescent="0.35">
      <c r="A1" s="10" t="e" vm="1">
        <v>#VALUE!</v>
      </c>
      <c r="C1" s="10" t="s">
        <v>754</v>
      </c>
    </row>
    <row r="2" spans="1:10" s="3" customFormat="1" ht="20.100000000000001" customHeight="1" x14ac:dyDescent="0.2">
      <c r="A2"/>
    </row>
    <row r="3" spans="1:10" ht="20.100000000000001" customHeight="1" x14ac:dyDescent="0.2">
      <c r="A3" s="5" t="str">
        <f>HYPERLINK("#'Home'!A1", "Home")</f>
        <v>Home</v>
      </c>
      <c r="C3" s="29"/>
      <c r="D3" s="29"/>
      <c r="E3" s="29"/>
      <c r="F3" s="29"/>
      <c r="G3" s="29"/>
      <c r="H3" s="29"/>
      <c r="I3" s="29"/>
      <c r="J3" s="29"/>
    </row>
    <row r="4" spans="1:10" ht="20.100000000000001" customHeight="1" x14ac:dyDescent="0.2">
      <c r="A4" s="5" t="str">
        <f>HYPERLINK("#'Results - Activity period'!A1", "Results - Activity period")</f>
        <v>Results - Activity period</v>
      </c>
    </row>
    <row r="5" spans="1:10" ht="20.100000000000001" customHeight="1" x14ac:dyDescent="0.2">
      <c r="A5" s="5" t="str">
        <f>HYPERLINK("#'Results - Product EI'!A1", "Results - Product Emissions Intensity")</f>
        <v>Results - Product Emissions Intensity</v>
      </c>
      <c r="D5" s="1" t="s">
        <v>755</v>
      </c>
      <c r="E5" s="13"/>
      <c r="F5" s="16" t="s">
        <v>106</v>
      </c>
    </row>
    <row r="6" spans="1:10" ht="20.100000000000001" customHeight="1" x14ac:dyDescent="0.2">
      <c r="E6" s="80" t="str">
        <f>IF(X_Cell_Electricity_CalculationMethod="Location-based (simpler)", "Complete the fields in the Location-based section", "Complete the fields in the Market-based section")</f>
        <v>Complete the fields in the Market-based section</v>
      </c>
    </row>
    <row r="8" spans="1:10" ht="20.100000000000001" customHeight="1" x14ac:dyDescent="0.2">
      <c r="A8" s="7" t="s">
        <v>0</v>
      </c>
      <c r="C8" s="87"/>
      <c r="D8" s="87"/>
      <c r="E8" s="87"/>
      <c r="F8" s="87"/>
      <c r="G8" s="87"/>
      <c r="H8" s="87"/>
      <c r="I8" s="87"/>
      <c r="J8" s="87"/>
    </row>
    <row r="9" spans="1:10" ht="20.100000000000001" customHeight="1" x14ac:dyDescent="0.2">
      <c r="A9" s="5" t="str">
        <f>HYPERLINK("#'Input - Enterprise'!A1", "Enterprise")</f>
        <v>Enterprise</v>
      </c>
      <c r="D9" s="2" t="s">
        <v>756</v>
      </c>
    </row>
    <row r="10" spans="1:10" ht="20.100000000000001" customHeight="1" x14ac:dyDescent="0.2">
      <c r="A10" s="5" t="str">
        <f>HYPERLINK("#'Input - Site'!A1", "Site")</f>
        <v>Site</v>
      </c>
    </row>
    <row r="11" spans="1:10" ht="20.100000000000001" customHeight="1" x14ac:dyDescent="0.2">
      <c r="A11" s="5" t="str">
        <f>HYPERLINK("#'Input - Pasture Beef'!A1", "Pasture Beef")</f>
        <v>Pasture Beef</v>
      </c>
      <c r="D11" s="79" t="s">
        <v>757</v>
      </c>
    </row>
    <row r="12" spans="1:10" ht="20.100000000000001" customHeight="1" x14ac:dyDescent="0.2">
      <c r="A12" s="5" t="str">
        <f>HYPERLINK("#'Input - Livestock sales'!A1", "Livestock sales")</f>
        <v>Livestock sales</v>
      </c>
    </row>
    <row r="13" spans="1:10" ht="20.100000000000001" customHeight="1" x14ac:dyDescent="0.2">
      <c r="A13" s="5" t="str">
        <f>HYPERLINK("#'Input - Beef cattle purchases'!A1", "Beef cattle purchases")</f>
        <v>Beef cattle purchases</v>
      </c>
      <c r="D13" s="36" t="s">
        <v>758</v>
      </c>
      <c r="E13" s="39"/>
      <c r="F13" s="8"/>
    </row>
    <row r="14" spans="1:10" ht="20.100000000000001" customHeight="1" x14ac:dyDescent="0.2">
      <c r="A14" s="5" t="str">
        <f>HYPERLINK("#'Input - Pasture'!A1", "Pasture")</f>
        <v>Pasture</v>
      </c>
      <c r="D14" s="8"/>
      <c r="E14" s="8"/>
      <c r="F14" s="8"/>
    </row>
    <row r="15" spans="1:10" ht="20.100000000000001" customHeight="1" x14ac:dyDescent="0.2">
      <c r="A15" s="5" t="str">
        <f>HYPERLINK("#'Input - Fert Prod System'!A1", "Fert Prod System")</f>
        <v>Fert Prod System</v>
      </c>
      <c r="D15" s="1" t="s">
        <v>759</v>
      </c>
      <c r="E15" s="179"/>
      <c r="F15" s="16" t="s">
        <v>760</v>
      </c>
    </row>
    <row r="16" spans="1:10" ht="20.100000000000001" customHeight="1" x14ac:dyDescent="0.2">
      <c r="A16" s="5" t="str">
        <f>HYPERLINK("#'Input - Fertiliser'!A1", "Fertiliser")</f>
        <v>Fertiliser</v>
      </c>
      <c r="D16" s="1" t="s">
        <v>761</v>
      </c>
      <c r="E16" s="15">
        <f>IF(X_Cell_Site_State="Western Australia", X_Cell_Site_Region, X_Cell_Site_State)</f>
        <v>0</v>
      </c>
      <c r="F16" s="8"/>
    </row>
    <row r="17" spans="1:11" ht="20.100000000000001" customHeight="1" x14ac:dyDescent="0.2">
      <c r="A17" s="5" t="str">
        <f>HYPERLINK("#'Input - Fuel'!A1", "Fuel")</f>
        <v>Fuel</v>
      </c>
      <c r="D17" s="1" t="s">
        <v>762</v>
      </c>
      <c r="E17" s="13"/>
      <c r="F17" s="16" t="s">
        <v>106</v>
      </c>
    </row>
    <row r="18" spans="1:11" ht="20.100000000000001" customHeight="1" x14ac:dyDescent="0.2">
      <c r="A18" s="99" t="str">
        <f>HYPERLINK("#'Input - Electricity'!A1", "Electricity")</f>
        <v>Electricity</v>
      </c>
    </row>
    <row r="19" spans="1:11" ht="20.100000000000001" customHeight="1" x14ac:dyDescent="0.2">
      <c r="A19" s="5" t="str">
        <f>HYPERLINK("#'Input - Common farm inputs'!A1", "Common farm inputs")</f>
        <v>Common farm inputs</v>
      </c>
    </row>
    <row r="20" spans="1:11" ht="20.100000000000001" customHeight="1" x14ac:dyDescent="0.2">
      <c r="A20" s="5" t="str">
        <f>HYPERLINK("#'Input - Crop pasture farm input'!A1", "Crop pasture farm input")</f>
        <v>Crop pasture farm input</v>
      </c>
      <c r="C20" s="87"/>
      <c r="D20" s="87"/>
      <c r="E20" s="87"/>
      <c r="F20" s="87"/>
      <c r="G20" s="87"/>
      <c r="H20" s="87"/>
      <c r="I20" s="87"/>
      <c r="J20" s="87"/>
    </row>
    <row r="21" spans="1:11" ht="20.100000000000001" customHeight="1" x14ac:dyDescent="0.2">
      <c r="A21" s="5" t="str">
        <f>HYPERLINK("#'Input - Livestock farm Inputs'!A1", "Livestock farm Inputs")</f>
        <v>Livestock farm Inputs</v>
      </c>
      <c r="D21" s="2" t="s">
        <v>763</v>
      </c>
    </row>
    <row r="22" spans="1:11" ht="20.100000000000001" customHeight="1" x14ac:dyDescent="0.2">
      <c r="A22" s="5" t="str">
        <f>HYPERLINK("#'Input - Freight'!A1", "Freight")</f>
        <v>Freight</v>
      </c>
      <c r="E22" s="80" t="str">
        <f>IF(E16="ACT", "", "ALERT: Your farm is not in the ACT, so the JRPP is not applicable")</f>
        <v>ALERT: Your farm is not in the ACT, so the JRPP is not applicable</v>
      </c>
    </row>
    <row r="23" spans="1:11" ht="20.100000000000001" customHeight="1" x14ac:dyDescent="0.2">
      <c r="A23" s="5" t="str">
        <f>HYPERLINK("#'Input - Solid waste'!A1", "Solid waste")</f>
        <v>Solid waste</v>
      </c>
      <c r="D23" s="1" t="s">
        <v>764</v>
      </c>
      <c r="E23" s="179"/>
      <c r="F23" s="16" t="s">
        <v>760</v>
      </c>
    </row>
    <row r="24" spans="1:11" ht="20.100000000000001" customHeight="1" x14ac:dyDescent="0.2">
      <c r="A24" s="5" t="str">
        <f>HYPERLINK("#'Input - Manure sent off-site'!A1", "Manure sent off-site")</f>
        <v>Manure sent off-site</v>
      </c>
      <c r="D24" s="1" t="s">
        <v>765</v>
      </c>
      <c r="E24" s="18"/>
      <c r="F24" s="16" t="s">
        <v>157</v>
      </c>
    </row>
    <row r="25" spans="1:11" ht="20.100000000000001" customHeight="1" x14ac:dyDescent="0.2">
      <c r="A25" s="5" t="str">
        <f>HYPERLINK("#'Input - Data quality'!A1", "Data quality")</f>
        <v>Data quality</v>
      </c>
      <c r="D25" s="1" t="s">
        <v>766</v>
      </c>
      <c r="E25" s="18"/>
      <c r="F25" s="16" t="s">
        <v>157</v>
      </c>
    </row>
    <row r="27" spans="1:11" ht="20.100000000000001" customHeight="1" x14ac:dyDescent="0.2">
      <c r="D27" s="1" t="s">
        <v>767</v>
      </c>
      <c r="E27" s="179"/>
      <c r="F27" s="16" t="s">
        <v>760</v>
      </c>
    </row>
    <row r="28" spans="1:11" ht="20.100000000000001" customHeight="1" x14ac:dyDescent="0.2">
      <c r="A28" s="6" t="s">
        <v>2</v>
      </c>
    </row>
    <row r="29" spans="1:11" ht="20.100000000000001" customHeight="1" x14ac:dyDescent="0.2">
      <c r="A29" s="5" t="str">
        <f>HYPERLINK("#'3.2.1.1-2 Enteric Methane'!A1", "3.2.1.1-2 Enteric Methane")</f>
        <v>3.2.1.1-2 Enteric Methane</v>
      </c>
      <c r="D29" s="1" t="s">
        <v>768</v>
      </c>
      <c r="E29" s="180" t="str">
        <f>TEXT(X_Cell_Site_StartDate, "dd mmm yyyy")</f>
        <v>00 Jan 1900</v>
      </c>
      <c r="K29" s="155"/>
    </row>
    <row r="30" spans="1:11" ht="20.100000000000001" customHeight="1" x14ac:dyDescent="0.2">
      <c r="A30" s="5" t="str">
        <f>HYPERLINK("#'4.2.1.1-2 Methane'!A1", "4.2.1.1-2 Manure methane")</f>
        <v>4.2.1.1-2 Manure methane</v>
      </c>
      <c r="D30" s="1" t="s">
        <v>769</v>
      </c>
      <c r="E30" s="180" t="str">
        <f>TEXT(X_Cell_Site_EndDate, "dd mmm yyyy")</f>
        <v>30 Dec 1900</v>
      </c>
      <c r="K30" s="155"/>
    </row>
    <row r="31" spans="1:11" ht="20.100000000000001" customHeight="1" x14ac:dyDescent="0.2">
      <c r="A31" s="5" t="str">
        <f>HYPERLINK("#'4.2.1.3-4 Soil direct N20'!A1", "4.2.1.3-4 Soil direct N2O")</f>
        <v>4.2.1.3-4 Soil direct N2O</v>
      </c>
      <c r="K31" s="155"/>
    </row>
    <row r="32" spans="1:11" ht="20.100000000000001" customHeight="1" x14ac:dyDescent="0.2">
      <c r="A32" s="5" t="str">
        <f>HYPERLINK("#'4.2.1.5-6 Soil Atmos Dep'!A1", "4.2.1.5-6 Soil atm. deposition")</f>
        <v>4.2.1.5-6 Soil atm. deposition</v>
      </c>
      <c r="D32" s="79" t="s">
        <v>770</v>
      </c>
      <c r="K32" s="155"/>
    </row>
    <row r="33" spans="1:12" ht="20.100000000000001" customHeight="1" x14ac:dyDescent="0.2">
      <c r="A33" s="5" t="str">
        <f>HYPERLINK("#'4.2.1.7-8 Soil leach runoff'!A1", "4.2.1.7-8 Soil leach &amp; runoff")</f>
        <v>4.2.1.7-8 Soil leach &amp; runoff</v>
      </c>
      <c r="K33" s="155"/>
    </row>
    <row r="34" spans="1:12" ht="20.100000000000001" customHeight="1" x14ac:dyDescent="0.2">
      <c r="A34" s="5" t="str">
        <f>HYPERLINK("#'5.1.1.1-2 Inorganic fert N2O'!A1", "5.1.1.1-2 Inorganic fert N2O")</f>
        <v>5.1.1.1-2 Inorganic fert N2O</v>
      </c>
      <c r="D34" s="36" t="s">
        <v>771</v>
      </c>
      <c r="E34" s="39"/>
      <c r="K34" s="155"/>
    </row>
    <row r="35" spans="1:12" ht="20.100000000000001" customHeight="1" x14ac:dyDescent="0.2">
      <c r="A35" s="5" t="str">
        <f>HYPERLINK("#'5.1.1.3-4 Inorganic fert CO2'!A1", "5.1.1.3-4 Inorganic fert CO2")</f>
        <v>5.1.1.3-4 Inorganic fert CO2</v>
      </c>
    </row>
    <row r="36" spans="1:12" ht="20.100000000000001" customHeight="1" x14ac:dyDescent="0.2">
      <c r="A36" s="5" t="str">
        <f>HYPERLINK("#'5.2.1.1-2 Organic Fert N2O'!A1", "5.2.1.1-2 Organic fert N2O")</f>
        <v>5.2.1.1-2 Organic fert N2O</v>
      </c>
      <c r="D36" s="82" t="s">
        <v>194</v>
      </c>
      <c r="E36" s="82" t="s">
        <v>772</v>
      </c>
      <c r="F36" s="82" t="s">
        <v>773</v>
      </c>
      <c r="G36" s="82" t="s">
        <v>774</v>
      </c>
      <c r="H36" s="82" t="s">
        <v>775</v>
      </c>
      <c r="I36" s="82" t="s">
        <v>776</v>
      </c>
      <c r="L36" s="155"/>
    </row>
    <row r="37" spans="1:12" ht="20.100000000000001" customHeight="1" x14ac:dyDescent="0.2">
      <c r="A37" s="5" t="str">
        <f>HYPERLINK("#'5.3.1.1-2 Lime CO2'!A1", "5.3.1.1-2 Lime CO2")</f>
        <v>5.3.1.1-2 Lime CO2</v>
      </c>
      <c r="D37" s="20" t="s">
        <v>777</v>
      </c>
      <c r="E37" s="13"/>
      <c r="F37" s="181"/>
      <c r="G37" s="20"/>
      <c r="H37" s="15">
        <f>Table_Input_RECSurrendered[[#This Row],[Number of certificates]]</f>
        <v>0</v>
      </c>
      <c r="I37" s="15" t="str">
        <f>IF(DATEDIF(Table_Input_RECSurrendered[[#This Row],[Generation date]],DATEVALUE($E$30),"M")&gt;36,"Ineligible - older than 36 months","Elegible")</f>
        <v>Elegible</v>
      </c>
      <c r="L37" s="155"/>
    </row>
    <row r="38" spans="1:12" ht="20.100000000000001" customHeight="1" x14ac:dyDescent="0.2">
      <c r="A38" s="5" t="str">
        <f>HYPERLINK("#'5.4.1.1-4 Atmos deposition'!A1", "5.4.1.1-4 Atmos. deposition")</f>
        <v>5.4.1.1-4 Atmos. deposition</v>
      </c>
      <c r="D38" s="20" t="s">
        <v>778</v>
      </c>
      <c r="E38" s="13"/>
      <c r="F38" s="181"/>
      <c r="G38" s="20"/>
      <c r="H38" s="15">
        <f>Table_Input_RECSurrendered[[#This Row],[Number of certificates]]</f>
        <v>0</v>
      </c>
      <c r="I38" s="15" t="str">
        <f>IF(DATEDIF(Table_Input_RECSurrendered[[#This Row],[Generation date]],DATEVALUE($E$30),"M")&gt;36,"Ineligible - older than 36 months","Elegible")</f>
        <v>Elegible</v>
      </c>
    </row>
    <row r="39" spans="1:12" ht="20.100000000000001" customHeight="1" x14ac:dyDescent="0.2">
      <c r="A39" s="5" t="str">
        <f>HYPERLINK("#'5.5.1.1-2 Leaching and runoff'!A1", "5.5.1.1-2 Leaching &amp; runoff")</f>
        <v>5.5.1.1-2 Leaching &amp; runoff</v>
      </c>
      <c r="D39" s="20" t="s">
        <v>779</v>
      </c>
      <c r="E39" s="13"/>
      <c r="F39" s="181"/>
      <c r="G39" s="20"/>
      <c r="H39" s="15">
        <f>Table_Input_RECSurrendered[[#This Row],[Number of certificates]]</f>
        <v>0</v>
      </c>
      <c r="I39" s="15" t="str">
        <f>IF(DATEDIF(Table_Input_RECSurrendered[[#This Row],[Generation date]],DATEVALUE($E$30),"M")&gt;36,"Ineligible - older than 36 months","Elegible")</f>
        <v>Elegible</v>
      </c>
    </row>
    <row r="40" spans="1:12" s="155" customFormat="1" ht="20.100000000000001" customHeight="1" x14ac:dyDescent="0.2">
      <c r="A40" s="5" t="str">
        <f>HYPERLINK("#'6.2.1.1-2 Pasture residue N2O'!A1", "6.2.1.1-2 Pasture residue N2O")</f>
        <v>6.2.1.1-2 Pasture residue N2O</v>
      </c>
      <c r="C40" s="1"/>
      <c r="D40" s="1"/>
      <c r="E40" s="1"/>
      <c r="F40" s="1"/>
      <c r="G40" s="1"/>
      <c r="H40" s="1"/>
      <c r="I40" s="1"/>
      <c r="J40" s="1"/>
    </row>
    <row r="41" spans="1:12" s="155" customFormat="1" ht="20.100000000000001" customHeight="1" x14ac:dyDescent="0.2">
      <c r="A41" s="5" t="str">
        <f>HYPERLINK("#'6.3.1.1-2 Leach runoff pasture'!A1", "6.3.1.1-2 Leach &amp; runoff (pasture)")</f>
        <v>6.3.1.1-2 Leach &amp; runoff (pasture)</v>
      </c>
      <c r="C41" s="1"/>
      <c r="D41" s="1" t="s">
        <v>780</v>
      </c>
      <c r="E41" s="15">
        <f>SUMIF(Table_Input_RECSurrendered[Elegibility], "Elegible", Table_Input_RECSurrendered[MWh])</f>
        <v>0</v>
      </c>
      <c r="F41" s="16" t="s">
        <v>775</v>
      </c>
      <c r="G41" s="1"/>
      <c r="H41" s="1"/>
      <c r="I41" s="1"/>
      <c r="J41" s="1"/>
      <c r="L41" s="155" t="s">
        <v>781</v>
      </c>
    </row>
    <row r="42" spans="1:12" ht="20.100000000000001" customHeight="1" x14ac:dyDescent="0.2">
      <c r="A42" s="5" t="str">
        <f>HYPERLINK("#'8.1.1.1-2 Transport fuel'!A1", "8.1.1.1-2 Transport fuel")</f>
        <v>8.1.1.1-2 Transport fuel</v>
      </c>
      <c r="C42" s="143"/>
    </row>
    <row r="43" spans="1:12" ht="20.100000000000001" customHeight="1" x14ac:dyDescent="0.2">
      <c r="A43" s="5" t="str">
        <f>HYPERLINK("#'8.2.1.1-2 Stationary fuel'!A1", "8.2.1.1-2 Stationary fuel")</f>
        <v>8.2.1.1-2 Stationary fuel</v>
      </c>
      <c r="C43" s="143"/>
      <c r="D43" s="79" t="s">
        <v>782</v>
      </c>
      <c r="J43" s="143"/>
    </row>
    <row r="44" spans="1:12" ht="20.100000000000001" customHeight="1" x14ac:dyDescent="0.2">
      <c r="A44" s="5" t="str">
        <f>HYPERLINK("#'10.1.1-2 Solid waste treatment'!A1", "10.1.1.1-2 Solid waste")</f>
        <v>10.1.1.1-2 Solid waste</v>
      </c>
    </row>
    <row r="45" spans="1:12" ht="20.100000000000001" customHeight="1" x14ac:dyDescent="0.2">
      <c r="A45" s="5" t="str">
        <f>HYPERLINK("#'14.1.1-2 Purchased electricity'!A1", "14.1.1-2 Purchased electricity")</f>
        <v>14.1.1-2 Purchased electricity</v>
      </c>
      <c r="D45" s="82" t="s">
        <v>194</v>
      </c>
      <c r="E45" s="82" t="s">
        <v>727</v>
      </c>
      <c r="F45" s="82" t="s">
        <v>773</v>
      </c>
      <c r="G45" s="82" t="s">
        <v>774</v>
      </c>
      <c r="H45" s="82" t="s">
        <v>775</v>
      </c>
      <c r="I45" s="82" t="s">
        <v>776</v>
      </c>
    </row>
    <row r="46" spans="1:12" ht="20.100000000000001" customHeight="1" x14ac:dyDescent="0.2">
      <c r="A46" s="5" t="str">
        <f>HYPERLINK("#'15 Scope 3'!A1", "15 Scope 3")</f>
        <v>15 Scope 3</v>
      </c>
      <c r="D46" s="20" t="s">
        <v>783</v>
      </c>
      <c r="E46" s="182" t="str">
        <f>"Issued for generated electricity"</f>
        <v>Issued for generated electricity</v>
      </c>
      <c r="F46" s="181"/>
      <c r="G46" s="20"/>
      <c r="H46" s="15">
        <f>Table_Input_RECConsumedByEntity[[#This Row],[Number of certificates]]</f>
        <v>0</v>
      </c>
      <c r="I46" s="15" t="e">
        <f>IF(AND(Table_Input_RECConsumedByEntity[[#This Row],[Generation date]]&gt;=DATEVALUE($E$29), Table_Input_RECConsumedByEntity[[#This Row],[Generation date]]&lt;= DATEVALUE($E$30)), "Elegible", "Ineligible - outside reporting year")</f>
        <v>#VALUE!</v>
      </c>
    </row>
    <row r="47" spans="1:12" ht="20.100000000000001" customHeight="1" x14ac:dyDescent="0.2">
      <c r="A47" s="5" t="str">
        <f>HYPERLINK("#'Calcs - Manure sent off-site'!A1", "Calcs - Manure sent off-site")</f>
        <v>Calcs - Manure sent off-site</v>
      </c>
      <c r="D47" s="20" t="s">
        <v>784</v>
      </c>
      <c r="E47" s="182" t="str">
        <f>"Issued for generated electricity"</f>
        <v>Issued for generated electricity</v>
      </c>
      <c r="F47" s="181"/>
      <c r="G47" s="20"/>
      <c r="H47" s="15">
        <f>Table_Input_RECConsumedByEntity[[#This Row],[Number of certificates]]</f>
        <v>0</v>
      </c>
      <c r="I47" s="15" t="e">
        <f>IF(AND(Table_Input_RECConsumedByEntity[[#This Row],[Generation date]]&gt;=DATEVALUE($E$29), Table_Input_RECConsumedByEntity[[#This Row],[Generation date]]&lt;= DATEVALUE($E$30)), "Elegible", "Ineligible - outside reporting year")</f>
        <v>#VALUE!</v>
      </c>
    </row>
    <row r="48" spans="1:12" ht="20.100000000000001" customHeight="1" x14ac:dyDescent="0.2">
      <c r="D48" s="183">
        <v>45597</v>
      </c>
      <c r="E48" s="182" t="str">
        <f>"Issued for generated electricity"</f>
        <v>Issued for generated electricity</v>
      </c>
      <c r="F48" s="181"/>
      <c r="G48" s="20"/>
      <c r="H48" s="15">
        <f>Table_Input_RECConsumedByEntity[[#This Row],[Number of certificates]]</f>
        <v>0</v>
      </c>
      <c r="I48" s="15" t="e">
        <f>IF(AND(Table_Input_RECConsumedByEntity[[#This Row],[Generation date]]&gt;=DATEVALUE($E$29), Table_Input_RECConsumedByEntity[[#This Row],[Generation date]]&lt;= DATEVALUE($E$30)), "Elegible", "Ineligible - outside reporting year")</f>
        <v>#VALUE!</v>
      </c>
    </row>
    <row r="50" spans="1:6" ht="20.100000000000001" customHeight="1" x14ac:dyDescent="0.2">
      <c r="A50" s="85" t="s">
        <v>1</v>
      </c>
      <c r="D50" s="1" t="s">
        <v>785</v>
      </c>
      <c r="E50" s="15">
        <f>SUMIF(Table_Input_RECConsumedByEntity[Elegibility], "Elegible", Table_Input_RECConsumedByEntity[Number of certificates])</f>
        <v>0</v>
      </c>
      <c r="F50" s="16" t="s">
        <v>775</v>
      </c>
    </row>
    <row r="51" spans="1:6" ht="20.100000000000001" customHeight="1" x14ac:dyDescent="0.2">
      <c r="A51" s="5" t="str">
        <f>HYPERLINK("#'Constants - Pasture Beef'!A1", "Constants - Pasture Beef")</f>
        <v>Constants - Pasture Beef</v>
      </c>
    </row>
    <row r="52" spans="1:6" ht="20.100000000000001" customHeight="1" x14ac:dyDescent="0.2">
      <c r="A52" s="5" t="str">
        <f>HYPERLINK("#'Constants - Ag Residue'!A1", "Constants - Ag residue")</f>
        <v>Constants - Ag residue</v>
      </c>
    </row>
    <row r="53" spans="1:6" ht="20.100000000000001" customHeight="1" x14ac:dyDescent="0.2">
      <c r="A53" s="5" t="str">
        <f>HYPERLINK("#'Constants - Common Livestock'!A1", "Constants - Common Livestock")</f>
        <v>Constants - Common Livestock</v>
      </c>
    </row>
    <row r="54" spans="1:6" ht="20.100000000000001" customHeight="1" x14ac:dyDescent="0.2">
      <c r="A54" s="5" t="str">
        <f>HYPERLINK("#'Constants - Electricity'!A1", "Constants - Electricity")</f>
        <v>Constants - Electricity</v>
      </c>
    </row>
    <row r="55" spans="1:6" ht="20.100000000000001" customHeight="1" x14ac:dyDescent="0.2">
      <c r="A55" s="5" t="str">
        <f>HYPERLINK("#'Constants - Fertiliser'!A1", "Constants - Fertiliser")</f>
        <v>Constants - Fertiliser</v>
      </c>
      <c r="D55" s="184"/>
    </row>
    <row r="56" spans="1:6" ht="20.100000000000001" customHeight="1" x14ac:dyDescent="0.2">
      <c r="A56" s="5" t="str">
        <f>HYPERLINK("#'Constants - Fuel'!A1", "Constants - Fuel")</f>
        <v>Constants - Fuel</v>
      </c>
      <c r="D56" s="184"/>
    </row>
    <row r="57" spans="1:6" ht="20.100000000000001" customHeight="1" x14ac:dyDescent="0.2">
      <c r="A57" s="5" t="str">
        <f>HYPERLINK("#'Constants - Scope 3'!A1", "Constants - Scope 3")</f>
        <v>Constants - Scope 3</v>
      </c>
    </row>
    <row r="58" spans="1:6" ht="20.100000000000001" customHeight="1" x14ac:dyDescent="0.2">
      <c r="A58" s="5" t="str">
        <f>HYPERLINK("#'Constants - Solid Waste'!A1", "Constants - Solid Waste")</f>
        <v>Constants - Solid Waste</v>
      </c>
    </row>
    <row r="59" spans="1:6" ht="20.100000000000001" customHeight="1" x14ac:dyDescent="0.2">
      <c r="A59" s="5" t="str">
        <f>HYPERLINK("#'Constants - Common'!A1", "Constants - Common")</f>
        <v>Constants - Common</v>
      </c>
    </row>
    <row r="60" spans="1:6" ht="20.100000000000001" customHeight="1" x14ac:dyDescent="0.2">
      <c r="A60" s="5" t="str">
        <f>HYPERLINK("#'Acknowledgements'!A1", "Acknowledgements")</f>
        <v>Acknowledgements</v>
      </c>
    </row>
    <row r="365" spans="4:4" ht="20.100000000000001" customHeight="1" x14ac:dyDescent="0.2">
      <c r="D365" s="80"/>
    </row>
  </sheetData>
  <conditionalFormatting sqref="F130:F131">
    <cfRule type="cellIs" dxfId="35" priority="8" operator="lessThan">
      <formula>0</formula>
    </cfRule>
  </conditionalFormatting>
  <conditionalFormatting sqref="F142:F143">
    <cfRule type="cellIs" dxfId="34" priority="7" operator="lessThan">
      <formula>0</formula>
    </cfRule>
  </conditionalFormatting>
  <conditionalFormatting sqref="F154:F155">
    <cfRule type="cellIs" dxfId="33" priority="6" operator="lessThan">
      <formula>0</formula>
    </cfRule>
  </conditionalFormatting>
  <conditionalFormatting sqref="F166:F167">
    <cfRule type="cellIs" dxfId="32" priority="5" operator="lessThan">
      <formula>0</formula>
    </cfRule>
  </conditionalFormatting>
  <conditionalFormatting sqref="F254:F255">
    <cfRule type="cellIs" dxfId="31" priority="17" operator="lessThan">
      <formula>0</formula>
    </cfRule>
  </conditionalFormatting>
  <conditionalFormatting sqref="F259:F260">
    <cfRule type="cellIs" dxfId="30" priority="16" operator="lessThan">
      <formula>0</formula>
    </cfRule>
  </conditionalFormatting>
  <conditionalFormatting sqref="F264:F265">
    <cfRule type="cellIs" dxfId="29" priority="15" operator="lessThan">
      <formula>0</formula>
    </cfRule>
  </conditionalFormatting>
  <conditionalFormatting sqref="F288:F289">
    <cfRule type="cellIs" dxfId="28" priority="14" operator="lessThan">
      <formula>0</formula>
    </cfRule>
  </conditionalFormatting>
  <conditionalFormatting sqref="F293:F294">
    <cfRule type="cellIs" dxfId="27" priority="13" operator="lessThan">
      <formula>0</formula>
    </cfRule>
  </conditionalFormatting>
  <conditionalFormatting sqref="F298:F299">
    <cfRule type="cellIs" dxfId="26" priority="12" operator="lessThan">
      <formula>0</formula>
    </cfRule>
  </conditionalFormatting>
  <conditionalFormatting sqref="I59:I63">
    <cfRule type="cellIs" dxfId="25" priority="4" operator="lessThan">
      <formula>0</formula>
    </cfRule>
  </conditionalFormatting>
  <conditionalFormatting sqref="I67 I126">
    <cfRule type="cellIs" dxfId="24" priority="10" operator="lessThan">
      <formula>0</formula>
    </cfRule>
  </conditionalFormatting>
  <conditionalFormatting sqref="I78:I80">
    <cfRule type="cellIs" dxfId="23" priority="3" operator="lessThan">
      <formula>0</formula>
    </cfRule>
  </conditionalFormatting>
  <conditionalFormatting sqref="I84:I87">
    <cfRule type="cellIs" dxfId="22" priority="2" operator="lessThan">
      <formula>0</formula>
    </cfRule>
  </conditionalFormatting>
  <conditionalFormatting sqref="I91:I95">
    <cfRule type="cellIs" dxfId="21" priority="1" operator="lessThan">
      <formula>0</formula>
    </cfRule>
  </conditionalFormatting>
  <conditionalFormatting sqref="J35 I49:I50 H51:H53 I52 I54:I55 I206 I212 E214:G214">
    <cfRule type="cellIs" dxfId="20" priority="11" operator="lessThan">
      <formula>0</formula>
    </cfRule>
  </conditionalFormatting>
  <conditionalFormatting sqref="J39 I40 J41 I43">
    <cfRule type="cellIs" dxfId="19" priority="9" operator="lessThan">
      <formula>0</formula>
    </cfRule>
  </conditionalFormatting>
  <dataValidations count="7">
    <dataValidation type="list" allowBlank="1" showInputMessage="1" showErrorMessage="1" sqref="E5" xr:uid="{EB83E7A2-ECC6-4045-897C-0483060DC745}">
      <formula1>"Location-based (simpler), Market-based (more complex)"</formula1>
    </dataValidation>
    <dataValidation type="list" allowBlank="1" showInputMessage="1" showErrorMessage="1" sqref="E37:E39" xr:uid="{1E7E89CA-2E23-4AD8-B562-566392781DF6}">
      <formula1>"Purchased certificate, Issued for generated electricity"</formula1>
    </dataValidation>
    <dataValidation type="list" allowBlank="1" showInputMessage="1" showErrorMessage="1" sqref="E17" xr:uid="{5F223B2A-9155-4CF4-B449-7B583E9072E6}">
      <formula1>INDIRECT("Table_SourceData_ElectricityEFs[State, Territory or grid description]")</formula1>
    </dataValidation>
    <dataValidation type="list" allowBlank="1" showInputMessage="1" showErrorMessage="1" sqref="E69" xr:uid="{A68B5139-8C69-42A1-B563-B790A8693AF3}">
      <formula1>INDIRECT("Table_SourceData_Swine_IrrigationMethods[Irrigation method]")</formula1>
    </dataValidation>
    <dataValidation type="list" allowBlank="1" showInputMessage="1" showErrorMessage="1" sqref="E253 E258 E263 E297 E292 E287 E165 E153 E129 E141" xr:uid="{2F048B95-A44C-486F-AA62-4869EFEEC7A7}">
      <formula1>"Yes, No"</formula1>
    </dataValidation>
    <dataValidation type="list" allowBlank="1" showInputMessage="1" showErrorMessage="1" sqref="E229" xr:uid="{51C64A8E-3304-42BF-B965-7A342A6509D7}">
      <formula1>INDIRECT("Table_SourceData_Dairy_ProductionSystemTemplates[Area]")</formula1>
    </dataValidation>
    <dataValidation type="list" allowBlank="1" showInputMessage="1" showErrorMessage="1" sqref="D281" xr:uid="{7687AFAE-483C-4D70-AE29-CFDC7EA2F066}">
      <formula1>INDIRECT("Table_SourceData_PoultryMMSStage1[MMS]")</formula1>
    </dataValidation>
  </dataValidations>
  <pageMargins left="0.7" right="0.7" top="0.75" bottom="0.75" header="0.3" footer="0.3"/>
  <pageSetup paperSize="9" orientation="portrait" r:id="rId1"/>
  <tableParts count="2">
    <tablePart r:id="rId2"/>
    <tablePart r:id="rId3"/>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9D5046-E5AB-4356-AA66-25E836D774A2}">
  <sheetPr>
    <tabColor theme="5" tint="-0.249977111117893"/>
  </sheetPr>
  <dimension ref="A1:S190"/>
  <sheetViews>
    <sheetView showGridLines="0" zoomScaleNormal="100" workbookViewId="0">
      <pane xSplit="1" topLeftCell="B1" activePane="topRight" state="frozen"/>
      <selection pane="topRight" activeCell="A59" sqref="A59"/>
    </sheetView>
  </sheetViews>
  <sheetFormatPr defaultRowHeight="20.100000000000001" customHeight="1" x14ac:dyDescent="0.2"/>
  <cols>
    <col min="1" max="1" width="36.7109375" style="98" customWidth="1"/>
    <col min="2" max="2" width="4.7109375" style="98" customWidth="1"/>
    <col min="3" max="3" width="4.7109375" style="240" customWidth="1"/>
    <col min="4" max="4" width="47.140625" style="240" customWidth="1"/>
    <col min="5" max="10" width="30.7109375" style="240" customWidth="1"/>
    <col min="11" max="18" width="35" style="1" customWidth="1"/>
    <col min="19" max="19" width="5.28515625" style="1" customWidth="1"/>
    <col min="20" max="16384" width="9.140625" style="98"/>
  </cols>
  <sheetData>
    <row r="1" spans="1:19" ht="30" customHeight="1" x14ac:dyDescent="0.35">
      <c r="A1" s="10" t="e" vm="1">
        <v>#VALUE!</v>
      </c>
      <c r="C1" s="28" t="s">
        <v>995</v>
      </c>
      <c r="D1" s="22"/>
      <c r="E1" s="22"/>
      <c r="F1" s="22"/>
      <c r="G1" s="22"/>
      <c r="H1" s="22"/>
      <c r="I1" s="22"/>
      <c r="J1" s="22"/>
      <c r="K1" s="22"/>
      <c r="L1" s="22"/>
      <c r="M1" s="22"/>
      <c r="N1" s="22"/>
      <c r="O1" s="22"/>
      <c r="P1" s="22"/>
      <c r="Q1" s="22"/>
      <c r="R1" s="22"/>
      <c r="S1" s="22"/>
    </row>
    <row r="2" spans="1:19" ht="20.100000000000001" customHeight="1" x14ac:dyDescent="0.2">
      <c r="A2"/>
      <c r="C2" s="3"/>
      <c r="D2" s="3"/>
      <c r="E2" s="3"/>
      <c r="F2" s="3"/>
      <c r="G2" s="3"/>
      <c r="H2" s="3"/>
      <c r="I2" s="3"/>
      <c r="J2" s="3"/>
      <c r="K2" s="3"/>
      <c r="L2" s="3"/>
      <c r="M2" s="3"/>
      <c r="N2" s="3"/>
      <c r="O2" s="3"/>
      <c r="P2" s="3"/>
      <c r="Q2" s="3"/>
      <c r="R2" s="3"/>
      <c r="S2" s="3"/>
    </row>
    <row r="3" spans="1:19" ht="20.100000000000001" customHeight="1" x14ac:dyDescent="0.2">
      <c r="A3" s="5" t="str">
        <f>HYPERLINK("#'Home'!A1", "Home")</f>
        <v>Home</v>
      </c>
      <c r="C3" s="29"/>
      <c r="D3" s="29"/>
      <c r="E3" s="29"/>
      <c r="F3" s="29"/>
      <c r="G3" s="29"/>
      <c r="H3" s="29"/>
      <c r="I3" s="29"/>
      <c r="J3" s="29"/>
      <c r="K3" s="29"/>
      <c r="L3" s="29"/>
      <c r="M3" s="29"/>
      <c r="N3" s="29"/>
      <c r="O3" s="29"/>
      <c r="P3" s="29"/>
      <c r="Q3" s="29"/>
      <c r="R3" s="29"/>
      <c r="S3" s="29"/>
    </row>
    <row r="4" spans="1:19" ht="20.100000000000001" customHeight="1" x14ac:dyDescent="0.2">
      <c r="A4" s="5" t="str">
        <f>HYPERLINK("#'Results - Activity period'!A1", "Results - Activity period")</f>
        <v>Results - Activity period</v>
      </c>
      <c r="C4" s="25"/>
      <c r="D4" s="25"/>
      <c r="E4" s="25"/>
      <c r="F4" s="25"/>
      <c r="G4" s="25"/>
      <c r="H4" s="25"/>
      <c r="I4" s="25"/>
      <c r="J4" s="25"/>
    </row>
    <row r="5" spans="1:19" ht="20.100000000000001" customHeight="1" x14ac:dyDescent="0.2">
      <c r="A5" s="5" t="str">
        <f>HYPERLINK("#'Results - Product EI'!A1", "Results - Product Emissions Intensity")</f>
        <v>Results - Product Emissions Intensity</v>
      </c>
      <c r="C5" s="1"/>
      <c r="D5" s="2" t="s">
        <v>996</v>
      </c>
      <c r="E5" s="25"/>
      <c r="F5" s="25"/>
      <c r="G5" s="25"/>
      <c r="H5" s="25"/>
      <c r="I5" s="25"/>
      <c r="J5" s="25"/>
    </row>
    <row r="6" spans="1:19" ht="20.100000000000001" customHeight="1" x14ac:dyDescent="0.2">
      <c r="A6"/>
      <c r="C6" s="1"/>
    </row>
    <row r="7" spans="1:19" ht="20.100000000000001" customHeight="1" x14ac:dyDescent="0.2">
      <c r="A7"/>
      <c r="C7" s="1"/>
      <c r="D7" s="82" t="s">
        <v>997</v>
      </c>
      <c r="E7" s="82" t="s">
        <v>998</v>
      </c>
      <c r="F7" s="82" t="s">
        <v>999</v>
      </c>
    </row>
    <row r="8" spans="1:19" ht="20.100000000000001" customHeight="1" x14ac:dyDescent="0.2">
      <c r="A8" s="7" t="s">
        <v>0</v>
      </c>
      <c r="C8" s="1"/>
      <c r="D8" s="34"/>
      <c r="E8" s="13"/>
      <c r="F8" s="76"/>
    </row>
    <row r="9" spans="1:19" ht="20.100000000000001" customHeight="1" x14ac:dyDescent="0.2">
      <c r="A9" s="5" t="str">
        <f>HYPERLINK("#'Input - Enterprise'!A1", "Enterprise")</f>
        <v>Enterprise</v>
      </c>
      <c r="C9" s="1"/>
      <c r="D9" s="34"/>
      <c r="E9" s="84"/>
      <c r="F9" s="244"/>
    </row>
    <row r="10" spans="1:19" ht="20.100000000000001" customHeight="1" x14ac:dyDescent="0.2">
      <c r="A10" s="5" t="str">
        <f>HYPERLINK("#'Input - Site'!A1", "Site")</f>
        <v>Site</v>
      </c>
      <c r="D10" s="34"/>
      <c r="E10" s="84"/>
      <c r="F10" s="244"/>
    </row>
    <row r="11" spans="1:19" ht="20.100000000000001" customHeight="1" x14ac:dyDescent="0.2">
      <c r="A11" s="5" t="str">
        <f>HYPERLINK("#'Input - Pasture Beef'!A1", "Pasture Beef")</f>
        <v>Pasture Beef</v>
      </c>
      <c r="D11" s="34"/>
      <c r="E11" s="84"/>
      <c r="F11" s="244"/>
    </row>
    <row r="12" spans="1:19" ht="20.100000000000001" customHeight="1" x14ac:dyDescent="0.2">
      <c r="A12" s="5" t="str">
        <f>HYPERLINK("#'Input - Livestock sales'!A1", "Livestock sales")</f>
        <v>Livestock sales</v>
      </c>
      <c r="C12" s="1"/>
      <c r="D12" s="34"/>
      <c r="E12" s="84"/>
      <c r="F12" s="244"/>
    </row>
    <row r="13" spans="1:19" ht="20.100000000000001" customHeight="1" x14ac:dyDescent="0.2">
      <c r="A13" s="5" t="str">
        <f>HYPERLINK("#'Input - Beef cattle purchases'!A1", "Beef cattle purchases")</f>
        <v>Beef cattle purchases</v>
      </c>
      <c r="C13" s="1"/>
      <c r="D13" s="34"/>
      <c r="E13" s="84"/>
      <c r="F13" s="244"/>
    </row>
    <row r="14" spans="1:19" ht="20.100000000000001" customHeight="1" x14ac:dyDescent="0.2">
      <c r="A14" s="5" t="str">
        <f>HYPERLINK("#'Input - Pasture'!A1", "Pasture")</f>
        <v>Pasture</v>
      </c>
      <c r="D14" s="34"/>
      <c r="E14" s="13"/>
      <c r="F14" s="76"/>
    </row>
    <row r="15" spans="1:19" ht="20.100000000000001" customHeight="1" x14ac:dyDescent="0.2">
      <c r="A15" s="5" t="str">
        <f>HYPERLINK("#'Input - Fert Prod System'!A1", "Fert Prod System")</f>
        <v>Fert Prod System</v>
      </c>
      <c r="D15" s="34"/>
      <c r="E15" s="13"/>
      <c r="F15" s="76"/>
    </row>
    <row r="16" spans="1:19" ht="20.100000000000001" customHeight="1" x14ac:dyDescent="0.2">
      <c r="A16" s="5" t="str">
        <f>HYPERLINK("#'Input - Fertiliser'!A1", "Fertiliser")</f>
        <v>Fertiliser</v>
      </c>
      <c r="D16" s="34"/>
      <c r="E16" s="13"/>
      <c r="F16" s="76"/>
    </row>
    <row r="17" spans="1:10" ht="20.100000000000001" customHeight="1" x14ac:dyDescent="0.2">
      <c r="A17" s="5" t="str">
        <f>HYPERLINK("#'Input - Fuel'!A1", "Fuel")</f>
        <v>Fuel</v>
      </c>
      <c r="C17" s="1"/>
      <c r="D17" s="34"/>
      <c r="E17" s="13"/>
      <c r="F17" s="76"/>
    </row>
    <row r="18" spans="1:10" ht="20.100000000000001" customHeight="1" x14ac:dyDescent="0.2">
      <c r="A18" s="5" t="str">
        <f>HYPERLINK("#'Input - Electricity'!A1", "Electricity")</f>
        <v>Electricity</v>
      </c>
      <c r="C18" s="1"/>
    </row>
    <row r="19" spans="1:10" ht="20.100000000000001" customHeight="1" x14ac:dyDescent="0.2">
      <c r="A19" s="99" t="str">
        <f>HYPERLINK("#'Input - Common farm inputs'!A1", "Common farm inputs")</f>
        <v>Common farm inputs</v>
      </c>
    </row>
    <row r="20" spans="1:10" ht="20.100000000000001" customHeight="1" x14ac:dyDescent="0.2">
      <c r="A20" s="5" t="str">
        <f>HYPERLINK("#'Input - Crop pasture farm input'!A1", "Crop pasture farm input")</f>
        <v>Crop pasture farm input</v>
      </c>
      <c r="D20" s="2" t="s">
        <v>1000</v>
      </c>
    </row>
    <row r="21" spans="1:10" ht="20.100000000000001" customHeight="1" x14ac:dyDescent="0.2">
      <c r="A21" s="5" t="str">
        <f>HYPERLINK("#'Input - Livestock farm Inputs'!A1", "Livestock farm Inputs")</f>
        <v>Livestock farm Inputs</v>
      </c>
      <c r="D21" s="26"/>
      <c r="I21" s="25"/>
      <c r="J21" s="25"/>
    </row>
    <row r="22" spans="1:10" ht="20.100000000000001" customHeight="1" x14ac:dyDescent="0.2">
      <c r="A22" s="5" t="str">
        <f>HYPERLINK("#'Input - Freight'!A1", "Freight")</f>
        <v>Freight</v>
      </c>
      <c r="D22" s="245" t="s">
        <v>1001</v>
      </c>
      <c r="E22" s="245" t="s">
        <v>1002</v>
      </c>
      <c r="F22" s="245" t="s">
        <v>1003</v>
      </c>
      <c r="G22" s="245" t="s">
        <v>807</v>
      </c>
    </row>
    <row r="23" spans="1:10" ht="20.100000000000001" customHeight="1" x14ac:dyDescent="0.2">
      <c r="A23" s="5" t="str">
        <f>HYPERLINK("#'Input - Solid waste'!A1", "Solid waste")</f>
        <v>Solid waste</v>
      </c>
      <c r="D23" s="34"/>
      <c r="E23" s="34"/>
      <c r="F23" s="76"/>
      <c r="G23" s="13"/>
    </row>
    <row r="24" spans="1:10" ht="20.100000000000001" customHeight="1" x14ac:dyDescent="0.2">
      <c r="A24" s="5" t="str">
        <f>HYPERLINK("#'Input - Manure sent off-site'!A1", "Manure sent off-site")</f>
        <v>Manure sent off-site</v>
      </c>
      <c r="D24" s="34"/>
      <c r="E24" s="34"/>
      <c r="F24" s="76"/>
      <c r="G24" s="13"/>
    </row>
    <row r="25" spans="1:10" ht="20.100000000000001" customHeight="1" x14ac:dyDescent="0.2">
      <c r="A25" s="5" t="str">
        <f>HYPERLINK("#'Input - Data quality'!A1", "Data quality")</f>
        <v>Data quality</v>
      </c>
      <c r="C25" s="1"/>
      <c r="D25" s="34"/>
      <c r="E25" s="34"/>
      <c r="F25" s="76"/>
      <c r="G25" s="13"/>
    </row>
    <row r="26" spans="1:10" ht="20.100000000000001" customHeight="1" x14ac:dyDescent="0.2">
      <c r="A26"/>
      <c r="C26" s="1"/>
      <c r="D26" s="34"/>
      <c r="E26" s="34"/>
      <c r="F26" s="76"/>
      <c r="G26" s="13"/>
    </row>
    <row r="27" spans="1:10" ht="20.100000000000001" customHeight="1" x14ac:dyDescent="0.2">
      <c r="A27"/>
      <c r="C27" s="1"/>
      <c r="D27" s="34"/>
      <c r="E27" s="34"/>
      <c r="F27" s="76"/>
      <c r="G27" s="13"/>
    </row>
    <row r="28" spans="1:10" ht="20.100000000000001" customHeight="1" x14ac:dyDescent="0.2">
      <c r="A28" s="6" t="s">
        <v>2</v>
      </c>
      <c r="D28" s="34"/>
      <c r="E28" s="34"/>
      <c r="F28" s="76"/>
      <c r="G28" s="13"/>
    </row>
    <row r="29" spans="1:10" ht="20.100000000000001" customHeight="1" x14ac:dyDescent="0.2">
      <c r="A29" s="5" t="str">
        <f>HYPERLINK("#'3.2.1.1-2 Enteric Methane'!A1", "3.2.1.1-2 Enteric Methane")</f>
        <v>3.2.1.1-2 Enteric Methane</v>
      </c>
      <c r="D29" s="34"/>
      <c r="E29" s="34"/>
      <c r="F29" s="76"/>
      <c r="G29" s="13"/>
    </row>
    <row r="30" spans="1:10" ht="20.100000000000001" customHeight="1" x14ac:dyDescent="0.2">
      <c r="A30" s="5" t="str">
        <f>HYPERLINK("#'4.2.1.1-2 Methane'!A1", "4.2.1.1-2 Manure methane")</f>
        <v>4.2.1.1-2 Manure methane</v>
      </c>
      <c r="D30" s="34"/>
      <c r="E30" s="34"/>
      <c r="F30" s="76"/>
      <c r="G30" s="13"/>
    </row>
    <row r="31" spans="1:10" ht="20.100000000000001" customHeight="1" x14ac:dyDescent="0.2">
      <c r="A31" s="5" t="str">
        <f>HYPERLINK("#'4.2.1.3-4 Soil direct N20'!A1", "4.2.1.3-4 Soil direct N2O")</f>
        <v>4.2.1.3-4 Soil direct N2O</v>
      </c>
      <c r="D31" s="34"/>
      <c r="E31" s="34"/>
      <c r="F31" s="76"/>
      <c r="G31" s="13"/>
    </row>
    <row r="32" spans="1:10" ht="20.100000000000001" customHeight="1" x14ac:dyDescent="0.2">
      <c r="A32" s="5" t="str">
        <f>HYPERLINK("#'4.2.1.5-6 Soil Atmos Dep'!A1", "4.2.1.5-6 Soil atm. deposition")</f>
        <v>4.2.1.5-6 Soil atm. deposition</v>
      </c>
      <c r="D32" s="34"/>
      <c r="E32" s="34"/>
      <c r="F32" s="76"/>
      <c r="G32" s="13"/>
    </row>
    <row r="33" spans="1:6" ht="20.100000000000001" customHeight="1" x14ac:dyDescent="0.2">
      <c r="A33" s="5" t="str">
        <f>HYPERLINK("#'4.2.1.7-8 Soil leach runoff'!A1", "4.2.1.7-8 Soil leach &amp; runoff")</f>
        <v>4.2.1.7-8 Soil leach &amp; runoff</v>
      </c>
    </row>
    <row r="34" spans="1:6" ht="20.100000000000001" customHeight="1" x14ac:dyDescent="0.2">
      <c r="A34" s="5" t="str">
        <f>HYPERLINK("#'5.1.1.1-2 Inorganic fert N2O'!A1", "5.1.1.1-2 Inorganic fert N2O")</f>
        <v>5.1.1.1-2 Inorganic fert N2O</v>
      </c>
    </row>
    <row r="35" spans="1:6" ht="20.100000000000001" customHeight="1" x14ac:dyDescent="0.2">
      <c r="A35" s="5" t="str">
        <f>HYPERLINK("#'5.1.1.3-4 Inorganic fert CO2'!A1", "5.1.1.3-4 Inorganic fert CO2")</f>
        <v>5.1.1.3-4 Inorganic fert CO2</v>
      </c>
      <c r="D35" s="2" t="s">
        <v>1004</v>
      </c>
    </row>
    <row r="36" spans="1:6" ht="20.100000000000001" customHeight="1" x14ac:dyDescent="0.2">
      <c r="A36" s="5" t="str">
        <f>HYPERLINK("#'5.2.1.1-2 Organic Fert N2O'!A1", "5.2.1.1-2 Organic fert N2O")</f>
        <v>5.2.1.1-2 Organic fert N2O</v>
      </c>
      <c r="D36" s="26"/>
    </row>
    <row r="37" spans="1:6" ht="20.100000000000001" customHeight="1" x14ac:dyDescent="0.2">
      <c r="A37" s="5" t="str">
        <f>HYPERLINK("#'5.3.1.1-2 Lime CO2'!A1", "5.3.1.1-2 Lime CO2")</f>
        <v>5.3.1.1-2 Lime CO2</v>
      </c>
      <c r="D37" s="82" t="s">
        <v>1005</v>
      </c>
      <c r="E37" s="82" t="s">
        <v>898</v>
      </c>
      <c r="F37" s="82" t="s">
        <v>807</v>
      </c>
    </row>
    <row r="38" spans="1:6" ht="20.100000000000001" customHeight="1" x14ac:dyDescent="0.2">
      <c r="A38" s="5" t="str">
        <f>HYPERLINK("#'5.4.1.1-4 Atmos deposition'!A1", "5.4.1.1-4 Atmos. deposition")</f>
        <v>5.4.1.1-4 Atmos. deposition</v>
      </c>
      <c r="D38" s="34"/>
      <c r="E38" s="76"/>
      <c r="F38" s="34"/>
    </row>
    <row r="39" spans="1:6" ht="20.100000000000001" customHeight="1" x14ac:dyDescent="0.2">
      <c r="A39" s="5" t="str">
        <f>HYPERLINK("#'5.5.1.1-2 Leaching and runoff'!A1", "5.5.1.1-2 Leaching &amp; runoff")</f>
        <v>5.5.1.1-2 Leaching &amp; runoff</v>
      </c>
      <c r="D39" s="34"/>
      <c r="E39" s="76"/>
      <c r="F39" s="34"/>
    </row>
    <row r="40" spans="1:6" ht="20.100000000000001" customHeight="1" x14ac:dyDescent="0.2">
      <c r="A40" s="5" t="str">
        <f>HYPERLINK("#'6.2.1.1-2 Pasture residue N2O'!A1", "6.2.1.1-2 Pasture residue N2O")</f>
        <v>6.2.1.1-2 Pasture residue N2O</v>
      </c>
      <c r="D40" s="34"/>
      <c r="E40" s="76"/>
      <c r="F40" s="34"/>
    </row>
    <row r="41" spans="1:6" ht="20.100000000000001" customHeight="1" x14ac:dyDescent="0.2">
      <c r="A41" s="5" t="str">
        <f>HYPERLINK("#'6.3.1.1-2 Leach runoff pasture'!A1", "6.3.1.1-2 Leach &amp; runoff (pasture)")</f>
        <v>6.3.1.1-2 Leach &amp; runoff (pasture)</v>
      </c>
      <c r="D41" s="34"/>
      <c r="E41" s="76"/>
      <c r="F41" s="34"/>
    </row>
    <row r="42" spans="1:6" ht="20.100000000000001" customHeight="1" x14ac:dyDescent="0.2">
      <c r="A42" s="5" t="str">
        <f>HYPERLINK("#'8.1.1.1-2 Transport fuel'!A1", "8.1.1.1-2 Transport fuel")</f>
        <v>8.1.1.1-2 Transport fuel</v>
      </c>
      <c r="D42" s="34"/>
      <c r="E42" s="76"/>
      <c r="F42" s="34"/>
    </row>
    <row r="43" spans="1:6" ht="20.100000000000001" customHeight="1" x14ac:dyDescent="0.2">
      <c r="A43" s="5" t="str">
        <f>HYPERLINK("#'8.2.1.1-2 Stationary fuel'!A1", "8.2.1.1-2 Stationary fuel")</f>
        <v>8.2.1.1-2 Stationary fuel</v>
      </c>
      <c r="D43" s="34"/>
      <c r="E43" s="76"/>
      <c r="F43" s="34"/>
    </row>
    <row r="44" spans="1:6" ht="20.100000000000001" customHeight="1" x14ac:dyDescent="0.2">
      <c r="A44" s="5" t="str">
        <f>HYPERLINK("#'10.1.1-2 Solid waste treatment'!A1", "10.1.1.1-2 Solid waste")</f>
        <v>10.1.1.1-2 Solid waste</v>
      </c>
      <c r="C44" s="1"/>
      <c r="D44" s="34"/>
      <c r="E44" s="76"/>
      <c r="F44" s="34"/>
    </row>
    <row r="45" spans="1:6" ht="20.100000000000001" customHeight="1" x14ac:dyDescent="0.2">
      <c r="A45" s="5" t="str">
        <f>HYPERLINK("#'14.1.1-2 Purchased electricity'!A1", "14.1.1-2 Purchased electricity")</f>
        <v>14.1.1-2 Purchased electricity</v>
      </c>
      <c r="C45" s="1"/>
      <c r="D45" s="34"/>
      <c r="E45" s="76"/>
      <c r="F45" s="34"/>
    </row>
    <row r="46" spans="1:6" ht="20.100000000000001" customHeight="1" x14ac:dyDescent="0.2">
      <c r="A46" s="5" t="str">
        <f>HYPERLINK("#'15 Scope 3'!A1", "15 Scope 3")</f>
        <v>15 Scope 3</v>
      </c>
      <c r="C46" s="1"/>
      <c r="D46" s="34"/>
      <c r="E46" s="76"/>
      <c r="F46" s="34"/>
    </row>
    <row r="47" spans="1:6" ht="20.100000000000001" customHeight="1" x14ac:dyDescent="0.2">
      <c r="A47" s="5" t="str">
        <f>HYPERLINK("#'Calcs - Manure sent off-site'!A1", "Calcs - Manure sent off-site")</f>
        <v>Calcs - Manure sent off-site</v>
      </c>
      <c r="C47" s="1"/>
      <c r="D47" s="34"/>
      <c r="E47" s="76"/>
      <c r="F47" s="34"/>
    </row>
    <row r="48" spans="1:6" ht="20.100000000000001" customHeight="1" x14ac:dyDescent="0.2">
      <c r="A48"/>
      <c r="C48" s="1"/>
    </row>
    <row r="49" spans="1:3" ht="20.100000000000001" customHeight="1" x14ac:dyDescent="0.2">
      <c r="A49"/>
      <c r="C49" s="1"/>
    </row>
    <row r="50" spans="1:3" ht="20.100000000000001" customHeight="1" x14ac:dyDescent="0.2">
      <c r="A50" s="85" t="s">
        <v>1</v>
      </c>
    </row>
    <row r="51" spans="1:3" ht="20.100000000000001" customHeight="1" x14ac:dyDescent="0.2">
      <c r="A51" s="5" t="str">
        <f>HYPERLINK("#'Constants - Pasture Beef'!A1", "Constants - Pasture Beef")</f>
        <v>Constants - Pasture Beef</v>
      </c>
    </row>
    <row r="52" spans="1:3" ht="20.100000000000001" customHeight="1" x14ac:dyDescent="0.2">
      <c r="A52" s="5" t="str">
        <f>HYPERLINK("#'Constants - Ag Residue'!A1", "Constants - Ag residue")</f>
        <v>Constants - Ag residue</v>
      </c>
    </row>
    <row r="53" spans="1:3" ht="20.100000000000001" customHeight="1" x14ac:dyDescent="0.2">
      <c r="A53" s="5" t="str">
        <f>HYPERLINK("#'Constants - Common Livestock'!A1", "Constants - Common Livestock")</f>
        <v>Constants - Common Livestock</v>
      </c>
    </row>
    <row r="54" spans="1:3" ht="20.100000000000001" customHeight="1" x14ac:dyDescent="0.2">
      <c r="A54" s="5" t="str">
        <f>HYPERLINK("#'Constants - Electricity'!A1", "Constants - Electricity")</f>
        <v>Constants - Electricity</v>
      </c>
    </row>
    <row r="55" spans="1:3" ht="20.100000000000001" customHeight="1" x14ac:dyDescent="0.2">
      <c r="A55" s="5" t="str">
        <f>HYPERLINK("#'Constants - Fertiliser'!A1", "Constants - Fertiliser")</f>
        <v>Constants - Fertiliser</v>
      </c>
    </row>
    <row r="56" spans="1:3" ht="20.100000000000001" customHeight="1" x14ac:dyDescent="0.2">
      <c r="A56" s="5" t="str">
        <f>HYPERLINK("#'Constants - Fuel'!A1", "Constants - Fuel")</f>
        <v>Constants - Fuel</v>
      </c>
    </row>
    <row r="57" spans="1:3" ht="20.100000000000001" customHeight="1" x14ac:dyDescent="0.2">
      <c r="A57" s="5" t="str">
        <f>HYPERLINK("#'Constants - Scope 3'!A1", "Constants - Scope 3")</f>
        <v>Constants - Scope 3</v>
      </c>
    </row>
    <row r="58" spans="1:3" ht="20.100000000000001" customHeight="1" x14ac:dyDescent="0.2">
      <c r="A58" s="5" t="str">
        <f>HYPERLINK("#'Constants - Solid Waste'!A1", "Constants - Solid Waste")</f>
        <v>Constants - Solid Waste</v>
      </c>
    </row>
    <row r="59" spans="1:3" ht="20.100000000000001" customHeight="1" x14ac:dyDescent="0.2">
      <c r="A59" s="5" t="str">
        <f>HYPERLINK("#'Constants - Common'!A1", "Constants - Common")</f>
        <v>Constants - Common</v>
      </c>
    </row>
    <row r="60" spans="1:3" ht="20.100000000000001" customHeight="1" x14ac:dyDescent="0.2">
      <c r="A60" s="5" t="str">
        <f>HYPERLINK("#'Acknowledgements'!A1", "Acknowledgements")</f>
        <v>Acknowledgements</v>
      </c>
    </row>
    <row r="61" spans="1:3" ht="20.100000000000001" customHeight="1" x14ac:dyDescent="0.2">
      <c r="A61"/>
    </row>
    <row r="62" spans="1:3" ht="20.100000000000001" customHeight="1" x14ac:dyDescent="0.2">
      <c r="A62"/>
    </row>
    <row r="63" spans="1:3" ht="20.100000000000001" customHeight="1" x14ac:dyDescent="0.2">
      <c r="A63"/>
    </row>
    <row r="64" spans="1:3" ht="20.100000000000001" customHeight="1" x14ac:dyDescent="0.2">
      <c r="A64"/>
    </row>
    <row r="65" spans="1:11" ht="20.100000000000001" customHeight="1" x14ac:dyDescent="0.2">
      <c r="A65"/>
    </row>
    <row r="66" spans="1:11" ht="20.100000000000001" customHeight="1" x14ac:dyDescent="0.2">
      <c r="A66"/>
    </row>
    <row r="67" spans="1:11" ht="20.100000000000001" customHeight="1" x14ac:dyDescent="0.2">
      <c r="A67"/>
    </row>
    <row r="68" spans="1:11" ht="20.100000000000001" customHeight="1" x14ac:dyDescent="0.2">
      <c r="A68"/>
    </row>
    <row r="69" spans="1:11" ht="20.100000000000001" customHeight="1" x14ac:dyDescent="0.2">
      <c r="A69"/>
    </row>
    <row r="70" spans="1:11" ht="20.100000000000001" customHeight="1" x14ac:dyDescent="0.2">
      <c r="A70"/>
    </row>
    <row r="71" spans="1:11" ht="20.100000000000001" customHeight="1" x14ac:dyDescent="0.2">
      <c r="A71"/>
    </row>
    <row r="72" spans="1:11" ht="20.100000000000001" customHeight="1" x14ac:dyDescent="0.2">
      <c r="A72"/>
    </row>
    <row r="73" spans="1:11" ht="20.100000000000001" customHeight="1" x14ac:dyDescent="0.2">
      <c r="A73"/>
    </row>
    <row r="74" spans="1:11" ht="20.100000000000001" customHeight="1" x14ac:dyDescent="0.2">
      <c r="A74"/>
      <c r="K74" s="240"/>
    </row>
    <row r="75" spans="1:11" ht="20.100000000000001" customHeight="1" x14ac:dyDescent="0.2">
      <c r="A75"/>
    </row>
    <row r="76" spans="1:11" ht="20.100000000000001" customHeight="1" x14ac:dyDescent="0.2">
      <c r="A76"/>
    </row>
    <row r="77" spans="1:11" ht="20.100000000000001" customHeight="1" x14ac:dyDescent="0.2">
      <c r="A77"/>
    </row>
    <row r="78" spans="1:11" ht="20.100000000000001" customHeight="1" x14ac:dyDescent="0.2">
      <c r="A78"/>
    </row>
    <row r="79" spans="1:11" ht="20.100000000000001" customHeight="1" x14ac:dyDescent="0.2">
      <c r="A79"/>
    </row>
    <row r="80" spans="1:11" ht="20.100000000000001" customHeight="1" x14ac:dyDescent="0.2">
      <c r="A80"/>
    </row>
    <row r="81" spans="1:10" ht="20.100000000000001" customHeight="1" x14ac:dyDescent="0.2">
      <c r="A81"/>
    </row>
    <row r="82" spans="1:10" ht="20.100000000000001" customHeight="1" x14ac:dyDescent="0.2">
      <c r="A82"/>
    </row>
    <row r="83" spans="1:10" ht="20.100000000000001" customHeight="1" x14ac:dyDescent="0.2">
      <c r="A83"/>
    </row>
    <row r="84" spans="1:10" ht="20.100000000000001" customHeight="1" x14ac:dyDescent="0.2">
      <c r="A84"/>
    </row>
    <row r="85" spans="1:10" ht="20.100000000000001" customHeight="1" x14ac:dyDescent="0.2">
      <c r="A85"/>
    </row>
    <row r="86" spans="1:10" ht="20.100000000000001" customHeight="1" x14ac:dyDescent="0.2">
      <c r="A86"/>
    </row>
    <row r="87" spans="1:10" ht="20.100000000000001" customHeight="1" x14ac:dyDescent="0.2">
      <c r="A87"/>
    </row>
    <row r="88" spans="1:10" ht="20.100000000000001" customHeight="1" x14ac:dyDescent="0.2">
      <c r="A88"/>
    </row>
    <row r="89" spans="1:10" ht="20.100000000000001" customHeight="1" x14ac:dyDescent="0.2">
      <c r="A89"/>
    </row>
    <row r="90" spans="1:10" ht="20.100000000000001" customHeight="1" x14ac:dyDescent="0.2">
      <c r="A90"/>
    </row>
    <row r="91" spans="1:10" ht="20.100000000000001" customHeight="1" x14ac:dyDescent="0.2">
      <c r="A91"/>
    </row>
    <row r="92" spans="1:10" ht="20.100000000000001" customHeight="1" x14ac:dyDescent="0.2">
      <c r="A92"/>
      <c r="J92" s="25"/>
    </row>
    <row r="93" spans="1:10" ht="20.100000000000001" customHeight="1" x14ac:dyDescent="0.2">
      <c r="A93"/>
      <c r="J93" s="25"/>
    </row>
    <row r="94" spans="1:10" ht="20.100000000000001" customHeight="1" x14ac:dyDescent="0.2">
      <c r="A94"/>
      <c r="J94" s="25"/>
    </row>
    <row r="95" spans="1:10" ht="20.100000000000001" customHeight="1" x14ac:dyDescent="0.2">
      <c r="A95"/>
      <c r="J95" s="25"/>
    </row>
    <row r="96" spans="1:10" ht="20.100000000000001" customHeight="1" x14ac:dyDescent="0.2">
      <c r="A96"/>
      <c r="J96" s="25"/>
    </row>
    <row r="97" spans="1:10" ht="20.100000000000001" customHeight="1" x14ac:dyDescent="0.2">
      <c r="A97"/>
      <c r="J97" s="2"/>
    </row>
    <row r="98" spans="1:10" ht="20.100000000000001" customHeight="1" x14ac:dyDescent="0.2">
      <c r="A98"/>
      <c r="J98" s="1"/>
    </row>
    <row r="99" spans="1:10" ht="20.100000000000001" customHeight="1" x14ac:dyDescent="0.2">
      <c r="A99"/>
      <c r="J99" s="1"/>
    </row>
    <row r="100" spans="1:10" ht="20.100000000000001" customHeight="1" x14ac:dyDescent="0.2">
      <c r="A100"/>
      <c r="J100" s="1"/>
    </row>
    <row r="101" spans="1:10" ht="20.100000000000001" customHeight="1" x14ac:dyDescent="0.2">
      <c r="A101"/>
      <c r="J101" s="1"/>
    </row>
    <row r="102" spans="1:10" ht="20.100000000000001" customHeight="1" x14ac:dyDescent="0.2">
      <c r="A102"/>
      <c r="J102" s="1"/>
    </row>
    <row r="103" spans="1:10" ht="20.100000000000001" customHeight="1" x14ac:dyDescent="0.2">
      <c r="A103"/>
    </row>
    <row r="104" spans="1:10" ht="20.100000000000001" customHeight="1" x14ac:dyDescent="0.2">
      <c r="A104"/>
    </row>
    <row r="105" spans="1:10" ht="20.100000000000001" customHeight="1" x14ac:dyDescent="0.2">
      <c r="A105"/>
    </row>
    <row r="106" spans="1:10" ht="20.100000000000001" customHeight="1" x14ac:dyDescent="0.2">
      <c r="A106"/>
    </row>
    <row r="107" spans="1:10" ht="20.100000000000001" customHeight="1" x14ac:dyDescent="0.2">
      <c r="A107"/>
      <c r="J107" s="1"/>
    </row>
    <row r="108" spans="1:10" ht="20.100000000000001" customHeight="1" x14ac:dyDescent="0.2">
      <c r="A108"/>
      <c r="J108" s="1"/>
    </row>
    <row r="109" spans="1:10" ht="20.100000000000001" customHeight="1" x14ac:dyDescent="0.2">
      <c r="A109"/>
      <c r="J109" s="1"/>
    </row>
    <row r="110" spans="1:10" ht="20.100000000000001" customHeight="1" x14ac:dyDescent="0.2">
      <c r="A110"/>
      <c r="J110" s="1"/>
    </row>
    <row r="111" spans="1:10" ht="20.100000000000001" customHeight="1" x14ac:dyDescent="0.2">
      <c r="A111"/>
      <c r="J111" s="1"/>
    </row>
    <row r="112" spans="1:10" ht="20.100000000000001" customHeight="1" x14ac:dyDescent="0.2">
      <c r="A112"/>
      <c r="J112" s="1"/>
    </row>
    <row r="113" spans="1:16" ht="20.100000000000001" customHeight="1" x14ac:dyDescent="0.2">
      <c r="A113"/>
      <c r="J113" s="1"/>
      <c r="L113" s="25"/>
      <c r="M113" s="25"/>
      <c r="N113" s="25"/>
      <c r="O113" s="25"/>
      <c r="P113" s="25"/>
    </row>
    <row r="114" spans="1:16" ht="20.100000000000001" customHeight="1" x14ac:dyDescent="0.2">
      <c r="A114"/>
      <c r="J114" s="1"/>
      <c r="L114" s="25"/>
      <c r="M114" s="25"/>
      <c r="N114" s="25"/>
      <c r="O114" s="25"/>
      <c r="P114" s="25"/>
    </row>
    <row r="115" spans="1:16" ht="20.100000000000001" customHeight="1" x14ac:dyDescent="0.2">
      <c r="A115"/>
      <c r="J115" s="1"/>
      <c r="L115" s="25"/>
      <c r="M115" s="25"/>
      <c r="N115" s="25"/>
      <c r="O115" s="25"/>
      <c r="P115" s="25"/>
    </row>
    <row r="116" spans="1:16" ht="20.100000000000001" customHeight="1" x14ac:dyDescent="0.2">
      <c r="A116"/>
      <c r="I116" s="25"/>
      <c r="J116" s="1"/>
      <c r="N116" s="25"/>
      <c r="O116" s="25"/>
      <c r="P116" s="25"/>
    </row>
    <row r="117" spans="1:16" ht="20.100000000000001" customHeight="1" x14ac:dyDescent="0.2">
      <c r="A117"/>
      <c r="I117" s="25"/>
      <c r="J117" s="1"/>
      <c r="N117" s="25"/>
      <c r="O117" s="25"/>
      <c r="P117" s="25"/>
    </row>
    <row r="118" spans="1:16" ht="20.100000000000001" customHeight="1" x14ac:dyDescent="0.2">
      <c r="A118"/>
      <c r="J118" s="25"/>
      <c r="N118" s="2"/>
      <c r="O118" s="2"/>
      <c r="P118" s="25"/>
    </row>
    <row r="119" spans="1:16" ht="20.100000000000001" customHeight="1" x14ac:dyDescent="0.2">
      <c r="A119"/>
      <c r="J119" s="25"/>
      <c r="P119" s="246"/>
    </row>
    <row r="120" spans="1:16" ht="20.100000000000001" customHeight="1" x14ac:dyDescent="0.2">
      <c r="A120"/>
      <c r="J120" s="25"/>
      <c r="P120" s="246"/>
    </row>
    <row r="121" spans="1:16" ht="20.100000000000001" customHeight="1" x14ac:dyDescent="0.2">
      <c r="A121"/>
      <c r="J121" s="2"/>
      <c r="P121" s="246"/>
    </row>
    <row r="122" spans="1:16" ht="20.100000000000001" customHeight="1" x14ac:dyDescent="0.2">
      <c r="A122"/>
      <c r="G122" s="25"/>
      <c r="H122" s="1"/>
      <c r="J122" s="1"/>
      <c r="P122" s="246"/>
    </row>
    <row r="123" spans="1:16" ht="20.100000000000001" customHeight="1" x14ac:dyDescent="0.2">
      <c r="A123"/>
      <c r="G123" s="25"/>
      <c r="H123" s="1"/>
      <c r="J123" s="1"/>
      <c r="P123" s="246"/>
    </row>
    <row r="124" spans="1:16" ht="20.100000000000001" customHeight="1" x14ac:dyDescent="0.2">
      <c r="A124"/>
      <c r="G124" s="25"/>
      <c r="H124" s="25"/>
      <c r="J124" s="1"/>
      <c r="N124" s="25"/>
      <c r="O124" s="25"/>
      <c r="P124" s="25"/>
    </row>
    <row r="125" spans="1:16" ht="20.100000000000001" customHeight="1" x14ac:dyDescent="0.2">
      <c r="A125"/>
      <c r="G125" s="25"/>
      <c r="H125" s="25"/>
      <c r="I125" s="25"/>
      <c r="J125" s="1"/>
      <c r="N125" s="25"/>
      <c r="O125" s="25"/>
      <c r="P125" s="25"/>
    </row>
    <row r="126" spans="1:16" ht="20.100000000000001" customHeight="1" x14ac:dyDescent="0.2">
      <c r="A126"/>
      <c r="G126" s="25"/>
      <c r="I126" s="25"/>
      <c r="J126" s="1"/>
    </row>
    <row r="127" spans="1:16" ht="20.100000000000001" customHeight="1" x14ac:dyDescent="0.2">
      <c r="A127"/>
      <c r="I127" s="25"/>
      <c r="J127" s="25"/>
    </row>
    <row r="128" spans="1:16" ht="20.100000000000001" customHeight="1" x14ac:dyDescent="0.2">
      <c r="A128"/>
      <c r="I128" s="25"/>
      <c r="J128" s="25"/>
    </row>
    <row r="129" spans="1:13" ht="20.100000000000001" customHeight="1" x14ac:dyDescent="0.2">
      <c r="A129"/>
      <c r="I129" s="25"/>
      <c r="L129" s="25"/>
      <c r="M129" s="25"/>
    </row>
    <row r="130" spans="1:13" ht="20.100000000000001" customHeight="1" x14ac:dyDescent="0.2">
      <c r="A130"/>
      <c r="I130" s="25"/>
      <c r="L130" s="25"/>
      <c r="M130" s="25"/>
    </row>
    <row r="131" spans="1:13" ht="20.100000000000001" customHeight="1" x14ac:dyDescent="0.2">
      <c r="A131"/>
      <c r="G131" s="1"/>
      <c r="I131" s="1"/>
      <c r="L131" s="2"/>
      <c r="M131" s="2"/>
    </row>
    <row r="132" spans="1:13" ht="20.100000000000001" customHeight="1" x14ac:dyDescent="0.2">
      <c r="A132"/>
      <c r="G132" s="25"/>
      <c r="I132" s="1"/>
    </row>
    <row r="133" spans="1:13" ht="20.100000000000001" customHeight="1" x14ac:dyDescent="0.2">
      <c r="A133"/>
      <c r="G133" s="25"/>
      <c r="I133" s="1"/>
    </row>
    <row r="134" spans="1:13" ht="20.100000000000001" customHeight="1" x14ac:dyDescent="0.2">
      <c r="A134"/>
      <c r="I134" s="1"/>
    </row>
    <row r="135" spans="1:13" ht="20.100000000000001" customHeight="1" x14ac:dyDescent="0.2">
      <c r="A135"/>
      <c r="I135" s="1"/>
    </row>
    <row r="136" spans="1:13" ht="20.100000000000001" customHeight="1" x14ac:dyDescent="0.2">
      <c r="A136"/>
      <c r="I136" s="25"/>
    </row>
    <row r="137" spans="1:13" ht="20.100000000000001" customHeight="1" x14ac:dyDescent="0.2">
      <c r="A137"/>
      <c r="I137" s="25"/>
      <c r="L137" s="25"/>
      <c r="M137" s="25"/>
    </row>
    <row r="138" spans="1:13" ht="20.100000000000001" customHeight="1" x14ac:dyDescent="0.2">
      <c r="A138"/>
      <c r="L138" s="25"/>
      <c r="M138" s="25"/>
    </row>
    <row r="139" spans="1:13" ht="20.100000000000001" customHeight="1" x14ac:dyDescent="0.2">
      <c r="A139"/>
    </row>
    <row r="140" spans="1:13" ht="20.100000000000001" customHeight="1" x14ac:dyDescent="0.2">
      <c r="A140"/>
    </row>
    <row r="141" spans="1:13" ht="20.100000000000001" customHeight="1" x14ac:dyDescent="0.2">
      <c r="A141"/>
    </row>
    <row r="142" spans="1:13" ht="20.100000000000001" customHeight="1" x14ac:dyDescent="0.2">
      <c r="A142"/>
    </row>
    <row r="143" spans="1:13" ht="20.100000000000001" customHeight="1" x14ac:dyDescent="0.2">
      <c r="A143"/>
    </row>
    <row r="144" spans="1:13" ht="20.100000000000001" customHeight="1" x14ac:dyDescent="0.2">
      <c r="A144"/>
    </row>
    <row r="145" spans="1:1" ht="20.100000000000001" customHeight="1" x14ac:dyDescent="0.2">
      <c r="A145"/>
    </row>
    <row r="146" spans="1:1" ht="20.100000000000001" customHeight="1" x14ac:dyDescent="0.2">
      <c r="A146"/>
    </row>
    <row r="147" spans="1:1" ht="20.100000000000001" customHeight="1" x14ac:dyDescent="0.2">
      <c r="A147"/>
    </row>
    <row r="148" spans="1:1" ht="20.100000000000001" customHeight="1" x14ac:dyDescent="0.2">
      <c r="A148"/>
    </row>
    <row r="149" spans="1:1" ht="20.100000000000001" customHeight="1" x14ac:dyDescent="0.2">
      <c r="A149"/>
    </row>
    <row r="150" spans="1:1" ht="20.100000000000001" customHeight="1" x14ac:dyDescent="0.2">
      <c r="A150"/>
    </row>
    <row r="151" spans="1:1" ht="20.100000000000001" customHeight="1" x14ac:dyDescent="0.2">
      <c r="A151"/>
    </row>
    <row r="152" spans="1:1" ht="20.100000000000001" customHeight="1" x14ac:dyDescent="0.2">
      <c r="A152"/>
    </row>
    <row r="153" spans="1:1" ht="20.100000000000001" customHeight="1" x14ac:dyDescent="0.2">
      <c r="A153"/>
    </row>
    <row r="154" spans="1:1" ht="20.100000000000001" customHeight="1" x14ac:dyDescent="0.2">
      <c r="A154"/>
    </row>
    <row r="155" spans="1:1" ht="20.100000000000001" customHeight="1" x14ac:dyDescent="0.2">
      <c r="A155"/>
    </row>
    <row r="156" spans="1:1" ht="20.100000000000001" customHeight="1" x14ac:dyDescent="0.2">
      <c r="A156"/>
    </row>
    <row r="157" spans="1:1" ht="20.100000000000001" customHeight="1" x14ac:dyDescent="0.2">
      <c r="A157"/>
    </row>
    <row r="158" spans="1:1" ht="20.100000000000001" customHeight="1" x14ac:dyDescent="0.2">
      <c r="A158"/>
    </row>
    <row r="159" spans="1:1" ht="20.100000000000001" customHeight="1" x14ac:dyDescent="0.2">
      <c r="A159"/>
    </row>
    <row r="160" spans="1:1" ht="20.100000000000001" customHeight="1" x14ac:dyDescent="0.2">
      <c r="A160"/>
    </row>
    <row r="165" spans="11:19" ht="20.100000000000001" customHeight="1" x14ac:dyDescent="0.2">
      <c r="S165" s="98"/>
    </row>
    <row r="166" spans="11:19" ht="20.100000000000001" customHeight="1" x14ac:dyDescent="0.2">
      <c r="S166" s="98"/>
    </row>
    <row r="167" spans="11:19" ht="20.100000000000001" customHeight="1" x14ac:dyDescent="0.2">
      <c r="S167" s="98"/>
    </row>
    <row r="168" spans="11:19" ht="20.100000000000001" customHeight="1" x14ac:dyDescent="0.2">
      <c r="S168" s="98"/>
    </row>
    <row r="169" spans="11:19" ht="20.100000000000001" customHeight="1" x14ac:dyDescent="0.2">
      <c r="S169" s="98"/>
    </row>
    <row r="170" spans="11:19" ht="20.100000000000001" customHeight="1" x14ac:dyDescent="0.2">
      <c r="S170" s="98"/>
    </row>
    <row r="171" spans="11:19" ht="20.100000000000001" customHeight="1" x14ac:dyDescent="0.2">
      <c r="S171" s="98"/>
    </row>
    <row r="172" spans="11:19" ht="20.100000000000001" customHeight="1" x14ac:dyDescent="0.2">
      <c r="S172" s="98"/>
    </row>
    <row r="173" spans="11:19" ht="20.100000000000001" customHeight="1" x14ac:dyDescent="0.2">
      <c r="S173" s="98"/>
    </row>
    <row r="174" spans="11:19" ht="20.100000000000001" customHeight="1" x14ac:dyDescent="0.2">
      <c r="S174" s="98"/>
    </row>
    <row r="175" spans="11:19" ht="20.100000000000001" customHeight="1" x14ac:dyDescent="0.2">
      <c r="S175" s="98"/>
    </row>
    <row r="176" spans="11:19" ht="20.100000000000001" customHeight="1" x14ac:dyDescent="0.2">
      <c r="K176" s="25"/>
    </row>
    <row r="177" spans="11:19" ht="20.100000000000001" customHeight="1" x14ac:dyDescent="0.2">
      <c r="K177" s="25"/>
    </row>
    <row r="180" spans="11:19" ht="20.100000000000001" customHeight="1" x14ac:dyDescent="0.2">
      <c r="S180" s="98"/>
    </row>
    <row r="181" spans="11:19" ht="20.100000000000001" customHeight="1" x14ac:dyDescent="0.2">
      <c r="S181" s="98"/>
    </row>
    <row r="182" spans="11:19" ht="20.100000000000001" customHeight="1" x14ac:dyDescent="0.2">
      <c r="S182" s="98"/>
    </row>
    <row r="183" spans="11:19" ht="20.100000000000001" customHeight="1" x14ac:dyDescent="0.2">
      <c r="S183" s="98"/>
    </row>
    <row r="184" spans="11:19" ht="20.100000000000001" customHeight="1" x14ac:dyDescent="0.2">
      <c r="S184" s="98"/>
    </row>
    <row r="185" spans="11:19" ht="20.100000000000001" customHeight="1" x14ac:dyDescent="0.2">
      <c r="S185" s="98"/>
    </row>
    <row r="186" spans="11:19" ht="20.100000000000001" customHeight="1" x14ac:dyDescent="0.2">
      <c r="S186" s="98"/>
    </row>
    <row r="187" spans="11:19" ht="20.100000000000001" customHeight="1" x14ac:dyDescent="0.2">
      <c r="S187" s="98"/>
    </row>
    <row r="188" spans="11:19" ht="20.100000000000001" customHeight="1" x14ac:dyDescent="0.2">
      <c r="S188" s="98"/>
    </row>
    <row r="189" spans="11:19" ht="20.100000000000001" customHeight="1" x14ac:dyDescent="0.2">
      <c r="S189" s="98"/>
    </row>
    <row r="190" spans="11:19" ht="20.100000000000001" customHeight="1" x14ac:dyDescent="0.2">
      <c r="S190" s="98"/>
    </row>
  </sheetData>
  <dataValidations count="3">
    <dataValidation type="list" allowBlank="1" showInputMessage="1" showErrorMessage="1" sqref="N122:N123 H122:H123 J125:J126 L135:L136" xr:uid="{CE38943A-379C-442A-883F-CDEE079324F4}">
      <formula1>INDIRECT("Table_Scope3_AquacultureFeedBait[Feed / Bait ingredient]")</formula1>
    </dataValidation>
    <dataValidation type="list" allowBlank="1" showInputMessage="1" showErrorMessage="1" sqref="G23:G32" xr:uid="{14CF4B39-6563-429D-AA17-6654F89C2902}">
      <formula1>"Hour, Hectare"</formula1>
    </dataValidation>
    <dataValidation type="list" allowBlank="1" showInputMessage="1" showErrorMessage="1" sqref="E8:E17" xr:uid="{F94B658D-ECE1-42DA-8220-8A1FB88EC899}">
      <formula1>INDIRECT("Table_SourceData_Scope3_ChemicalsCleaning[Product]")</formula1>
    </dataValidation>
  </dataValidations>
  <pageMargins left="0.7" right="0.7" top="0.75" bottom="0.75" header="0.3" footer="0.3"/>
  <pageSetup orientation="portrait" r:id="rId1"/>
  <tableParts count="3">
    <tablePart r:id="rId2"/>
    <tablePart r:id="rId3"/>
    <tablePart r:id="rId4"/>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B4DF80-1150-4537-A2C8-E27D498600AD}">
  <sheetPr>
    <tabColor theme="5" tint="-0.249977111117893"/>
  </sheetPr>
  <dimension ref="A1:S160"/>
  <sheetViews>
    <sheetView showGridLines="0" zoomScaleNormal="100" workbookViewId="0">
      <pane xSplit="1" topLeftCell="B1" activePane="topRight" state="frozen"/>
      <selection pane="topRight" activeCell="A59" sqref="A59"/>
    </sheetView>
  </sheetViews>
  <sheetFormatPr defaultRowHeight="20.100000000000001" customHeight="1" x14ac:dyDescent="0.2"/>
  <cols>
    <col min="1" max="1" width="36.7109375" style="239" customWidth="1"/>
    <col min="2" max="2" width="5.28515625" style="239" customWidth="1"/>
    <col min="3" max="3" width="5.28515625" style="1" customWidth="1"/>
    <col min="4" max="18" width="35" style="1" customWidth="1"/>
    <col min="19" max="19" width="5.28515625" style="1" customWidth="1"/>
    <col min="20" max="16384" width="9.140625" style="239"/>
  </cols>
  <sheetData>
    <row r="1" spans="1:19" s="10" customFormat="1" ht="30" customHeight="1" x14ac:dyDescent="0.35">
      <c r="C1" s="10" t="s">
        <v>1006</v>
      </c>
    </row>
    <row r="2" spans="1:19" s="3" customFormat="1" ht="20.100000000000001" customHeight="1" x14ac:dyDescent="0.2">
      <c r="A2"/>
    </row>
    <row r="3" spans="1:19" ht="20.100000000000001" customHeight="1" x14ac:dyDescent="0.2">
      <c r="A3" s="5" t="str">
        <f>HYPERLINK("#'Home'!A1", "Home")</f>
        <v>Home</v>
      </c>
      <c r="C3" s="29"/>
      <c r="D3" s="29"/>
      <c r="E3" s="29"/>
      <c r="F3" s="29"/>
      <c r="G3" s="29"/>
      <c r="H3" s="29"/>
      <c r="I3" s="29"/>
      <c r="J3" s="29"/>
      <c r="K3" s="29"/>
      <c r="L3" s="29"/>
      <c r="M3" s="29"/>
      <c r="N3" s="29"/>
      <c r="O3" s="29"/>
      <c r="P3" s="29"/>
      <c r="Q3" s="29"/>
      <c r="R3" s="29"/>
      <c r="S3" s="29"/>
    </row>
    <row r="4" spans="1:19" ht="20.100000000000001" customHeight="1" x14ac:dyDescent="0.2">
      <c r="A4" s="5" t="str">
        <f>HYPERLINK("#'Results - Activity period'!A1", "Results - Activity period")</f>
        <v>Results - Activity period</v>
      </c>
    </row>
    <row r="5" spans="1:19" ht="20.100000000000001" customHeight="1" x14ac:dyDescent="0.2">
      <c r="A5" s="5" t="str">
        <f>HYPERLINK("#'Results - Product EI'!A1", "Results - Product Emissions Intensity")</f>
        <v>Results - Product Emissions Intensity</v>
      </c>
      <c r="D5" s="243" t="s">
        <v>1007</v>
      </c>
      <c r="E5" s="246"/>
      <c r="F5" s="246"/>
      <c r="G5" s="246"/>
      <c r="H5" s="246"/>
      <c r="I5" s="246"/>
      <c r="J5" s="246"/>
    </row>
    <row r="6" spans="1:19" ht="20.100000000000001" customHeight="1" x14ac:dyDescent="0.2">
      <c r="A6"/>
      <c r="D6" s="247" t="s">
        <v>1008</v>
      </c>
      <c r="E6" s="247"/>
      <c r="F6" s="126"/>
      <c r="G6" s="45"/>
      <c r="H6" s="25"/>
      <c r="I6" s="25"/>
      <c r="J6" s="25"/>
    </row>
    <row r="7" spans="1:19" ht="20.100000000000001" customHeight="1" x14ac:dyDescent="0.2">
      <c r="A7"/>
      <c r="D7" s="46" t="s">
        <v>1009</v>
      </c>
      <c r="E7" s="47"/>
      <c r="F7" s="47"/>
      <c r="G7" s="48"/>
      <c r="H7" s="25"/>
      <c r="I7" s="25"/>
      <c r="J7" s="25"/>
    </row>
    <row r="8" spans="1:19" ht="20.100000000000001" customHeight="1" x14ac:dyDescent="0.2">
      <c r="A8" s="7" t="s">
        <v>0</v>
      </c>
      <c r="D8" s="246"/>
      <c r="E8" s="246"/>
      <c r="F8" s="246"/>
      <c r="G8" s="246"/>
      <c r="H8" s="246"/>
      <c r="I8" s="246"/>
      <c r="J8" s="246"/>
      <c r="K8" s="80" t="str" cm="1">
        <f t="array" ref="K8">IF(
  SUMPRODUCT((Table_Input_Pesticides[Constituent unit (select)]="fraction of product")*(Table_Input_Pesticides[Active ingredient 1 amount]&gt;1)*(Table_Input_Pesticides[Active ingredient 2 amount]&lt;&gt;""))&gt;0,
  "Alert: If constituent unit is fraction of product, amount cannot exceed 1",
  IF(
    SUMPRODUCT((Table_Input_Pesticides[Constituent unit (select)]="grams/litre or grams/kg")*(Table_Input_Pesticides[Active ingredient 1 amount]&lt;1)*(Table_Input_Pesticides[Active ingredient 2 amount]&lt;&gt;""))&gt;0,
    "Alert: If constituent unit is grams/kg or litre, amount cannot be less than 1",
    ""
  )
)</f>
        <v/>
      </c>
      <c r="N8" s="80" t="str" cm="1">
        <f t="array" ref="N8">IF(
  SUMPRODUCT((Table_Input_Pesticides[Constituent unit (select)]="fraction of product")*(Table_Input_Pesticides[Active ingredient 2 amount]&gt;1)*(Table_Input_Pesticides[Active ingredient 2 amount]&lt;&gt;""))&gt;0,
  "Alert: If constituent unit is fraction of product, amount cannot exceed 1",
  IF(
    SUMPRODUCT((Table_Input_Pesticides[Constituent unit (select)]="grams/litre or grams/kg")*(Table_Input_Pesticides[Active ingredient 2 amount]&lt;1)*(Table_Input_Pesticides[Active ingredient 2 amount]&lt;&gt;""))&gt;0,
    "Alert: If constituent unit is grams/kg or litre, amount cannot be less than 1",
    ""
  )
)</f>
        <v/>
      </c>
      <c r="Q8" s="80" t="str" cm="1">
        <f t="array" ref="Q8">IF(
  SUMPRODUCT((Table_Input_Pesticides[Constituent unit (select)]="fraction of product")*(Table_Input_Pesticides[Active ingredient 3 amount]&gt;1)*(Table_Input_Pesticides[Active ingredient 3 amount]&lt;&gt;""))&gt;0,
  "Alert: If constituent unit is fraction of product, amount cannot exceed 1",
  IF(
    SUMPRODUCT((Table_Input_Pesticides[Constituent unit (select)]="grams/litre or grams/kg")*(Table_Input_Pesticides[Active ingredient 3 amount]&lt;1)*(Table_Input_Pesticides[Active ingredient 3 amount]&lt;&gt;""))&gt;0,
    "Alert: If constituent unit is grams/kg or litre, amount cannot be less than 1",
    ""
  )
)</f>
        <v/>
      </c>
    </row>
    <row r="9" spans="1:19" ht="20.100000000000001" customHeight="1" x14ac:dyDescent="0.2">
      <c r="A9" s="5" t="str">
        <f>HYPERLINK("#'Input - Enterprise'!A1", "Enterprise")</f>
        <v>Enterprise</v>
      </c>
      <c r="D9" s="248" t="s">
        <v>997</v>
      </c>
      <c r="E9" s="248" t="s">
        <v>1010</v>
      </c>
      <c r="F9" s="248" t="s">
        <v>1011</v>
      </c>
      <c r="G9" s="248" t="s">
        <v>586</v>
      </c>
      <c r="H9" s="248" t="s">
        <v>1012</v>
      </c>
      <c r="I9" s="248" t="s">
        <v>1013</v>
      </c>
      <c r="J9" s="248" t="s">
        <v>1014</v>
      </c>
      <c r="K9" s="241" t="s">
        <v>1015</v>
      </c>
      <c r="L9" s="241" t="s">
        <v>1016</v>
      </c>
      <c r="M9" s="241" t="s">
        <v>1017</v>
      </c>
      <c r="N9" s="241" t="s">
        <v>1018</v>
      </c>
      <c r="O9" s="241" t="s">
        <v>1019</v>
      </c>
      <c r="P9" s="241" t="s">
        <v>1020</v>
      </c>
      <c r="Q9" s="241" t="s">
        <v>1021</v>
      </c>
      <c r="R9" s="241" t="s">
        <v>1022</v>
      </c>
    </row>
    <row r="10" spans="1:19" ht="20.100000000000001" customHeight="1" x14ac:dyDescent="0.2">
      <c r="A10" s="5" t="str">
        <f>HYPERLINK("#'Input - Site'!A1", "Site")</f>
        <v>Site</v>
      </c>
      <c r="D10" s="249"/>
      <c r="E10" s="250"/>
      <c r="F10" s="13"/>
      <c r="G10" s="76"/>
      <c r="H10" s="15">
        <f>Table_Input_Pesticides[[#This Row],[Amount applied per ha]]*Table_Input_Pesticides[[#This Row],[Application area (ha)]]</f>
        <v>0</v>
      </c>
      <c r="I10" s="13"/>
      <c r="J10" s="13"/>
      <c r="K10" s="76"/>
      <c r="L10" s="15">
        <f>Table_Input_Pesticides[[#This Row],[Total applied]]*Table_Input_Pesticides[[#This Row],[Active ingredient 1 amount]]*IF(Table_Input_Pesticides[[#This Row],[Constituent unit (select)]]="fraction of product", 1, 10^-3)</f>
        <v>0</v>
      </c>
      <c r="M10" s="13"/>
      <c r="N10" s="76"/>
      <c r="O10" s="15">
        <f>Table_Input_Pesticides[[#This Row],[Total applied]]*Table_Input_Pesticides[[#This Row],[Active ingredient 2 amount]]*IF(Table_Input_Pesticides[[#This Row],[Constituent unit (select)]]="fraction of product", 1, 10^-3)</f>
        <v>0</v>
      </c>
      <c r="P10" s="13"/>
      <c r="Q10" s="76"/>
      <c r="R10" s="15">
        <f>Table_Input_Pesticides[[#This Row],[Total applied]]*Table_Input_Pesticides[[#This Row],[Active ingredient 3 amount]]*IF(Table_Input_Pesticides[[#This Row],[Constituent unit (select)]]="fraction of product", 1, 10^-3)</f>
        <v>0</v>
      </c>
    </row>
    <row r="11" spans="1:19" ht="20.100000000000001" customHeight="1" x14ac:dyDescent="0.2">
      <c r="A11" s="5" t="str">
        <f>HYPERLINK("#'Input - Pasture Beef'!A1", "Pasture Beef")</f>
        <v>Pasture Beef</v>
      </c>
      <c r="D11" s="249"/>
      <c r="E11" s="250"/>
      <c r="F11" s="13"/>
      <c r="G11" s="76"/>
      <c r="H11" s="15">
        <f>Table_Input_Pesticides[[#This Row],[Amount applied per ha]]*Table_Input_Pesticides[[#This Row],[Application area (ha)]]</f>
        <v>0</v>
      </c>
      <c r="I11" s="13"/>
      <c r="J11" s="13"/>
      <c r="K11" s="76"/>
      <c r="L11" s="15">
        <f>Table_Input_Pesticides[[#This Row],[Total applied]]*Table_Input_Pesticides[[#This Row],[Active ingredient 1 amount]]*IF(Table_Input_Pesticides[[#This Row],[Constituent unit (select)]]="fraction of product", 1, 10^-3)</f>
        <v>0</v>
      </c>
      <c r="M11" s="13"/>
      <c r="N11" s="76"/>
      <c r="O11" s="15">
        <f>Table_Input_Pesticides[[#This Row],[Total applied]]*Table_Input_Pesticides[[#This Row],[Active ingredient 2 amount]]*IF(Table_Input_Pesticides[[#This Row],[Constituent unit (select)]]="fraction of product", 1, 10^-3)</f>
        <v>0</v>
      </c>
      <c r="P11" s="13"/>
      <c r="Q11" s="76"/>
      <c r="R11" s="15">
        <f>Table_Input_Pesticides[[#This Row],[Total applied]]*Table_Input_Pesticides[[#This Row],[Active ingredient 3 amount]]*IF(Table_Input_Pesticides[[#This Row],[Constituent unit (select)]]="fraction of product", 1, 10^-3)</f>
        <v>0</v>
      </c>
    </row>
    <row r="12" spans="1:19" ht="20.100000000000001" customHeight="1" x14ac:dyDescent="0.2">
      <c r="A12" s="5" t="str">
        <f>HYPERLINK("#'Input - Livestock sales'!A1", "Livestock sales")</f>
        <v>Livestock sales</v>
      </c>
      <c r="D12" s="249"/>
      <c r="E12" s="250"/>
      <c r="F12" s="13"/>
      <c r="G12" s="76"/>
      <c r="H12" s="15">
        <f>Table_Input_Pesticides[[#This Row],[Amount applied per ha]]*Table_Input_Pesticides[[#This Row],[Application area (ha)]]</f>
        <v>0</v>
      </c>
      <c r="I12" s="13"/>
      <c r="J12" s="13"/>
      <c r="K12" s="76"/>
      <c r="L12" s="15">
        <f>Table_Input_Pesticides[[#This Row],[Total applied]]*Table_Input_Pesticides[[#This Row],[Active ingredient 1 amount]]*IF(Table_Input_Pesticides[[#This Row],[Constituent unit (select)]]="fraction of product", 1, 10^-3)</f>
        <v>0</v>
      </c>
      <c r="M12" s="13"/>
      <c r="N12" s="76"/>
      <c r="O12" s="15">
        <f>Table_Input_Pesticides[[#This Row],[Total applied]]*Table_Input_Pesticides[[#This Row],[Active ingredient 2 amount]]*IF(Table_Input_Pesticides[[#This Row],[Constituent unit (select)]]="fraction of product", 1, 10^-3)</f>
        <v>0</v>
      </c>
      <c r="P12" s="13"/>
      <c r="Q12" s="76"/>
      <c r="R12" s="15">
        <f>Table_Input_Pesticides[[#This Row],[Total applied]]*Table_Input_Pesticides[[#This Row],[Active ingredient 3 amount]]*IF(Table_Input_Pesticides[[#This Row],[Constituent unit (select)]]="fraction of product", 1, 10^-3)</f>
        <v>0</v>
      </c>
    </row>
    <row r="13" spans="1:19" ht="20.100000000000001" customHeight="1" x14ac:dyDescent="0.2">
      <c r="A13" s="5" t="str">
        <f>HYPERLINK("#'Input - Beef cattle purchases'!A1", "Beef cattle purchases")</f>
        <v>Beef cattle purchases</v>
      </c>
      <c r="D13" s="249"/>
      <c r="E13" s="250"/>
      <c r="F13" s="13"/>
      <c r="G13" s="76"/>
      <c r="H13" s="15">
        <f>Table_Input_Pesticides[[#This Row],[Amount applied per ha]]*Table_Input_Pesticides[[#This Row],[Application area (ha)]]</f>
        <v>0</v>
      </c>
      <c r="I13" s="13"/>
      <c r="J13" s="13"/>
      <c r="K13" s="76"/>
      <c r="L13" s="15">
        <f>Table_Input_Pesticides[[#This Row],[Total applied]]*Table_Input_Pesticides[[#This Row],[Active ingredient 1 amount]]*IF(Table_Input_Pesticides[[#This Row],[Constituent unit (select)]]="fraction of product", 1, 10^-3)</f>
        <v>0</v>
      </c>
      <c r="M13" s="13"/>
      <c r="N13" s="76"/>
      <c r="O13" s="15">
        <f>Table_Input_Pesticides[[#This Row],[Total applied]]*Table_Input_Pesticides[[#This Row],[Active ingredient 2 amount]]*IF(Table_Input_Pesticides[[#This Row],[Constituent unit (select)]]="fraction of product", 1, 10^-3)</f>
        <v>0</v>
      </c>
      <c r="P13" s="13"/>
      <c r="Q13" s="76"/>
      <c r="R13" s="15">
        <f>Table_Input_Pesticides[[#This Row],[Total applied]]*Table_Input_Pesticides[[#This Row],[Active ingredient 3 amount]]*IF(Table_Input_Pesticides[[#This Row],[Constituent unit (select)]]="fraction of product", 1, 10^-3)</f>
        <v>0</v>
      </c>
    </row>
    <row r="14" spans="1:19" ht="20.100000000000001" customHeight="1" x14ac:dyDescent="0.2">
      <c r="A14" s="5" t="str">
        <f>HYPERLINK("#'Input - Pasture'!A1", "Pasture")</f>
        <v>Pasture</v>
      </c>
      <c r="D14" s="249"/>
      <c r="E14" s="250"/>
      <c r="F14" s="13"/>
      <c r="G14" s="76"/>
      <c r="H14" s="15">
        <f>Table_Input_Pesticides[[#This Row],[Amount applied per ha]]*Table_Input_Pesticides[[#This Row],[Application area (ha)]]</f>
        <v>0</v>
      </c>
      <c r="I14" s="13"/>
      <c r="J14" s="13"/>
      <c r="K14" s="76"/>
      <c r="L14" s="15">
        <f>Table_Input_Pesticides[[#This Row],[Total applied]]*Table_Input_Pesticides[[#This Row],[Active ingredient 1 amount]]*IF(Table_Input_Pesticides[[#This Row],[Constituent unit (select)]]="fraction of product", 1, 10^-3)</f>
        <v>0</v>
      </c>
      <c r="M14" s="13"/>
      <c r="N14" s="76"/>
      <c r="O14" s="15">
        <f>Table_Input_Pesticides[[#This Row],[Total applied]]*Table_Input_Pesticides[[#This Row],[Active ingredient 2 amount]]*IF(Table_Input_Pesticides[[#This Row],[Constituent unit (select)]]="fraction of product", 1, 10^-3)</f>
        <v>0</v>
      </c>
      <c r="P14" s="13"/>
      <c r="Q14" s="76"/>
      <c r="R14" s="15">
        <f>Table_Input_Pesticides[[#This Row],[Total applied]]*Table_Input_Pesticides[[#This Row],[Active ingredient 3 amount]]*IF(Table_Input_Pesticides[[#This Row],[Constituent unit (select)]]="fraction of product", 1, 10^-3)</f>
        <v>0</v>
      </c>
    </row>
    <row r="15" spans="1:19" ht="20.100000000000001" customHeight="1" x14ac:dyDescent="0.2">
      <c r="A15" s="5" t="str">
        <f>HYPERLINK("#'Input - Fert Prod System'!A1", "Fert Prod System")</f>
        <v>Fert Prod System</v>
      </c>
      <c r="D15" s="249"/>
      <c r="E15" s="250"/>
      <c r="F15" s="13"/>
      <c r="G15" s="76"/>
      <c r="H15" s="15">
        <f>Table_Input_Pesticides[[#This Row],[Amount applied per ha]]*Table_Input_Pesticides[[#This Row],[Application area (ha)]]</f>
        <v>0</v>
      </c>
      <c r="I15" s="13"/>
      <c r="J15" s="13"/>
      <c r="K15" s="76"/>
      <c r="L15" s="15">
        <f>Table_Input_Pesticides[[#This Row],[Total applied]]*Table_Input_Pesticides[[#This Row],[Active ingredient 1 amount]]*IF(Table_Input_Pesticides[[#This Row],[Constituent unit (select)]]="fraction of product", 1, 10^-3)</f>
        <v>0</v>
      </c>
      <c r="M15" s="13"/>
      <c r="N15" s="76"/>
      <c r="O15" s="15">
        <f>Table_Input_Pesticides[[#This Row],[Total applied]]*Table_Input_Pesticides[[#This Row],[Active ingredient 2 amount]]*IF(Table_Input_Pesticides[[#This Row],[Constituent unit (select)]]="fraction of product", 1, 10^-3)</f>
        <v>0</v>
      </c>
      <c r="P15" s="13"/>
      <c r="Q15" s="76"/>
      <c r="R15" s="15">
        <f>Table_Input_Pesticides[[#This Row],[Total applied]]*Table_Input_Pesticides[[#This Row],[Active ingredient 3 amount]]*IF(Table_Input_Pesticides[[#This Row],[Constituent unit (select)]]="fraction of product", 1, 10^-3)</f>
        <v>0</v>
      </c>
    </row>
    <row r="16" spans="1:19" ht="20.100000000000001" customHeight="1" x14ac:dyDescent="0.2">
      <c r="A16" s="5" t="str">
        <f>HYPERLINK("#'Input - Fertiliser'!A1", "Fertiliser")</f>
        <v>Fertiliser</v>
      </c>
      <c r="D16" s="249"/>
      <c r="E16" s="250"/>
      <c r="F16" s="13"/>
      <c r="G16" s="76"/>
      <c r="H16" s="15">
        <f>Table_Input_Pesticides[[#This Row],[Amount applied per ha]]*Table_Input_Pesticides[[#This Row],[Application area (ha)]]</f>
        <v>0</v>
      </c>
      <c r="I16" s="13"/>
      <c r="J16" s="13"/>
      <c r="K16" s="76"/>
      <c r="L16" s="15">
        <f>Table_Input_Pesticides[[#This Row],[Total applied]]*Table_Input_Pesticides[[#This Row],[Active ingredient 1 amount]]*IF(Table_Input_Pesticides[[#This Row],[Constituent unit (select)]]="fraction of product", 1, 10^-3)</f>
        <v>0</v>
      </c>
      <c r="M16" s="13"/>
      <c r="N16" s="76"/>
      <c r="O16" s="15">
        <f>Table_Input_Pesticides[[#This Row],[Total applied]]*Table_Input_Pesticides[[#This Row],[Active ingredient 2 amount]]*IF(Table_Input_Pesticides[[#This Row],[Constituent unit (select)]]="fraction of product", 1, 10^-3)</f>
        <v>0</v>
      </c>
      <c r="P16" s="13"/>
      <c r="Q16" s="76"/>
      <c r="R16" s="15">
        <f>Table_Input_Pesticides[[#This Row],[Total applied]]*Table_Input_Pesticides[[#This Row],[Active ingredient 3 amount]]*IF(Table_Input_Pesticides[[#This Row],[Constituent unit (select)]]="fraction of product", 1, 10^-3)</f>
        <v>0</v>
      </c>
    </row>
    <row r="17" spans="1:18" ht="20.100000000000001" customHeight="1" x14ac:dyDescent="0.2">
      <c r="A17" s="5" t="str">
        <f>HYPERLINK("#'Input - Fuel'!A1", "Fuel")</f>
        <v>Fuel</v>
      </c>
      <c r="D17" s="249"/>
      <c r="E17" s="250"/>
      <c r="F17" s="13"/>
      <c r="G17" s="76"/>
      <c r="H17" s="15">
        <f>Table_Input_Pesticides[[#This Row],[Amount applied per ha]]*Table_Input_Pesticides[[#This Row],[Application area (ha)]]</f>
        <v>0</v>
      </c>
      <c r="I17" s="13"/>
      <c r="J17" s="13"/>
      <c r="K17" s="76"/>
      <c r="L17" s="15">
        <f>Table_Input_Pesticides[[#This Row],[Total applied]]*Table_Input_Pesticides[[#This Row],[Active ingredient 1 amount]]*IF(Table_Input_Pesticides[[#This Row],[Constituent unit (select)]]="fraction of product", 1, 10^-3)</f>
        <v>0</v>
      </c>
      <c r="M17" s="13"/>
      <c r="N17" s="76"/>
      <c r="O17" s="15">
        <f>Table_Input_Pesticides[[#This Row],[Total applied]]*Table_Input_Pesticides[[#This Row],[Active ingredient 2 amount]]*IF(Table_Input_Pesticides[[#This Row],[Constituent unit (select)]]="fraction of product", 1, 10^-3)</f>
        <v>0</v>
      </c>
      <c r="P17" s="13"/>
      <c r="Q17" s="76"/>
      <c r="R17" s="15">
        <f>Table_Input_Pesticides[[#This Row],[Total applied]]*Table_Input_Pesticides[[#This Row],[Active ingredient 3 amount]]*IF(Table_Input_Pesticides[[#This Row],[Constituent unit (select)]]="fraction of product", 1, 10^-3)</f>
        <v>0</v>
      </c>
    </row>
    <row r="18" spans="1:18" ht="20.100000000000001" customHeight="1" x14ac:dyDescent="0.2">
      <c r="A18" s="5" t="str">
        <f>HYPERLINK("#'Input - Electricity'!A1", "Electricity")</f>
        <v>Electricity</v>
      </c>
      <c r="D18" s="249"/>
      <c r="E18" s="250"/>
      <c r="F18" s="13"/>
      <c r="G18" s="76"/>
      <c r="H18" s="15">
        <f>Table_Input_Pesticides[[#This Row],[Amount applied per ha]]*Table_Input_Pesticides[[#This Row],[Application area (ha)]]</f>
        <v>0</v>
      </c>
      <c r="I18" s="13"/>
      <c r="J18" s="13"/>
      <c r="K18" s="76"/>
      <c r="L18" s="15">
        <f>Table_Input_Pesticides[[#This Row],[Total applied]]*Table_Input_Pesticides[[#This Row],[Active ingredient 1 amount]]*IF(Table_Input_Pesticides[[#This Row],[Constituent unit (select)]]="fraction of product", 1, 10^-3)</f>
        <v>0</v>
      </c>
      <c r="M18" s="13"/>
      <c r="N18" s="76"/>
      <c r="O18" s="15">
        <f>Table_Input_Pesticides[[#This Row],[Total applied]]*Table_Input_Pesticides[[#This Row],[Active ingredient 2 amount]]*IF(Table_Input_Pesticides[[#This Row],[Constituent unit (select)]]="fraction of product", 1, 10^-3)</f>
        <v>0</v>
      </c>
      <c r="P18" s="13"/>
      <c r="Q18" s="76"/>
      <c r="R18" s="15">
        <f>Table_Input_Pesticides[[#This Row],[Total applied]]*Table_Input_Pesticides[[#This Row],[Active ingredient 3 amount]]*IF(Table_Input_Pesticides[[#This Row],[Constituent unit (select)]]="fraction of product", 1, 10^-3)</f>
        <v>0</v>
      </c>
    </row>
    <row r="19" spans="1:18" ht="20.100000000000001" customHeight="1" x14ac:dyDescent="0.2">
      <c r="A19" s="5" t="str">
        <f>HYPERLINK("#'Input - Common farm inputs'!A1", "Common farm inputs")</f>
        <v>Common farm inputs</v>
      </c>
      <c r="D19" s="249"/>
      <c r="E19" s="250"/>
      <c r="F19" s="13"/>
      <c r="G19" s="76"/>
      <c r="H19" s="15">
        <f>Table_Input_Pesticides[[#This Row],[Amount applied per ha]]*Table_Input_Pesticides[[#This Row],[Application area (ha)]]</f>
        <v>0</v>
      </c>
      <c r="I19" s="13"/>
      <c r="J19" s="13"/>
      <c r="K19" s="76"/>
      <c r="L19" s="15">
        <f>Table_Input_Pesticides[[#This Row],[Total applied]]*Table_Input_Pesticides[[#This Row],[Active ingredient 1 amount]]*IF(Table_Input_Pesticides[[#This Row],[Constituent unit (select)]]="fraction of product", 1, 10^-3)</f>
        <v>0</v>
      </c>
      <c r="M19" s="13"/>
      <c r="N19" s="76"/>
      <c r="O19" s="15">
        <f>Table_Input_Pesticides[[#This Row],[Total applied]]*Table_Input_Pesticides[[#This Row],[Active ingredient 2 amount]]*IF(Table_Input_Pesticides[[#This Row],[Constituent unit (select)]]="fraction of product", 1, 10^-3)</f>
        <v>0</v>
      </c>
      <c r="P19" s="13"/>
      <c r="Q19" s="76"/>
      <c r="R19" s="15">
        <f>Table_Input_Pesticides[[#This Row],[Total applied]]*Table_Input_Pesticides[[#This Row],[Active ingredient 3 amount]]*IF(Table_Input_Pesticides[[#This Row],[Constituent unit (select)]]="fraction of product", 1, 10^-3)</f>
        <v>0</v>
      </c>
    </row>
    <row r="20" spans="1:18" ht="20.100000000000001" customHeight="1" x14ac:dyDescent="0.2">
      <c r="A20" s="99" t="str">
        <f>HYPERLINK("#'Input - Crop pasture farm input'!A1", "Crop pasture farm input")</f>
        <v>Crop pasture farm input</v>
      </c>
    </row>
    <row r="21" spans="1:18" ht="20.100000000000001" customHeight="1" x14ac:dyDescent="0.2">
      <c r="A21" s="5" t="str">
        <f>HYPERLINK("#'Input - Livestock farm Inputs'!A1", "Livestock farm Inputs")</f>
        <v>Livestock farm Inputs</v>
      </c>
    </row>
    <row r="22" spans="1:18" ht="20.100000000000001" customHeight="1" x14ac:dyDescent="0.2">
      <c r="A22" s="5" t="str">
        <f>HYPERLINK("#'Input - Freight'!A1", "Freight")</f>
        <v>Freight</v>
      </c>
      <c r="D22" s="2" t="s">
        <v>1023</v>
      </c>
      <c r="E22" s="240"/>
      <c r="F22" s="240"/>
    </row>
    <row r="23" spans="1:18" ht="20.100000000000001" customHeight="1" x14ac:dyDescent="0.2">
      <c r="A23" s="5" t="str">
        <f>HYPERLINK("#'Input - Solid waste'!A1", "Solid waste")</f>
        <v>Solid waste</v>
      </c>
      <c r="D23" s="1" t="str">
        <f>'Constants - Scope 3'!E204</f>
        <v>Barley grain (for seed)</v>
      </c>
      <c r="E23" s="76"/>
      <c r="F23" s="16" t="s">
        <v>636</v>
      </c>
    </row>
    <row r="24" spans="1:18" ht="20.100000000000001" customHeight="1" x14ac:dyDescent="0.2">
      <c r="A24" s="5" t="str">
        <f>HYPERLINK("#'Input - Manure sent off-site'!A1", "Manure sent off-site")</f>
        <v>Manure sent off-site</v>
      </c>
      <c r="D24" s="1" t="str">
        <f>'Constants - Scope 3'!E205</f>
        <v>Maize grain (for seed)</v>
      </c>
      <c r="E24" s="76"/>
      <c r="F24" s="16" t="s">
        <v>636</v>
      </c>
    </row>
    <row r="25" spans="1:18" ht="20.100000000000001" customHeight="1" x14ac:dyDescent="0.2">
      <c r="A25" s="5" t="str">
        <f>HYPERLINK("#'Input - Data quality'!A1", "Data quality")</f>
        <v>Data quality</v>
      </c>
      <c r="D25" s="1" t="str">
        <f>'Constants - Scope 3'!E207</f>
        <v>Oat grain (for seed)</v>
      </c>
      <c r="E25" s="76"/>
      <c r="F25" s="16" t="s">
        <v>636</v>
      </c>
    </row>
    <row r="26" spans="1:18" ht="20.100000000000001" customHeight="1" x14ac:dyDescent="0.2">
      <c r="A26"/>
      <c r="D26" s="1" t="str">
        <f>'Constants - Scope 3'!E208</f>
        <v>Sorghum grain (for seed)</v>
      </c>
      <c r="E26" s="76"/>
      <c r="F26" s="16" t="s">
        <v>636</v>
      </c>
    </row>
    <row r="27" spans="1:18" ht="20.100000000000001" customHeight="1" x14ac:dyDescent="0.2">
      <c r="A27"/>
      <c r="D27" s="1" t="str">
        <f>'Constants - Scope 3'!E209</f>
        <v>Wheat grain (for seed)</v>
      </c>
      <c r="E27" s="76"/>
      <c r="F27" s="16" t="s">
        <v>636</v>
      </c>
    </row>
    <row r="28" spans="1:18" ht="20.100000000000001" customHeight="1" x14ac:dyDescent="0.2">
      <c r="A28" s="6" t="s">
        <v>2</v>
      </c>
    </row>
    <row r="29" spans="1:18" ht="20.100000000000001" customHeight="1" x14ac:dyDescent="0.2">
      <c r="A29" s="5" t="str">
        <f>HYPERLINK("#'3.2.1.1-2 Enteric Methane'!A1", "3.2.1.1-2 Enteric Methane")</f>
        <v>3.2.1.1-2 Enteric Methane</v>
      </c>
    </row>
    <row r="30" spans="1:18" ht="20.100000000000001" customHeight="1" x14ac:dyDescent="0.2">
      <c r="A30" s="5" t="str">
        <f>HYPERLINK("#'4.2.1.1-2 Methane'!A1", "4.2.1.1-2 Manure methane")</f>
        <v>4.2.1.1-2 Manure methane</v>
      </c>
    </row>
    <row r="31" spans="1:18" ht="20.100000000000001" customHeight="1" x14ac:dyDescent="0.2">
      <c r="A31" s="5" t="str">
        <f>HYPERLINK("#'4.2.1.3-4 Soil direct N20'!A1", "4.2.1.3-4 Soil direct N2O")</f>
        <v>4.2.1.3-4 Soil direct N2O</v>
      </c>
    </row>
    <row r="32" spans="1:18" ht="20.100000000000001" customHeight="1" x14ac:dyDescent="0.2">
      <c r="A32" s="5" t="str">
        <f>HYPERLINK("#'4.2.1.5-6 Soil Atmos Dep'!A1", "4.2.1.5-6 Soil atm. deposition")</f>
        <v>4.2.1.5-6 Soil atm. deposition</v>
      </c>
    </row>
    <row r="33" spans="1:1" ht="20.100000000000001" customHeight="1" x14ac:dyDescent="0.2">
      <c r="A33" s="5" t="str">
        <f>HYPERLINK("#'4.2.1.7-8 Soil leach runoff'!A1", "4.2.1.7-8 Soil leach &amp; runoff")</f>
        <v>4.2.1.7-8 Soil leach &amp; runoff</v>
      </c>
    </row>
    <row r="34" spans="1:1" ht="20.100000000000001" customHeight="1" x14ac:dyDescent="0.2">
      <c r="A34" s="5" t="str">
        <f>HYPERLINK("#'5.1.1.1-2 Inorganic fert N2O'!A1", "5.1.1.1-2 Inorganic fert N2O")</f>
        <v>5.1.1.1-2 Inorganic fert N2O</v>
      </c>
    </row>
    <row r="35" spans="1:1" ht="20.100000000000001" customHeight="1" x14ac:dyDescent="0.2">
      <c r="A35" s="5" t="str">
        <f>HYPERLINK("#'5.1.1.3-4 Inorganic fert CO2'!A1", "5.1.1.3-4 Inorganic fert CO2")</f>
        <v>5.1.1.3-4 Inorganic fert CO2</v>
      </c>
    </row>
    <row r="36" spans="1:1" ht="20.100000000000001" customHeight="1" x14ac:dyDescent="0.2">
      <c r="A36" s="5" t="str">
        <f>HYPERLINK("#'5.2.1.1-2 Organic Fert N2O'!A1", "5.2.1.1-2 Organic fert N2O")</f>
        <v>5.2.1.1-2 Organic fert N2O</v>
      </c>
    </row>
    <row r="37" spans="1:1" ht="20.100000000000001" customHeight="1" x14ac:dyDescent="0.2">
      <c r="A37" s="5" t="str">
        <f>HYPERLINK("#'5.3.1.1-2 Lime CO2'!A1", "5.3.1.1-2 Lime CO2")</f>
        <v>5.3.1.1-2 Lime CO2</v>
      </c>
    </row>
    <row r="38" spans="1:1" ht="20.100000000000001" customHeight="1" x14ac:dyDescent="0.2">
      <c r="A38" s="5" t="str">
        <f>HYPERLINK("#'5.4.1.1-4 Atmos deposition'!A1", "5.4.1.1-4 Atmos. deposition")</f>
        <v>5.4.1.1-4 Atmos. deposition</v>
      </c>
    </row>
    <row r="39" spans="1:1" ht="20.100000000000001" customHeight="1" x14ac:dyDescent="0.2">
      <c r="A39" s="5" t="str">
        <f>HYPERLINK("#'5.5.1.1-2 Leaching and runoff'!A1", "5.5.1.1-2 Leaching &amp; runoff")</f>
        <v>5.5.1.1-2 Leaching &amp; runoff</v>
      </c>
    </row>
    <row r="40" spans="1:1" ht="20.100000000000001" customHeight="1" x14ac:dyDescent="0.2">
      <c r="A40" s="5" t="str">
        <f>HYPERLINK("#'6.2.1.1-2 Pasture residue N2O'!A1", "6.2.1.1-2 Pasture residue N2O")</f>
        <v>6.2.1.1-2 Pasture residue N2O</v>
      </c>
    </row>
    <row r="41" spans="1:1" ht="20.100000000000001" customHeight="1" x14ac:dyDescent="0.2">
      <c r="A41" s="5" t="str">
        <f>HYPERLINK("#'6.3.1.1-2 Leach runoff pasture'!A1", "6.3.1.1-2 Leach &amp; runoff (pasture)")</f>
        <v>6.3.1.1-2 Leach &amp; runoff (pasture)</v>
      </c>
    </row>
    <row r="42" spans="1:1" ht="20.100000000000001" customHeight="1" x14ac:dyDescent="0.2">
      <c r="A42" s="5" t="str">
        <f>HYPERLINK("#'8.1.1.1-2 Transport fuel'!A1", "8.1.1.1-2 Transport fuel")</f>
        <v>8.1.1.1-2 Transport fuel</v>
      </c>
    </row>
    <row r="43" spans="1:1" ht="20.100000000000001" customHeight="1" x14ac:dyDescent="0.2">
      <c r="A43" s="5" t="str">
        <f>HYPERLINK("#'8.2.1.1-2 Stationary fuel'!A1", "8.2.1.1-2 Stationary fuel")</f>
        <v>8.2.1.1-2 Stationary fuel</v>
      </c>
    </row>
    <row r="44" spans="1:1" ht="20.100000000000001" customHeight="1" x14ac:dyDescent="0.2">
      <c r="A44" s="5" t="str">
        <f>HYPERLINK("#'10.1.1-2 Solid waste treatment'!A1", "10.1.1.1-2 Solid waste")</f>
        <v>10.1.1.1-2 Solid waste</v>
      </c>
    </row>
    <row r="45" spans="1:1" ht="20.100000000000001" customHeight="1" x14ac:dyDescent="0.2">
      <c r="A45" s="5" t="str">
        <f>HYPERLINK("#'14.1.1-2 Purchased electricity'!A1", "14.1.1-2 Purchased electricity")</f>
        <v>14.1.1-2 Purchased electricity</v>
      </c>
    </row>
    <row r="46" spans="1:1" ht="20.100000000000001" customHeight="1" x14ac:dyDescent="0.2">
      <c r="A46" s="5" t="str">
        <f>HYPERLINK("#'15 Scope 3'!A1", "15 Scope 3")</f>
        <v>15 Scope 3</v>
      </c>
    </row>
    <row r="47" spans="1:1" ht="20.100000000000001" customHeight="1" x14ac:dyDescent="0.2">
      <c r="A47" s="5" t="str">
        <f>HYPERLINK("#'Calcs - Manure sent off-site'!A1", "Calcs - Manure sent off-site")</f>
        <v>Calcs - Manure sent off-site</v>
      </c>
    </row>
    <row r="48" spans="1:1" ht="20.100000000000001" customHeight="1" x14ac:dyDescent="0.2">
      <c r="A48"/>
    </row>
    <row r="49" spans="1:1" ht="20.100000000000001" customHeight="1" x14ac:dyDescent="0.2">
      <c r="A49"/>
    </row>
    <row r="50" spans="1:1" ht="20.100000000000001" customHeight="1" x14ac:dyDescent="0.2">
      <c r="A50" s="85" t="s">
        <v>1</v>
      </c>
    </row>
    <row r="51" spans="1:1" ht="20.100000000000001" customHeight="1" x14ac:dyDescent="0.2">
      <c r="A51" s="5" t="str">
        <f>HYPERLINK("#'Constants - Pasture Beef'!A1", "Constants - Pasture Beef")</f>
        <v>Constants - Pasture Beef</v>
      </c>
    </row>
    <row r="52" spans="1:1" ht="20.100000000000001" customHeight="1" x14ac:dyDescent="0.2">
      <c r="A52" s="5" t="str">
        <f>HYPERLINK("#'Constants - Ag Residue'!A1", "Constants - Ag residue")</f>
        <v>Constants - Ag residue</v>
      </c>
    </row>
    <row r="53" spans="1:1" ht="20.100000000000001" customHeight="1" x14ac:dyDescent="0.2">
      <c r="A53" s="5" t="str">
        <f>HYPERLINK("#'Constants - Common Livestock'!A1", "Constants - Common Livestock")</f>
        <v>Constants - Common Livestock</v>
      </c>
    </row>
    <row r="54" spans="1:1" ht="20.100000000000001" customHeight="1" x14ac:dyDescent="0.2">
      <c r="A54" s="5" t="str">
        <f>HYPERLINK("#'Constants - Electricity'!A1", "Constants - Electricity")</f>
        <v>Constants - Electricity</v>
      </c>
    </row>
    <row r="55" spans="1:1" ht="20.100000000000001" customHeight="1" x14ac:dyDescent="0.2">
      <c r="A55" s="5" t="str">
        <f>HYPERLINK("#'Constants - Fertiliser'!A1", "Constants - Fertiliser")</f>
        <v>Constants - Fertiliser</v>
      </c>
    </row>
    <row r="56" spans="1:1" ht="20.100000000000001" customHeight="1" x14ac:dyDescent="0.2">
      <c r="A56" s="5" t="str">
        <f>HYPERLINK("#'Constants - Fuel'!A1", "Constants - Fuel")</f>
        <v>Constants - Fuel</v>
      </c>
    </row>
    <row r="57" spans="1:1" ht="20.100000000000001" customHeight="1" x14ac:dyDescent="0.2">
      <c r="A57" s="5" t="str">
        <f>HYPERLINK("#'Constants - Scope 3'!A1", "Constants - Scope 3")</f>
        <v>Constants - Scope 3</v>
      </c>
    </row>
    <row r="58" spans="1:1" ht="20.100000000000001" customHeight="1" x14ac:dyDescent="0.2">
      <c r="A58" s="5" t="str">
        <f>HYPERLINK("#'Constants - Solid Waste'!A1", "Constants - Solid Waste")</f>
        <v>Constants - Solid Waste</v>
      </c>
    </row>
    <row r="59" spans="1:1" ht="20.100000000000001" customHeight="1" x14ac:dyDescent="0.2">
      <c r="A59" s="5" t="str">
        <f>HYPERLINK("#'Constants - Common'!A1", "Constants - Common")</f>
        <v>Constants - Common</v>
      </c>
    </row>
    <row r="60" spans="1:1" ht="20.100000000000001" customHeight="1" x14ac:dyDescent="0.2">
      <c r="A60" s="5" t="str">
        <f>HYPERLINK("#'Acknowledgements'!A1", "Acknowledgements")</f>
        <v>Acknowledgements</v>
      </c>
    </row>
    <row r="61" spans="1:1" ht="20.100000000000001" customHeight="1" x14ac:dyDescent="0.2">
      <c r="A61"/>
    </row>
    <row r="62" spans="1:1" ht="20.100000000000001" customHeight="1" x14ac:dyDescent="0.2">
      <c r="A62"/>
    </row>
    <row r="63" spans="1:1" ht="20.100000000000001" customHeight="1" x14ac:dyDescent="0.2">
      <c r="A63"/>
    </row>
    <row r="64" spans="1:1" ht="20.100000000000001" customHeight="1" x14ac:dyDescent="0.2">
      <c r="A64"/>
    </row>
    <row r="65" spans="1:1" ht="20.100000000000001" customHeight="1" x14ac:dyDescent="0.2">
      <c r="A65"/>
    </row>
    <row r="66" spans="1:1" ht="20.100000000000001" customHeight="1" x14ac:dyDescent="0.2">
      <c r="A66"/>
    </row>
    <row r="67" spans="1:1" ht="20.100000000000001" customHeight="1" x14ac:dyDescent="0.2">
      <c r="A67"/>
    </row>
    <row r="68" spans="1:1" ht="20.100000000000001" customHeight="1" x14ac:dyDescent="0.2">
      <c r="A68"/>
    </row>
    <row r="69" spans="1:1" ht="20.100000000000001" customHeight="1" x14ac:dyDescent="0.2">
      <c r="A69"/>
    </row>
    <row r="70" spans="1:1" ht="20.100000000000001" customHeight="1" x14ac:dyDescent="0.2">
      <c r="A70"/>
    </row>
    <row r="71" spans="1:1" ht="20.100000000000001" customHeight="1" x14ac:dyDescent="0.2">
      <c r="A71"/>
    </row>
    <row r="72" spans="1:1" ht="20.100000000000001" customHeight="1" x14ac:dyDescent="0.2">
      <c r="A72"/>
    </row>
    <row r="73" spans="1:1" ht="20.100000000000001" customHeight="1" x14ac:dyDescent="0.2">
      <c r="A73"/>
    </row>
    <row r="74" spans="1:1" ht="20.100000000000001" customHeight="1" x14ac:dyDescent="0.2">
      <c r="A74"/>
    </row>
    <row r="75" spans="1:1" ht="20.100000000000001" customHeight="1" x14ac:dyDescent="0.2">
      <c r="A75"/>
    </row>
    <row r="76" spans="1:1" ht="20.100000000000001" customHeight="1" x14ac:dyDescent="0.2">
      <c r="A76"/>
    </row>
    <row r="77" spans="1:1" ht="20.100000000000001" customHeight="1" x14ac:dyDescent="0.2">
      <c r="A77"/>
    </row>
    <row r="78" spans="1:1" ht="20.100000000000001" customHeight="1" x14ac:dyDescent="0.2">
      <c r="A78"/>
    </row>
    <row r="79" spans="1:1" ht="20.100000000000001" customHeight="1" x14ac:dyDescent="0.2">
      <c r="A79"/>
    </row>
    <row r="80" spans="1:1" ht="20.100000000000001" customHeight="1" x14ac:dyDescent="0.2">
      <c r="A80"/>
    </row>
    <row r="81" spans="1:1" ht="20.100000000000001" customHeight="1" x14ac:dyDescent="0.2">
      <c r="A81"/>
    </row>
    <row r="82" spans="1:1" ht="20.100000000000001" customHeight="1" x14ac:dyDescent="0.2">
      <c r="A82"/>
    </row>
    <row r="83" spans="1:1" ht="20.100000000000001" customHeight="1" x14ac:dyDescent="0.2">
      <c r="A83"/>
    </row>
    <row r="84" spans="1:1" ht="20.100000000000001" customHeight="1" x14ac:dyDescent="0.2">
      <c r="A84"/>
    </row>
    <row r="85" spans="1:1" ht="20.100000000000001" customHeight="1" x14ac:dyDescent="0.2">
      <c r="A85"/>
    </row>
    <row r="86" spans="1:1" ht="20.100000000000001" customHeight="1" x14ac:dyDescent="0.2">
      <c r="A86"/>
    </row>
    <row r="87" spans="1:1" ht="20.100000000000001" customHeight="1" x14ac:dyDescent="0.2">
      <c r="A87"/>
    </row>
    <row r="88" spans="1:1" ht="20.100000000000001" customHeight="1" x14ac:dyDescent="0.2">
      <c r="A88"/>
    </row>
    <row r="89" spans="1:1" ht="20.100000000000001" customHeight="1" x14ac:dyDescent="0.2">
      <c r="A89"/>
    </row>
    <row r="90" spans="1:1" ht="20.100000000000001" customHeight="1" x14ac:dyDescent="0.2">
      <c r="A90"/>
    </row>
    <row r="91" spans="1:1" ht="20.100000000000001" customHeight="1" x14ac:dyDescent="0.2">
      <c r="A91"/>
    </row>
    <row r="92" spans="1:1" ht="20.100000000000001" customHeight="1" x14ac:dyDescent="0.2">
      <c r="A92"/>
    </row>
    <row r="93" spans="1:1" ht="20.100000000000001" customHeight="1" x14ac:dyDescent="0.2">
      <c r="A93"/>
    </row>
    <row r="94" spans="1:1" ht="20.100000000000001" customHeight="1" x14ac:dyDescent="0.2">
      <c r="A94"/>
    </row>
    <row r="95" spans="1:1" ht="20.100000000000001" customHeight="1" x14ac:dyDescent="0.2">
      <c r="A95"/>
    </row>
    <row r="96" spans="1:1" ht="20.100000000000001" customHeight="1" x14ac:dyDescent="0.2">
      <c r="A96"/>
    </row>
    <row r="97" spans="1:1" ht="20.100000000000001" customHeight="1" x14ac:dyDescent="0.2">
      <c r="A97"/>
    </row>
    <row r="98" spans="1:1" ht="20.100000000000001" customHeight="1" x14ac:dyDescent="0.2">
      <c r="A98"/>
    </row>
    <row r="99" spans="1:1" ht="20.100000000000001" customHeight="1" x14ac:dyDescent="0.2">
      <c r="A99"/>
    </row>
    <row r="100" spans="1:1" ht="20.100000000000001" customHeight="1" x14ac:dyDescent="0.2">
      <c r="A100"/>
    </row>
    <row r="101" spans="1:1" ht="20.100000000000001" customHeight="1" x14ac:dyDescent="0.2">
      <c r="A101"/>
    </row>
    <row r="102" spans="1:1" ht="20.100000000000001" customHeight="1" x14ac:dyDescent="0.2">
      <c r="A102"/>
    </row>
    <row r="103" spans="1:1" ht="20.100000000000001" customHeight="1" x14ac:dyDescent="0.2">
      <c r="A103"/>
    </row>
    <row r="104" spans="1:1" ht="20.100000000000001" customHeight="1" x14ac:dyDescent="0.2">
      <c r="A104"/>
    </row>
    <row r="105" spans="1:1" ht="20.100000000000001" customHeight="1" x14ac:dyDescent="0.2">
      <c r="A105"/>
    </row>
    <row r="106" spans="1:1" ht="20.100000000000001" customHeight="1" x14ac:dyDescent="0.2">
      <c r="A106"/>
    </row>
    <row r="107" spans="1:1" ht="20.100000000000001" customHeight="1" x14ac:dyDescent="0.2">
      <c r="A107"/>
    </row>
    <row r="108" spans="1:1" ht="20.100000000000001" customHeight="1" x14ac:dyDescent="0.2">
      <c r="A108"/>
    </row>
    <row r="109" spans="1:1" ht="20.100000000000001" customHeight="1" x14ac:dyDescent="0.2">
      <c r="A109"/>
    </row>
    <row r="110" spans="1:1" ht="20.100000000000001" customHeight="1" x14ac:dyDescent="0.2">
      <c r="A110"/>
    </row>
    <row r="111" spans="1:1" ht="20.100000000000001" customHeight="1" x14ac:dyDescent="0.2">
      <c r="A111"/>
    </row>
    <row r="112" spans="1:1" ht="20.100000000000001" customHeight="1" x14ac:dyDescent="0.2">
      <c r="A112"/>
    </row>
    <row r="113" spans="1:1" ht="20.100000000000001" customHeight="1" x14ac:dyDescent="0.2">
      <c r="A113"/>
    </row>
    <row r="114" spans="1:1" ht="20.100000000000001" customHeight="1" x14ac:dyDescent="0.2">
      <c r="A114"/>
    </row>
    <row r="115" spans="1:1" ht="20.100000000000001" customHeight="1" x14ac:dyDescent="0.2">
      <c r="A115"/>
    </row>
    <row r="116" spans="1:1" ht="20.100000000000001" customHeight="1" x14ac:dyDescent="0.2">
      <c r="A116"/>
    </row>
    <row r="117" spans="1:1" ht="20.100000000000001" customHeight="1" x14ac:dyDescent="0.2">
      <c r="A117"/>
    </row>
    <row r="118" spans="1:1" ht="20.100000000000001" customHeight="1" x14ac:dyDescent="0.2">
      <c r="A118"/>
    </row>
    <row r="119" spans="1:1" ht="20.100000000000001" customHeight="1" x14ac:dyDescent="0.2">
      <c r="A119"/>
    </row>
    <row r="120" spans="1:1" ht="20.100000000000001" customHeight="1" x14ac:dyDescent="0.2">
      <c r="A120"/>
    </row>
    <row r="121" spans="1:1" ht="20.100000000000001" customHeight="1" x14ac:dyDescent="0.2">
      <c r="A121"/>
    </row>
    <row r="122" spans="1:1" ht="20.100000000000001" customHeight="1" x14ac:dyDescent="0.2">
      <c r="A122"/>
    </row>
    <row r="123" spans="1:1" ht="20.100000000000001" customHeight="1" x14ac:dyDescent="0.2">
      <c r="A123"/>
    </row>
    <row r="124" spans="1:1" ht="20.100000000000001" customHeight="1" x14ac:dyDescent="0.2">
      <c r="A124"/>
    </row>
    <row r="125" spans="1:1" ht="20.100000000000001" customHeight="1" x14ac:dyDescent="0.2">
      <c r="A125"/>
    </row>
    <row r="126" spans="1:1" ht="20.100000000000001" customHeight="1" x14ac:dyDescent="0.2">
      <c r="A126"/>
    </row>
    <row r="127" spans="1:1" ht="20.100000000000001" customHeight="1" x14ac:dyDescent="0.2">
      <c r="A127"/>
    </row>
    <row r="128" spans="1:1" ht="20.100000000000001" customHeight="1" x14ac:dyDescent="0.2">
      <c r="A128"/>
    </row>
    <row r="129" spans="1:1" ht="20.100000000000001" customHeight="1" x14ac:dyDescent="0.2">
      <c r="A129"/>
    </row>
    <row r="130" spans="1:1" ht="20.100000000000001" customHeight="1" x14ac:dyDescent="0.2">
      <c r="A130"/>
    </row>
    <row r="131" spans="1:1" ht="20.100000000000001" customHeight="1" x14ac:dyDescent="0.2">
      <c r="A131"/>
    </row>
    <row r="132" spans="1:1" ht="20.100000000000001" customHeight="1" x14ac:dyDescent="0.2">
      <c r="A132"/>
    </row>
    <row r="133" spans="1:1" ht="20.100000000000001" customHeight="1" x14ac:dyDescent="0.2">
      <c r="A133"/>
    </row>
    <row r="134" spans="1:1" ht="20.100000000000001" customHeight="1" x14ac:dyDescent="0.2">
      <c r="A134"/>
    </row>
    <row r="135" spans="1:1" ht="20.100000000000001" customHeight="1" x14ac:dyDescent="0.2">
      <c r="A135"/>
    </row>
    <row r="136" spans="1:1" ht="20.100000000000001" customHeight="1" x14ac:dyDescent="0.2">
      <c r="A136"/>
    </row>
    <row r="137" spans="1:1" ht="20.100000000000001" customHeight="1" x14ac:dyDescent="0.2">
      <c r="A137"/>
    </row>
    <row r="138" spans="1:1" ht="20.100000000000001" customHeight="1" x14ac:dyDescent="0.2">
      <c r="A138"/>
    </row>
    <row r="139" spans="1:1" ht="20.100000000000001" customHeight="1" x14ac:dyDescent="0.2">
      <c r="A139"/>
    </row>
    <row r="140" spans="1:1" ht="20.100000000000001" customHeight="1" x14ac:dyDescent="0.2">
      <c r="A140"/>
    </row>
    <row r="141" spans="1:1" ht="20.100000000000001" customHeight="1" x14ac:dyDescent="0.2">
      <c r="A141"/>
    </row>
    <row r="142" spans="1:1" ht="20.100000000000001" customHeight="1" x14ac:dyDescent="0.2">
      <c r="A142"/>
    </row>
    <row r="143" spans="1:1" ht="20.100000000000001" customHeight="1" x14ac:dyDescent="0.2">
      <c r="A143"/>
    </row>
    <row r="144" spans="1:1" ht="20.100000000000001" customHeight="1" x14ac:dyDescent="0.2">
      <c r="A144"/>
    </row>
    <row r="145" spans="1:1" ht="20.100000000000001" customHeight="1" x14ac:dyDescent="0.2">
      <c r="A145"/>
    </row>
    <row r="146" spans="1:1" ht="20.100000000000001" customHeight="1" x14ac:dyDescent="0.2">
      <c r="A146"/>
    </row>
    <row r="147" spans="1:1" ht="20.100000000000001" customHeight="1" x14ac:dyDescent="0.2">
      <c r="A147"/>
    </row>
    <row r="148" spans="1:1" ht="20.100000000000001" customHeight="1" x14ac:dyDescent="0.2">
      <c r="A148"/>
    </row>
    <row r="149" spans="1:1" ht="20.100000000000001" customHeight="1" x14ac:dyDescent="0.2">
      <c r="A149"/>
    </row>
    <row r="150" spans="1:1" ht="20.100000000000001" customHeight="1" x14ac:dyDescent="0.2">
      <c r="A150"/>
    </row>
    <row r="151" spans="1:1" ht="20.100000000000001" customHeight="1" x14ac:dyDescent="0.2">
      <c r="A151"/>
    </row>
    <row r="152" spans="1:1" ht="20.100000000000001" customHeight="1" x14ac:dyDescent="0.2">
      <c r="A152"/>
    </row>
    <row r="153" spans="1:1" ht="20.100000000000001" customHeight="1" x14ac:dyDescent="0.2">
      <c r="A153"/>
    </row>
    <row r="154" spans="1:1" ht="20.100000000000001" customHeight="1" x14ac:dyDescent="0.2">
      <c r="A154"/>
    </row>
    <row r="155" spans="1:1" ht="20.100000000000001" customHeight="1" x14ac:dyDescent="0.2">
      <c r="A155"/>
    </row>
    <row r="156" spans="1:1" ht="20.100000000000001" customHeight="1" x14ac:dyDescent="0.2">
      <c r="A156"/>
    </row>
    <row r="157" spans="1:1" ht="20.100000000000001" customHeight="1" x14ac:dyDescent="0.2">
      <c r="A157"/>
    </row>
    <row r="158" spans="1:1" ht="20.100000000000001" customHeight="1" x14ac:dyDescent="0.2">
      <c r="A158"/>
    </row>
    <row r="159" spans="1:1" ht="20.100000000000001" customHeight="1" x14ac:dyDescent="0.2">
      <c r="A159"/>
    </row>
    <row r="160" spans="1:1" ht="20.100000000000001" customHeight="1" x14ac:dyDescent="0.2">
      <c r="A160"/>
    </row>
  </sheetData>
  <dataValidations count="3">
    <dataValidation type="list" allowBlank="1" showInputMessage="1" showErrorMessage="1" sqref="J10:J19 M10:M19 P10:P19" xr:uid="{8475C671-2830-49FB-A16F-45B2D8AE6569}">
      <formula1>INDIRECT("Table_SourceData_Scope3_Pesticides[Product]")</formula1>
    </dataValidation>
    <dataValidation type="list" allowBlank="1" showInputMessage="1" showErrorMessage="1" sqref="I10:I19" xr:uid="{EDC4FCAD-737C-40D9-A0D8-B52AB00A925E}">
      <formula1>"grams/litre or grams/kg, fraction of product"</formula1>
    </dataValidation>
    <dataValidation type="list" allowBlank="1" showInputMessage="1" showErrorMessage="1" sqref="F10:F19" xr:uid="{07B95862-F7E1-4E31-995E-B2C3C7D925E2}">
      <formula1>"kg / hectare, litre / hectare"</formula1>
    </dataValidation>
  </dataValidations>
  <pageMargins left="0.7" right="0.7" top="0.75" bottom="0.75" header="0.3" footer="0.3"/>
  <tableParts count="1">
    <tablePart r:id="rId1"/>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412D4E-8756-497F-A0FD-3B75A7386EBC}">
  <sheetPr>
    <tabColor theme="5" tint="-0.249977111117893"/>
  </sheetPr>
  <dimension ref="A1:R160"/>
  <sheetViews>
    <sheetView showGridLines="0" zoomScaleNormal="100" workbookViewId="0">
      <pane xSplit="1" topLeftCell="B1" activePane="topRight" state="frozen"/>
      <selection pane="topRight" activeCell="A59" sqref="A59"/>
    </sheetView>
  </sheetViews>
  <sheetFormatPr defaultRowHeight="20.100000000000001" customHeight="1" x14ac:dyDescent="0.2"/>
  <cols>
    <col min="1" max="1" width="36.7109375" style="239" customWidth="1"/>
    <col min="2" max="2" width="5.28515625" style="239" customWidth="1"/>
    <col min="3" max="3" width="5.28515625" style="1" customWidth="1"/>
    <col min="4" max="17" width="35" style="1" customWidth="1"/>
    <col min="18" max="18" width="5.28515625" style="1" customWidth="1"/>
    <col min="19" max="16384" width="9.140625" style="239"/>
  </cols>
  <sheetData>
    <row r="1" spans="1:18" s="10" customFormat="1" ht="30" customHeight="1" x14ac:dyDescent="0.35">
      <c r="C1" s="10" t="s">
        <v>1024</v>
      </c>
    </row>
    <row r="2" spans="1:18" s="3" customFormat="1" ht="20.100000000000001" customHeight="1" x14ac:dyDescent="0.2">
      <c r="A2"/>
    </row>
    <row r="3" spans="1:18" ht="20.100000000000001" customHeight="1" x14ac:dyDescent="0.2">
      <c r="A3" s="5" t="str">
        <f>HYPERLINK("#'Home'!A1", "Home")</f>
        <v>Home</v>
      </c>
      <c r="C3" s="29"/>
      <c r="D3" s="29"/>
      <c r="E3" s="29"/>
      <c r="F3" s="29"/>
      <c r="G3" s="29"/>
      <c r="H3" s="29"/>
      <c r="I3" s="29"/>
      <c r="J3" s="29"/>
      <c r="K3" s="29"/>
      <c r="L3" s="29"/>
      <c r="M3" s="29"/>
      <c r="N3" s="29"/>
      <c r="O3" s="29"/>
      <c r="P3" s="29"/>
      <c r="Q3" s="29"/>
      <c r="R3" s="29"/>
    </row>
    <row r="4" spans="1:18" ht="20.100000000000001" customHeight="1" x14ac:dyDescent="0.2">
      <c r="A4" s="5" t="str">
        <f>HYPERLINK("#'Results - Activity period'!A1", "Results - Activity period")</f>
        <v>Results - Activity period</v>
      </c>
    </row>
    <row r="5" spans="1:18" ht="20.100000000000001" customHeight="1" x14ac:dyDescent="0.2">
      <c r="A5" s="5" t="str">
        <f>HYPERLINK("#'Results - Product EI'!A1", "Results - Product Emissions Intensity")</f>
        <v>Results - Product Emissions Intensity</v>
      </c>
      <c r="D5" s="2" t="s">
        <v>1025</v>
      </c>
      <c r="E5" s="240"/>
      <c r="F5" s="240"/>
      <c r="G5" s="240"/>
      <c r="H5" s="240"/>
      <c r="I5" s="240"/>
      <c r="J5" s="240"/>
    </row>
    <row r="6" spans="1:18" ht="20.100000000000001" customHeight="1" x14ac:dyDescent="0.2">
      <c r="A6"/>
      <c r="D6" s="243" t="s">
        <v>1026</v>
      </c>
      <c r="E6" s="251"/>
      <c r="F6" s="252"/>
      <c r="G6" s="240"/>
      <c r="H6" s="240"/>
      <c r="I6" s="240"/>
      <c r="J6" s="240"/>
    </row>
    <row r="7" spans="1:18" ht="20.100000000000001" customHeight="1" x14ac:dyDescent="0.2">
      <c r="A7"/>
      <c r="D7" s="1" t="str" cm="1">
        <f t="array" ref="D7:D9">Table_SourceData_Scope3_LickBlocks[Product]</f>
        <v>Lick block, dry season mix</v>
      </c>
      <c r="E7" s="76"/>
      <c r="F7" s="16" t="s">
        <v>636</v>
      </c>
      <c r="G7" s="240"/>
      <c r="H7" s="240"/>
      <c r="I7" s="240"/>
      <c r="J7" s="240"/>
    </row>
    <row r="8" spans="1:18" ht="20.100000000000001" customHeight="1" x14ac:dyDescent="0.2">
      <c r="A8" s="7" t="s">
        <v>0</v>
      </c>
      <c r="D8" s="1" t="str">
        <v>Lick block, mineral</v>
      </c>
      <c r="E8" s="76"/>
      <c r="F8" s="16" t="s">
        <v>636</v>
      </c>
      <c r="G8" s="240"/>
      <c r="H8" s="240"/>
      <c r="I8" s="240"/>
      <c r="J8" s="240"/>
    </row>
    <row r="9" spans="1:18" ht="20.100000000000001" customHeight="1" x14ac:dyDescent="0.2">
      <c r="A9" s="5" t="str">
        <f>HYPERLINK("#'Input - Enterprise'!A1", "Enterprise")</f>
        <v>Enterprise</v>
      </c>
      <c r="D9" s="1" t="str">
        <v>Lick block, weaner</v>
      </c>
      <c r="E9" s="76"/>
      <c r="F9" s="16" t="s">
        <v>636</v>
      </c>
      <c r="G9" s="240"/>
      <c r="H9" s="240"/>
      <c r="I9" s="240"/>
      <c r="J9" s="240"/>
    </row>
    <row r="10" spans="1:18" ht="20.100000000000001" customHeight="1" x14ac:dyDescent="0.2">
      <c r="A10" s="5" t="str">
        <f>HYPERLINK("#'Input - Site'!A1", "Site")</f>
        <v>Site</v>
      </c>
      <c r="G10" s="240"/>
      <c r="H10" s="240"/>
      <c r="I10" s="240"/>
      <c r="J10" s="240"/>
    </row>
    <row r="11" spans="1:18" ht="20.100000000000001" customHeight="1" x14ac:dyDescent="0.2">
      <c r="A11" s="5" t="str">
        <f>HYPERLINK("#'Input - Pasture Beef'!A1", "Pasture Beef")</f>
        <v>Pasture Beef</v>
      </c>
      <c r="D11" s="243" t="s">
        <v>1027</v>
      </c>
      <c r="E11" s="25"/>
      <c r="F11" s="25"/>
      <c r="G11" s="240"/>
      <c r="H11" s="240"/>
      <c r="I11" s="240"/>
      <c r="J11" s="240"/>
    </row>
    <row r="12" spans="1:18" ht="20.100000000000001" customHeight="1" x14ac:dyDescent="0.2">
      <c r="A12" s="5" t="str">
        <f>HYPERLINK("#'Input - Livestock sales'!A1", "Livestock sales")</f>
        <v>Livestock sales</v>
      </c>
      <c r="D12" s="1" t="str" cm="1">
        <f t="array" ref="D12:D15">Table_SourceData_Scope3_MixedRations[Product]</f>
        <v>Feed for chickens</v>
      </c>
      <c r="E12" s="76"/>
      <c r="F12" s="16" t="s">
        <v>636</v>
      </c>
      <c r="G12" s="240"/>
      <c r="H12" s="240"/>
      <c r="I12" s="240"/>
      <c r="J12" s="240"/>
    </row>
    <row r="13" spans="1:18" ht="20.100000000000001" customHeight="1" x14ac:dyDescent="0.2">
      <c r="A13" s="5" t="str">
        <f>HYPERLINK("#'Input - Beef cattle purchases'!A1", "Beef cattle purchases")</f>
        <v>Beef cattle purchases</v>
      </c>
      <c r="D13" s="1" t="str">
        <v>Feed for dairy calves</v>
      </c>
      <c r="E13" s="76"/>
      <c r="F13" s="16" t="s">
        <v>636</v>
      </c>
      <c r="G13" s="240"/>
      <c r="H13" s="240"/>
      <c r="I13" s="240"/>
      <c r="J13" s="240"/>
    </row>
    <row r="14" spans="1:18" ht="20.100000000000001" customHeight="1" x14ac:dyDescent="0.2">
      <c r="A14" s="5" t="str">
        <f>HYPERLINK("#'Input - Pasture'!A1", "Pasture")</f>
        <v>Pasture</v>
      </c>
      <c r="D14" s="1" t="str">
        <v>Feed for dairy cows</v>
      </c>
      <c r="E14" s="76"/>
      <c r="F14" s="16" t="s">
        <v>636</v>
      </c>
      <c r="G14" s="240"/>
      <c r="H14" s="240"/>
      <c r="I14" s="240"/>
      <c r="J14" s="240"/>
    </row>
    <row r="15" spans="1:18" ht="20.100000000000001" customHeight="1" x14ac:dyDescent="0.2">
      <c r="A15" s="5" t="str">
        <f>HYPERLINK("#'Input - Fert Prod System'!A1", "Fert Prod System")</f>
        <v>Fert Prod System</v>
      </c>
      <c r="D15" s="1" t="str">
        <v>Feed for pigs</v>
      </c>
      <c r="E15" s="76"/>
      <c r="F15" s="16" t="s">
        <v>636</v>
      </c>
      <c r="G15" s="240"/>
      <c r="H15" s="240"/>
      <c r="I15" s="240"/>
      <c r="J15" s="240"/>
    </row>
    <row r="16" spans="1:18" ht="20.100000000000001" customHeight="1" x14ac:dyDescent="0.2">
      <c r="A16" s="5" t="str">
        <f>HYPERLINK("#'Input - Fertiliser'!A1", "Fertiliser")</f>
        <v>Fertiliser</v>
      </c>
      <c r="D16" s="25"/>
      <c r="E16" s="25"/>
      <c r="F16" s="25"/>
      <c r="G16" s="240"/>
      <c r="H16" s="240"/>
      <c r="I16" s="240"/>
      <c r="J16" s="240"/>
    </row>
    <row r="17" spans="1:17" ht="20.100000000000001" customHeight="1" x14ac:dyDescent="0.2">
      <c r="A17" s="5" t="str">
        <f>HYPERLINK("#'Input - Fuel'!A1", "Fuel")</f>
        <v>Fuel</v>
      </c>
      <c r="D17" s="243" t="s">
        <v>1028</v>
      </c>
      <c r="E17" s="25"/>
      <c r="F17" s="25"/>
      <c r="G17" s="240"/>
      <c r="H17" s="240"/>
      <c r="I17" s="240"/>
      <c r="J17" s="240"/>
    </row>
    <row r="18" spans="1:17" ht="20.100000000000001" customHeight="1" x14ac:dyDescent="0.2">
      <c r="A18" s="5" t="str">
        <f>HYPERLINK("#'Input - Electricity'!A1", "Electricity")</f>
        <v>Electricity</v>
      </c>
      <c r="D18" s="82" t="s">
        <v>1029</v>
      </c>
      <c r="E18" s="82" t="s">
        <v>1030</v>
      </c>
      <c r="F18" s="82" t="s">
        <v>609</v>
      </c>
      <c r="G18" s="82" t="s">
        <v>1031</v>
      </c>
      <c r="H18" s="82" t="s">
        <v>590</v>
      </c>
      <c r="I18" s="82" t="s">
        <v>1032</v>
      </c>
      <c r="J18" s="82" t="s">
        <v>1033</v>
      </c>
      <c r="K18" s="82" t="s">
        <v>592</v>
      </c>
      <c r="L18" s="82" t="s">
        <v>1034</v>
      </c>
      <c r="M18" s="82" t="s">
        <v>1035</v>
      </c>
      <c r="N18" s="82" t="s">
        <v>594</v>
      </c>
      <c r="O18" s="82" t="s">
        <v>1036</v>
      </c>
      <c r="P18" s="82" t="s">
        <v>1037</v>
      </c>
      <c r="Q18" s="187" t="s">
        <v>596</v>
      </c>
    </row>
    <row r="19" spans="1:17" ht="20.100000000000001" customHeight="1" x14ac:dyDescent="0.2">
      <c r="A19" s="5" t="str">
        <f>HYPERLINK("#'Input - Common farm inputs'!A1", "Common farm inputs")</f>
        <v>Common farm inputs</v>
      </c>
      <c r="D19" s="34"/>
      <c r="E19" s="253"/>
      <c r="F19" s="13"/>
      <c r="G19" s="13"/>
      <c r="H19" s="188"/>
      <c r="I19" s="13"/>
      <c r="J19" s="13"/>
      <c r="K19" s="188"/>
      <c r="L19" s="13"/>
      <c r="M19" s="13"/>
      <c r="N19" s="188"/>
      <c r="O19" s="13"/>
      <c r="P19" s="13"/>
      <c r="Q19" s="188"/>
    </row>
    <row r="20" spans="1:17" ht="20.100000000000001" customHeight="1" x14ac:dyDescent="0.2">
      <c r="A20" s="5" t="str">
        <f>HYPERLINK("#'Input - Crop pasture farm input'!A1", "Crop pasture farm input")</f>
        <v>Crop pasture farm input</v>
      </c>
      <c r="D20" s="34"/>
      <c r="E20" s="253"/>
      <c r="F20" s="13"/>
      <c r="G20" s="13"/>
      <c r="H20" s="188"/>
      <c r="I20" s="13"/>
      <c r="J20" s="13"/>
      <c r="K20" s="188"/>
      <c r="L20" s="13"/>
      <c r="M20" s="13"/>
      <c r="N20" s="188"/>
      <c r="O20" s="13"/>
      <c r="P20" s="13"/>
      <c r="Q20" s="188"/>
    </row>
    <row r="21" spans="1:17" ht="20.100000000000001" customHeight="1" x14ac:dyDescent="0.2">
      <c r="A21" s="99" t="str">
        <f>HYPERLINK("#'Input - Livestock farm Inputs'!A1", "Livestock farm Inputs")</f>
        <v>Livestock farm Inputs</v>
      </c>
      <c r="D21" s="34"/>
      <c r="E21" s="253"/>
      <c r="F21" s="13"/>
      <c r="G21" s="13"/>
      <c r="H21" s="188"/>
      <c r="I21" s="13"/>
      <c r="J21" s="13"/>
      <c r="K21" s="188"/>
      <c r="L21" s="13"/>
      <c r="M21" s="13"/>
      <c r="N21" s="188"/>
      <c r="O21" s="13"/>
      <c r="P21" s="13"/>
      <c r="Q21" s="188"/>
    </row>
    <row r="22" spans="1:17" ht="20.100000000000001" customHeight="1" x14ac:dyDescent="0.2">
      <c r="A22" s="5" t="str">
        <f>HYPERLINK("#'Input - Freight'!A1", "Freight")</f>
        <v>Freight</v>
      </c>
      <c r="D22" s="34"/>
      <c r="E22" s="253"/>
      <c r="F22" s="13"/>
      <c r="G22" s="13"/>
      <c r="H22" s="188"/>
      <c r="I22" s="13"/>
      <c r="J22" s="13"/>
      <c r="K22" s="188"/>
      <c r="L22" s="13"/>
      <c r="M22" s="13"/>
      <c r="N22" s="188"/>
      <c r="O22" s="13"/>
      <c r="P22" s="13"/>
      <c r="Q22" s="188"/>
    </row>
    <row r="23" spans="1:17" ht="20.100000000000001" customHeight="1" x14ac:dyDescent="0.2">
      <c r="A23" s="5" t="str">
        <f>HYPERLINK("#'Input - Solid waste'!A1", "Solid waste")</f>
        <v>Solid waste</v>
      </c>
      <c r="D23" s="34"/>
      <c r="E23" s="253"/>
      <c r="F23" s="13"/>
      <c r="G23" s="13"/>
      <c r="H23" s="188"/>
      <c r="I23" s="13"/>
      <c r="J23" s="13"/>
      <c r="K23" s="188"/>
      <c r="L23" s="13"/>
      <c r="M23" s="13"/>
      <c r="N23" s="188"/>
      <c r="O23" s="13"/>
      <c r="P23" s="13"/>
      <c r="Q23" s="188"/>
    </row>
    <row r="24" spans="1:17" ht="20.100000000000001" customHeight="1" x14ac:dyDescent="0.2">
      <c r="A24" s="5" t="str">
        <f>HYPERLINK("#'Input - Manure sent off-site'!A1", "Manure sent off-site")</f>
        <v>Manure sent off-site</v>
      </c>
      <c r="D24" s="34"/>
      <c r="E24" s="253"/>
      <c r="F24" s="13"/>
      <c r="G24" s="13"/>
      <c r="H24" s="188"/>
      <c r="I24" s="13"/>
      <c r="J24" s="13"/>
      <c r="K24" s="188"/>
      <c r="L24" s="13"/>
      <c r="M24" s="13"/>
      <c r="N24" s="188"/>
      <c r="O24" s="13"/>
      <c r="P24" s="13"/>
      <c r="Q24" s="188"/>
    </row>
    <row r="25" spans="1:17" ht="20.100000000000001" customHeight="1" x14ac:dyDescent="0.2">
      <c r="A25" s="5" t="str">
        <f>HYPERLINK("#'Input - Data quality'!A1", "Data quality")</f>
        <v>Data quality</v>
      </c>
      <c r="D25" s="34"/>
      <c r="E25" s="253"/>
      <c r="F25" s="13"/>
      <c r="G25" s="13"/>
      <c r="H25" s="188"/>
      <c r="I25" s="13"/>
      <c r="J25" s="13"/>
      <c r="K25" s="188"/>
      <c r="L25" s="13"/>
      <c r="M25" s="13"/>
      <c r="N25" s="188"/>
      <c r="O25" s="13"/>
      <c r="P25" s="13"/>
      <c r="Q25" s="188"/>
    </row>
    <row r="26" spans="1:17" ht="20.100000000000001" customHeight="1" x14ac:dyDescent="0.2">
      <c r="A26"/>
      <c r="D26" s="34"/>
      <c r="E26" s="253"/>
      <c r="F26" s="13"/>
      <c r="G26" s="13"/>
      <c r="H26" s="188"/>
      <c r="I26" s="13"/>
      <c r="J26" s="13"/>
      <c r="K26" s="188"/>
      <c r="L26" s="13"/>
      <c r="M26" s="13"/>
      <c r="N26" s="188"/>
      <c r="O26" s="13"/>
      <c r="P26" s="13"/>
      <c r="Q26" s="188"/>
    </row>
    <row r="27" spans="1:17" ht="20.100000000000001" customHeight="1" x14ac:dyDescent="0.2">
      <c r="A27"/>
      <c r="D27" s="34"/>
      <c r="E27" s="253"/>
      <c r="F27" s="13"/>
      <c r="G27" s="13"/>
      <c r="H27" s="188"/>
      <c r="I27" s="13"/>
      <c r="J27" s="13"/>
      <c r="K27" s="188"/>
      <c r="L27" s="13"/>
      <c r="M27" s="13"/>
      <c r="N27" s="188"/>
      <c r="O27" s="13"/>
      <c r="P27" s="13"/>
      <c r="Q27" s="188"/>
    </row>
    <row r="28" spans="1:17" ht="20.100000000000001" customHeight="1" x14ac:dyDescent="0.2">
      <c r="A28" s="6" t="s">
        <v>2</v>
      </c>
      <c r="D28" s="34"/>
      <c r="E28" s="253"/>
      <c r="F28" s="13"/>
      <c r="G28" s="13"/>
      <c r="H28" s="188"/>
      <c r="I28" s="13"/>
      <c r="J28" s="13"/>
      <c r="K28" s="188"/>
      <c r="L28" s="13"/>
      <c r="M28" s="13"/>
      <c r="N28" s="188"/>
      <c r="O28" s="13"/>
      <c r="P28" s="13"/>
      <c r="Q28" s="188"/>
    </row>
    <row r="29" spans="1:17" ht="20.100000000000001" customHeight="1" x14ac:dyDescent="0.2">
      <c r="A29" s="5" t="str">
        <f>HYPERLINK("#'3.2.1.1-2 Enteric Methane'!A1", "3.2.1.1-2 Enteric Methane")</f>
        <v>3.2.1.1-2 Enteric Methane</v>
      </c>
    </row>
    <row r="30" spans="1:17" ht="20.100000000000001" customHeight="1" x14ac:dyDescent="0.2">
      <c r="A30" s="5" t="str">
        <f>HYPERLINK("#'4.2.1.1-2 Methane'!A1", "4.2.1.1-2 Manure methane")</f>
        <v>4.2.1.1-2 Manure methane</v>
      </c>
    </row>
    <row r="31" spans="1:17" ht="20.100000000000001" customHeight="1" x14ac:dyDescent="0.2">
      <c r="A31" s="5" t="str">
        <f>HYPERLINK("#'4.2.1.3-4 Soil direct N20'!A1", "4.2.1.3-4 Soil direct N2O")</f>
        <v>4.2.1.3-4 Soil direct N2O</v>
      </c>
      <c r="D31" s="243" t="s">
        <v>1038</v>
      </c>
    </row>
    <row r="32" spans="1:17" ht="20.100000000000001" customHeight="1" x14ac:dyDescent="0.2">
      <c r="A32" s="5" t="str">
        <f>HYPERLINK("#'4.2.1.5-6 Soil Atmos Dep'!A1", "4.2.1.5-6 Soil atm. deposition")</f>
        <v>4.2.1.5-6 Soil atm. deposition</v>
      </c>
      <c r="D32" s="82" t="s">
        <v>997</v>
      </c>
      <c r="E32" s="82" t="s">
        <v>998</v>
      </c>
      <c r="F32" s="82" t="s">
        <v>1039</v>
      </c>
    </row>
    <row r="33" spans="1:6" ht="20.100000000000001" customHeight="1" x14ac:dyDescent="0.2">
      <c r="A33" s="5" t="str">
        <f>HYPERLINK("#'4.2.1.7-8 Soil leach runoff'!A1", "4.2.1.7-8 Soil leach &amp; runoff")</f>
        <v>4.2.1.7-8 Soil leach &amp; runoff</v>
      </c>
      <c r="D33" s="34"/>
      <c r="E33" s="133"/>
      <c r="F33" s="76"/>
    </row>
    <row r="34" spans="1:6" ht="20.100000000000001" customHeight="1" x14ac:dyDescent="0.2">
      <c r="A34" s="5" t="str">
        <f>HYPERLINK("#'5.1.1.1-2 Inorganic fert N2O'!A1", "5.1.1.1-2 Inorganic fert N2O")</f>
        <v>5.1.1.1-2 Inorganic fert N2O</v>
      </c>
      <c r="D34" s="34"/>
      <c r="E34" s="254"/>
      <c r="F34" s="244"/>
    </row>
    <row r="35" spans="1:6" ht="20.100000000000001" customHeight="1" x14ac:dyDescent="0.2">
      <c r="A35" s="5" t="str">
        <f>HYPERLINK("#'5.1.1.3-4 Inorganic fert CO2'!A1", "5.1.1.3-4 Inorganic fert CO2")</f>
        <v>5.1.1.3-4 Inorganic fert CO2</v>
      </c>
      <c r="D35" s="34"/>
      <c r="E35" s="254"/>
      <c r="F35" s="244"/>
    </row>
    <row r="36" spans="1:6" ht="20.100000000000001" customHeight="1" x14ac:dyDescent="0.2">
      <c r="A36" s="5" t="str">
        <f>HYPERLINK("#'5.2.1.1-2 Organic Fert N2O'!A1", "5.2.1.1-2 Organic fert N2O")</f>
        <v>5.2.1.1-2 Organic fert N2O</v>
      </c>
      <c r="D36" s="34"/>
      <c r="E36" s="254"/>
      <c r="F36" s="244"/>
    </row>
    <row r="37" spans="1:6" ht="20.100000000000001" customHeight="1" x14ac:dyDescent="0.2">
      <c r="A37" s="5" t="str">
        <f>HYPERLINK("#'5.3.1.1-2 Lime CO2'!A1", "5.3.1.1-2 Lime CO2")</f>
        <v>5.3.1.1-2 Lime CO2</v>
      </c>
      <c r="D37" s="34"/>
      <c r="E37" s="254"/>
      <c r="F37" s="244"/>
    </row>
    <row r="38" spans="1:6" ht="20.100000000000001" customHeight="1" x14ac:dyDescent="0.2">
      <c r="A38" s="5" t="str">
        <f>HYPERLINK("#'5.4.1.1-4 Atmos deposition'!A1", "5.4.1.1-4 Atmos. deposition")</f>
        <v>5.4.1.1-4 Atmos. deposition</v>
      </c>
      <c r="D38" s="34"/>
      <c r="E38" s="254"/>
      <c r="F38" s="244"/>
    </row>
    <row r="39" spans="1:6" ht="20.100000000000001" customHeight="1" x14ac:dyDescent="0.2">
      <c r="A39" s="5" t="str">
        <f>HYPERLINK("#'5.5.1.1-2 Leaching and runoff'!A1", "5.5.1.1-2 Leaching &amp; runoff")</f>
        <v>5.5.1.1-2 Leaching &amp; runoff</v>
      </c>
      <c r="D39" s="34"/>
      <c r="E39" s="133"/>
      <c r="F39" s="76"/>
    </row>
    <row r="40" spans="1:6" ht="20.100000000000001" customHeight="1" x14ac:dyDescent="0.2">
      <c r="A40" s="5" t="str">
        <f>HYPERLINK("#'6.2.1.1-2 Pasture residue N2O'!A1", "6.2.1.1-2 Pasture residue N2O")</f>
        <v>6.2.1.1-2 Pasture residue N2O</v>
      </c>
      <c r="D40" s="34"/>
      <c r="E40" s="133"/>
      <c r="F40" s="76"/>
    </row>
    <row r="41" spans="1:6" ht="20.100000000000001" customHeight="1" x14ac:dyDescent="0.2">
      <c r="A41" s="5" t="str">
        <f>HYPERLINK("#'6.3.1.1-2 Leach runoff pasture'!A1", "6.3.1.1-2 Leach &amp; runoff (pasture)")</f>
        <v>6.3.1.1-2 Leach &amp; runoff (pasture)</v>
      </c>
      <c r="D41" s="34"/>
      <c r="E41" s="133"/>
      <c r="F41" s="76"/>
    </row>
    <row r="42" spans="1:6" ht="20.100000000000001" customHeight="1" x14ac:dyDescent="0.2">
      <c r="A42" s="5" t="str">
        <f>HYPERLINK("#'8.1.1.1-2 Transport fuel'!A1", "8.1.1.1-2 Transport fuel")</f>
        <v>8.1.1.1-2 Transport fuel</v>
      </c>
      <c r="D42" s="34"/>
      <c r="E42" s="133"/>
      <c r="F42" s="76"/>
    </row>
    <row r="43" spans="1:6" ht="20.100000000000001" customHeight="1" x14ac:dyDescent="0.2">
      <c r="A43" s="5" t="str">
        <f>HYPERLINK("#'8.2.1.1-2 Stationary fuel'!A1", "8.2.1.1-2 Stationary fuel")</f>
        <v>8.2.1.1-2 Stationary fuel</v>
      </c>
    </row>
    <row r="44" spans="1:6" ht="20.100000000000001" customHeight="1" x14ac:dyDescent="0.2">
      <c r="A44" s="5" t="str">
        <f>HYPERLINK("#'10.1.1-2 Solid waste treatment'!A1", "10.1.1.1-2 Solid waste")</f>
        <v>10.1.1.1-2 Solid waste</v>
      </c>
    </row>
    <row r="45" spans="1:6" ht="20.100000000000001" customHeight="1" x14ac:dyDescent="0.2">
      <c r="A45" s="5" t="str">
        <f>HYPERLINK("#'14.1.1-2 Purchased electricity'!A1", "14.1.1-2 Purchased electricity")</f>
        <v>14.1.1-2 Purchased electricity</v>
      </c>
    </row>
    <row r="46" spans="1:6" ht="20.100000000000001" customHeight="1" x14ac:dyDescent="0.2">
      <c r="A46" s="5" t="str">
        <f>HYPERLINK("#'15 Scope 3'!A1", "15 Scope 3")</f>
        <v>15 Scope 3</v>
      </c>
      <c r="D46" s="2" t="s">
        <v>1040</v>
      </c>
      <c r="E46" s="240"/>
      <c r="F46" s="240"/>
    </row>
    <row r="47" spans="1:6" ht="20.100000000000001" customHeight="1" x14ac:dyDescent="0.2">
      <c r="A47" s="5" t="str">
        <f>HYPERLINK("#'Calcs - Manure sent off-site'!A1", "Calcs - Manure sent off-site")</f>
        <v>Calcs - Manure sent off-site</v>
      </c>
      <c r="D47" s="1" t="str">
        <f>'Constants - Scope 3'!E202</f>
        <v>Animal ear tags (large)</v>
      </c>
      <c r="E47" s="76"/>
      <c r="F47" s="16" t="s">
        <v>1041</v>
      </c>
    </row>
    <row r="48" spans="1:6" ht="20.100000000000001" customHeight="1" x14ac:dyDescent="0.2">
      <c r="A48"/>
      <c r="D48" s="1" t="str">
        <f>'Constants - Scope 3'!E203</f>
        <v>Animal ear tags (small)</v>
      </c>
      <c r="E48" s="76"/>
      <c r="F48" s="16" t="s">
        <v>1041</v>
      </c>
    </row>
    <row r="49" spans="1:1" ht="20.100000000000001" customHeight="1" x14ac:dyDescent="0.2">
      <c r="A49"/>
    </row>
    <row r="50" spans="1:1" ht="20.100000000000001" customHeight="1" x14ac:dyDescent="0.2">
      <c r="A50" s="85" t="s">
        <v>1</v>
      </c>
    </row>
    <row r="51" spans="1:1" ht="20.100000000000001" customHeight="1" x14ac:dyDescent="0.2">
      <c r="A51" s="5" t="str">
        <f>HYPERLINK("#'Constants - Pasture Beef'!A1", "Constants - Pasture Beef")</f>
        <v>Constants - Pasture Beef</v>
      </c>
    </row>
    <row r="52" spans="1:1" ht="20.100000000000001" customHeight="1" x14ac:dyDescent="0.2">
      <c r="A52" s="5" t="str">
        <f>HYPERLINK("#'Constants - Ag Residue'!A1", "Constants - Ag residue")</f>
        <v>Constants - Ag residue</v>
      </c>
    </row>
    <row r="53" spans="1:1" ht="20.100000000000001" customHeight="1" x14ac:dyDescent="0.2">
      <c r="A53" s="5" t="str">
        <f>HYPERLINK("#'Constants - Common Livestock'!A1", "Constants - Common Livestock")</f>
        <v>Constants - Common Livestock</v>
      </c>
    </row>
    <row r="54" spans="1:1" ht="20.100000000000001" customHeight="1" x14ac:dyDescent="0.2">
      <c r="A54" s="5" t="str">
        <f>HYPERLINK("#'Constants - Electricity'!A1", "Constants - Electricity")</f>
        <v>Constants - Electricity</v>
      </c>
    </row>
    <row r="55" spans="1:1" ht="20.100000000000001" customHeight="1" x14ac:dyDescent="0.2">
      <c r="A55" s="5" t="str">
        <f>HYPERLINK("#'Constants - Fertiliser'!A1", "Constants - Fertiliser")</f>
        <v>Constants - Fertiliser</v>
      </c>
    </row>
    <row r="56" spans="1:1" ht="20.100000000000001" customHeight="1" x14ac:dyDescent="0.2">
      <c r="A56" s="5" t="str">
        <f>HYPERLINK("#'Constants - Fuel'!A1", "Constants - Fuel")</f>
        <v>Constants - Fuel</v>
      </c>
    </row>
    <row r="57" spans="1:1" ht="20.100000000000001" customHeight="1" x14ac:dyDescent="0.2">
      <c r="A57" s="5" t="str">
        <f>HYPERLINK("#'Constants - Scope 3'!A1", "Constants - Scope 3")</f>
        <v>Constants - Scope 3</v>
      </c>
    </row>
    <row r="58" spans="1:1" ht="20.100000000000001" customHeight="1" x14ac:dyDescent="0.2">
      <c r="A58" s="5" t="str">
        <f>HYPERLINK("#'Constants - Solid Waste'!A1", "Constants - Solid Waste")</f>
        <v>Constants - Solid Waste</v>
      </c>
    </row>
    <row r="59" spans="1:1" ht="20.100000000000001" customHeight="1" x14ac:dyDescent="0.2">
      <c r="A59" s="5" t="str">
        <f>HYPERLINK("#'Constants - Common'!A1", "Constants - Common")</f>
        <v>Constants - Common</v>
      </c>
    </row>
    <row r="60" spans="1:1" ht="20.100000000000001" customHeight="1" x14ac:dyDescent="0.2">
      <c r="A60" s="5" t="str">
        <f>HYPERLINK("#'Acknowledgements'!A1", "Acknowledgements")</f>
        <v>Acknowledgements</v>
      </c>
    </row>
    <row r="61" spans="1:1" ht="20.100000000000001" customHeight="1" x14ac:dyDescent="0.2">
      <c r="A61"/>
    </row>
    <row r="62" spans="1:1" ht="20.100000000000001" customHeight="1" x14ac:dyDescent="0.2">
      <c r="A62"/>
    </row>
    <row r="63" spans="1:1" ht="20.100000000000001" customHeight="1" x14ac:dyDescent="0.2">
      <c r="A63"/>
    </row>
    <row r="64" spans="1:1" ht="20.100000000000001" customHeight="1" x14ac:dyDescent="0.2">
      <c r="A64"/>
    </row>
    <row r="65" spans="1:1" ht="20.100000000000001" customHeight="1" x14ac:dyDescent="0.2">
      <c r="A65"/>
    </row>
    <row r="66" spans="1:1" ht="20.100000000000001" customHeight="1" x14ac:dyDescent="0.2">
      <c r="A66"/>
    </row>
    <row r="67" spans="1:1" ht="20.100000000000001" customHeight="1" x14ac:dyDescent="0.2">
      <c r="A67"/>
    </row>
    <row r="68" spans="1:1" ht="20.100000000000001" customHeight="1" x14ac:dyDescent="0.2">
      <c r="A68"/>
    </row>
    <row r="69" spans="1:1" ht="20.100000000000001" customHeight="1" x14ac:dyDescent="0.2">
      <c r="A69"/>
    </row>
    <row r="70" spans="1:1" ht="20.100000000000001" customHeight="1" x14ac:dyDescent="0.2">
      <c r="A70"/>
    </row>
    <row r="71" spans="1:1" ht="20.100000000000001" customHeight="1" x14ac:dyDescent="0.2">
      <c r="A71"/>
    </row>
    <row r="72" spans="1:1" ht="20.100000000000001" customHeight="1" x14ac:dyDescent="0.2">
      <c r="A72"/>
    </row>
    <row r="73" spans="1:1" ht="20.100000000000001" customHeight="1" x14ac:dyDescent="0.2">
      <c r="A73"/>
    </row>
    <row r="74" spans="1:1" ht="20.100000000000001" customHeight="1" x14ac:dyDescent="0.2">
      <c r="A74"/>
    </row>
    <row r="75" spans="1:1" ht="20.100000000000001" customHeight="1" x14ac:dyDescent="0.2">
      <c r="A75"/>
    </row>
    <row r="76" spans="1:1" ht="20.100000000000001" customHeight="1" x14ac:dyDescent="0.2">
      <c r="A76"/>
    </row>
    <row r="77" spans="1:1" ht="20.100000000000001" customHeight="1" x14ac:dyDescent="0.2">
      <c r="A77"/>
    </row>
    <row r="78" spans="1:1" ht="20.100000000000001" customHeight="1" x14ac:dyDescent="0.2">
      <c r="A78"/>
    </row>
    <row r="79" spans="1:1" ht="20.100000000000001" customHeight="1" x14ac:dyDescent="0.2">
      <c r="A79"/>
    </row>
    <row r="80" spans="1:1" ht="20.100000000000001" customHeight="1" x14ac:dyDescent="0.2">
      <c r="A80"/>
    </row>
    <row r="81" spans="1:1" ht="20.100000000000001" customHeight="1" x14ac:dyDescent="0.2">
      <c r="A81"/>
    </row>
    <row r="82" spans="1:1" ht="20.100000000000001" customHeight="1" x14ac:dyDescent="0.2">
      <c r="A82"/>
    </row>
    <row r="83" spans="1:1" ht="20.100000000000001" customHeight="1" x14ac:dyDescent="0.2">
      <c r="A83"/>
    </row>
    <row r="84" spans="1:1" ht="20.100000000000001" customHeight="1" x14ac:dyDescent="0.2">
      <c r="A84"/>
    </row>
    <row r="85" spans="1:1" ht="20.100000000000001" customHeight="1" x14ac:dyDescent="0.2">
      <c r="A85"/>
    </row>
    <row r="86" spans="1:1" ht="20.100000000000001" customHeight="1" x14ac:dyDescent="0.2">
      <c r="A86"/>
    </row>
    <row r="87" spans="1:1" ht="20.100000000000001" customHeight="1" x14ac:dyDescent="0.2">
      <c r="A87"/>
    </row>
    <row r="88" spans="1:1" ht="20.100000000000001" customHeight="1" x14ac:dyDescent="0.2">
      <c r="A88"/>
    </row>
    <row r="89" spans="1:1" ht="20.100000000000001" customHeight="1" x14ac:dyDescent="0.2">
      <c r="A89"/>
    </row>
    <row r="90" spans="1:1" ht="20.100000000000001" customHeight="1" x14ac:dyDescent="0.2">
      <c r="A90"/>
    </row>
    <row r="91" spans="1:1" ht="20.100000000000001" customHeight="1" x14ac:dyDescent="0.2">
      <c r="A91"/>
    </row>
    <row r="92" spans="1:1" ht="20.100000000000001" customHeight="1" x14ac:dyDescent="0.2">
      <c r="A92"/>
    </row>
    <row r="93" spans="1:1" ht="20.100000000000001" customHeight="1" x14ac:dyDescent="0.2">
      <c r="A93"/>
    </row>
    <row r="94" spans="1:1" ht="20.100000000000001" customHeight="1" x14ac:dyDescent="0.2">
      <c r="A94"/>
    </row>
    <row r="95" spans="1:1" ht="20.100000000000001" customHeight="1" x14ac:dyDescent="0.2">
      <c r="A95"/>
    </row>
    <row r="96" spans="1:1" ht="20.100000000000001" customHeight="1" x14ac:dyDescent="0.2">
      <c r="A96"/>
    </row>
    <row r="97" spans="1:1" ht="20.100000000000001" customHeight="1" x14ac:dyDescent="0.2">
      <c r="A97"/>
    </row>
    <row r="98" spans="1:1" ht="20.100000000000001" customHeight="1" x14ac:dyDescent="0.2">
      <c r="A98"/>
    </row>
    <row r="99" spans="1:1" ht="20.100000000000001" customHeight="1" x14ac:dyDescent="0.2">
      <c r="A99"/>
    </row>
    <row r="100" spans="1:1" ht="20.100000000000001" customHeight="1" x14ac:dyDescent="0.2">
      <c r="A100"/>
    </row>
    <row r="101" spans="1:1" ht="20.100000000000001" customHeight="1" x14ac:dyDescent="0.2">
      <c r="A101"/>
    </row>
    <row r="102" spans="1:1" ht="20.100000000000001" customHeight="1" x14ac:dyDescent="0.2">
      <c r="A102"/>
    </row>
    <row r="103" spans="1:1" ht="20.100000000000001" customHeight="1" x14ac:dyDescent="0.2">
      <c r="A103"/>
    </row>
    <row r="104" spans="1:1" ht="20.100000000000001" customHeight="1" x14ac:dyDescent="0.2">
      <c r="A104"/>
    </row>
    <row r="105" spans="1:1" ht="20.100000000000001" customHeight="1" x14ac:dyDescent="0.2">
      <c r="A105"/>
    </row>
    <row r="106" spans="1:1" ht="20.100000000000001" customHeight="1" x14ac:dyDescent="0.2">
      <c r="A106"/>
    </row>
    <row r="107" spans="1:1" ht="20.100000000000001" customHeight="1" x14ac:dyDescent="0.2">
      <c r="A107"/>
    </row>
    <row r="108" spans="1:1" ht="20.100000000000001" customHeight="1" x14ac:dyDescent="0.2">
      <c r="A108"/>
    </row>
    <row r="109" spans="1:1" ht="20.100000000000001" customHeight="1" x14ac:dyDescent="0.2">
      <c r="A109"/>
    </row>
    <row r="110" spans="1:1" ht="20.100000000000001" customHeight="1" x14ac:dyDescent="0.2">
      <c r="A110"/>
    </row>
    <row r="111" spans="1:1" ht="20.100000000000001" customHeight="1" x14ac:dyDescent="0.2">
      <c r="A111"/>
    </row>
    <row r="112" spans="1:1" ht="20.100000000000001" customHeight="1" x14ac:dyDescent="0.2">
      <c r="A112"/>
    </row>
    <row r="113" spans="1:1" ht="20.100000000000001" customHeight="1" x14ac:dyDescent="0.2">
      <c r="A113"/>
    </row>
    <row r="114" spans="1:1" ht="20.100000000000001" customHeight="1" x14ac:dyDescent="0.2">
      <c r="A114"/>
    </row>
    <row r="115" spans="1:1" ht="20.100000000000001" customHeight="1" x14ac:dyDescent="0.2">
      <c r="A115"/>
    </row>
    <row r="116" spans="1:1" ht="20.100000000000001" customHeight="1" x14ac:dyDescent="0.2">
      <c r="A116"/>
    </row>
    <row r="117" spans="1:1" ht="20.100000000000001" customHeight="1" x14ac:dyDescent="0.2">
      <c r="A117"/>
    </row>
    <row r="118" spans="1:1" ht="20.100000000000001" customHeight="1" x14ac:dyDescent="0.2">
      <c r="A118"/>
    </row>
    <row r="119" spans="1:1" ht="20.100000000000001" customHeight="1" x14ac:dyDescent="0.2">
      <c r="A119"/>
    </row>
    <row r="120" spans="1:1" ht="20.100000000000001" customHeight="1" x14ac:dyDescent="0.2">
      <c r="A120"/>
    </row>
    <row r="121" spans="1:1" ht="20.100000000000001" customHeight="1" x14ac:dyDescent="0.2">
      <c r="A121"/>
    </row>
    <row r="122" spans="1:1" ht="20.100000000000001" customHeight="1" x14ac:dyDescent="0.2">
      <c r="A122"/>
    </row>
    <row r="123" spans="1:1" ht="20.100000000000001" customHeight="1" x14ac:dyDescent="0.2">
      <c r="A123"/>
    </row>
    <row r="124" spans="1:1" ht="20.100000000000001" customHeight="1" x14ac:dyDescent="0.2">
      <c r="A124"/>
    </row>
    <row r="125" spans="1:1" ht="20.100000000000001" customHeight="1" x14ac:dyDescent="0.2">
      <c r="A125"/>
    </row>
    <row r="126" spans="1:1" ht="20.100000000000001" customHeight="1" x14ac:dyDescent="0.2">
      <c r="A126"/>
    </row>
    <row r="127" spans="1:1" ht="20.100000000000001" customHeight="1" x14ac:dyDescent="0.2">
      <c r="A127"/>
    </row>
    <row r="128" spans="1:1" ht="20.100000000000001" customHeight="1" x14ac:dyDescent="0.2">
      <c r="A128"/>
    </row>
    <row r="129" spans="1:1" ht="20.100000000000001" customHeight="1" x14ac:dyDescent="0.2">
      <c r="A129"/>
    </row>
    <row r="130" spans="1:1" ht="20.100000000000001" customHeight="1" x14ac:dyDescent="0.2">
      <c r="A130"/>
    </row>
    <row r="131" spans="1:1" ht="20.100000000000001" customHeight="1" x14ac:dyDescent="0.2">
      <c r="A131"/>
    </row>
    <row r="132" spans="1:1" ht="20.100000000000001" customHeight="1" x14ac:dyDescent="0.2">
      <c r="A132"/>
    </row>
    <row r="133" spans="1:1" ht="20.100000000000001" customHeight="1" x14ac:dyDescent="0.2">
      <c r="A133"/>
    </row>
    <row r="134" spans="1:1" ht="20.100000000000001" customHeight="1" x14ac:dyDescent="0.2">
      <c r="A134"/>
    </row>
    <row r="135" spans="1:1" ht="20.100000000000001" customHeight="1" x14ac:dyDescent="0.2">
      <c r="A135"/>
    </row>
    <row r="136" spans="1:1" ht="20.100000000000001" customHeight="1" x14ac:dyDescent="0.2">
      <c r="A136"/>
    </row>
    <row r="137" spans="1:1" ht="20.100000000000001" customHeight="1" x14ac:dyDescent="0.2">
      <c r="A137"/>
    </row>
    <row r="138" spans="1:1" ht="20.100000000000001" customHeight="1" x14ac:dyDescent="0.2">
      <c r="A138"/>
    </row>
    <row r="139" spans="1:1" ht="20.100000000000001" customHeight="1" x14ac:dyDescent="0.2">
      <c r="A139"/>
    </row>
    <row r="140" spans="1:1" ht="20.100000000000001" customHeight="1" x14ac:dyDescent="0.2">
      <c r="A140"/>
    </row>
    <row r="141" spans="1:1" ht="20.100000000000001" customHeight="1" x14ac:dyDescent="0.2">
      <c r="A141"/>
    </row>
    <row r="142" spans="1:1" ht="20.100000000000001" customHeight="1" x14ac:dyDescent="0.2">
      <c r="A142"/>
    </row>
    <row r="143" spans="1:1" ht="20.100000000000001" customHeight="1" x14ac:dyDescent="0.2">
      <c r="A143"/>
    </row>
    <row r="144" spans="1:1" ht="20.100000000000001" customHeight="1" x14ac:dyDescent="0.2">
      <c r="A144"/>
    </row>
    <row r="145" spans="1:1" ht="20.100000000000001" customHeight="1" x14ac:dyDescent="0.2">
      <c r="A145"/>
    </row>
    <row r="146" spans="1:1" ht="20.100000000000001" customHeight="1" x14ac:dyDescent="0.2">
      <c r="A146"/>
    </row>
    <row r="147" spans="1:1" ht="20.100000000000001" customHeight="1" x14ac:dyDescent="0.2">
      <c r="A147"/>
    </row>
    <row r="148" spans="1:1" ht="20.100000000000001" customHeight="1" x14ac:dyDescent="0.2">
      <c r="A148"/>
    </row>
    <row r="149" spans="1:1" ht="20.100000000000001" customHeight="1" x14ac:dyDescent="0.2">
      <c r="A149"/>
    </row>
    <row r="150" spans="1:1" ht="20.100000000000001" customHeight="1" x14ac:dyDescent="0.2">
      <c r="A150"/>
    </row>
    <row r="151" spans="1:1" ht="20.100000000000001" customHeight="1" x14ac:dyDescent="0.2">
      <c r="A151"/>
    </row>
    <row r="152" spans="1:1" ht="20.100000000000001" customHeight="1" x14ac:dyDescent="0.2">
      <c r="A152"/>
    </row>
    <row r="153" spans="1:1" ht="20.100000000000001" customHeight="1" x14ac:dyDescent="0.2">
      <c r="A153"/>
    </row>
    <row r="154" spans="1:1" ht="20.100000000000001" customHeight="1" x14ac:dyDescent="0.2">
      <c r="A154"/>
    </row>
    <row r="155" spans="1:1" ht="20.100000000000001" customHeight="1" x14ac:dyDescent="0.2">
      <c r="A155"/>
    </row>
    <row r="156" spans="1:1" ht="20.100000000000001" customHeight="1" x14ac:dyDescent="0.2">
      <c r="A156"/>
    </row>
    <row r="157" spans="1:1" ht="20.100000000000001" customHeight="1" x14ac:dyDescent="0.2">
      <c r="A157"/>
    </row>
    <row r="158" spans="1:1" ht="20.100000000000001" customHeight="1" x14ac:dyDescent="0.2">
      <c r="A158"/>
    </row>
    <row r="159" spans="1:1" ht="20.100000000000001" customHeight="1" x14ac:dyDescent="0.2">
      <c r="A159"/>
    </row>
    <row r="160" spans="1:1" ht="20.100000000000001" customHeight="1" x14ac:dyDescent="0.2">
      <c r="A160"/>
    </row>
  </sheetData>
  <dataValidations count="3">
    <dataValidation type="list" allowBlank="1" showInputMessage="1" showErrorMessage="1" sqref="E33:E42" xr:uid="{EFF68F3F-CF83-49C2-B2AB-BEDCBCDF3258}">
      <formula1>INDIRECT("Table_SourceData_Scope3_ChemicalsPharmacy[Product]")</formula1>
    </dataValidation>
    <dataValidation type="list" allowBlank="1" showInputMessage="1" showErrorMessage="1" sqref="M19:M28 P19:P28 J19:J28 G19:G28" xr:uid="{40F7B413-9D96-4EA1-BBBE-5A4D680C63D9}">
      <formula1>INDIRECT("Table_ProductRegions_" &amp; SUBSTITUTE(SUBSTITUTE(SUBSTITUTE(SUBSTITUTE(F19, " ", ""), ",", ""), "(", ""), ")", "") &amp; "[Region]")</formula1>
    </dataValidation>
    <dataValidation type="list" allowBlank="1" showInputMessage="1" showErrorMessage="1" sqref="F19:F28 I19:I28 L19:L28 O19:O28" xr:uid="{ABAA02AE-CB25-4E14-BABB-3FEF13A57F5E}">
      <formula1>INDIRECT(_xlfn.UNIQUE("Table_SourceData_Scope3_Feed[Product]"))</formula1>
    </dataValidation>
  </dataValidations>
  <pageMargins left="0.7" right="0.7" top="0.75" bottom="0.75" header="0.3" footer="0.3"/>
  <tableParts count="2">
    <tablePart r:id="rId1"/>
    <tablePart r:id="rId2"/>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23BD3A-0718-4E1E-9CE3-D7A440D5FD40}">
  <sheetPr>
    <tabColor theme="5" tint="-0.249977111117893"/>
  </sheetPr>
  <dimension ref="A1:J160"/>
  <sheetViews>
    <sheetView showGridLines="0" zoomScaleNormal="100" workbookViewId="0">
      <pane xSplit="1" topLeftCell="B1" activePane="topRight" state="frozen"/>
      <selection pane="topRight" activeCell="A59" sqref="A59"/>
    </sheetView>
  </sheetViews>
  <sheetFormatPr defaultRowHeight="20.100000000000001" customHeight="1" x14ac:dyDescent="0.2"/>
  <cols>
    <col min="1" max="1" width="36.7109375" style="239" customWidth="1"/>
    <col min="2" max="2" width="5.28515625" style="239" customWidth="1"/>
    <col min="3" max="3" width="5.28515625" style="1" customWidth="1"/>
    <col min="4" max="4" width="46.5703125" style="1" customWidth="1"/>
    <col min="5" max="9" width="35" style="1" customWidth="1"/>
    <col min="10" max="10" width="5.28515625" style="1" customWidth="1"/>
    <col min="11" max="16384" width="9.140625" style="239"/>
  </cols>
  <sheetData>
    <row r="1" spans="1:10" s="10" customFormat="1" ht="30" customHeight="1" x14ac:dyDescent="0.35">
      <c r="C1" s="10" t="s">
        <v>1042</v>
      </c>
    </row>
    <row r="2" spans="1:10" s="3" customFormat="1" ht="20.100000000000001" customHeight="1" x14ac:dyDescent="0.2">
      <c r="A2"/>
    </row>
    <row r="3" spans="1:10" ht="20.100000000000001" customHeight="1" x14ac:dyDescent="0.2">
      <c r="A3" s="5" t="str">
        <f>HYPERLINK("#'Home'!A1", "Home")</f>
        <v>Home</v>
      </c>
      <c r="C3" s="29"/>
      <c r="D3" s="29"/>
      <c r="E3" s="29"/>
      <c r="F3" s="29"/>
      <c r="G3" s="29"/>
      <c r="H3" s="29"/>
      <c r="I3" s="29"/>
      <c r="J3" s="29"/>
    </row>
    <row r="4" spans="1:10" ht="20.100000000000001" customHeight="1" x14ac:dyDescent="0.2">
      <c r="A4" s="5" t="str">
        <f>HYPERLINK("#'Results - Activity period'!A1", "Results - Activity period")</f>
        <v>Results - Activity period</v>
      </c>
    </row>
    <row r="5" spans="1:10" ht="20.100000000000001" customHeight="1" x14ac:dyDescent="0.2">
      <c r="A5" s="5" t="str">
        <f>HYPERLINK("#'Results - Product EI'!A1", "Results - Product Emissions Intensity")</f>
        <v>Results - Product Emissions Intensity</v>
      </c>
    </row>
    <row r="6" spans="1:10" ht="20.100000000000001" customHeight="1" x14ac:dyDescent="0.2">
      <c r="A6"/>
      <c r="D6" s="2" t="s">
        <v>1043</v>
      </c>
    </row>
    <row r="7" spans="1:10" ht="20.100000000000001" customHeight="1" x14ac:dyDescent="0.2">
      <c r="A7"/>
    </row>
    <row r="8" spans="1:10" ht="20.100000000000001" customHeight="1" x14ac:dyDescent="0.2">
      <c r="A8" s="7" t="s">
        <v>0</v>
      </c>
      <c r="D8" s="20" t="s">
        <v>1044</v>
      </c>
      <c r="E8" s="20" t="s">
        <v>1045</v>
      </c>
      <c r="F8" s="20" t="s">
        <v>1046</v>
      </c>
      <c r="G8" s="20" t="s">
        <v>1047</v>
      </c>
      <c r="H8" s="20" t="s">
        <v>1048</v>
      </c>
    </row>
    <row r="9" spans="1:10" ht="20.100000000000001" customHeight="1" x14ac:dyDescent="0.2">
      <c r="A9" s="5" t="str">
        <f>HYPERLINK("#'Input - Enterprise'!A1", "Enterprise")</f>
        <v>Enterprise</v>
      </c>
      <c r="D9" s="34"/>
      <c r="E9" s="13"/>
      <c r="F9" s="20"/>
      <c r="G9" s="20"/>
      <c r="H9" s="20"/>
    </row>
    <row r="10" spans="1:10" ht="20.100000000000001" customHeight="1" x14ac:dyDescent="0.2">
      <c r="A10" s="5" t="str">
        <f>HYPERLINK("#'Input - Site'!A1", "Site")</f>
        <v>Site</v>
      </c>
      <c r="D10" s="34"/>
      <c r="E10" s="13"/>
      <c r="F10" s="20"/>
      <c r="G10" s="20"/>
      <c r="H10" s="20"/>
    </row>
    <row r="11" spans="1:10" ht="20.100000000000001" customHeight="1" x14ac:dyDescent="0.2">
      <c r="A11" s="5" t="str">
        <f>HYPERLINK("#'Input - Pasture Beef'!A1", "Pasture Beef")</f>
        <v>Pasture Beef</v>
      </c>
      <c r="D11" s="34"/>
      <c r="E11" s="13"/>
      <c r="F11" s="20"/>
      <c r="G11" s="20"/>
      <c r="H11" s="20"/>
    </row>
    <row r="12" spans="1:10" ht="20.100000000000001" customHeight="1" x14ac:dyDescent="0.2">
      <c r="A12" s="5" t="str">
        <f>HYPERLINK("#'Input - Livestock sales'!A1", "Livestock sales")</f>
        <v>Livestock sales</v>
      </c>
      <c r="D12" s="34"/>
      <c r="E12" s="13"/>
      <c r="F12" s="20"/>
      <c r="G12" s="20"/>
      <c r="H12" s="20"/>
    </row>
    <row r="13" spans="1:10" ht="20.100000000000001" customHeight="1" x14ac:dyDescent="0.2">
      <c r="A13" s="5" t="str">
        <f>HYPERLINK("#'Input - Beef cattle purchases'!A1", "Beef cattle purchases")</f>
        <v>Beef cattle purchases</v>
      </c>
      <c r="D13" s="34"/>
      <c r="E13" s="13"/>
      <c r="F13" s="20"/>
      <c r="G13" s="20"/>
      <c r="H13" s="20"/>
    </row>
    <row r="14" spans="1:10" ht="20.100000000000001" customHeight="1" x14ac:dyDescent="0.2">
      <c r="A14" s="5" t="str">
        <f>HYPERLINK("#'Input - Pasture'!A1", "Pasture")</f>
        <v>Pasture</v>
      </c>
      <c r="D14" s="34"/>
      <c r="E14" s="13"/>
      <c r="F14" s="20"/>
      <c r="G14" s="20"/>
      <c r="H14" s="20"/>
    </row>
    <row r="15" spans="1:10" ht="20.100000000000001" customHeight="1" x14ac:dyDescent="0.2">
      <c r="A15" s="5" t="str">
        <f>HYPERLINK("#'Input - Fert Prod System'!A1", "Fert Prod System")</f>
        <v>Fert Prod System</v>
      </c>
      <c r="D15" s="34"/>
      <c r="E15" s="13"/>
      <c r="F15" s="20"/>
      <c r="G15" s="20"/>
      <c r="H15" s="20"/>
    </row>
    <row r="16" spans="1:10" ht="20.100000000000001" customHeight="1" x14ac:dyDescent="0.2">
      <c r="A16" s="5" t="str">
        <f>HYPERLINK("#'Input - Fertiliser'!A1", "Fertiliser")</f>
        <v>Fertiliser</v>
      </c>
      <c r="D16" s="34"/>
      <c r="E16" s="13"/>
      <c r="F16" s="20"/>
      <c r="G16" s="20"/>
      <c r="H16" s="20"/>
    </row>
    <row r="17" spans="1:8" ht="20.100000000000001" customHeight="1" x14ac:dyDescent="0.2">
      <c r="A17" s="5" t="str">
        <f>HYPERLINK("#'Input - Fuel'!A1", "Fuel")</f>
        <v>Fuel</v>
      </c>
      <c r="D17" s="34"/>
      <c r="E17" s="13"/>
      <c r="F17" s="20"/>
      <c r="G17" s="20"/>
      <c r="H17" s="20"/>
    </row>
    <row r="18" spans="1:8" ht="20.100000000000001" customHeight="1" x14ac:dyDescent="0.2">
      <c r="A18" s="5" t="str">
        <f>HYPERLINK("#'Input - Electricity'!A1", "Electricity")</f>
        <v>Electricity</v>
      </c>
      <c r="D18" s="34"/>
      <c r="E18" s="13"/>
      <c r="F18" s="20"/>
      <c r="G18" s="20"/>
      <c r="H18" s="20"/>
    </row>
    <row r="19" spans="1:8" ht="20.100000000000001" customHeight="1" x14ac:dyDescent="0.2">
      <c r="A19" s="5" t="str">
        <f>HYPERLINK("#'Input - Common farm inputs'!A1", "Common farm inputs")</f>
        <v>Common farm inputs</v>
      </c>
    </row>
    <row r="20" spans="1:8" ht="20.100000000000001" customHeight="1" x14ac:dyDescent="0.2">
      <c r="A20" s="5" t="str">
        <f>HYPERLINK("#'Input - Crop pasture farm input'!A1", "Crop pasture farm input")</f>
        <v>Crop pasture farm input</v>
      </c>
    </row>
    <row r="21" spans="1:8" ht="20.100000000000001" customHeight="1" x14ac:dyDescent="0.2">
      <c r="A21" s="5" t="str">
        <f>HYPERLINK("#'Input - Livestock farm Inputs'!A1", "Livestock farm Inputs")</f>
        <v>Livestock farm Inputs</v>
      </c>
    </row>
    <row r="22" spans="1:8" ht="20.100000000000001" customHeight="1" x14ac:dyDescent="0.2">
      <c r="A22" s="99" t="str">
        <f>HYPERLINK("#'Input - Freight'!A1", "Freight")</f>
        <v>Freight</v>
      </c>
      <c r="D22" s="2" t="s">
        <v>1049</v>
      </c>
    </row>
    <row r="23" spans="1:8" ht="20.100000000000001" customHeight="1" x14ac:dyDescent="0.2">
      <c r="A23" s="5" t="str">
        <f>HYPERLINK("#'Input - Solid waste'!A1", "Solid waste")</f>
        <v>Solid waste</v>
      </c>
    </row>
    <row r="24" spans="1:8" ht="20.100000000000001" customHeight="1" x14ac:dyDescent="0.2">
      <c r="A24" s="5" t="str">
        <f>HYPERLINK("#'Input - Manure sent off-site'!A1", "Manure sent off-site")</f>
        <v>Manure sent off-site</v>
      </c>
      <c r="D24" s="20" t="s">
        <v>1044</v>
      </c>
      <c r="E24" s="20" t="s">
        <v>1045</v>
      </c>
      <c r="F24" s="20" t="s">
        <v>1046</v>
      </c>
      <c r="G24" s="20" t="s">
        <v>1047</v>
      </c>
      <c r="H24" s="20" t="s">
        <v>1048</v>
      </c>
    </row>
    <row r="25" spans="1:8" ht="20.100000000000001" customHeight="1" x14ac:dyDescent="0.2">
      <c r="A25" s="5" t="str">
        <f>HYPERLINK("#'Input - Data quality'!A1", "Data quality")</f>
        <v>Data quality</v>
      </c>
      <c r="D25" s="34"/>
      <c r="E25" s="13"/>
      <c r="F25" s="20"/>
      <c r="G25" s="20"/>
      <c r="H25" s="20"/>
    </row>
    <row r="26" spans="1:8" ht="20.100000000000001" customHeight="1" x14ac:dyDescent="0.2">
      <c r="A26"/>
      <c r="D26" s="34"/>
      <c r="E26" s="13"/>
      <c r="F26" s="20"/>
      <c r="G26" s="20"/>
      <c r="H26" s="20"/>
    </row>
    <row r="27" spans="1:8" ht="20.100000000000001" customHeight="1" x14ac:dyDescent="0.2">
      <c r="A27"/>
      <c r="D27" s="34"/>
      <c r="E27" s="13"/>
      <c r="F27" s="20"/>
      <c r="G27" s="20"/>
      <c r="H27" s="20"/>
    </row>
    <row r="28" spans="1:8" ht="20.100000000000001" customHeight="1" x14ac:dyDescent="0.2">
      <c r="A28" s="6" t="s">
        <v>2</v>
      </c>
      <c r="D28" s="34"/>
      <c r="E28" s="13"/>
      <c r="F28" s="20"/>
      <c r="G28" s="20"/>
      <c r="H28" s="20"/>
    </row>
    <row r="29" spans="1:8" ht="20.100000000000001" customHeight="1" x14ac:dyDescent="0.2">
      <c r="A29" s="5" t="str">
        <f>HYPERLINK("#'3.2.1.1-2 Enteric Methane'!A1", "3.2.1.1-2 Enteric Methane")</f>
        <v>3.2.1.1-2 Enteric Methane</v>
      </c>
      <c r="D29" s="34"/>
      <c r="E29" s="13"/>
      <c r="F29" s="20"/>
      <c r="G29" s="20"/>
      <c r="H29" s="20"/>
    </row>
    <row r="30" spans="1:8" ht="20.100000000000001" customHeight="1" x14ac:dyDescent="0.2">
      <c r="A30" s="5" t="str">
        <f>HYPERLINK("#'4.2.1.1-2 Methane'!A1", "4.2.1.1-2 Manure methane")</f>
        <v>4.2.1.1-2 Manure methane</v>
      </c>
      <c r="D30" s="34"/>
      <c r="E30" s="13"/>
      <c r="F30" s="20"/>
      <c r="G30" s="20"/>
      <c r="H30" s="20"/>
    </row>
    <row r="31" spans="1:8" ht="20.100000000000001" customHeight="1" x14ac:dyDescent="0.2">
      <c r="A31" s="5" t="str">
        <f>HYPERLINK("#'4.2.1.3-4 Soil direct N20'!A1", "4.2.1.3-4 Soil direct N2O")</f>
        <v>4.2.1.3-4 Soil direct N2O</v>
      </c>
      <c r="D31" s="34"/>
      <c r="E31" s="13"/>
      <c r="F31" s="20"/>
      <c r="G31" s="20"/>
      <c r="H31" s="20"/>
    </row>
    <row r="32" spans="1:8" ht="20.100000000000001" customHeight="1" x14ac:dyDescent="0.2">
      <c r="A32" s="5" t="str">
        <f>HYPERLINK("#'4.2.1.5-6 Soil Atmos Dep'!A1", "4.2.1.5-6 Soil atm. deposition")</f>
        <v>4.2.1.5-6 Soil atm. deposition</v>
      </c>
      <c r="D32" s="34"/>
      <c r="E32" s="13"/>
      <c r="F32" s="20"/>
      <c r="G32" s="20"/>
      <c r="H32" s="20"/>
    </row>
    <row r="33" spans="1:8" ht="20.100000000000001" customHeight="1" x14ac:dyDescent="0.2">
      <c r="A33" s="5" t="str">
        <f>HYPERLINK("#'4.2.1.7-8 Soil leach runoff'!A1", "4.2.1.7-8 Soil leach &amp; runoff")</f>
        <v>4.2.1.7-8 Soil leach &amp; runoff</v>
      </c>
      <c r="D33" s="34"/>
      <c r="E33" s="13"/>
      <c r="F33" s="20"/>
      <c r="G33" s="20"/>
      <c r="H33" s="20"/>
    </row>
    <row r="34" spans="1:8" ht="20.100000000000001" customHeight="1" x14ac:dyDescent="0.2">
      <c r="A34" s="5" t="str">
        <f>HYPERLINK("#'5.1.1.1-2 Inorganic fert N2O'!A1", "5.1.1.1-2 Inorganic fert N2O")</f>
        <v>5.1.1.1-2 Inorganic fert N2O</v>
      </c>
      <c r="D34" s="34"/>
      <c r="E34" s="13"/>
      <c r="F34" s="20"/>
      <c r="G34" s="20"/>
      <c r="H34" s="20"/>
    </row>
    <row r="35" spans="1:8" ht="20.100000000000001" customHeight="1" x14ac:dyDescent="0.2">
      <c r="A35" s="5" t="str">
        <f>HYPERLINK("#'5.1.1.3-4 Inorganic fert CO2'!A1", "5.1.1.3-4 Inorganic fert CO2")</f>
        <v>5.1.1.3-4 Inorganic fert CO2</v>
      </c>
    </row>
    <row r="36" spans="1:8" ht="20.100000000000001" customHeight="1" x14ac:dyDescent="0.2">
      <c r="A36" s="5" t="str">
        <f>HYPERLINK("#'5.2.1.1-2 Organic Fert N2O'!A1", "5.2.1.1-2 Organic fert N2O")</f>
        <v>5.2.1.1-2 Organic fert N2O</v>
      </c>
    </row>
    <row r="37" spans="1:8" ht="20.100000000000001" customHeight="1" x14ac:dyDescent="0.2">
      <c r="A37" s="5" t="str">
        <f>HYPERLINK("#'5.3.1.1-2 Lime CO2'!A1", "5.3.1.1-2 Lime CO2")</f>
        <v>5.3.1.1-2 Lime CO2</v>
      </c>
    </row>
    <row r="38" spans="1:8" ht="20.100000000000001" customHeight="1" x14ac:dyDescent="0.2">
      <c r="A38" s="5" t="str">
        <f>HYPERLINK("#'5.4.1.1-4 Atmos deposition'!A1", "5.4.1.1-4 Atmos. deposition")</f>
        <v>5.4.1.1-4 Atmos. deposition</v>
      </c>
    </row>
    <row r="39" spans="1:8" ht="20.100000000000001" customHeight="1" x14ac:dyDescent="0.2">
      <c r="A39" s="5" t="str">
        <f>HYPERLINK("#'5.5.1.1-2 Leaching and runoff'!A1", "5.5.1.1-2 Leaching &amp; runoff")</f>
        <v>5.5.1.1-2 Leaching &amp; runoff</v>
      </c>
    </row>
    <row r="40" spans="1:8" ht="20.100000000000001" customHeight="1" x14ac:dyDescent="0.2">
      <c r="A40" s="5" t="str">
        <f>HYPERLINK("#'6.2.1.1-2 Pasture residue N2O'!A1", "6.2.1.1-2 Pasture residue N2O")</f>
        <v>6.2.1.1-2 Pasture residue N2O</v>
      </c>
    </row>
    <row r="41" spans="1:8" ht="20.100000000000001" customHeight="1" x14ac:dyDescent="0.2">
      <c r="A41" s="5" t="str">
        <f>HYPERLINK("#'6.3.1.1-2 Leach runoff pasture'!A1", "6.3.1.1-2 Leach &amp; runoff (pasture)")</f>
        <v>6.3.1.1-2 Leach &amp; runoff (pasture)</v>
      </c>
    </row>
    <row r="42" spans="1:8" ht="20.100000000000001" customHeight="1" x14ac:dyDescent="0.2">
      <c r="A42" s="5" t="str">
        <f>HYPERLINK("#'8.1.1.1-2 Transport fuel'!A1", "8.1.1.1-2 Transport fuel")</f>
        <v>8.1.1.1-2 Transport fuel</v>
      </c>
    </row>
    <row r="43" spans="1:8" ht="20.100000000000001" customHeight="1" x14ac:dyDescent="0.2">
      <c r="A43" s="5" t="str">
        <f>HYPERLINK("#'8.2.1.1-2 Stationary fuel'!A1", "8.2.1.1-2 Stationary fuel")</f>
        <v>8.2.1.1-2 Stationary fuel</v>
      </c>
    </row>
    <row r="44" spans="1:8" ht="20.100000000000001" customHeight="1" x14ac:dyDescent="0.2">
      <c r="A44" s="5" t="str">
        <f>HYPERLINK("#'10.1.1-2 Solid waste treatment'!A1", "10.1.1.1-2 Solid waste")</f>
        <v>10.1.1.1-2 Solid waste</v>
      </c>
    </row>
    <row r="45" spans="1:8" ht="20.100000000000001" customHeight="1" x14ac:dyDescent="0.2">
      <c r="A45" s="5" t="str">
        <f>HYPERLINK("#'14.1.1-2 Purchased electricity'!A1", "14.1.1-2 Purchased electricity")</f>
        <v>14.1.1-2 Purchased electricity</v>
      </c>
    </row>
    <row r="46" spans="1:8" ht="20.100000000000001" customHeight="1" x14ac:dyDescent="0.2">
      <c r="A46" s="5" t="str">
        <f>HYPERLINK("#'15 Scope 3'!A1", "15 Scope 3")</f>
        <v>15 Scope 3</v>
      </c>
    </row>
    <row r="47" spans="1:8" ht="20.100000000000001" customHeight="1" x14ac:dyDescent="0.2">
      <c r="A47" s="5" t="str">
        <f>HYPERLINK("#'Calcs - Manure sent off-site'!A1", "Calcs - Manure sent off-site")</f>
        <v>Calcs - Manure sent off-site</v>
      </c>
    </row>
    <row r="48" spans="1:8" ht="20.100000000000001" customHeight="1" x14ac:dyDescent="0.2">
      <c r="A48"/>
    </row>
    <row r="49" spans="1:1" ht="20.100000000000001" customHeight="1" x14ac:dyDescent="0.2">
      <c r="A49"/>
    </row>
    <row r="50" spans="1:1" ht="20.100000000000001" customHeight="1" x14ac:dyDescent="0.2">
      <c r="A50" s="85" t="s">
        <v>1</v>
      </c>
    </row>
    <row r="51" spans="1:1" ht="20.100000000000001" customHeight="1" x14ac:dyDescent="0.2">
      <c r="A51" s="5" t="str">
        <f>HYPERLINK("#'Constants - Pasture Beef'!A1", "Constants - Pasture Beef")</f>
        <v>Constants - Pasture Beef</v>
      </c>
    </row>
    <row r="52" spans="1:1" ht="20.100000000000001" customHeight="1" x14ac:dyDescent="0.2">
      <c r="A52" s="5" t="str">
        <f>HYPERLINK("#'Constants - Ag Residue'!A1", "Constants - Ag residue")</f>
        <v>Constants - Ag residue</v>
      </c>
    </row>
    <row r="53" spans="1:1" ht="20.100000000000001" customHeight="1" x14ac:dyDescent="0.2">
      <c r="A53" s="5" t="str">
        <f>HYPERLINK("#'Constants - Common Livestock'!A1", "Constants - Common Livestock")</f>
        <v>Constants - Common Livestock</v>
      </c>
    </row>
    <row r="54" spans="1:1" ht="20.100000000000001" customHeight="1" x14ac:dyDescent="0.2">
      <c r="A54" s="5" t="str">
        <f>HYPERLINK("#'Constants - Electricity'!A1", "Constants - Electricity")</f>
        <v>Constants - Electricity</v>
      </c>
    </row>
    <row r="55" spans="1:1" ht="20.100000000000001" customHeight="1" x14ac:dyDescent="0.2">
      <c r="A55" s="5" t="str">
        <f>HYPERLINK("#'Constants - Fertiliser'!A1", "Constants - Fertiliser")</f>
        <v>Constants - Fertiliser</v>
      </c>
    </row>
    <row r="56" spans="1:1" ht="20.100000000000001" customHeight="1" x14ac:dyDescent="0.2">
      <c r="A56" s="5" t="str">
        <f>HYPERLINK("#'Constants - Fuel'!A1", "Constants - Fuel")</f>
        <v>Constants - Fuel</v>
      </c>
    </row>
    <row r="57" spans="1:1" ht="20.100000000000001" customHeight="1" x14ac:dyDescent="0.2">
      <c r="A57" s="5" t="str">
        <f>HYPERLINK("#'Constants - Scope 3'!A1", "Constants - Scope 3")</f>
        <v>Constants - Scope 3</v>
      </c>
    </row>
    <row r="58" spans="1:1" ht="20.100000000000001" customHeight="1" x14ac:dyDescent="0.2">
      <c r="A58" s="5" t="str">
        <f>HYPERLINK("#'Constants - Solid Waste'!A1", "Constants - Solid Waste")</f>
        <v>Constants - Solid Waste</v>
      </c>
    </row>
    <row r="59" spans="1:1" ht="20.100000000000001" customHeight="1" x14ac:dyDescent="0.2">
      <c r="A59" s="5" t="str">
        <f>HYPERLINK("#'Constants - Common'!A1", "Constants - Common")</f>
        <v>Constants - Common</v>
      </c>
    </row>
    <row r="60" spans="1:1" ht="20.100000000000001" customHeight="1" x14ac:dyDescent="0.2">
      <c r="A60" s="5" t="str">
        <f>HYPERLINK("#'Acknowledgements'!A1", "Acknowledgements")</f>
        <v>Acknowledgements</v>
      </c>
    </row>
    <row r="61" spans="1:1" ht="20.100000000000001" customHeight="1" x14ac:dyDescent="0.2">
      <c r="A61"/>
    </row>
    <row r="62" spans="1:1" ht="20.100000000000001" customHeight="1" x14ac:dyDescent="0.2">
      <c r="A62"/>
    </row>
    <row r="63" spans="1:1" ht="20.100000000000001" customHeight="1" x14ac:dyDescent="0.2">
      <c r="A63"/>
    </row>
    <row r="64" spans="1:1" ht="20.100000000000001" customHeight="1" x14ac:dyDescent="0.2">
      <c r="A64"/>
    </row>
    <row r="65" spans="1:1" ht="20.100000000000001" customHeight="1" x14ac:dyDescent="0.2">
      <c r="A65"/>
    </row>
    <row r="66" spans="1:1" ht="20.100000000000001" customHeight="1" x14ac:dyDescent="0.2">
      <c r="A66"/>
    </row>
    <row r="67" spans="1:1" ht="20.100000000000001" customHeight="1" x14ac:dyDescent="0.2">
      <c r="A67"/>
    </row>
    <row r="68" spans="1:1" ht="20.100000000000001" customHeight="1" x14ac:dyDescent="0.2">
      <c r="A68"/>
    </row>
    <row r="69" spans="1:1" ht="20.100000000000001" customHeight="1" x14ac:dyDescent="0.2">
      <c r="A69"/>
    </row>
    <row r="70" spans="1:1" ht="20.100000000000001" customHeight="1" x14ac:dyDescent="0.2">
      <c r="A70"/>
    </row>
    <row r="71" spans="1:1" ht="20.100000000000001" customHeight="1" x14ac:dyDescent="0.2">
      <c r="A71"/>
    </row>
    <row r="72" spans="1:1" ht="20.100000000000001" customHeight="1" x14ac:dyDescent="0.2">
      <c r="A72"/>
    </row>
    <row r="73" spans="1:1" ht="20.100000000000001" customHeight="1" x14ac:dyDescent="0.2">
      <c r="A73"/>
    </row>
    <row r="74" spans="1:1" ht="20.100000000000001" customHeight="1" x14ac:dyDescent="0.2">
      <c r="A74"/>
    </row>
    <row r="75" spans="1:1" ht="20.100000000000001" customHeight="1" x14ac:dyDescent="0.2">
      <c r="A75"/>
    </row>
    <row r="76" spans="1:1" ht="20.100000000000001" customHeight="1" x14ac:dyDescent="0.2">
      <c r="A76"/>
    </row>
    <row r="77" spans="1:1" ht="20.100000000000001" customHeight="1" x14ac:dyDescent="0.2">
      <c r="A77"/>
    </row>
    <row r="78" spans="1:1" ht="20.100000000000001" customHeight="1" x14ac:dyDescent="0.2">
      <c r="A78"/>
    </row>
    <row r="79" spans="1:1" ht="20.100000000000001" customHeight="1" x14ac:dyDescent="0.2">
      <c r="A79"/>
    </row>
    <row r="80" spans="1:1" ht="20.100000000000001" customHeight="1" x14ac:dyDescent="0.2">
      <c r="A80"/>
    </row>
    <row r="81" spans="1:1" ht="20.100000000000001" customHeight="1" x14ac:dyDescent="0.2">
      <c r="A81"/>
    </row>
    <row r="82" spans="1:1" ht="20.100000000000001" customHeight="1" x14ac:dyDescent="0.2">
      <c r="A82"/>
    </row>
    <row r="83" spans="1:1" ht="20.100000000000001" customHeight="1" x14ac:dyDescent="0.2">
      <c r="A83"/>
    </row>
    <row r="84" spans="1:1" ht="20.100000000000001" customHeight="1" x14ac:dyDescent="0.2">
      <c r="A84"/>
    </row>
    <row r="85" spans="1:1" ht="20.100000000000001" customHeight="1" x14ac:dyDescent="0.2">
      <c r="A85"/>
    </row>
    <row r="86" spans="1:1" ht="20.100000000000001" customHeight="1" x14ac:dyDescent="0.2">
      <c r="A86"/>
    </row>
    <row r="87" spans="1:1" ht="20.100000000000001" customHeight="1" x14ac:dyDescent="0.2">
      <c r="A87"/>
    </row>
    <row r="88" spans="1:1" ht="20.100000000000001" customHeight="1" x14ac:dyDescent="0.2">
      <c r="A88"/>
    </row>
    <row r="89" spans="1:1" ht="20.100000000000001" customHeight="1" x14ac:dyDescent="0.2">
      <c r="A89"/>
    </row>
    <row r="90" spans="1:1" ht="20.100000000000001" customHeight="1" x14ac:dyDescent="0.2">
      <c r="A90"/>
    </row>
    <row r="91" spans="1:1" ht="20.100000000000001" customHeight="1" x14ac:dyDescent="0.2">
      <c r="A91"/>
    </row>
    <row r="92" spans="1:1" ht="20.100000000000001" customHeight="1" x14ac:dyDescent="0.2">
      <c r="A92"/>
    </row>
    <row r="93" spans="1:1" ht="20.100000000000001" customHeight="1" x14ac:dyDescent="0.2">
      <c r="A93"/>
    </row>
    <row r="94" spans="1:1" ht="20.100000000000001" customHeight="1" x14ac:dyDescent="0.2">
      <c r="A94"/>
    </row>
    <row r="95" spans="1:1" ht="20.100000000000001" customHeight="1" x14ac:dyDescent="0.2">
      <c r="A95"/>
    </row>
    <row r="96" spans="1:1" ht="20.100000000000001" customHeight="1" x14ac:dyDescent="0.2">
      <c r="A96"/>
    </row>
    <row r="97" spans="1:1" ht="20.100000000000001" customHeight="1" x14ac:dyDescent="0.2">
      <c r="A97"/>
    </row>
    <row r="98" spans="1:1" ht="20.100000000000001" customHeight="1" x14ac:dyDescent="0.2">
      <c r="A98"/>
    </row>
    <row r="99" spans="1:1" ht="20.100000000000001" customHeight="1" x14ac:dyDescent="0.2">
      <c r="A99"/>
    </row>
    <row r="100" spans="1:1" ht="20.100000000000001" customHeight="1" x14ac:dyDescent="0.2">
      <c r="A100"/>
    </row>
    <row r="101" spans="1:1" ht="20.100000000000001" customHeight="1" x14ac:dyDescent="0.2">
      <c r="A101"/>
    </row>
    <row r="102" spans="1:1" ht="20.100000000000001" customHeight="1" x14ac:dyDescent="0.2">
      <c r="A102"/>
    </row>
    <row r="103" spans="1:1" ht="20.100000000000001" customHeight="1" x14ac:dyDescent="0.2">
      <c r="A103"/>
    </row>
    <row r="104" spans="1:1" ht="20.100000000000001" customHeight="1" x14ac:dyDescent="0.2">
      <c r="A104"/>
    </row>
    <row r="105" spans="1:1" ht="20.100000000000001" customHeight="1" x14ac:dyDescent="0.2">
      <c r="A105"/>
    </row>
    <row r="106" spans="1:1" ht="20.100000000000001" customHeight="1" x14ac:dyDescent="0.2">
      <c r="A106"/>
    </row>
    <row r="107" spans="1:1" ht="20.100000000000001" customHeight="1" x14ac:dyDescent="0.2">
      <c r="A107"/>
    </row>
    <row r="108" spans="1:1" ht="20.100000000000001" customHeight="1" x14ac:dyDescent="0.2">
      <c r="A108"/>
    </row>
    <row r="109" spans="1:1" ht="20.100000000000001" customHeight="1" x14ac:dyDescent="0.2">
      <c r="A109"/>
    </row>
    <row r="110" spans="1:1" ht="20.100000000000001" customHeight="1" x14ac:dyDescent="0.2">
      <c r="A110"/>
    </row>
    <row r="111" spans="1:1" ht="20.100000000000001" customHeight="1" x14ac:dyDescent="0.2">
      <c r="A111"/>
    </row>
    <row r="112" spans="1:1" ht="20.100000000000001" customHeight="1" x14ac:dyDescent="0.2">
      <c r="A112"/>
    </row>
    <row r="113" spans="1:1" ht="20.100000000000001" customHeight="1" x14ac:dyDescent="0.2">
      <c r="A113"/>
    </row>
    <row r="114" spans="1:1" ht="20.100000000000001" customHeight="1" x14ac:dyDescent="0.2">
      <c r="A114"/>
    </row>
    <row r="115" spans="1:1" ht="20.100000000000001" customHeight="1" x14ac:dyDescent="0.2">
      <c r="A115"/>
    </row>
    <row r="116" spans="1:1" ht="20.100000000000001" customHeight="1" x14ac:dyDescent="0.2">
      <c r="A116"/>
    </row>
    <row r="117" spans="1:1" ht="20.100000000000001" customHeight="1" x14ac:dyDescent="0.2">
      <c r="A117"/>
    </row>
    <row r="118" spans="1:1" ht="20.100000000000001" customHeight="1" x14ac:dyDescent="0.2">
      <c r="A118"/>
    </row>
    <row r="119" spans="1:1" ht="20.100000000000001" customHeight="1" x14ac:dyDescent="0.2">
      <c r="A119"/>
    </row>
    <row r="120" spans="1:1" ht="20.100000000000001" customHeight="1" x14ac:dyDescent="0.2">
      <c r="A120"/>
    </row>
    <row r="121" spans="1:1" ht="20.100000000000001" customHeight="1" x14ac:dyDescent="0.2">
      <c r="A121"/>
    </row>
    <row r="122" spans="1:1" ht="20.100000000000001" customHeight="1" x14ac:dyDescent="0.2">
      <c r="A122"/>
    </row>
    <row r="123" spans="1:1" ht="20.100000000000001" customHeight="1" x14ac:dyDescent="0.2">
      <c r="A123"/>
    </row>
    <row r="124" spans="1:1" ht="20.100000000000001" customHeight="1" x14ac:dyDescent="0.2">
      <c r="A124"/>
    </row>
    <row r="125" spans="1:1" ht="20.100000000000001" customHeight="1" x14ac:dyDescent="0.2">
      <c r="A125"/>
    </row>
    <row r="126" spans="1:1" ht="20.100000000000001" customHeight="1" x14ac:dyDescent="0.2">
      <c r="A126"/>
    </row>
    <row r="127" spans="1:1" ht="20.100000000000001" customHeight="1" x14ac:dyDescent="0.2">
      <c r="A127"/>
    </row>
    <row r="128" spans="1:1" ht="20.100000000000001" customHeight="1" x14ac:dyDescent="0.2">
      <c r="A128"/>
    </row>
    <row r="129" spans="1:1" ht="20.100000000000001" customHeight="1" x14ac:dyDescent="0.2">
      <c r="A129"/>
    </row>
    <row r="130" spans="1:1" ht="20.100000000000001" customHeight="1" x14ac:dyDescent="0.2">
      <c r="A130"/>
    </row>
    <row r="131" spans="1:1" ht="20.100000000000001" customHeight="1" x14ac:dyDescent="0.2">
      <c r="A131"/>
    </row>
    <row r="132" spans="1:1" ht="20.100000000000001" customHeight="1" x14ac:dyDescent="0.2">
      <c r="A132"/>
    </row>
    <row r="133" spans="1:1" ht="20.100000000000001" customHeight="1" x14ac:dyDescent="0.2">
      <c r="A133"/>
    </row>
    <row r="134" spans="1:1" ht="20.100000000000001" customHeight="1" x14ac:dyDescent="0.2">
      <c r="A134"/>
    </row>
    <row r="135" spans="1:1" ht="20.100000000000001" customHeight="1" x14ac:dyDescent="0.2">
      <c r="A135"/>
    </row>
    <row r="136" spans="1:1" ht="20.100000000000001" customHeight="1" x14ac:dyDescent="0.2">
      <c r="A136"/>
    </row>
    <row r="137" spans="1:1" ht="20.100000000000001" customHeight="1" x14ac:dyDescent="0.2">
      <c r="A137"/>
    </row>
    <row r="138" spans="1:1" ht="20.100000000000001" customHeight="1" x14ac:dyDescent="0.2">
      <c r="A138"/>
    </row>
    <row r="139" spans="1:1" ht="20.100000000000001" customHeight="1" x14ac:dyDescent="0.2">
      <c r="A139"/>
    </row>
    <row r="140" spans="1:1" ht="20.100000000000001" customHeight="1" x14ac:dyDescent="0.2">
      <c r="A140"/>
    </row>
    <row r="141" spans="1:1" ht="20.100000000000001" customHeight="1" x14ac:dyDescent="0.2">
      <c r="A141"/>
    </row>
    <row r="142" spans="1:1" ht="20.100000000000001" customHeight="1" x14ac:dyDescent="0.2">
      <c r="A142"/>
    </row>
    <row r="143" spans="1:1" ht="20.100000000000001" customHeight="1" x14ac:dyDescent="0.2">
      <c r="A143"/>
    </row>
    <row r="144" spans="1:1" ht="20.100000000000001" customHeight="1" x14ac:dyDescent="0.2">
      <c r="A144"/>
    </row>
    <row r="145" spans="1:1" ht="20.100000000000001" customHeight="1" x14ac:dyDescent="0.2">
      <c r="A145"/>
    </row>
    <row r="146" spans="1:1" ht="20.100000000000001" customHeight="1" x14ac:dyDescent="0.2">
      <c r="A146"/>
    </row>
    <row r="147" spans="1:1" ht="20.100000000000001" customHeight="1" x14ac:dyDescent="0.2">
      <c r="A147"/>
    </row>
    <row r="148" spans="1:1" ht="20.100000000000001" customHeight="1" x14ac:dyDescent="0.2">
      <c r="A148"/>
    </row>
    <row r="149" spans="1:1" ht="20.100000000000001" customHeight="1" x14ac:dyDescent="0.2">
      <c r="A149"/>
    </row>
    <row r="150" spans="1:1" ht="20.100000000000001" customHeight="1" x14ac:dyDescent="0.2">
      <c r="A150"/>
    </row>
    <row r="151" spans="1:1" ht="20.100000000000001" customHeight="1" x14ac:dyDescent="0.2">
      <c r="A151"/>
    </row>
    <row r="152" spans="1:1" ht="20.100000000000001" customHeight="1" x14ac:dyDescent="0.2">
      <c r="A152"/>
    </row>
    <row r="153" spans="1:1" ht="20.100000000000001" customHeight="1" x14ac:dyDescent="0.2">
      <c r="A153"/>
    </row>
    <row r="154" spans="1:1" ht="20.100000000000001" customHeight="1" x14ac:dyDescent="0.2">
      <c r="A154"/>
    </row>
    <row r="155" spans="1:1" ht="20.100000000000001" customHeight="1" x14ac:dyDescent="0.2">
      <c r="A155"/>
    </row>
    <row r="156" spans="1:1" ht="20.100000000000001" customHeight="1" x14ac:dyDescent="0.2">
      <c r="A156"/>
    </row>
    <row r="157" spans="1:1" ht="20.100000000000001" customHeight="1" x14ac:dyDescent="0.2">
      <c r="A157"/>
    </row>
    <row r="158" spans="1:1" ht="20.100000000000001" customHeight="1" x14ac:dyDescent="0.2">
      <c r="A158"/>
    </row>
    <row r="159" spans="1:1" ht="20.100000000000001" customHeight="1" x14ac:dyDescent="0.2">
      <c r="A159"/>
    </row>
    <row r="160" spans="1:1" ht="20.100000000000001" customHeight="1" x14ac:dyDescent="0.2">
      <c r="A160"/>
    </row>
  </sheetData>
  <dataValidations count="1">
    <dataValidation type="list" allowBlank="1" showInputMessage="1" showErrorMessage="1" sqref="E9:E18 E25:E34" xr:uid="{F00E3685-5A03-47C9-8940-DD0F03119062}">
      <formula1>"Transport in truck, Rail, Long haul flight, medium haul flight, Small container ship, Large container ship"</formula1>
    </dataValidation>
  </dataValidations>
  <pageMargins left="0.7" right="0.7" top="0.75" bottom="0.75" header="0.3" footer="0.3"/>
  <tableParts count="2">
    <tablePart r:id="rId1"/>
    <tablePart r:id="rId2"/>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04025A-FBBA-42BB-B147-FAD915DCF3AC}">
  <sheetPr>
    <tabColor theme="5" tint="-0.249977111117893"/>
  </sheetPr>
  <dimension ref="A1:L385"/>
  <sheetViews>
    <sheetView showGridLines="0" zoomScaleNormal="100" workbookViewId="0">
      <pane xSplit="1" topLeftCell="B1" activePane="topRight" state="frozen"/>
      <selection pane="topRight" activeCell="A4" sqref="A4"/>
    </sheetView>
  </sheetViews>
  <sheetFormatPr defaultRowHeight="20.100000000000001" customHeight="1" x14ac:dyDescent="0.2"/>
  <cols>
    <col min="1" max="1" width="36.7109375" customWidth="1"/>
    <col min="2" max="2" width="4.7109375" customWidth="1"/>
    <col min="3" max="3" width="4.7109375" style="1" customWidth="1"/>
    <col min="4" max="4" width="66.7109375" style="1" customWidth="1"/>
    <col min="5" max="5" width="47" style="1" customWidth="1"/>
    <col min="6" max="6" width="67.7109375" style="1" customWidth="1"/>
    <col min="7" max="7" width="30.85546875" style="1" customWidth="1"/>
    <col min="8" max="8" width="24.85546875" style="1" customWidth="1"/>
    <col min="9" max="9" width="29.7109375" style="1" customWidth="1"/>
    <col min="10" max="10" width="4.7109375" style="1" customWidth="1"/>
    <col min="11" max="11" width="4.7109375" customWidth="1"/>
  </cols>
  <sheetData>
    <row r="1" spans="1:10" s="10" customFormat="1" ht="30" customHeight="1" x14ac:dyDescent="0.35">
      <c r="A1" s="10" t="e" vm="1">
        <v>#VALUE!</v>
      </c>
      <c r="C1" s="10" t="s">
        <v>893</v>
      </c>
    </row>
    <row r="2" spans="1:10" s="3" customFormat="1" ht="20.100000000000001" customHeight="1" x14ac:dyDescent="0.2">
      <c r="A2"/>
    </row>
    <row r="3" spans="1:10" ht="20.100000000000001" customHeight="1" x14ac:dyDescent="0.2">
      <c r="A3" s="5" t="str">
        <f>HYPERLINK("#'Home'!A1", "Home")</f>
        <v>Home</v>
      </c>
      <c r="C3" s="29"/>
      <c r="D3" s="29"/>
      <c r="E3" s="29"/>
      <c r="F3" s="29"/>
      <c r="G3" s="29"/>
      <c r="H3" s="29"/>
      <c r="I3" s="29"/>
      <c r="J3" s="29"/>
    </row>
    <row r="4" spans="1:10" ht="20.100000000000001" customHeight="1" x14ac:dyDescent="0.2">
      <c r="A4" s="5" t="str">
        <f>HYPERLINK("#'Results - Activity period'!A1", "Results - Activity period")</f>
        <v>Results - Activity period</v>
      </c>
    </row>
    <row r="5" spans="1:10" ht="20.100000000000001" customHeight="1" x14ac:dyDescent="0.2">
      <c r="A5" s="5" t="str">
        <f>HYPERLINK("#'Results - Product EI'!A1", "Results - Product Emissions Intensity")</f>
        <v>Results - Product Emissions Intensity</v>
      </c>
      <c r="D5" s="2" t="s">
        <v>894</v>
      </c>
    </row>
    <row r="7" spans="1:10" ht="20.100000000000001" customHeight="1" x14ac:dyDescent="0.2">
      <c r="D7" s="36" t="s">
        <v>771</v>
      </c>
      <c r="E7" s="39"/>
    </row>
    <row r="8" spans="1:10" ht="20.100000000000001" customHeight="1" x14ac:dyDescent="0.2">
      <c r="A8" s="7" t="s">
        <v>0</v>
      </c>
    </row>
    <row r="9" spans="1:10" ht="20.100000000000001" customHeight="1" x14ac:dyDescent="0.2">
      <c r="A9" s="5" t="str">
        <f>HYPERLINK("#'Input - Enterprise'!A1", "Enterprise")</f>
        <v>Enterprise</v>
      </c>
      <c r="D9" s="82" t="s">
        <v>194</v>
      </c>
      <c r="E9" s="82" t="s">
        <v>895</v>
      </c>
      <c r="F9" s="82" t="s">
        <v>896</v>
      </c>
      <c r="G9" s="82" t="s">
        <v>897</v>
      </c>
      <c r="H9" s="82" t="s">
        <v>898</v>
      </c>
      <c r="I9" s="82" t="s">
        <v>899</v>
      </c>
    </row>
    <row r="10" spans="1:10" ht="20.100000000000001" customHeight="1" x14ac:dyDescent="0.2">
      <c r="A10" s="5" t="str">
        <f>HYPERLINK("#'Input - Site'!A1", "Site")</f>
        <v>Site</v>
      </c>
      <c r="D10" s="34"/>
      <c r="E10" s="13"/>
      <c r="F10" s="13"/>
      <c r="G10" s="13"/>
      <c r="H10" s="76"/>
      <c r="I10" s="13"/>
    </row>
    <row r="11" spans="1:10" ht="20.100000000000001" customHeight="1" x14ac:dyDescent="0.2">
      <c r="A11" s="5" t="str">
        <f>HYPERLINK("#'Input - Pasture Beef'!A1", "Pasture Beef")</f>
        <v>Pasture Beef</v>
      </c>
      <c r="D11" s="34"/>
      <c r="E11" s="13"/>
      <c r="F11" s="13"/>
      <c r="G11" s="13"/>
      <c r="H11" s="76"/>
      <c r="I11" s="13"/>
    </row>
    <row r="12" spans="1:10" ht="20.100000000000001" customHeight="1" x14ac:dyDescent="0.2">
      <c r="A12" s="5" t="str">
        <f>HYPERLINK("#'Input - Livestock sales'!A1", "Livestock sales")</f>
        <v>Livestock sales</v>
      </c>
      <c r="D12" s="34"/>
      <c r="E12" s="13"/>
      <c r="F12" s="13"/>
      <c r="G12" s="13"/>
      <c r="H12" s="76"/>
      <c r="I12" s="13"/>
    </row>
    <row r="13" spans="1:10" ht="20.100000000000001" customHeight="1" x14ac:dyDescent="0.2">
      <c r="A13" s="5" t="str">
        <f>HYPERLINK("#'Input - Beef cattle purchases'!A1", "Beef cattle purchases")</f>
        <v>Beef cattle purchases</v>
      </c>
      <c r="D13" s="34"/>
      <c r="E13" s="13"/>
      <c r="F13" s="13"/>
      <c r="G13" s="13"/>
      <c r="H13" s="76"/>
      <c r="I13" s="13"/>
    </row>
    <row r="14" spans="1:10" ht="20.100000000000001" customHeight="1" x14ac:dyDescent="0.2">
      <c r="A14" s="5" t="str">
        <f>HYPERLINK("#'Input - Pasture'!A1", "Pasture")</f>
        <v>Pasture</v>
      </c>
      <c r="D14" s="34"/>
      <c r="E14" s="13"/>
      <c r="F14" s="13"/>
      <c r="G14" s="13"/>
      <c r="H14" s="76"/>
      <c r="I14" s="13"/>
    </row>
    <row r="15" spans="1:10" ht="20.100000000000001" customHeight="1" x14ac:dyDescent="0.2">
      <c r="A15" s="5" t="str">
        <f>HYPERLINK("#'Input - Fert Prod System'!A1", "Fert Prod System")</f>
        <v>Fert Prod System</v>
      </c>
      <c r="D15" s="34"/>
      <c r="E15" s="13"/>
      <c r="F15" s="13"/>
      <c r="G15" s="13"/>
      <c r="H15" s="76"/>
      <c r="I15" s="13"/>
    </row>
    <row r="16" spans="1:10" ht="20.100000000000001" customHeight="1" x14ac:dyDescent="0.2">
      <c r="A16" s="5" t="str">
        <f>HYPERLINK("#'Input - Fertiliser'!A1", "Fertiliser")</f>
        <v>Fertiliser</v>
      </c>
      <c r="D16" s="34"/>
      <c r="E16" s="13"/>
      <c r="F16" s="13"/>
      <c r="G16" s="13"/>
      <c r="H16" s="76"/>
      <c r="I16" s="13"/>
    </row>
    <row r="17" spans="1:11" ht="20.100000000000001" customHeight="1" x14ac:dyDescent="0.2">
      <c r="A17" s="5" t="str">
        <f>HYPERLINK("#'Input - Fuel'!A1", "Fuel")</f>
        <v>Fuel</v>
      </c>
      <c r="D17" s="34"/>
      <c r="E17" s="13"/>
      <c r="F17" s="13"/>
      <c r="G17" s="13"/>
      <c r="H17" s="76"/>
      <c r="I17" s="13"/>
    </row>
    <row r="18" spans="1:11" ht="20.100000000000001" customHeight="1" x14ac:dyDescent="0.2">
      <c r="A18" s="5" t="str">
        <f>HYPERLINK("#'Input - Electricity'!A1", "Electricity")</f>
        <v>Electricity</v>
      </c>
      <c r="D18" s="34"/>
      <c r="E18" s="13"/>
      <c r="F18" s="13"/>
      <c r="G18" s="13"/>
      <c r="H18" s="76"/>
      <c r="I18" s="13"/>
    </row>
    <row r="19" spans="1:11" ht="20.100000000000001" customHeight="1" x14ac:dyDescent="0.2">
      <c r="A19" s="5" t="str">
        <f>HYPERLINK("#'Input - Common farm inputs'!A1", "Common farm inputs")</f>
        <v>Common farm inputs</v>
      </c>
      <c r="D19" s="34"/>
      <c r="E19" s="13"/>
      <c r="F19" s="13"/>
      <c r="G19" s="13"/>
      <c r="H19" s="76"/>
      <c r="I19" s="13"/>
    </row>
    <row r="20" spans="1:11" ht="20.100000000000001" customHeight="1" x14ac:dyDescent="0.2">
      <c r="A20" s="5" t="str">
        <f>HYPERLINK("#'Input - Crop pasture farm input'!A1", "Crop pasture farm input")</f>
        <v>Crop pasture farm input</v>
      </c>
      <c r="D20" s="34"/>
      <c r="E20" s="13"/>
      <c r="F20" s="13"/>
      <c r="G20" s="13"/>
      <c r="H20" s="76"/>
      <c r="I20" s="13"/>
    </row>
    <row r="21" spans="1:11" ht="20.100000000000001" customHeight="1" x14ac:dyDescent="0.2">
      <c r="A21" s="5" t="str">
        <f>HYPERLINK("#'Input - Livestock farm Inputs'!A1", "Livestock farm Inputs")</f>
        <v>Livestock farm Inputs</v>
      </c>
      <c r="D21" s="34"/>
      <c r="E21" s="13"/>
      <c r="F21" s="13"/>
      <c r="G21" s="13"/>
      <c r="H21" s="76"/>
      <c r="I21" s="13"/>
    </row>
    <row r="22" spans="1:11" ht="20.100000000000001" customHeight="1" x14ac:dyDescent="0.2">
      <c r="A22" s="5" t="str">
        <f>HYPERLINK("#'Input - Freight'!A1", "Freight")</f>
        <v>Freight</v>
      </c>
      <c r="D22" s="34"/>
      <c r="E22" s="13"/>
      <c r="F22" s="13"/>
      <c r="G22" s="13"/>
      <c r="H22" s="76"/>
      <c r="I22" s="13"/>
    </row>
    <row r="23" spans="1:11" ht="20.100000000000001" customHeight="1" x14ac:dyDescent="0.2">
      <c r="A23" s="99" t="str">
        <f>HYPERLINK("#'Input - Solid waste'!A1", "Solid waste")</f>
        <v>Solid waste</v>
      </c>
      <c r="D23" s="34"/>
      <c r="E23" s="13"/>
      <c r="F23" s="13"/>
      <c r="G23" s="13"/>
      <c r="H23" s="76"/>
      <c r="I23" s="13"/>
    </row>
    <row r="24" spans="1:11" ht="20.100000000000001" customHeight="1" x14ac:dyDescent="0.2">
      <c r="A24" s="5" t="str">
        <f>HYPERLINK("#'Input - Manure sent off-site'!A1", "Manure sent off-site")</f>
        <v>Manure sent off-site</v>
      </c>
      <c r="D24" s="34"/>
      <c r="E24" s="13"/>
      <c r="F24" s="13"/>
      <c r="G24" s="13"/>
      <c r="H24" s="76"/>
      <c r="I24" s="13"/>
    </row>
    <row r="25" spans="1:11" ht="20.100000000000001" customHeight="1" x14ac:dyDescent="0.2">
      <c r="A25" s="5" t="str">
        <f>HYPERLINK("#'Input - Data quality'!A1", "Data quality")</f>
        <v>Data quality</v>
      </c>
      <c r="D25" s="34"/>
      <c r="E25" s="13"/>
      <c r="F25" s="13"/>
      <c r="G25" s="13"/>
      <c r="H25" s="76"/>
      <c r="I25" s="13"/>
    </row>
    <row r="26" spans="1:11" ht="20.100000000000001" customHeight="1" x14ac:dyDescent="0.2">
      <c r="D26" s="34"/>
      <c r="E26" s="13"/>
      <c r="F26" s="13"/>
      <c r="G26" s="13"/>
      <c r="H26" s="76"/>
      <c r="I26" s="13"/>
    </row>
    <row r="27" spans="1:11" ht="20.100000000000001" customHeight="1" x14ac:dyDescent="0.2">
      <c r="D27" s="34"/>
      <c r="E27" s="13"/>
      <c r="F27" s="13"/>
      <c r="G27" s="13"/>
      <c r="H27" s="76"/>
      <c r="I27" s="13"/>
    </row>
    <row r="28" spans="1:11" ht="20.100000000000001" customHeight="1" x14ac:dyDescent="0.2">
      <c r="A28" s="6" t="s">
        <v>2</v>
      </c>
      <c r="D28" s="34"/>
      <c r="E28" s="13"/>
      <c r="F28" s="13"/>
      <c r="G28" s="13"/>
      <c r="H28" s="76"/>
      <c r="I28" s="13"/>
    </row>
    <row r="29" spans="1:11" ht="20.100000000000001" customHeight="1" x14ac:dyDescent="0.2">
      <c r="A29" s="5" t="str">
        <f>HYPERLINK("#'3.2.1.1-2 Enteric Methane'!A1", "3.2.1.1-2 Enteric Methane")</f>
        <v>3.2.1.1-2 Enteric Methane</v>
      </c>
      <c r="D29" s="34"/>
      <c r="E29" s="13"/>
      <c r="F29" s="13"/>
      <c r="G29" s="13"/>
      <c r="H29" s="76"/>
      <c r="I29" s="13"/>
      <c r="K29" s="155"/>
    </row>
    <row r="30" spans="1:11" ht="20.100000000000001" customHeight="1" x14ac:dyDescent="0.2">
      <c r="A30" s="5" t="str">
        <f>HYPERLINK("#'4.2.1.1-2 Methane'!A1", "4.2.1.1-2 Manure methane")</f>
        <v>4.2.1.1-2 Manure methane</v>
      </c>
      <c r="D30" s="34"/>
      <c r="E30" s="13"/>
      <c r="F30" s="13"/>
      <c r="G30" s="13"/>
      <c r="H30" s="76"/>
      <c r="I30" s="13"/>
      <c r="K30" s="155"/>
    </row>
    <row r="31" spans="1:11" ht="20.100000000000001" customHeight="1" x14ac:dyDescent="0.2">
      <c r="A31" s="5" t="str">
        <f>HYPERLINK("#'4.2.1.3-4 Soil direct N20'!A1", "4.2.1.3-4 Soil direct N2O")</f>
        <v>4.2.1.3-4 Soil direct N2O</v>
      </c>
      <c r="D31" s="34"/>
      <c r="E31" s="13"/>
      <c r="F31" s="13"/>
      <c r="G31" s="13"/>
      <c r="H31" s="76"/>
      <c r="I31" s="13"/>
      <c r="K31" s="155"/>
    </row>
    <row r="32" spans="1:11" ht="20.100000000000001" customHeight="1" x14ac:dyDescent="0.2">
      <c r="A32" s="5" t="str">
        <f>HYPERLINK("#'4.2.1.5-6 Soil Atmos Dep'!A1", "4.2.1.5-6 Soil atm. deposition")</f>
        <v>4.2.1.5-6 Soil atm. deposition</v>
      </c>
      <c r="D32" s="34"/>
      <c r="E32" s="13"/>
      <c r="F32" s="13"/>
      <c r="G32" s="13"/>
      <c r="H32" s="76"/>
      <c r="I32" s="13"/>
      <c r="K32" s="155"/>
    </row>
    <row r="33" spans="1:12" ht="20.100000000000001" customHeight="1" x14ac:dyDescent="0.2">
      <c r="A33" s="5" t="str">
        <f>HYPERLINK("#'4.2.1.7-8 Soil leach runoff'!A1", "4.2.1.7-8 Soil leach &amp; runoff")</f>
        <v>4.2.1.7-8 Soil leach &amp; runoff</v>
      </c>
      <c r="K33" s="155"/>
    </row>
    <row r="34" spans="1:12" ht="20.100000000000001" customHeight="1" x14ac:dyDescent="0.2">
      <c r="A34" s="5" t="str">
        <f>HYPERLINK("#'5.1.1.1-2 Inorganic fert N2O'!A1", "5.1.1.1-2 Inorganic fert N2O")</f>
        <v>5.1.1.1-2 Inorganic fert N2O</v>
      </c>
      <c r="K34" s="155"/>
    </row>
    <row r="35" spans="1:12" ht="20.100000000000001" customHeight="1" x14ac:dyDescent="0.2">
      <c r="A35" s="5" t="str">
        <f>HYPERLINK("#'5.1.1.3-4 Inorganic fert CO2'!A1", "5.1.1.3-4 Inorganic fert CO2")</f>
        <v>5.1.1.3-4 Inorganic fert CO2</v>
      </c>
    </row>
    <row r="36" spans="1:12" ht="20.100000000000001" customHeight="1" x14ac:dyDescent="0.2">
      <c r="A36" s="5" t="str">
        <f>HYPERLINK("#'5.2.1.1-2 Organic Fert N2O'!A1", "5.2.1.1-2 Organic fert N2O")</f>
        <v>5.2.1.1-2 Organic fert N2O</v>
      </c>
      <c r="L36" s="155"/>
    </row>
    <row r="37" spans="1:12" ht="20.100000000000001" customHeight="1" x14ac:dyDescent="0.2">
      <c r="A37" s="5" t="str">
        <f>HYPERLINK("#'5.3.1.1-2 Lime CO2'!A1", "5.3.1.1-2 Lime CO2")</f>
        <v>5.3.1.1-2 Lime CO2</v>
      </c>
      <c r="L37" s="155"/>
    </row>
    <row r="38" spans="1:12" ht="20.100000000000001" customHeight="1" x14ac:dyDescent="0.2">
      <c r="A38" s="5" t="str">
        <f>HYPERLINK("#'5.4.1.1-4 Atmos deposition'!A1", "5.4.1.1-4 Atmos. deposition")</f>
        <v>5.4.1.1-4 Atmos. deposition</v>
      </c>
      <c r="C38" s="143"/>
    </row>
    <row r="39" spans="1:12" ht="20.100000000000001" customHeight="1" x14ac:dyDescent="0.2">
      <c r="A39" s="5" t="str">
        <f>HYPERLINK("#'5.5.1.1-2 Leaching and runoff'!A1", "5.5.1.1-2 Leaching &amp; runoff")</f>
        <v>5.5.1.1-2 Leaching &amp; runoff</v>
      </c>
      <c r="C39" s="143"/>
      <c r="J39" s="143"/>
    </row>
    <row r="40" spans="1:12" s="155" customFormat="1" ht="20.100000000000001" customHeight="1" x14ac:dyDescent="0.2">
      <c r="A40" s="5" t="str">
        <f>HYPERLINK("#'6.2.1.1-2 Pasture residue N2O'!A1", "6.2.1.1-2 Pasture residue N2O")</f>
        <v>6.2.1.1-2 Pasture residue N2O</v>
      </c>
      <c r="C40" s="1"/>
      <c r="D40" s="1"/>
      <c r="E40" s="1"/>
      <c r="F40" s="1"/>
      <c r="G40" s="1"/>
      <c r="H40" s="1"/>
      <c r="I40" s="1"/>
      <c r="J40" s="1"/>
    </row>
    <row r="41" spans="1:12" s="155" customFormat="1" ht="20.100000000000001" customHeight="1" x14ac:dyDescent="0.2">
      <c r="A41" s="5" t="str">
        <f>HYPERLINK("#'6.3.1.1-2 Leach runoff pasture'!A1", "6.3.1.1-2 Leach &amp; runoff (pasture)")</f>
        <v>6.3.1.1-2 Leach &amp; runoff (pasture)</v>
      </c>
      <c r="C41" s="1"/>
      <c r="D41" s="1"/>
      <c r="E41" s="1"/>
      <c r="F41" s="1"/>
      <c r="G41" s="1"/>
      <c r="H41" s="1"/>
      <c r="I41" s="1"/>
      <c r="J41" s="1"/>
      <c r="L41" s="155" t="s">
        <v>781</v>
      </c>
    </row>
    <row r="42" spans="1:12" ht="20.100000000000001" customHeight="1" x14ac:dyDescent="0.2">
      <c r="A42" s="5" t="str">
        <f>HYPERLINK("#'8.1.1.1-2 Transport fuel'!A1", "8.1.1.1-2 Transport fuel")</f>
        <v>8.1.1.1-2 Transport fuel</v>
      </c>
    </row>
    <row r="43" spans="1:12" ht="20.100000000000001" customHeight="1" x14ac:dyDescent="0.2">
      <c r="A43" s="5" t="str">
        <f>HYPERLINK("#'8.2.1.1-2 Stationary fuel'!A1", "8.2.1.1-2 Stationary fuel")</f>
        <v>8.2.1.1-2 Stationary fuel</v>
      </c>
    </row>
    <row r="44" spans="1:12" ht="20.100000000000001" customHeight="1" x14ac:dyDescent="0.2">
      <c r="A44" s="5" t="str">
        <f>HYPERLINK("#'10.1.1-2 Solid waste treatment'!A1", "10.1.1.1-2 Solid waste")</f>
        <v>10.1.1.1-2 Solid waste</v>
      </c>
    </row>
    <row r="45" spans="1:12" ht="20.100000000000001" customHeight="1" x14ac:dyDescent="0.2">
      <c r="A45" s="5" t="str">
        <f>HYPERLINK("#'14.1.1-2 Purchased electricity'!A1", "14.1.1-2 Purchased electricity")</f>
        <v>14.1.1-2 Purchased electricity</v>
      </c>
    </row>
    <row r="46" spans="1:12" ht="20.100000000000001" customHeight="1" x14ac:dyDescent="0.2">
      <c r="A46" s="5" t="str">
        <f>HYPERLINK("#'15 Scope 3'!A1", "15 Scope 3")</f>
        <v>15 Scope 3</v>
      </c>
    </row>
    <row r="47" spans="1:12" ht="20.100000000000001" customHeight="1" x14ac:dyDescent="0.2">
      <c r="A47" s="5" t="str">
        <f>HYPERLINK("#'Calcs - Manure sent off-site'!A1", "Calcs - Manure sent off-site")</f>
        <v>Calcs - Manure sent off-site</v>
      </c>
    </row>
    <row r="50" spans="1:1" ht="20.100000000000001" customHeight="1" x14ac:dyDescent="0.2">
      <c r="A50" s="85" t="s">
        <v>1</v>
      </c>
    </row>
    <row r="51" spans="1:1" ht="20.100000000000001" customHeight="1" x14ac:dyDescent="0.2">
      <c r="A51" s="5" t="str">
        <f>HYPERLINK("#'Constants - Pasture Beef'!A1", "Constants - Pasture Beef")</f>
        <v>Constants - Pasture Beef</v>
      </c>
    </row>
    <row r="52" spans="1:1" ht="20.100000000000001" customHeight="1" x14ac:dyDescent="0.2">
      <c r="A52" s="5" t="str">
        <f>HYPERLINK("#'Constants - Ag Residue'!A1", "Constants - Ag residue")</f>
        <v>Constants - Ag residue</v>
      </c>
    </row>
    <row r="53" spans="1:1" ht="20.100000000000001" customHeight="1" x14ac:dyDescent="0.2">
      <c r="A53" s="5" t="str">
        <f>HYPERLINK("#'Constants - Common Livestock'!A1", "Constants - Common Livestock")</f>
        <v>Constants - Common Livestock</v>
      </c>
    </row>
    <row r="54" spans="1:1" ht="20.100000000000001" customHeight="1" x14ac:dyDescent="0.2">
      <c r="A54" s="5" t="str">
        <f>HYPERLINK("#'Constants - Electricity'!A1", "Constants - Electricity")</f>
        <v>Constants - Electricity</v>
      </c>
    </row>
    <row r="55" spans="1:1" ht="20.100000000000001" customHeight="1" x14ac:dyDescent="0.2">
      <c r="A55" s="5" t="str">
        <f>HYPERLINK("#'Constants - Fertiliser'!A1", "Constants - Fertiliser")</f>
        <v>Constants - Fertiliser</v>
      </c>
    </row>
    <row r="56" spans="1:1" ht="20.100000000000001" customHeight="1" x14ac:dyDescent="0.2">
      <c r="A56" s="5" t="str">
        <f>HYPERLINK("#'Constants - Fuel'!A1", "Constants - Fuel")</f>
        <v>Constants - Fuel</v>
      </c>
    </row>
    <row r="57" spans="1:1" ht="20.100000000000001" customHeight="1" x14ac:dyDescent="0.2">
      <c r="A57" s="5" t="str">
        <f>HYPERLINK("#'Constants - Scope 3'!A1", "Constants - Scope 3")</f>
        <v>Constants - Scope 3</v>
      </c>
    </row>
    <row r="58" spans="1:1" ht="20.100000000000001" customHeight="1" x14ac:dyDescent="0.2">
      <c r="A58" s="5" t="str">
        <f>HYPERLINK("#'Constants - Solid Waste'!A1", "Constants - Solid Waste")</f>
        <v>Constants - Solid Waste</v>
      </c>
    </row>
    <row r="59" spans="1:1" ht="20.100000000000001" customHeight="1" x14ac:dyDescent="0.2">
      <c r="A59" s="5" t="str">
        <f>HYPERLINK("#'Constants - Common'!A1", "Constants - Common")</f>
        <v>Constants - Common</v>
      </c>
    </row>
    <row r="60" spans="1:1" ht="20.100000000000001" customHeight="1" x14ac:dyDescent="0.2">
      <c r="A60" s="5" t="str">
        <f>HYPERLINK("#'Acknowledgements'!A1", "Acknowledgements")</f>
        <v>Acknowledgements</v>
      </c>
    </row>
    <row r="73" spans="4:4" ht="20.100000000000001" customHeight="1" x14ac:dyDescent="0.2">
      <c r="D73" s="184"/>
    </row>
    <row r="75" spans="4:4" ht="20.100000000000001" customHeight="1" x14ac:dyDescent="0.2">
      <c r="D75" s="184"/>
    </row>
    <row r="76" spans="4:4" ht="20.100000000000001" customHeight="1" x14ac:dyDescent="0.2">
      <c r="D76" s="184"/>
    </row>
    <row r="385" spans="4:4" ht="20.100000000000001" customHeight="1" x14ac:dyDescent="0.2">
      <c r="D385" s="80"/>
    </row>
  </sheetData>
  <conditionalFormatting sqref="F162:F163">
    <cfRule type="cellIs" dxfId="18" priority="7" operator="lessThan">
      <formula>0</formula>
    </cfRule>
  </conditionalFormatting>
  <conditionalFormatting sqref="F174:F175">
    <cfRule type="cellIs" dxfId="17" priority="6" operator="lessThan">
      <formula>0</formula>
    </cfRule>
  </conditionalFormatting>
  <conditionalFormatting sqref="F186:F187">
    <cfRule type="cellIs" dxfId="16" priority="5" operator="lessThan">
      <formula>0</formula>
    </cfRule>
  </conditionalFormatting>
  <conditionalFormatting sqref="F274:F275">
    <cfRule type="cellIs" dxfId="15" priority="17" operator="lessThan">
      <formula>0</formula>
    </cfRule>
  </conditionalFormatting>
  <conditionalFormatting sqref="F279:F280">
    <cfRule type="cellIs" dxfId="14" priority="16" operator="lessThan">
      <formula>0</formula>
    </cfRule>
  </conditionalFormatting>
  <conditionalFormatting sqref="F284:F285">
    <cfRule type="cellIs" dxfId="13" priority="15" operator="lessThan">
      <formula>0</formula>
    </cfRule>
  </conditionalFormatting>
  <conditionalFormatting sqref="F308:F309">
    <cfRule type="cellIs" dxfId="12" priority="14" operator="lessThan">
      <formula>0</formula>
    </cfRule>
  </conditionalFormatting>
  <conditionalFormatting sqref="F313:F314">
    <cfRule type="cellIs" dxfId="11" priority="13" operator="lessThan">
      <formula>0</formula>
    </cfRule>
  </conditionalFormatting>
  <conditionalFormatting sqref="F318:F319">
    <cfRule type="cellIs" dxfId="10" priority="12" operator="lessThan">
      <formula>0</formula>
    </cfRule>
  </conditionalFormatting>
  <conditionalFormatting sqref="I33 F71">
    <cfRule type="cellIs" dxfId="9" priority="9" operator="lessThan">
      <formula>0</formula>
    </cfRule>
  </conditionalFormatting>
  <conditionalFormatting sqref="I79:I83">
    <cfRule type="cellIs" dxfId="8" priority="4" operator="lessThan">
      <formula>0</formula>
    </cfRule>
  </conditionalFormatting>
  <conditionalFormatting sqref="I87 I146">
    <cfRule type="cellIs" dxfId="7" priority="10" operator="lessThan">
      <formula>0</formula>
    </cfRule>
  </conditionalFormatting>
  <conditionalFormatting sqref="I98:I100">
    <cfRule type="cellIs" dxfId="6" priority="3" operator="lessThan">
      <formula>0</formula>
    </cfRule>
  </conditionalFormatting>
  <conditionalFormatting sqref="I104:I107">
    <cfRule type="cellIs" dxfId="5" priority="2" operator="lessThan">
      <formula>0</formula>
    </cfRule>
  </conditionalFormatting>
  <conditionalFormatting sqref="I111:I115">
    <cfRule type="cellIs" dxfId="4" priority="1" operator="lessThan">
      <formula>0</formula>
    </cfRule>
  </conditionalFormatting>
  <conditionalFormatting sqref="J8 I65:I66 H67:H69 I68 I70:I72 I74:I75 I226 I232 E234:G234">
    <cfRule type="cellIs" dxfId="3" priority="11" operator="lessThan">
      <formula>0</formula>
    </cfRule>
  </conditionalFormatting>
  <conditionalFormatting sqref="J37 I59 F150:F151">
    <cfRule type="cellIs" dxfId="2" priority="8" operator="lessThan">
      <formula>0</formula>
    </cfRule>
  </conditionalFormatting>
  <dataValidations count="9">
    <dataValidation type="list" allowBlank="1" showInputMessage="1" showErrorMessage="1" sqref="F10:F32" xr:uid="{37ACDAC9-D4D7-485F-B0AE-BA1E77294422}">
      <formula1>INDIRECT("Table_WasteTypes_" &amp; SUBSTITUTE(E10, " ", "") &amp; "[Waste type w]")</formula1>
    </dataValidation>
    <dataValidation type="list" allowBlank="1" showInputMessage="1" showErrorMessage="1" sqref="I10:I32" xr:uid="{FDB24F24-7794-44A9-AA61-4E93CD6AF4C5}">
      <formula1>"tonnes, cubic metres m3"</formula1>
    </dataValidation>
    <dataValidation type="list" allowBlank="1" showInputMessage="1" showErrorMessage="1" sqref="G10:G32" xr:uid="{D1AA47DA-A5C6-4499-92D7-1FEF4F0D61D4}">
      <formula1>"Treated on-site, Removed and treated off-site"</formula1>
    </dataValidation>
    <dataValidation type="list" allowBlank="1" showInputMessage="1" showErrorMessage="1" sqref="E10:E32" xr:uid="{A0BA01E3-C75C-4F0C-8BB7-A2B39789E6B1}">
      <formula1>INDIRECT(_xlfn.UNIQUE("Table_SourceData_WasteSolid_WasteTreatmentEFs[Treatment type t]"))</formula1>
    </dataValidation>
    <dataValidation type="list" allowBlank="1" showInputMessage="1" showErrorMessage="1" sqref="E35" xr:uid="{33B53AD2-D6A6-4E0D-9AAB-7E8900C11FD0}">
      <formula1>INDIRECT("Table_SourceData_ElectricityEFs[State, Territory or grid description]")</formula1>
    </dataValidation>
    <dataValidation type="list" allowBlank="1" showInputMessage="1" showErrorMessage="1" sqref="E89" xr:uid="{D0C10956-B0AF-491E-8169-9902830678E3}">
      <formula1>INDIRECT("Table_SourceData_Swine_IrrigationMethods[Irrigation method]")</formula1>
    </dataValidation>
    <dataValidation type="list" allowBlank="1" showInputMessage="1" showErrorMessage="1" sqref="E273 E278 E283 E317 E312 E307 E185 E173 E149 E161" xr:uid="{3F148ACC-8EBB-4F01-94E3-FFCEAF68EDA7}">
      <formula1>"Yes, No"</formula1>
    </dataValidation>
    <dataValidation type="list" allowBlank="1" showInputMessage="1" showErrorMessage="1" sqref="E249" xr:uid="{7A5281A0-A90B-433C-913C-98980C4FC570}">
      <formula1>INDIRECT("Table_SourceData_Dairy_ProductionSystemTemplates[Area]")</formula1>
    </dataValidation>
    <dataValidation type="list" allowBlank="1" showInputMessage="1" showErrorMessage="1" sqref="D301" xr:uid="{F8539878-581A-417A-AFC1-2446189B780D}">
      <formula1>INDIRECT("Table_SourceData_PoultryMMSStage1[MMS]")</formula1>
    </dataValidation>
  </dataValidations>
  <pageMargins left="0.7" right="0.7" top="0.75" bottom="0.75" header="0.3" footer="0.3"/>
  <pageSetup paperSize="9" orientation="portrait" r:id="rId1"/>
  <tableParts count="1">
    <tablePart r:id="rId2"/>
  </tablePart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8808FF-233A-47F4-9983-BCCA5A8BAB02}">
  <sheetPr>
    <tabColor theme="5" tint="-0.249977111117893"/>
  </sheetPr>
  <dimension ref="A1:K160"/>
  <sheetViews>
    <sheetView showGridLines="0" zoomScaleNormal="100" workbookViewId="0">
      <pane xSplit="1" topLeftCell="B1" activePane="topRight" state="frozen"/>
      <selection pane="topRight" activeCell="A59" sqref="A59"/>
    </sheetView>
  </sheetViews>
  <sheetFormatPr defaultRowHeight="20.100000000000001" customHeight="1" x14ac:dyDescent="0.2"/>
  <cols>
    <col min="1" max="1" width="36.7109375" style="239" customWidth="1"/>
    <col min="2" max="2" width="5.28515625" style="239" customWidth="1"/>
    <col min="3" max="3" width="5.28515625" style="1" customWidth="1"/>
    <col min="4" max="10" width="35" style="1" customWidth="1"/>
    <col min="11" max="11" width="5.28515625" style="1" customWidth="1"/>
    <col min="12" max="16384" width="9.140625" style="239"/>
  </cols>
  <sheetData>
    <row r="1" spans="1:11" ht="30" customHeight="1" x14ac:dyDescent="0.35">
      <c r="A1" s="10" t="e" vm="1">
        <v>#VALUE!</v>
      </c>
      <c r="C1" s="10" t="s">
        <v>1050</v>
      </c>
      <c r="D1" s="10"/>
      <c r="E1" s="10"/>
      <c r="F1" s="10"/>
      <c r="G1" s="10"/>
      <c r="H1" s="10"/>
      <c r="I1" s="10"/>
      <c r="J1" s="10"/>
      <c r="K1" s="10"/>
    </row>
    <row r="2" spans="1:11" s="3" customFormat="1" ht="20.100000000000001" customHeight="1" x14ac:dyDescent="0.2">
      <c r="A2"/>
    </row>
    <row r="3" spans="1:11" ht="20.100000000000001" customHeight="1" x14ac:dyDescent="0.2">
      <c r="A3" s="5" t="str">
        <f>HYPERLINK("#'Home'!A1", "Home")</f>
        <v>Home</v>
      </c>
      <c r="C3" s="29"/>
      <c r="D3" s="29"/>
      <c r="E3" s="29"/>
      <c r="F3" s="29"/>
      <c r="G3" s="29"/>
      <c r="H3" s="29"/>
      <c r="I3" s="29"/>
      <c r="J3" s="29"/>
      <c r="K3" s="29"/>
    </row>
    <row r="4" spans="1:11" ht="20.100000000000001" customHeight="1" x14ac:dyDescent="0.2">
      <c r="A4" s="5" t="str">
        <f>HYPERLINK("#'Results - Activity period'!A1", "Results - Activity period")</f>
        <v>Results - Activity period</v>
      </c>
    </row>
    <row r="5" spans="1:11" ht="20.100000000000001" customHeight="1" x14ac:dyDescent="0.2">
      <c r="A5" s="5" t="str">
        <f>HYPERLINK("#'Results - Product EI'!A1", "Results - Product Emissions Intensity")</f>
        <v>Results - Product Emissions Intensity</v>
      </c>
      <c r="D5" s="2" t="s">
        <v>1051</v>
      </c>
    </row>
    <row r="6" spans="1:11" ht="20.100000000000001" customHeight="1" x14ac:dyDescent="0.2">
      <c r="A6"/>
    </row>
    <row r="7" spans="1:11" ht="20.100000000000001" customHeight="1" x14ac:dyDescent="0.2">
      <c r="A7"/>
      <c r="D7" s="1" t="s">
        <v>1052</v>
      </c>
    </row>
    <row r="8" spans="1:11" ht="20.100000000000001" customHeight="1" x14ac:dyDescent="0.2">
      <c r="A8" s="7" t="s">
        <v>0</v>
      </c>
      <c r="D8" s="1" t="s">
        <v>1053</v>
      </c>
    </row>
    <row r="9" spans="1:11" ht="20.100000000000001" customHeight="1" x14ac:dyDescent="0.2">
      <c r="A9" s="5" t="str">
        <f>HYPERLINK("#'Input - Enterprise'!A1", "Enterprise")</f>
        <v>Enterprise</v>
      </c>
    </row>
    <row r="10" spans="1:11" ht="20.100000000000001" customHeight="1" x14ac:dyDescent="0.2">
      <c r="A10" s="5" t="str">
        <f>HYPERLINK("#'Input - Site'!A1", "Site")</f>
        <v>Site</v>
      </c>
      <c r="D10" s="1" t="s">
        <v>1054</v>
      </c>
      <c r="F10" s="76"/>
      <c r="G10" s="16" t="s">
        <v>1055</v>
      </c>
    </row>
    <row r="11" spans="1:11" ht="20.100000000000001" customHeight="1" x14ac:dyDescent="0.2">
      <c r="A11" s="5" t="str">
        <f>HYPERLINK("#'Input - Pasture Beef'!A1", "Pasture Beef")</f>
        <v>Pasture Beef</v>
      </c>
      <c r="D11" s="1" t="s">
        <v>1056</v>
      </c>
      <c r="F11" s="76"/>
      <c r="G11" s="16" t="s">
        <v>1055</v>
      </c>
    </row>
    <row r="12" spans="1:11" ht="20.100000000000001" customHeight="1" x14ac:dyDescent="0.2">
      <c r="A12" s="5" t="str">
        <f>HYPERLINK("#'Input - Livestock sales'!A1", "Livestock sales")</f>
        <v>Livestock sales</v>
      </c>
    </row>
    <row r="13" spans="1:11" ht="20.100000000000001" customHeight="1" x14ac:dyDescent="0.2">
      <c r="A13" s="5" t="str">
        <f>HYPERLINK("#'Input - Beef cattle purchases'!A1", "Beef cattle purchases")</f>
        <v>Beef cattle purchases</v>
      </c>
      <c r="D13" s="1" t="s">
        <v>1057</v>
      </c>
      <c r="F13" s="13"/>
      <c r="G13" s="16" t="s">
        <v>106</v>
      </c>
    </row>
    <row r="14" spans="1:11" ht="20.100000000000001" customHeight="1" x14ac:dyDescent="0.2">
      <c r="A14" s="5" t="str">
        <f>HYPERLINK("#'Input - Pasture'!A1", "Pasture")</f>
        <v>Pasture</v>
      </c>
      <c r="D14" s="1" t="s">
        <v>1058</v>
      </c>
      <c r="F14" s="13"/>
      <c r="G14" s="16" t="s">
        <v>106</v>
      </c>
    </row>
    <row r="15" spans="1:11" ht="20.100000000000001" customHeight="1" x14ac:dyDescent="0.2">
      <c r="A15" s="5" t="str">
        <f>HYPERLINK("#'Input - Fert Prod System'!A1", "Fert Prod System")</f>
        <v>Fert Prod System</v>
      </c>
    </row>
    <row r="16" spans="1:11" ht="20.100000000000001" customHeight="1" x14ac:dyDescent="0.2">
      <c r="A16" s="5" t="str">
        <f>HYPERLINK("#'Input - Fertiliser'!A1", "Fertiliser")</f>
        <v>Fertiliser</v>
      </c>
    </row>
    <row r="17" spans="1:1" ht="20.100000000000001" customHeight="1" x14ac:dyDescent="0.2">
      <c r="A17" s="5" t="str">
        <f>HYPERLINK("#'Input - Fuel'!A1", "Fuel")</f>
        <v>Fuel</v>
      </c>
    </row>
    <row r="18" spans="1:1" ht="20.100000000000001" customHeight="1" x14ac:dyDescent="0.2">
      <c r="A18" s="5" t="str">
        <f>HYPERLINK("#'Input - Electricity'!A1", "Electricity")</f>
        <v>Electricity</v>
      </c>
    </row>
    <row r="19" spans="1:1" ht="20.100000000000001" customHeight="1" x14ac:dyDescent="0.2">
      <c r="A19" s="5" t="str">
        <f>HYPERLINK("#'Input - Common farm inputs'!A1", "Common farm inputs")</f>
        <v>Common farm inputs</v>
      </c>
    </row>
    <row r="20" spans="1:1" ht="20.100000000000001" customHeight="1" x14ac:dyDescent="0.2">
      <c r="A20" s="5" t="str">
        <f>HYPERLINK("#'Input - Crop pasture farm input'!A1", "Crop pasture farm input")</f>
        <v>Crop pasture farm input</v>
      </c>
    </row>
    <row r="21" spans="1:1" ht="20.100000000000001" customHeight="1" x14ac:dyDescent="0.2">
      <c r="A21" s="5" t="str">
        <f>HYPERLINK("#'Input - Livestock farm Inputs'!A1", "Livestock farm Inputs")</f>
        <v>Livestock farm Inputs</v>
      </c>
    </row>
    <row r="22" spans="1:1" ht="20.100000000000001" customHeight="1" x14ac:dyDescent="0.2">
      <c r="A22" s="5" t="str">
        <f>HYPERLINK("#'Input - Freight'!A1", "Freight")</f>
        <v>Freight</v>
      </c>
    </row>
    <row r="23" spans="1:1" ht="20.100000000000001" customHeight="1" x14ac:dyDescent="0.2">
      <c r="A23" s="5" t="str">
        <f>HYPERLINK("#'Input - Solid waste'!A1", "Solid waste")</f>
        <v>Solid waste</v>
      </c>
    </row>
    <row r="24" spans="1:1" ht="20.100000000000001" customHeight="1" x14ac:dyDescent="0.2">
      <c r="A24" s="99" t="str">
        <f>HYPERLINK("#'Input - Manure sent off-site'!A1", "Manure sent off-site")</f>
        <v>Manure sent off-site</v>
      </c>
    </row>
    <row r="25" spans="1:1" ht="20.100000000000001" customHeight="1" x14ac:dyDescent="0.2">
      <c r="A25" s="5" t="str">
        <f>HYPERLINK("#'Input - Data quality'!A1", "Data quality")</f>
        <v>Data quality</v>
      </c>
    </row>
    <row r="26" spans="1:1" ht="20.100000000000001" customHeight="1" x14ac:dyDescent="0.2">
      <c r="A26"/>
    </row>
    <row r="27" spans="1:1" ht="20.100000000000001" customHeight="1" x14ac:dyDescent="0.2">
      <c r="A27"/>
    </row>
    <row r="28" spans="1:1" ht="20.100000000000001" customHeight="1" x14ac:dyDescent="0.2">
      <c r="A28" s="6" t="s">
        <v>2</v>
      </c>
    </row>
    <row r="29" spans="1:1" ht="20.100000000000001" customHeight="1" x14ac:dyDescent="0.2">
      <c r="A29" s="5" t="str">
        <f>HYPERLINK("#'3.2.1.1-2 Enteric Methane'!A1", "3.2.1.1-2 Enteric Methane")</f>
        <v>3.2.1.1-2 Enteric Methane</v>
      </c>
    </row>
    <row r="30" spans="1:1" ht="20.100000000000001" customHeight="1" x14ac:dyDescent="0.2">
      <c r="A30" s="5" t="str">
        <f>HYPERLINK("#'4.2.1.1-2 Methane'!A1", "4.2.1.1-2 Manure methane")</f>
        <v>4.2.1.1-2 Manure methane</v>
      </c>
    </row>
    <row r="31" spans="1:1" ht="20.100000000000001" customHeight="1" x14ac:dyDescent="0.2">
      <c r="A31" s="5" t="str">
        <f>HYPERLINK("#'4.2.1.3-4 Soil direct N20'!A1", "4.2.1.3-4 Soil direct N2O")</f>
        <v>4.2.1.3-4 Soil direct N2O</v>
      </c>
    </row>
    <row r="32" spans="1:1" ht="20.100000000000001" customHeight="1" x14ac:dyDescent="0.2">
      <c r="A32" s="5" t="str">
        <f>HYPERLINK("#'4.2.1.5-6 Soil Atmos Dep'!A1", "4.2.1.5-6 Soil atm. deposition")</f>
        <v>4.2.1.5-6 Soil atm. deposition</v>
      </c>
    </row>
    <row r="33" spans="1:1" ht="20.100000000000001" customHeight="1" x14ac:dyDescent="0.2">
      <c r="A33" s="5" t="str">
        <f>HYPERLINK("#'4.2.1.7-8 Soil leach runoff'!A1", "4.2.1.7-8 Soil leach &amp; runoff")</f>
        <v>4.2.1.7-8 Soil leach &amp; runoff</v>
      </c>
    </row>
    <row r="34" spans="1:1" ht="20.100000000000001" customHeight="1" x14ac:dyDescent="0.2">
      <c r="A34" s="5" t="str">
        <f>HYPERLINK("#'5.1.1.1-2 Inorganic fert N2O'!A1", "5.1.1.1-2 Inorganic fert N2O")</f>
        <v>5.1.1.1-2 Inorganic fert N2O</v>
      </c>
    </row>
    <row r="35" spans="1:1" ht="20.100000000000001" customHeight="1" x14ac:dyDescent="0.2">
      <c r="A35" s="5" t="str">
        <f>HYPERLINK("#'5.1.1.3-4 Inorganic fert CO2'!A1", "5.1.1.3-4 Inorganic fert CO2")</f>
        <v>5.1.1.3-4 Inorganic fert CO2</v>
      </c>
    </row>
    <row r="36" spans="1:1" ht="20.100000000000001" customHeight="1" x14ac:dyDescent="0.2">
      <c r="A36" s="5" t="str">
        <f>HYPERLINK("#'5.2.1.1-2 Organic Fert N2O'!A1", "5.2.1.1-2 Organic fert N2O")</f>
        <v>5.2.1.1-2 Organic fert N2O</v>
      </c>
    </row>
    <row r="37" spans="1:1" ht="20.100000000000001" customHeight="1" x14ac:dyDescent="0.2">
      <c r="A37" s="5" t="str">
        <f>HYPERLINK("#'5.3.1.1-2 Lime CO2'!A1", "5.3.1.1-2 Lime CO2")</f>
        <v>5.3.1.1-2 Lime CO2</v>
      </c>
    </row>
    <row r="38" spans="1:1" ht="20.100000000000001" customHeight="1" x14ac:dyDescent="0.2">
      <c r="A38" s="5" t="str">
        <f>HYPERLINK("#'5.4.1.1-4 Atmos deposition'!A1", "5.4.1.1-4 Atmos. deposition")</f>
        <v>5.4.1.1-4 Atmos. deposition</v>
      </c>
    </row>
    <row r="39" spans="1:1" ht="20.100000000000001" customHeight="1" x14ac:dyDescent="0.2">
      <c r="A39" s="5" t="str">
        <f>HYPERLINK("#'5.5.1.1-2 Leaching and runoff'!A1", "5.5.1.1-2 Leaching &amp; runoff")</f>
        <v>5.5.1.1-2 Leaching &amp; runoff</v>
      </c>
    </row>
    <row r="40" spans="1:1" ht="20.100000000000001" customHeight="1" x14ac:dyDescent="0.2">
      <c r="A40" s="5" t="str">
        <f>HYPERLINK("#'6.2.1.1-2 Pasture residue N2O'!A1", "6.2.1.1-2 Pasture residue N2O")</f>
        <v>6.2.1.1-2 Pasture residue N2O</v>
      </c>
    </row>
    <row r="41" spans="1:1" ht="20.100000000000001" customHeight="1" x14ac:dyDescent="0.2">
      <c r="A41" s="5" t="str">
        <f>HYPERLINK("#'6.3.1.1-2 Leach runoff pasture'!A1", "6.3.1.1-2 Leach &amp; runoff (pasture)")</f>
        <v>6.3.1.1-2 Leach &amp; runoff (pasture)</v>
      </c>
    </row>
    <row r="42" spans="1:1" ht="20.100000000000001" customHeight="1" x14ac:dyDescent="0.2">
      <c r="A42" s="5" t="str">
        <f>HYPERLINK("#'8.1.1.1-2 Transport fuel'!A1", "8.1.1.1-2 Transport fuel")</f>
        <v>8.1.1.1-2 Transport fuel</v>
      </c>
    </row>
    <row r="43" spans="1:1" ht="20.100000000000001" customHeight="1" x14ac:dyDescent="0.2">
      <c r="A43" s="5" t="str">
        <f>HYPERLINK("#'8.2.1.1-2 Stationary fuel'!A1", "8.2.1.1-2 Stationary fuel")</f>
        <v>8.2.1.1-2 Stationary fuel</v>
      </c>
    </row>
    <row r="44" spans="1:1" ht="20.100000000000001" customHeight="1" x14ac:dyDescent="0.2">
      <c r="A44" s="5" t="str">
        <f>HYPERLINK("#'10.1.1-2 Solid waste treatment'!A1", "10.1.1.1-2 Solid waste")</f>
        <v>10.1.1.1-2 Solid waste</v>
      </c>
    </row>
    <row r="45" spans="1:1" ht="20.100000000000001" customHeight="1" x14ac:dyDescent="0.2">
      <c r="A45" s="5" t="str">
        <f>HYPERLINK("#'14.1.1-2 Purchased electricity'!A1", "14.1.1-2 Purchased electricity")</f>
        <v>14.1.1-2 Purchased electricity</v>
      </c>
    </row>
    <row r="46" spans="1:1" ht="20.100000000000001" customHeight="1" x14ac:dyDescent="0.2">
      <c r="A46" s="5" t="str">
        <f>HYPERLINK("#'15 Scope 3'!A1", "15 Scope 3")</f>
        <v>15 Scope 3</v>
      </c>
    </row>
    <row r="47" spans="1:1" ht="20.100000000000001" customHeight="1" x14ac:dyDescent="0.2">
      <c r="A47" s="5" t="str">
        <f>HYPERLINK("#'Calcs - Manure sent off-site'!A1", "Calcs - Manure sent off-site")</f>
        <v>Calcs - Manure sent off-site</v>
      </c>
    </row>
    <row r="48" spans="1:1" ht="20.100000000000001" customHeight="1" x14ac:dyDescent="0.2">
      <c r="A48"/>
    </row>
    <row r="49" spans="1:1" ht="20.100000000000001" customHeight="1" x14ac:dyDescent="0.2">
      <c r="A49"/>
    </row>
    <row r="50" spans="1:1" ht="20.100000000000001" customHeight="1" x14ac:dyDescent="0.2">
      <c r="A50" s="85" t="s">
        <v>1</v>
      </c>
    </row>
    <row r="51" spans="1:1" ht="20.100000000000001" customHeight="1" x14ac:dyDescent="0.2">
      <c r="A51" s="5" t="str">
        <f>HYPERLINK("#'Constants - Pasture Beef'!A1", "Constants - Pasture Beef")</f>
        <v>Constants - Pasture Beef</v>
      </c>
    </row>
    <row r="52" spans="1:1" ht="20.100000000000001" customHeight="1" x14ac:dyDescent="0.2">
      <c r="A52" s="5" t="str">
        <f>HYPERLINK("#'Constants - Ag Residue'!A1", "Constants - Ag residue")</f>
        <v>Constants - Ag residue</v>
      </c>
    </row>
    <row r="53" spans="1:1" ht="20.100000000000001" customHeight="1" x14ac:dyDescent="0.2">
      <c r="A53" s="5" t="str">
        <f>HYPERLINK("#'Constants - Common Livestock'!A1", "Constants - Common Livestock")</f>
        <v>Constants - Common Livestock</v>
      </c>
    </row>
    <row r="54" spans="1:1" ht="20.100000000000001" customHeight="1" x14ac:dyDescent="0.2">
      <c r="A54" s="5" t="str">
        <f>HYPERLINK("#'Constants - Electricity'!A1", "Constants - Electricity")</f>
        <v>Constants - Electricity</v>
      </c>
    </row>
    <row r="55" spans="1:1" ht="20.100000000000001" customHeight="1" x14ac:dyDescent="0.2">
      <c r="A55" s="5" t="str">
        <f>HYPERLINK("#'Constants - Fertiliser'!A1", "Constants - Fertiliser")</f>
        <v>Constants - Fertiliser</v>
      </c>
    </row>
    <row r="56" spans="1:1" ht="20.100000000000001" customHeight="1" x14ac:dyDescent="0.2">
      <c r="A56" s="5" t="str">
        <f>HYPERLINK("#'Constants - Fuel'!A1", "Constants - Fuel")</f>
        <v>Constants - Fuel</v>
      </c>
    </row>
    <row r="57" spans="1:1" ht="20.100000000000001" customHeight="1" x14ac:dyDescent="0.2">
      <c r="A57" s="5" t="str">
        <f>HYPERLINK("#'Constants - Scope 3'!A1", "Constants - Scope 3")</f>
        <v>Constants - Scope 3</v>
      </c>
    </row>
    <row r="58" spans="1:1" ht="20.100000000000001" customHeight="1" x14ac:dyDescent="0.2">
      <c r="A58" s="5" t="str">
        <f>HYPERLINK("#'Constants - Solid Waste'!A1", "Constants - Solid Waste")</f>
        <v>Constants - Solid Waste</v>
      </c>
    </row>
    <row r="59" spans="1:1" ht="20.100000000000001" customHeight="1" x14ac:dyDescent="0.2">
      <c r="A59" s="5" t="str">
        <f>HYPERLINK("#'Constants - Common'!A1", "Constants - Common")</f>
        <v>Constants - Common</v>
      </c>
    </row>
    <row r="60" spans="1:1" ht="20.100000000000001" customHeight="1" x14ac:dyDescent="0.2">
      <c r="A60" s="5" t="str">
        <f>HYPERLINK("#'Acknowledgements'!A1", "Acknowledgements")</f>
        <v>Acknowledgements</v>
      </c>
    </row>
    <row r="61" spans="1:1" ht="20.100000000000001" customHeight="1" x14ac:dyDescent="0.2">
      <c r="A61"/>
    </row>
    <row r="62" spans="1:1" ht="20.100000000000001" customHeight="1" x14ac:dyDescent="0.2">
      <c r="A62"/>
    </row>
    <row r="63" spans="1:1" ht="20.100000000000001" customHeight="1" x14ac:dyDescent="0.2">
      <c r="A63"/>
    </row>
    <row r="64" spans="1:1" ht="20.100000000000001" customHeight="1" x14ac:dyDescent="0.2">
      <c r="A64"/>
    </row>
    <row r="65" spans="1:1" ht="20.100000000000001" customHeight="1" x14ac:dyDescent="0.2">
      <c r="A65"/>
    </row>
    <row r="66" spans="1:1" ht="20.100000000000001" customHeight="1" x14ac:dyDescent="0.2">
      <c r="A66"/>
    </row>
    <row r="67" spans="1:1" ht="20.100000000000001" customHeight="1" x14ac:dyDescent="0.2">
      <c r="A67"/>
    </row>
    <row r="68" spans="1:1" ht="20.100000000000001" customHeight="1" x14ac:dyDescent="0.2">
      <c r="A68"/>
    </row>
    <row r="69" spans="1:1" ht="20.100000000000001" customHeight="1" x14ac:dyDescent="0.2">
      <c r="A69"/>
    </row>
    <row r="70" spans="1:1" ht="20.100000000000001" customHeight="1" x14ac:dyDescent="0.2">
      <c r="A70"/>
    </row>
    <row r="71" spans="1:1" ht="20.100000000000001" customHeight="1" x14ac:dyDescent="0.2">
      <c r="A71"/>
    </row>
    <row r="72" spans="1:1" ht="20.100000000000001" customHeight="1" x14ac:dyDescent="0.2">
      <c r="A72"/>
    </row>
    <row r="73" spans="1:1" ht="20.100000000000001" customHeight="1" x14ac:dyDescent="0.2">
      <c r="A73"/>
    </row>
    <row r="74" spans="1:1" ht="20.100000000000001" customHeight="1" x14ac:dyDescent="0.2">
      <c r="A74"/>
    </row>
    <row r="75" spans="1:1" ht="20.100000000000001" customHeight="1" x14ac:dyDescent="0.2">
      <c r="A75"/>
    </row>
    <row r="76" spans="1:1" ht="20.100000000000001" customHeight="1" x14ac:dyDescent="0.2">
      <c r="A76"/>
    </row>
    <row r="77" spans="1:1" ht="20.100000000000001" customHeight="1" x14ac:dyDescent="0.2">
      <c r="A77"/>
    </row>
    <row r="78" spans="1:1" ht="20.100000000000001" customHeight="1" x14ac:dyDescent="0.2">
      <c r="A78"/>
    </row>
    <row r="79" spans="1:1" ht="20.100000000000001" customHeight="1" x14ac:dyDescent="0.2">
      <c r="A79"/>
    </row>
    <row r="80" spans="1:1" ht="20.100000000000001" customHeight="1" x14ac:dyDescent="0.2">
      <c r="A80"/>
    </row>
    <row r="81" spans="1:1" ht="20.100000000000001" customHeight="1" x14ac:dyDescent="0.2">
      <c r="A81"/>
    </row>
    <row r="82" spans="1:1" ht="20.100000000000001" customHeight="1" x14ac:dyDescent="0.2">
      <c r="A82"/>
    </row>
    <row r="83" spans="1:1" ht="20.100000000000001" customHeight="1" x14ac:dyDescent="0.2">
      <c r="A83"/>
    </row>
    <row r="84" spans="1:1" ht="20.100000000000001" customHeight="1" x14ac:dyDescent="0.2">
      <c r="A84"/>
    </row>
    <row r="85" spans="1:1" ht="20.100000000000001" customHeight="1" x14ac:dyDescent="0.2">
      <c r="A85"/>
    </row>
    <row r="86" spans="1:1" ht="20.100000000000001" customHeight="1" x14ac:dyDescent="0.2">
      <c r="A86"/>
    </row>
    <row r="87" spans="1:1" ht="20.100000000000001" customHeight="1" x14ac:dyDescent="0.2">
      <c r="A87"/>
    </row>
    <row r="88" spans="1:1" ht="20.100000000000001" customHeight="1" x14ac:dyDescent="0.2">
      <c r="A88"/>
    </row>
    <row r="89" spans="1:1" ht="20.100000000000001" customHeight="1" x14ac:dyDescent="0.2">
      <c r="A89"/>
    </row>
    <row r="90" spans="1:1" ht="20.100000000000001" customHeight="1" x14ac:dyDescent="0.2">
      <c r="A90"/>
    </row>
    <row r="91" spans="1:1" ht="20.100000000000001" customHeight="1" x14ac:dyDescent="0.2">
      <c r="A91"/>
    </row>
    <row r="92" spans="1:1" ht="20.100000000000001" customHeight="1" x14ac:dyDescent="0.2">
      <c r="A92"/>
    </row>
    <row r="93" spans="1:1" ht="20.100000000000001" customHeight="1" x14ac:dyDescent="0.2">
      <c r="A93"/>
    </row>
    <row r="94" spans="1:1" ht="20.100000000000001" customHeight="1" x14ac:dyDescent="0.2">
      <c r="A94"/>
    </row>
    <row r="95" spans="1:1" ht="20.100000000000001" customHeight="1" x14ac:dyDescent="0.2">
      <c r="A95"/>
    </row>
    <row r="96" spans="1:1" ht="20.100000000000001" customHeight="1" x14ac:dyDescent="0.2">
      <c r="A96"/>
    </row>
    <row r="97" spans="1:1" ht="20.100000000000001" customHeight="1" x14ac:dyDescent="0.2">
      <c r="A97"/>
    </row>
    <row r="98" spans="1:1" ht="20.100000000000001" customHeight="1" x14ac:dyDescent="0.2">
      <c r="A98"/>
    </row>
    <row r="99" spans="1:1" ht="20.100000000000001" customHeight="1" x14ac:dyDescent="0.2">
      <c r="A99"/>
    </row>
    <row r="100" spans="1:1" ht="20.100000000000001" customHeight="1" x14ac:dyDescent="0.2">
      <c r="A100"/>
    </row>
    <row r="101" spans="1:1" ht="20.100000000000001" customHeight="1" x14ac:dyDescent="0.2">
      <c r="A101"/>
    </row>
    <row r="102" spans="1:1" ht="20.100000000000001" customHeight="1" x14ac:dyDescent="0.2">
      <c r="A102"/>
    </row>
    <row r="103" spans="1:1" ht="20.100000000000001" customHeight="1" x14ac:dyDescent="0.2">
      <c r="A103"/>
    </row>
    <row r="104" spans="1:1" ht="20.100000000000001" customHeight="1" x14ac:dyDescent="0.2">
      <c r="A104"/>
    </row>
    <row r="105" spans="1:1" ht="20.100000000000001" customHeight="1" x14ac:dyDescent="0.2">
      <c r="A105"/>
    </row>
    <row r="106" spans="1:1" ht="20.100000000000001" customHeight="1" x14ac:dyDescent="0.2">
      <c r="A106"/>
    </row>
    <row r="107" spans="1:1" ht="20.100000000000001" customHeight="1" x14ac:dyDescent="0.2">
      <c r="A107"/>
    </row>
    <row r="108" spans="1:1" ht="20.100000000000001" customHeight="1" x14ac:dyDescent="0.2">
      <c r="A108"/>
    </row>
    <row r="109" spans="1:1" ht="20.100000000000001" customHeight="1" x14ac:dyDescent="0.2">
      <c r="A109"/>
    </row>
    <row r="110" spans="1:1" ht="20.100000000000001" customHeight="1" x14ac:dyDescent="0.2">
      <c r="A110"/>
    </row>
    <row r="111" spans="1:1" ht="20.100000000000001" customHeight="1" x14ac:dyDescent="0.2">
      <c r="A111"/>
    </row>
    <row r="112" spans="1:1" ht="20.100000000000001" customHeight="1" x14ac:dyDescent="0.2">
      <c r="A112"/>
    </row>
    <row r="113" spans="1:1" ht="20.100000000000001" customHeight="1" x14ac:dyDescent="0.2">
      <c r="A113"/>
    </row>
    <row r="114" spans="1:1" ht="20.100000000000001" customHeight="1" x14ac:dyDescent="0.2">
      <c r="A114"/>
    </row>
    <row r="115" spans="1:1" ht="20.100000000000001" customHeight="1" x14ac:dyDescent="0.2">
      <c r="A115"/>
    </row>
    <row r="116" spans="1:1" ht="20.100000000000001" customHeight="1" x14ac:dyDescent="0.2">
      <c r="A116"/>
    </row>
    <row r="117" spans="1:1" ht="20.100000000000001" customHeight="1" x14ac:dyDescent="0.2">
      <c r="A117"/>
    </row>
    <row r="118" spans="1:1" ht="20.100000000000001" customHeight="1" x14ac:dyDescent="0.2">
      <c r="A118"/>
    </row>
    <row r="119" spans="1:1" ht="20.100000000000001" customHeight="1" x14ac:dyDescent="0.2">
      <c r="A119"/>
    </row>
    <row r="120" spans="1:1" ht="20.100000000000001" customHeight="1" x14ac:dyDescent="0.2">
      <c r="A120"/>
    </row>
    <row r="121" spans="1:1" ht="20.100000000000001" customHeight="1" x14ac:dyDescent="0.2">
      <c r="A121"/>
    </row>
    <row r="122" spans="1:1" ht="20.100000000000001" customHeight="1" x14ac:dyDescent="0.2">
      <c r="A122"/>
    </row>
    <row r="123" spans="1:1" ht="20.100000000000001" customHeight="1" x14ac:dyDescent="0.2">
      <c r="A123"/>
    </row>
    <row r="124" spans="1:1" ht="20.100000000000001" customHeight="1" x14ac:dyDescent="0.2">
      <c r="A124"/>
    </row>
    <row r="125" spans="1:1" ht="20.100000000000001" customHeight="1" x14ac:dyDescent="0.2">
      <c r="A125"/>
    </row>
    <row r="126" spans="1:1" ht="20.100000000000001" customHeight="1" x14ac:dyDescent="0.2">
      <c r="A126"/>
    </row>
    <row r="127" spans="1:1" ht="20.100000000000001" customHeight="1" x14ac:dyDescent="0.2">
      <c r="A127"/>
    </row>
    <row r="128" spans="1:1" ht="20.100000000000001" customHeight="1" x14ac:dyDescent="0.2">
      <c r="A128"/>
    </row>
    <row r="129" spans="1:1" ht="20.100000000000001" customHeight="1" x14ac:dyDescent="0.2">
      <c r="A129"/>
    </row>
    <row r="130" spans="1:1" ht="20.100000000000001" customHeight="1" x14ac:dyDescent="0.2">
      <c r="A130"/>
    </row>
    <row r="131" spans="1:1" ht="20.100000000000001" customHeight="1" x14ac:dyDescent="0.2">
      <c r="A131"/>
    </row>
    <row r="132" spans="1:1" ht="20.100000000000001" customHeight="1" x14ac:dyDescent="0.2">
      <c r="A132"/>
    </row>
    <row r="133" spans="1:1" ht="20.100000000000001" customHeight="1" x14ac:dyDescent="0.2">
      <c r="A133"/>
    </row>
    <row r="134" spans="1:1" ht="20.100000000000001" customHeight="1" x14ac:dyDescent="0.2">
      <c r="A134"/>
    </row>
    <row r="135" spans="1:1" ht="20.100000000000001" customHeight="1" x14ac:dyDescent="0.2">
      <c r="A135"/>
    </row>
    <row r="136" spans="1:1" ht="20.100000000000001" customHeight="1" x14ac:dyDescent="0.2">
      <c r="A136"/>
    </row>
    <row r="137" spans="1:1" ht="20.100000000000001" customHeight="1" x14ac:dyDescent="0.2">
      <c r="A137"/>
    </row>
    <row r="138" spans="1:1" ht="20.100000000000001" customHeight="1" x14ac:dyDescent="0.2">
      <c r="A138"/>
    </row>
    <row r="139" spans="1:1" ht="20.100000000000001" customHeight="1" x14ac:dyDescent="0.2">
      <c r="A139"/>
    </row>
    <row r="140" spans="1:1" ht="20.100000000000001" customHeight="1" x14ac:dyDescent="0.2">
      <c r="A140"/>
    </row>
    <row r="141" spans="1:1" ht="20.100000000000001" customHeight="1" x14ac:dyDescent="0.2">
      <c r="A141"/>
    </row>
    <row r="142" spans="1:1" ht="20.100000000000001" customHeight="1" x14ac:dyDescent="0.2">
      <c r="A142"/>
    </row>
    <row r="143" spans="1:1" ht="20.100000000000001" customHeight="1" x14ac:dyDescent="0.2">
      <c r="A143"/>
    </row>
    <row r="144" spans="1:1" ht="20.100000000000001" customHeight="1" x14ac:dyDescent="0.2">
      <c r="A144"/>
    </row>
    <row r="145" spans="1:1" ht="20.100000000000001" customHeight="1" x14ac:dyDescent="0.2">
      <c r="A145"/>
    </row>
    <row r="146" spans="1:1" ht="20.100000000000001" customHeight="1" x14ac:dyDescent="0.2">
      <c r="A146"/>
    </row>
    <row r="147" spans="1:1" ht="20.100000000000001" customHeight="1" x14ac:dyDescent="0.2">
      <c r="A147"/>
    </row>
    <row r="148" spans="1:1" ht="20.100000000000001" customHeight="1" x14ac:dyDescent="0.2">
      <c r="A148"/>
    </row>
    <row r="149" spans="1:1" ht="20.100000000000001" customHeight="1" x14ac:dyDescent="0.2">
      <c r="A149"/>
    </row>
    <row r="150" spans="1:1" ht="20.100000000000001" customHeight="1" x14ac:dyDescent="0.2">
      <c r="A150"/>
    </row>
    <row r="151" spans="1:1" ht="20.100000000000001" customHeight="1" x14ac:dyDescent="0.2">
      <c r="A151"/>
    </row>
    <row r="152" spans="1:1" ht="20.100000000000001" customHeight="1" x14ac:dyDescent="0.2">
      <c r="A152"/>
    </row>
    <row r="153" spans="1:1" ht="20.100000000000001" customHeight="1" x14ac:dyDescent="0.2">
      <c r="A153"/>
    </row>
    <row r="154" spans="1:1" ht="20.100000000000001" customHeight="1" x14ac:dyDescent="0.2">
      <c r="A154"/>
    </row>
    <row r="155" spans="1:1" ht="20.100000000000001" customHeight="1" x14ac:dyDescent="0.2">
      <c r="A155"/>
    </row>
    <row r="156" spans="1:1" ht="20.100000000000001" customHeight="1" x14ac:dyDescent="0.2">
      <c r="A156"/>
    </row>
    <row r="157" spans="1:1" ht="20.100000000000001" customHeight="1" x14ac:dyDescent="0.2">
      <c r="A157"/>
    </row>
    <row r="158" spans="1:1" ht="20.100000000000001" customHeight="1" x14ac:dyDescent="0.2">
      <c r="A158"/>
    </row>
    <row r="159" spans="1:1" ht="20.100000000000001" customHeight="1" x14ac:dyDescent="0.2">
      <c r="A159"/>
    </row>
    <row r="160" spans="1:1" ht="20.100000000000001" customHeight="1" x14ac:dyDescent="0.2">
      <c r="A160"/>
    </row>
  </sheetData>
  <dataValidations count="2">
    <dataValidation type="list" allowBlank="1" showInputMessage="1" showErrorMessage="1" sqref="F14" xr:uid="{DC4CE4C2-D3BF-4881-B0A0-06427125DBF3}">
      <formula1>INDIRECT("Table_SourceData_Fertiliser_IrrigationMethods[Irrigation method]")</formula1>
    </dataValidation>
    <dataValidation type="list" allowBlank="1" showInputMessage="1" showErrorMessage="1" sqref="F13" xr:uid="{05DFDE37-F619-4294-9AC5-AB0FA0BD2E3F}">
      <formula1>INDIRECT("Table_SourceData_Fertiliser_CropProdSystems[Production system]")</formula1>
    </dataValidation>
  </dataValidations>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75A635-C926-4C02-B86C-072EC0457B83}">
  <sheetPr>
    <tabColor rgb="FFCC6600"/>
  </sheetPr>
  <dimension ref="A1:M83"/>
  <sheetViews>
    <sheetView showGridLines="0" tabSelected="1" topLeftCell="A52" zoomScaleNormal="100" workbookViewId="0">
      <pane xSplit="1" topLeftCell="B1" activePane="topRight" state="frozen"/>
      <selection pane="topRight" activeCell="D76" sqref="D76:D79"/>
    </sheetView>
  </sheetViews>
  <sheetFormatPr defaultRowHeight="20.100000000000001" customHeight="1" x14ac:dyDescent="0.2"/>
  <cols>
    <col min="1" max="1" width="36.7109375" customWidth="1"/>
    <col min="2" max="2" width="4.7109375" customWidth="1"/>
    <col min="3" max="3" width="4.7109375" style="1" customWidth="1"/>
    <col min="4" max="4" width="49" style="1" customWidth="1"/>
    <col min="5" max="5" width="66.140625" style="1" customWidth="1"/>
    <col min="6" max="6" width="71.5703125" style="1" customWidth="1"/>
    <col min="7" max="7" width="55.5703125" style="1" customWidth="1"/>
    <col min="8" max="8" width="101.28515625" style="1" customWidth="1"/>
    <col min="9" max="9" width="74.5703125" style="1" customWidth="1"/>
    <col min="10" max="13" width="30.7109375" style="1" customWidth="1"/>
    <col min="14" max="14" width="30.7109375" customWidth="1"/>
  </cols>
  <sheetData>
    <row r="1" spans="1:13" s="10" customFormat="1" ht="30" customHeight="1" x14ac:dyDescent="0.35">
      <c r="C1" s="10" t="s">
        <v>185</v>
      </c>
    </row>
    <row r="2" spans="1:13" s="3" customFormat="1" ht="20.100000000000001" customHeight="1" x14ac:dyDescent="0.2">
      <c r="A2"/>
    </row>
    <row r="3" spans="1:13" ht="20.100000000000001" customHeight="1" x14ac:dyDescent="0.2">
      <c r="A3" s="5" t="str">
        <f>HYPERLINK("#'Home'!A1", "Home")</f>
        <v>Home</v>
      </c>
      <c r="C3" s="29"/>
      <c r="D3" s="29"/>
      <c r="E3" s="29"/>
      <c r="F3" s="29"/>
      <c r="G3" s="29"/>
      <c r="H3" s="29"/>
      <c r="I3" s="29"/>
      <c r="J3" s="29"/>
      <c r="K3" s="29"/>
      <c r="L3" s="29"/>
      <c r="M3" s="29"/>
    </row>
    <row r="4" spans="1:13" ht="20.100000000000001" customHeight="1" x14ac:dyDescent="0.2">
      <c r="A4" s="5" t="str">
        <f>HYPERLINK("#'Results - Activity period'!A1", "Results - Activity period")</f>
        <v>Results - Activity period</v>
      </c>
    </row>
    <row r="5" spans="1:13" ht="20.100000000000001" customHeight="1" x14ac:dyDescent="0.2">
      <c r="A5" s="5" t="str">
        <f>HYPERLINK("#'Results - Product EI'!A1", "Results - Product Emissions Intensity")</f>
        <v>Results - Product Emissions Intensity</v>
      </c>
      <c r="D5" s="2" t="s">
        <v>236</v>
      </c>
    </row>
    <row r="7" spans="1:13" ht="20.100000000000001" customHeight="1" x14ac:dyDescent="0.2">
      <c r="D7" s="82" t="s">
        <v>275</v>
      </c>
      <c r="E7" s="82" t="s">
        <v>237</v>
      </c>
      <c r="F7" s="82" t="s">
        <v>238</v>
      </c>
      <c r="G7" s="82" t="s">
        <v>239</v>
      </c>
      <c r="H7" s="82" t="s">
        <v>186</v>
      </c>
      <c r="I7" s="82" t="s">
        <v>187</v>
      </c>
      <c r="J7" s="82" t="s">
        <v>188</v>
      </c>
    </row>
    <row r="8" spans="1:13" ht="20.100000000000001" customHeight="1" x14ac:dyDescent="0.2">
      <c r="A8" s="7" t="s">
        <v>0</v>
      </c>
      <c r="D8" s="1" t="str">
        <f>"Liveweight sold"</f>
        <v>Liveweight sold</v>
      </c>
      <c r="E8" s="13"/>
      <c r="F8" s="13"/>
      <c r="G8" s="13"/>
      <c r="H8" s="83"/>
      <c r="I8" s="83"/>
      <c r="J8" s="15">
        <f>IFERROR(_xlfn.XLOOKUP(Table_Input_DataQuality_Enterprise[[#This Row],[When was the data sourced?]],Table_SourceData_DataQuality_TemporalRepresentativeness[User friendly description],Table_SourceData_DataQuality_TemporalRepresentativeness[Score])+_xlfn.XLOOKUP(Table_Input_DataQuality_Enterprise[[#This Row],[Where is the data sourced from?]],Table_SourceData_DataQuality_SpatialRepresentativeness[User friendly description],Table_SourceData_DataQuality_SpatialRepresentativeness[Score])+_xlfn.XLOOKUP(Table_Input_DataQuality_Enterprise[[#This Row],[How much of the data was from direct samples?]],Table_SourceData_DataQuality_SampleSize[User friendly description],Table_SourceData_DataQuality_SampleSize[Score]), 0)</f>
        <v>0</v>
      </c>
    </row>
    <row r="9" spans="1:13" ht="20.100000000000001" customHeight="1" x14ac:dyDescent="0.2">
      <c r="A9" s="5" t="str">
        <f>HYPERLINK("#'Input - Enterprise'!A1", "Enterprise")</f>
        <v>Enterprise</v>
      </c>
      <c r="D9" s="1" t="str">
        <f>"Liveweight grown"</f>
        <v>Liveweight grown</v>
      </c>
      <c r="E9" s="13"/>
      <c r="F9" s="13"/>
      <c r="G9" s="13"/>
      <c r="H9" s="83"/>
      <c r="I9" s="83"/>
      <c r="J9" s="15">
        <f>IFERROR(_xlfn.XLOOKUP(Table_Input_DataQuality_Enterprise[[#This Row],[When was the data sourced?]],Table_SourceData_DataQuality_TemporalRepresentativeness[User friendly description],Table_SourceData_DataQuality_TemporalRepresentativeness[Score])+_xlfn.XLOOKUP(Table_Input_DataQuality_Enterprise[[#This Row],[Where is the data sourced from?]],Table_SourceData_DataQuality_SpatialRepresentativeness[User friendly description],Table_SourceData_DataQuality_SpatialRepresentativeness[Score])+_xlfn.XLOOKUP(Table_Input_DataQuality_Enterprise[[#This Row],[How much of the data was from direct samples?]],Table_SourceData_DataQuality_SampleSize[User friendly description],Table_SourceData_DataQuality_SampleSize[Score]), 0)</f>
        <v>0</v>
      </c>
    </row>
    <row r="10" spans="1:13" ht="20.100000000000001" customHeight="1" x14ac:dyDescent="0.2">
      <c r="A10" s="5" t="str">
        <f>HYPERLINK("#'Input - Site'!A1", "Site")</f>
        <v>Site</v>
      </c>
      <c r="D10" s="1" t="str">
        <f>"Manure produced"</f>
        <v>Manure produced</v>
      </c>
      <c r="E10" s="13"/>
      <c r="F10" s="13"/>
      <c r="G10" s="13"/>
      <c r="H10" s="83"/>
      <c r="I10" s="83"/>
      <c r="J10" s="15">
        <f>IFERROR(_xlfn.XLOOKUP(Table_Input_DataQuality_Enterprise[[#This Row],[When was the data sourced?]],Table_SourceData_DataQuality_TemporalRepresentativeness[User friendly description],Table_SourceData_DataQuality_TemporalRepresentativeness[Score])+_xlfn.XLOOKUP(Table_Input_DataQuality_Enterprise[[#This Row],[Where is the data sourced from?]],Table_SourceData_DataQuality_SpatialRepresentativeness[User friendly description],Table_SourceData_DataQuality_SpatialRepresentativeness[Score])+_xlfn.XLOOKUP(Table_Input_DataQuality_Enterprise[[#This Row],[How much of the data was from direct samples?]],Table_SourceData_DataQuality_SampleSize[User friendly description],Table_SourceData_DataQuality_SampleSize[Score]), 0)</f>
        <v>0</v>
      </c>
    </row>
    <row r="11" spans="1:13" ht="20.100000000000001" customHeight="1" x14ac:dyDescent="0.2">
      <c r="A11" s="5" t="str">
        <f>HYPERLINK("#'Input - Pasture Beef'!A1", "Pasture Beef")</f>
        <v>Pasture Beef</v>
      </c>
      <c r="D11" s="1" t="str">
        <f>"Manure sold"</f>
        <v>Manure sold</v>
      </c>
      <c r="E11" s="13"/>
      <c r="F11" s="13"/>
      <c r="G11" s="13"/>
      <c r="H11" s="83"/>
      <c r="I11" s="83"/>
      <c r="J11" s="15">
        <f>IFERROR(_xlfn.XLOOKUP(Table_Input_DataQuality_Enterprise[[#This Row],[When was the data sourced?]],Table_SourceData_DataQuality_TemporalRepresentativeness[User friendly description],Table_SourceData_DataQuality_TemporalRepresentativeness[Score])+_xlfn.XLOOKUP(Table_Input_DataQuality_Enterprise[[#This Row],[Where is the data sourced from?]],Table_SourceData_DataQuality_SpatialRepresentativeness[User friendly description],Table_SourceData_DataQuality_SpatialRepresentativeness[Score])+_xlfn.XLOOKUP(Table_Input_DataQuality_Enterprise[[#This Row],[How much of the data was from direct samples?]],Table_SourceData_DataQuality_SampleSize[User friendly description],Table_SourceData_DataQuality_SampleSize[Score]), 0)</f>
        <v>0</v>
      </c>
    </row>
    <row r="12" spans="1:13" ht="20.100000000000001" customHeight="1" x14ac:dyDescent="0.2">
      <c r="A12" s="5" t="str">
        <f>HYPERLINK("#'Input - Livestock sales'!A1", "Livestock sales")</f>
        <v>Livestock sales</v>
      </c>
      <c r="D12" s="1" t="str">
        <f>"Percent income from liveweight sold"</f>
        <v>Percent income from liveweight sold</v>
      </c>
      <c r="E12" s="13"/>
      <c r="F12" s="13"/>
      <c r="G12" s="13"/>
      <c r="H12" s="83"/>
      <c r="I12" s="83"/>
      <c r="J12" s="15">
        <f>IFERROR(_xlfn.XLOOKUP(Table_Input_DataQuality_Enterprise[[#This Row],[When was the data sourced?]],Table_SourceData_DataQuality_TemporalRepresentativeness[User friendly description],Table_SourceData_DataQuality_TemporalRepresentativeness[Score])+_xlfn.XLOOKUP(Table_Input_DataQuality_Enterprise[[#This Row],[Where is the data sourced from?]],Table_SourceData_DataQuality_SpatialRepresentativeness[User friendly description],Table_SourceData_DataQuality_SpatialRepresentativeness[Score])+_xlfn.XLOOKUP(Table_Input_DataQuality_Enterprise[[#This Row],[How much of the data was from direct samples?]],Table_SourceData_DataQuality_SampleSize[User friendly description],Table_SourceData_DataQuality_SampleSize[Score]), 0)</f>
        <v>0</v>
      </c>
    </row>
    <row r="13" spans="1:13" ht="20.100000000000001" customHeight="1" x14ac:dyDescent="0.2">
      <c r="A13" s="5" t="str">
        <f>HYPERLINK("#'Input - Beef cattle purchases'!A1", "Beef cattle purchases")</f>
        <v>Beef cattle purchases</v>
      </c>
      <c r="D13" s="1" t="str">
        <f>"Percent income from manure sold"</f>
        <v>Percent income from manure sold</v>
      </c>
      <c r="E13" s="13"/>
      <c r="F13" s="13"/>
      <c r="G13" s="13"/>
      <c r="H13" s="83"/>
      <c r="I13" s="83"/>
      <c r="J13" s="15">
        <f>IFERROR(_xlfn.XLOOKUP(Table_Input_DataQuality_Enterprise[[#This Row],[When was the data sourced?]],Table_SourceData_DataQuality_TemporalRepresentativeness[User friendly description],Table_SourceData_DataQuality_TemporalRepresentativeness[Score])+_xlfn.XLOOKUP(Table_Input_DataQuality_Enterprise[[#This Row],[Where is the data sourced from?]],Table_SourceData_DataQuality_SpatialRepresentativeness[User friendly description],Table_SourceData_DataQuality_SpatialRepresentativeness[Score])+_xlfn.XLOOKUP(Table_Input_DataQuality_Enterprise[[#This Row],[How much of the data was from direct samples?]],Table_SourceData_DataQuality_SampleSize[User friendly description],Table_SourceData_DataQuality_SampleSize[Score]), 0)</f>
        <v>0</v>
      </c>
    </row>
    <row r="14" spans="1:13" ht="20.100000000000001" customHeight="1" x14ac:dyDescent="0.2">
      <c r="A14" s="5" t="str">
        <f>HYPERLINK("#'Input - Pasture'!A1", "Pasture")</f>
        <v>Pasture</v>
      </c>
    </row>
    <row r="15" spans="1:13" ht="20.100000000000001" customHeight="1" x14ac:dyDescent="0.2">
      <c r="A15" s="5" t="str">
        <f>HYPERLINK("#'Input - Fert Prod System'!A1", "Fert Prod System")</f>
        <v>Fert Prod System</v>
      </c>
      <c r="J15" s="87">
        <f>SUM(Table_Input_DataQuality_Enterprise[Score])</f>
        <v>0</v>
      </c>
    </row>
    <row r="16" spans="1:13" ht="20.100000000000001" customHeight="1" x14ac:dyDescent="0.2">
      <c r="A16" s="5" t="str">
        <f>HYPERLINK("#'Input - Fertiliser'!A1", "Fertiliser")</f>
        <v>Fertiliser</v>
      </c>
      <c r="D16" s="2" t="s">
        <v>246</v>
      </c>
    </row>
    <row r="17" spans="1:10" ht="20.100000000000001" customHeight="1" x14ac:dyDescent="0.2">
      <c r="A17" s="5" t="str">
        <f>HYPERLINK("#'Input - Fuel'!A1", "Fuel")</f>
        <v>Fuel</v>
      </c>
    </row>
    <row r="18" spans="1:10" ht="20.100000000000001" customHeight="1" x14ac:dyDescent="0.2">
      <c r="A18" s="5" t="str">
        <f>HYPERLINK("#'Input - Electricity'!A1", "Electricity")</f>
        <v>Electricity</v>
      </c>
      <c r="D18" s="82" t="s">
        <v>275</v>
      </c>
      <c r="E18" s="82" t="s">
        <v>237</v>
      </c>
      <c r="F18" s="82" t="s">
        <v>238</v>
      </c>
      <c r="G18" s="82" t="s">
        <v>239</v>
      </c>
      <c r="H18" s="82" t="s">
        <v>186</v>
      </c>
      <c r="I18" s="82" t="s">
        <v>187</v>
      </c>
      <c r="J18" s="82" t="s">
        <v>188</v>
      </c>
    </row>
    <row r="19" spans="1:10" ht="20.100000000000001" customHeight="1" x14ac:dyDescent="0.2">
      <c r="A19" s="5" t="str">
        <f>HYPERLINK("#'Input - Common farm inputs'!A1", "Common farm inputs")</f>
        <v>Common farm inputs</v>
      </c>
      <c r="D19" s="1" t="str">
        <f>"Leaching zone"</f>
        <v>Leaching zone</v>
      </c>
      <c r="E19" s="13"/>
      <c r="F19" s="13"/>
      <c r="G19" s="13"/>
      <c r="H19" s="83"/>
      <c r="I19" s="83"/>
      <c r="J19" s="15">
        <f>IFERROR(_xlfn.XLOOKUP(Table_Input_DataQuality_Site[[#This Row],[When was the data sourced?]],Table_SourceData_DataQuality_TemporalRepresentativeness[User friendly description],Table_SourceData_DataQuality_TemporalRepresentativeness[Score])+_xlfn.XLOOKUP(Table_Input_DataQuality_Site[[#This Row],[Where is the data sourced from?]],Table_SourceData_DataQuality_SpatialRepresentativeness[User friendly description],Table_SourceData_DataQuality_SpatialRepresentativeness[Score])+_xlfn.XLOOKUP(Table_Input_DataQuality_Site[[#This Row],[How much of the data was from direct samples?]],Table_SourceData_DataQuality_SampleSize[User friendly description],Table_SourceData_DataQuality_SampleSize[Score]), 0)</f>
        <v>0</v>
      </c>
    </row>
    <row r="20" spans="1:10" ht="20.100000000000001" customHeight="1" x14ac:dyDescent="0.2">
      <c r="A20" s="5" t="str">
        <f>HYPERLINK("#'Input - Crop pasture farm input'!A1", "Crop pasture farm input")</f>
        <v>Crop pasture farm input</v>
      </c>
      <c r="D20" s="1" t="str">
        <f>"Elevation"</f>
        <v>Elevation</v>
      </c>
      <c r="E20" s="13"/>
      <c r="F20" s="13"/>
      <c r="G20" s="13"/>
      <c r="H20" s="83"/>
      <c r="I20" s="83"/>
      <c r="J20" s="15">
        <f>IFERROR(_xlfn.XLOOKUP(Table_Input_DataQuality_Site[[#This Row],[When was the data sourced?]],Table_SourceData_DataQuality_TemporalRepresentativeness[User friendly description],Table_SourceData_DataQuality_TemporalRepresentativeness[Score])+_xlfn.XLOOKUP(Table_Input_DataQuality_Site[[#This Row],[Where is the data sourced from?]],Table_SourceData_DataQuality_SpatialRepresentativeness[User friendly description],Table_SourceData_DataQuality_SpatialRepresentativeness[Score])+_xlfn.XLOOKUP(Table_Input_DataQuality_Site[[#This Row],[How much of the data was from direct samples?]],Table_SourceData_DataQuality_SampleSize[User friendly description],Table_SourceData_DataQuality_SampleSize[Score]), 0)</f>
        <v>0</v>
      </c>
    </row>
    <row r="21" spans="1:10" ht="20.100000000000001" customHeight="1" x14ac:dyDescent="0.2">
      <c r="A21" s="5" t="str">
        <f>HYPERLINK("#'Input - Livestock farm Inputs'!A1", "Livestock farm Inputs")</f>
        <v>Livestock farm Inputs</v>
      </c>
      <c r="D21" s="1" t="str">
        <f>"Average temperature for reporting period"</f>
        <v>Average temperature for reporting period</v>
      </c>
      <c r="E21" s="13"/>
      <c r="F21" s="13"/>
      <c r="G21" s="13"/>
      <c r="H21" s="83"/>
      <c r="I21" s="83"/>
      <c r="J21" s="15">
        <f>IFERROR(_xlfn.XLOOKUP(Table_Input_DataQuality_Site[[#This Row],[When was the data sourced?]],Table_SourceData_DataQuality_TemporalRepresentativeness[User friendly description],Table_SourceData_DataQuality_TemporalRepresentativeness[Score])+_xlfn.XLOOKUP(Table_Input_DataQuality_Site[[#This Row],[Where is the data sourced from?]],Table_SourceData_DataQuality_SpatialRepresentativeness[User friendly description],Table_SourceData_DataQuality_SpatialRepresentativeness[Score])+_xlfn.XLOOKUP(Table_Input_DataQuality_Site[[#This Row],[How much of the data was from direct samples?]],Table_SourceData_DataQuality_SampleSize[User friendly description],Table_SourceData_DataQuality_SampleSize[Score]), 0)</f>
        <v>0</v>
      </c>
    </row>
    <row r="22" spans="1:10" ht="20.100000000000001" customHeight="1" x14ac:dyDescent="0.2">
      <c r="A22" s="5" t="str">
        <f>HYPERLINK("#'Input - Freight'!A1", "Freight")</f>
        <v>Freight</v>
      </c>
      <c r="D22" s="1" t="str">
        <f>"Total rainfall for reporting period"</f>
        <v>Total rainfall for reporting period</v>
      </c>
      <c r="E22" s="13"/>
      <c r="F22" s="13"/>
      <c r="G22" s="13"/>
      <c r="H22" s="83"/>
      <c r="I22" s="83"/>
      <c r="J22" s="15">
        <f>IFERROR(_xlfn.XLOOKUP(Table_Input_DataQuality_Site[[#This Row],[When was the data sourced?]],Table_SourceData_DataQuality_TemporalRepresentativeness[User friendly description],Table_SourceData_DataQuality_TemporalRepresentativeness[Score])+_xlfn.XLOOKUP(Table_Input_DataQuality_Site[[#This Row],[Where is the data sourced from?]],Table_SourceData_DataQuality_SpatialRepresentativeness[User friendly description],Table_SourceData_DataQuality_SpatialRepresentativeness[Score])+_xlfn.XLOOKUP(Table_Input_DataQuality_Site[[#This Row],[How much of the data was from direct samples?]],Table_SourceData_DataQuality_SampleSize[User friendly description],Table_SourceData_DataQuality_SampleSize[Score]), 0)</f>
        <v>0</v>
      </c>
    </row>
    <row r="23" spans="1:10" ht="20.100000000000001" customHeight="1" x14ac:dyDescent="0.2">
      <c r="A23" s="5" t="str">
        <f>HYPERLINK("#'Input - Solid waste'!A1", "Solid waste")</f>
        <v>Solid waste</v>
      </c>
      <c r="D23" s="1" t="str">
        <f>"Potential evapotranspiration for reporting period"</f>
        <v>Potential evapotranspiration for reporting period</v>
      </c>
      <c r="E23" s="13"/>
      <c r="F23" s="13"/>
      <c r="G23" s="13"/>
      <c r="H23" s="83"/>
      <c r="I23" s="83"/>
      <c r="J23" s="15">
        <f>IFERROR(_xlfn.XLOOKUP(Table_Input_DataQuality_Site[[#This Row],[When was the data sourced?]],Table_SourceData_DataQuality_TemporalRepresentativeness[User friendly description],Table_SourceData_DataQuality_TemporalRepresentativeness[Score])+_xlfn.XLOOKUP(Table_Input_DataQuality_Site[[#This Row],[Where is the data sourced from?]],Table_SourceData_DataQuality_SpatialRepresentativeness[User friendly description],Table_SourceData_DataQuality_SpatialRepresentativeness[Score])+_xlfn.XLOOKUP(Table_Input_DataQuality_Site[[#This Row],[How much of the data was from direct samples?]],Table_SourceData_DataQuality_SampleSize[User friendly description],Table_SourceData_DataQuality_SampleSize[Score]), 0)</f>
        <v>0</v>
      </c>
    </row>
    <row r="24" spans="1:10" ht="20.100000000000001" customHeight="1" x14ac:dyDescent="0.2">
      <c r="A24" s="5" t="str">
        <f>HYPERLINK("#'Input - Manure sent off-site'!A1", "Manure sent off-site")</f>
        <v>Manure sent off-site</v>
      </c>
      <c r="D24" s="1" t="str">
        <f>"Number of frost days for reporting period"</f>
        <v>Number of frost days for reporting period</v>
      </c>
      <c r="E24" s="84"/>
      <c r="F24" s="84"/>
      <c r="G24" s="84"/>
      <c r="H24" s="83"/>
      <c r="I24" s="83"/>
      <c r="J24" s="15">
        <f>IFERROR(_xlfn.XLOOKUP(Table_Input_DataQuality_Site[[#This Row],[When was the data sourced?]],Table_SourceData_DataQuality_TemporalRepresentativeness[User friendly description],Table_SourceData_DataQuality_TemporalRepresentativeness[Score])+_xlfn.XLOOKUP(Table_Input_DataQuality_Site[[#This Row],[Where is the data sourced from?]],Table_SourceData_DataQuality_SpatialRepresentativeness[User friendly description],Table_SourceData_DataQuality_SpatialRepresentativeness[Score])+_xlfn.XLOOKUP(Table_Input_DataQuality_Site[[#This Row],[How much of the data was from direct samples?]],Table_SourceData_DataQuality_SampleSize[User friendly description],Table_SourceData_DataQuality_SampleSize[Score]), 0)</f>
        <v>0</v>
      </c>
    </row>
    <row r="25" spans="1:10" ht="20.100000000000001" customHeight="1" x14ac:dyDescent="0.2">
      <c r="A25" s="99" t="str">
        <f>HYPERLINK("#'Input - Data quality'!A1", "Data quality")</f>
        <v>Data quality</v>
      </c>
    </row>
    <row r="26" spans="1:10" ht="20.100000000000001" customHeight="1" x14ac:dyDescent="0.2">
      <c r="J26" s="87">
        <f>SUM(Table_Input_DataQuality_Site[Score])</f>
        <v>0</v>
      </c>
    </row>
    <row r="27" spans="1:10" ht="20.100000000000001" customHeight="1" x14ac:dyDescent="0.2">
      <c r="D27" s="2" t="s">
        <v>249</v>
      </c>
    </row>
    <row r="28" spans="1:10" ht="20.100000000000001" customHeight="1" x14ac:dyDescent="0.2">
      <c r="A28" s="6" t="s">
        <v>2</v>
      </c>
    </row>
    <row r="29" spans="1:10" ht="20.100000000000001" customHeight="1" x14ac:dyDescent="0.2">
      <c r="A29" s="5" t="str">
        <f>HYPERLINK("#'3.2.1.1-2 Enteric Methane'!A1", "3.2.1.1-2 Enteric Methane")</f>
        <v>3.2.1.1-2 Enteric Methane</v>
      </c>
      <c r="D29" s="82" t="s">
        <v>275</v>
      </c>
      <c r="E29" s="82" t="s">
        <v>237</v>
      </c>
      <c r="F29" s="82" t="s">
        <v>238</v>
      </c>
      <c r="G29" s="82" t="s">
        <v>239</v>
      </c>
      <c r="H29" s="82" t="s">
        <v>186</v>
      </c>
      <c r="I29" s="82" t="s">
        <v>187</v>
      </c>
      <c r="J29" s="82" t="s">
        <v>188</v>
      </c>
    </row>
    <row r="30" spans="1:10" ht="20.100000000000001" customHeight="1" x14ac:dyDescent="0.2">
      <c r="A30" s="5" t="str">
        <f>HYPERLINK("#'4.2.1.1-2 Methane'!A1", "4.2.1.1-2 Manure methane")</f>
        <v>4.2.1.1-2 Manure methane</v>
      </c>
      <c r="D30" s="1" t="str">
        <f>"Livestock production region"</f>
        <v>Livestock production region</v>
      </c>
      <c r="E30" s="13"/>
      <c r="F30" s="13"/>
      <c r="G30" s="13"/>
      <c r="H30" s="83"/>
      <c r="I30" s="83"/>
      <c r="J30" s="15">
        <f>IFERROR(_xlfn.XLOOKUP(Table_Input_DataQuality_PastureBeef[[#This Row],[When was the data sourced?]],Table_SourceData_DataQuality_TemporalRepresentativeness[User friendly description],Table_SourceData_DataQuality_TemporalRepresentativeness[Score])+_xlfn.XLOOKUP(Table_Input_DataQuality_PastureBeef[[#This Row],[Where is the data sourced from?]],Table_SourceData_DataQuality_SpatialRepresentativeness[User friendly description],Table_SourceData_DataQuality_SpatialRepresentativeness[Score])+_xlfn.XLOOKUP(Table_Input_DataQuality_PastureBeef[[#This Row],[How much of the data was from direct samples?]],Table_SourceData_DataQuality_SampleSize[User friendly description],Table_SourceData_DataQuality_SampleSize[Score]), 0)</f>
        <v>0</v>
      </c>
    </row>
    <row r="31" spans="1:10" ht="20.100000000000001" customHeight="1" x14ac:dyDescent="0.2">
      <c r="A31" s="5" t="str">
        <f>HYPERLINK("#'4.2.1.3-4 Soil direct N20'!A1", "4.2.1.3-4 Soil direct N2O")</f>
        <v>4.2.1.3-4 Soil direct N2O</v>
      </c>
      <c r="D31" s="1" t="str">
        <f>"Cattle breed"</f>
        <v>Cattle breed</v>
      </c>
      <c r="E31" s="13"/>
      <c r="F31" s="13"/>
      <c r="G31" s="13"/>
      <c r="H31" s="83"/>
      <c r="I31" s="83"/>
      <c r="J31" s="15">
        <f>IFERROR(_xlfn.XLOOKUP(Table_Input_DataQuality_PastureBeef[[#This Row],[When was the data sourced?]],Table_SourceData_DataQuality_TemporalRepresentativeness[User friendly description],Table_SourceData_DataQuality_TemporalRepresentativeness[Score])+_xlfn.XLOOKUP(Table_Input_DataQuality_PastureBeef[[#This Row],[Where is the data sourced from?]],Table_SourceData_DataQuality_SpatialRepresentativeness[User friendly description],Table_SourceData_DataQuality_SpatialRepresentativeness[Score])+_xlfn.XLOOKUP(Table_Input_DataQuality_PastureBeef[[#This Row],[How much of the data was from direct samples?]],Table_SourceData_DataQuality_SampleSize[User friendly description],Table_SourceData_DataQuality_SampleSize[Score]), 0)</f>
        <v>0</v>
      </c>
    </row>
    <row r="32" spans="1:10" ht="20.100000000000001" customHeight="1" x14ac:dyDescent="0.2">
      <c r="A32" s="5" t="str">
        <f>HYPERLINK("#'4.2.1.5-6 Soil Atmos Dep'!A1", "4.2.1.5-6 Soil atm. deposition")</f>
        <v>4.2.1.5-6 Soil atm. deposition</v>
      </c>
      <c r="D32" s="1" t="str">
        <f>"Head count"</f>
        <v>Head count</v>
      </c>
      <c r="E32" s="13"/>
      <c r="F32" s="13"/>
      <c r="G32" s="13"/>
      <c r="H32" s="83"/>
      <c r="I32" s="83"/>
      <c r="J32" s="15">
        <f>IFERROR(_xlfn.XLOOKUP(Table_Input_DataQuality_PastureBeef[[#This Row],[When was the data sourced?]],Table_SourceData_DataQuality_TemporalRepresentativeness[User friendly description],Table_SourceData_DataQuality_TemporalRepresentativeness[Score])+_xlfn.XLOOKUP(Table_Input_DataQuality_PastureBeef[[#This Row],[Where is the data sourced from?]],Table_SourceData_DataQuality_SpatialRepresentativeness[User friendly description],Table_SourceData_DataQuality_SpatialRepresentativeness[Score])+_xlfn.XLOOKUP(Table_Input_DataQuality_PastureBeef[[#This Row],[How much of the data was from direct samples?]],Table_SourceData_DataQuality_SampleSize[User friendly description],Table_SourceData_DataQuality_SampleSize[Score]), 0)</f>
        <v>0</v>
      </c>
    </row>
    <row r="33" spans="1:10" ht="20.100000000000001" customHeight="1" x14ac:dyDescent="0.2">
      <c r="A33" s="5" t="str">
        <f>HYPERLINK("#'4.2.1.7-8 Soil leach runoff'!A1", "4.2.1.7-8 Soil leach &amp; runoff")</f>
        <v>4.2.1.7-8 Soil leach &amp; runoff</v>
      </c>
      <c r="D33" s="1" t="str">
        <f>"Liveweight"</f>
        <v>Liveweight</v>
      </c>
      <c r="E33" s="13"/>
      <c r="F33" s="13"/>
      <c r="G33" s="13"/>
      <c r="H33" s="83"/>
      <c r="I33" s="83"/>
      <c r="J33" s="15">
        <f>IFERROR(_xlfn.XLOOKUP(Table_Input_DataQuality_PastureBeef[[#This Row],[When was the data sourced?]],Table_SourceData_DataQuality_TemporalRepresentativeness[User friendly description],Table_SourceData_DataQuality_TemporalRepresentativeness[Score])+_xlfn.XLOOKUP(Table_Input_DataQuality_PastureBeef[[#This Row],[Where is the data sourced from?]],Table_SourceData_DataQuality_SpatialRepresentativeness[User friendly description],Table_SourceData_DataQuality_SpatialRepresentativeness[Score])+_xlfn.XLOOKUP(Table_Input_DataQuality_PastureBeef[[#This Row],[How much of the data was from direct samples?]],Table_SourceData_DataQuality_SampleSize[User friendly description],Table_SourceData_DataQuality_SampleSize[Score]), 0)</f>
        <v>0</v>
      </c>
    </row>
    <row r="34" spans="1:10" ht="20.100000000000001" customHeight="1" x14ac:dyDescent="0.2">
      <c r="A34" s="5" t="str">
        <f>HYPERLINK("#'5.1.1.1-2 Inorganic fert N2O'!A1", "5.1.1.1-2 Inorganic fert N2O")</f>
        <v>5.1.1.1-2 Inorganic fert N2O</v>
      </c>
      <c r="D34" s="1" t="str">
        <f>"Liveweight gain"</f>
        <v>Liveweight gain</v>
      </c>
      <c r="E34" s="13"/>
      <c r="F34" s="13"/>
      <c r="G34" s="13"/>
      <c r="H34" s="83"/>
      <c r="I34" s="83"/>
      <c r="J34" s="15">
        <f>IFERROR(_xlfn.XLOOKUP(Table_Input_DataQuality_PastureBeef[[#This Row],[When was the data sourced?]],Table_SourceData_DataQuality_TemporalRepresentativeness[User friendly description],Table_SourceData_DataQuality_TemporalRepresentativeness[Score])+_xlfn.XLOOKUP(Table_Input_DataQuality_PastureBeef[[#This Row],[Where is the data sourced from?]],Table_SourceData_DataQuality_SpatialRepresentativeness[User friendly description],Table_SourceData_DataQuality_SpatialRepresentativeness[Score])+_xlfn.XLOOKUP(Table_Input_DataQuality_PastureBeef[[#This Row],[How much of the data was from direct samples?]],Table_SourceData_DataQuality_SampleSize[User friendly description],Table_SourceData_DataQuality_SampleSize[Score]), 0)</f>
        <v>0</v>
      </c>
    </row>
    <row r="35" spans="1:10" ht="20.100000000000001" customHeight="1" x14ac:dyDescent="0.2">
      <c r="A35" s="5" t="str">
        <f>HYPERLINK("#'5.1.1.3-4 Inorganic fert CO2'!A1", "5.1.1.3-4 Inorganic fert CO2")</f>
        <v>5.1.1.3-4 Inorganic fert CO2</v>
      </c>
      <c r="D35" s="1" t="str">
        <f>"Dry matter digestibility of diet"</f>
        <v>Dry matter digestibility of diet</v>
      </c>
      <c r="E35" s="13"/>
      <c r="F35" s="84"/>
      <c r="G35" s="84"/>
      <c r="H35" s="83"/>
      <c r="I35" s="83"/>
      <c r="J35" s="15">
        <f>IFERROR(_xlfn.XLOOKUP(Table_Input_DataQuality_PastureBeef[[#This Row],[When was the data sourced?]],Table_SourceData_DataQuality_TemporalRepresentativeness[User friendly description],Table_SourceData_DataQuality_TemporalRepresentativeness[Score])+_xlfn.XLOOKUP(Table_Input_DataQuality_PastureBeef[[#This Row],[Where is the data sourced from?]],Table_SourceData_DataQuality_SpatialRepresentativeness[User friendly description],Table_SourceData_DataQuality_SpatialRepresentativeness[Score])+_xlfn.XLOOKUP(Table_Input_DataQuality_PastureBeef[[#This Row],[How much of the data was from direct samples?]],Table_SourceData_DataQuality_SampleSize[User friendly description],Table_SourceData_DataQuality_SampleSize[Score]), 0)</f>
        <v>0</v>
      </c>
    </row>
    <row r="36" spans="1:10" ht="20.100000000000001" customHeight="1" x14ac:dyDescent="0.2">
      <c r="A36" s="5" t="str">
        <f>HYPERLINK("#'5.2.1.1-2 Organic Fert N2O'!A1", "5.2.1.1-2 Organic fert N2O")</f>
        <v>5.2.1.1-2 Organic fert N2O</v>
      </c>
      <c r="D36" s="1" t="str">
        <f>"Crude protein in diet"</f>
        <v>Crude protein in diet</v>
      </c>
      <c r="E36" s="13"/>
      <c r="F36" s="84"/>
      <c r="G36" s="84"/>
      <c r="H36" s="83"/>
      <c r="I36" s="83"/>
      <c r="J36" s="15">
        <f>IFERROR(_xlfn.XLOOKUP(Table_Input_DataQuality_PastureBeef[[#This Row],[When was the data sourced?]],Table_SourceData_DataQuality_TemporalRepresentativeness[User friendly description],Table_SourceData_DataQuality_TemporalRepresentativeness[Score])+_xlfn.XLOOKUP(Table_Input_DataQuality_PastureBeef[[#This Row],[Where is the data sourced from?]],Table_SourceData_DataQuality_SpatialRepresentativeness[User friendly description],Table_SourceData_DataQuality_SpatialRepresentativeness[Score])+_xlfn.XLOOKUP(Table_Input_DataQuality_PastureBeef[[#This Row],[How much of the data was from direct samples?]],Table_SourceData_DataQuality_SampleSize[User friendly description],Table_SourceData_DataQuality_SampleSize[Score]), 0)</f>
        <v>0</v>
      </c>
    </row>
    <row r="37" spans="1:10" ht="20.100000000000001" customHeight="1" x14ac:dyDescent="0.2">
      <c r="A37" s="5" t="str">
        <f>HYPERLINK("#'5.3.1.1-2 Lime CO2'!A1", "5.3.1.1-2 Lime CO2")</f>
        <v>5.3.1.1-2 Lime CO2</v>
      </c>
      <c r="D37" s="1" t="str">
        <f>"Livestock access to water bodies"</f>
        <v>Livestock access to water bodies</v>
      </c>
      <c r="E37" s="13"/>
      <c r="F37" s="84"/>
      <c r="G37" s="84"/>
      <c r="H37" s="83"/>
      <c r="I37" s="83"/>
      <c r="J37" s="15">
        <f>IFERROR(_xlfn.XLOOKUP(Table_Input_DataQuality_PastureBeef[[#This Row],[When was the data sourced?]],Table_SourceData_DataQuality_TemporalRepresentativeness[User friendly description],Table_SourceData_DataQuality_TemporalRepresentativeness[Score])+_xlfn.XLOOKUP(Table_Input_DataQuality_PastureBeef[[#This Row],[Where is the data sourced from?]],Table_SourceData_DataQuality_SpatialRepresentativeness[User friendly description],Table_SourceData_DataQuality_SpatialRepresentativeness[Score])+_xlfn.XLOOKUP(Table_Input_DataQuality_PastureBeef[[#This Row],[How much of the data was from direct samples?]],Table_SourceData_DataQuality_SampleSize[User friendly description],Table_SourceData_DataQuality_SampleSize[Score]), 0)</f>
        <v>0</v>
      </c>
    </row>
    <row r="38" spans="1:10" ht="20.100000000000001" customHeight="1" x14ac:dyDescent="0.2">
      <c r="A38" s="5" t="str">
        <f>HYPERLINK("#'5.4.1.1-4 Atmos deposition'!A1", "5.4.1.1-4 Atmos. deposition")</f>
        <v>5.4.1.1-4 Atmos. deposition</v>
      </c>
      <c r="D38" s="1" t="str">
        <f>"Calving timing"</f>
        <v>Calving timing</v>
      </c>
      <c r="E38" s="13"/>
      <c r="F38" s="84"/>
      <c r="G38" s="84"/>
      <c r="H38" s="83"/>
      <c r="I38" s="83"/>
      <c r="J38" s="15">
        <f>IFERROR(_xlfn.XLOOKUP(Table_Input_DataQuality_PastureBeef[[#This Row],[When was the data sourced?]],Table_SourceData_DataQuality_TemporalRepresentativeness[User friendly description],Table_SourceData_DataQuality_TemporalRepresentativeness[Score])+_xlfn.XLOOKUP(Table_Input_DataQuality_PastureBeef[[#This Row],[Where is the data sourced from?]],Table_SourceData_DataQuality_SpatialRepresentativeness[User friendly description],Table_SourceData_DataQuality_SpatialRepresentativeness[Score])+_xlfn.XLOOKUP(Table_Input_DataQuality_PastureBeef[[#This Row],[How much of the data was from direct samples?]],Table_SourceData_DataQuality_SampleSize[User friendly description],Table_SourceData_DataQuality_SampleSize[Score]), 0)</f>
        <v>0</v>
      </c>
    </row>
    <row r="39" spans="1:10" ht="20.100000000000001" customHeight="1" x14ac:dyDescent="0.2">
      <c r="A39" s="5" t="str">
        <f>HYPERLINK("#'5.5.1.1-2 Leaching and runoff'!A1", "5.5.1.1-2 Leaching &amp; runoff")</f>
        <v>5.5.1.1-2 Leaching &amp; runoff</v>
      </c>
      <c r="D39" s="1" t="str">
        <f>"Calving rates"</f>
        <v>Calving rates</v>
      </c>
      <c r="E39" s="13"/>
      <c r="F39" s="84"/>
      <c r="G39" s="84"/>
      <c r="H39" s="83"/>
      <c r="I39" s="83"/>
      <c r="J39" s="15">
        <f>IFERROR(_xlfn.XLOOKUP(Table_Input_DataQuality_PastureBeef[[#This Row],[When was the data sourced?]],Table_SourceData_DataQuality_TemporalRepresentativeness[User friendly description],Table_SourceData_DataQuality_TemporalRepresentativeness[Score])+_xlfn.XLOOKUP(Table_Input_DataQuality_PastureBeef[[#This Row],[Where is the data sourced from?]],Table_SourceData_DataQuality_SpatialRepresentativeness[User friendly description],Table_SourceData_DataQuality_SpatialRepresentativeness[Score])+_xlfn.XLOOKUP(Table_Input_DataQuality_PastureBeef[[#This Row],[How much of the data was from direct samples?]],Table_SourceData_DataQuality_SampleSize[User friendly description],Table_SourceData_DataQuality_SampleSize[Score]), 0)</f>
        <v>0</v>
      </c>
    </row>
    <row r="40" spans="1:10" ht="20.100000000000001" customHeight="1" x14ac:dyDescent="0.2">
      <c r="A40" s="5" t="str">
        <f>HYPERLINK("#'6.2.1.1-2 Pasture residue N2O'!A1", "6.2.1.1-2 Pasture residue N2O")</f>
        <v>6.2.1.1-2 Pasture residue N2O</v>
      </c>
      <c r="D40" s="1" t="str">
        <f>"Livestock sales"</f>
        <v>Livestock sales</v>
      </c>
      <c r="E40" s="13"/>
      <c r="F40" s="84"/>
      <c r="G40" s="84"/>
      <c r="H40" s="83"/>
      <c r="I40" s="83"/>
      <c r="J40" s="15">
        <f>IFERROR(_xlfn.XLOOKUP(Table_Input_DataQuality_PastureBeef[[#This Row],[When was the data sourced?]],Table_SourceData_DataQuality_TemporalRepresentativeness[User friendly description],Table_SourceData_DataQuality_TemporalRepresentativeness[Score])+_xlfn.XLOOKUP(Table_Input_DataQuality_PastureBeef[[#This Row],[Where is the data sourced from?]],Table_SourceData_DataQuality_SpatialRepresentativeness[User friendly description],Table_SourceData_DataQuality_SpatialRepresentativeness[Score])+_xlfn.XLOOKUP(Table_Input_DataQuality_PastureBeef[[#This Row],[How much of the data was from direct samples?]],Table_SourceData_DataQuality_SampleSize[User friendly description],Table_SourceData_DataQuality_SampleSize[Score]), 0)</f>
        <v>0</v>
      </c>
    </row>
    <row r="41" spans="1:10" ht="20.100000000000001" customHeight="1" x14ac:dyDescent="0.2">
      <c r="A41" s="5" t="str">
        <f>HYPERLINK("#'6.3.1.1-2 Leach runoff pasture'!A1", "6.3.1.1-2 Leach &amp; runoff (pasture)")</f>
        <v>6.3.1.1-2 Leach &amp; runoff (pasture)</v>
      </c>
      <c r="D41" s="1" t="str">
        <f>"Livestock purchases"</f>
        <v>Livestock purchases</v>
      </c>
      <c r="E41" s="13"/>
      <c r="F41" s="84"/>
      <c r="G41" s="84"/>
      <c r="H41" s="83"/>
      <c r="I41" s="83"/>
      <c r="J41" s="15">
        <f>IFERROR(_xlfn.XLOOKUP(Table_Input_DataQuality_PastureBeef[[#This Row],[When was the data sourced?]],Table_SourceData_DataQuality_TemporalRepresentativeness[User friendly description],Table_SourceData_DataQuality_TemporalRepresentativeness[Score])+_xlfn.XLOOKUP(Table_Input_DataQuality_PastureBeef[[#This Row],[Where is the data sourced from?]],Table_SourceData_DataQuality_SpatialRepresentativeness[User friendly description],Table_SourceData_DataQuality_SpatialRepresentativeness[Score])+_xlfn.XLOOKUP(Table_Input_DataQuality_PastureBeef[[#This Row],[How much of the data was from direct samples?]],Table_SourceData_DataQuality_SampleSize[User friendly description],Table_SourceData_DataQuality_SampleSize[Score]), 0)</f>
        <v>0</v>
      </c>
    </row>
    <row r="42" spans="1:10" ht="20.100000000000001" customHeight="1" x14ac:dyDescent="0.2">
      <c r="A42" s="5" t="str">
        <f>HYPERLINK("#'8.1.1.1-2 Transport fuel'!A1", "8.1.1.1-2 Transport fuel")</f>
        <v>8.1.1.1-2 Transport fuel</v>
      </c>
    </row>
    <row r="43" spans="1:10" ht="20.100000000000001" customHeight="1" x14ac:dyDescent="0.2">
      <c r="A43" s="5" t="str">
        <f>HYPERLINK("#'8.2.1.1-2 Stationary fuel'!A1", "8.2.1.1-2 Stationary fuel")</f>
        <v>8.2.1.1-2 Stationary fuel</v>
      </c>
      <c r="J43" s="87">
        <f>SUM(Table_Input_DataQuality_PastureBeef[Score])</f>
        <v>0</v>
      </c>
    </row>
    <row r="44" spans="1:10" ht="20.100000000000001" customHeight="1" x14ac:dyDescent="0.2">
      <c r="A44" s="5" t="str">
        <f>HYPERLINK("#'10.1.1-2 Solid waste treatment'!A1", "10.1.1.1-2 Solid waste")</f>
        <v>10.1.1.1-2 Solid waste</v>
      </c>
      <c r="D44" s="2" t="s">
        <v>256</v>
      </c>
    </row>
    <row r="45" spans="1:10" ht="20.100000000000001" customHeight="1" x14ac:dyDescent="0.2">
      <c r="A45" s="5" t="str">
        <f>HYPERLINK("#'14.1.1-2 Purchased electricity'!A1", "14.1.1-2 Purchased electricity")</f>
        <v>14.1.1-2 Purchased electricity</v>
      </c>
    </row>
    <row r="46" spans="1:10" ht="20.100000000000001" customHeight="1" x14ac:dyDescent="0.2">
      <c r="A46" s="5" t="str">
        <f>HYPERLINK("#'15 Scope 3'!A1", "15 Scope 3")</f>
        <v>15 Scope 3</v>
      </c>
      <c r="D46" s="82" t="s">
        <v>275</v>
      </c>
      <c r="E46" s="82" t="s">
        <v>237</v>
      </c>
      <c r="F46" s="82" t="s">
        <v>238</v>
      </c>
      <c r="G46" s="82" t="s">
        <v>239</v>
      </c>
      <c r="H46" s="82" t="s">
        <v>186</v>
      </c>
      <c r="I46" s="82" t="s">
        <v>187</v>
      </c>
      <c r="J46" s="82" t="s">
        <v>188</v>
      </c>
    </row>
    <row r="47" spans="1:10" ht="20.100000000000001" customHeight="1" x14ac:dyDescent="0.2">
      <c r="A47" s="5" t="str">
        <f>HYPERLINK("#'Calcs - Manure sent off-site'!A1", "Calcs - Manure sent off-site")</f>
        <v>Calcs - Manure sent off-site</v>
      </c>
      <c r="D47" s="1" t="str">
        <f>"Pasture type"</f>
        <v>Pasture type</v>
      </c>
      <c r="E47" s="13"/>
      <c r="F47" s="13"/>
      <c r="G47" s="13"/>
      <c r="H47" s="83"/>
      <c r="I47" s="83"/>
      <c r="J47" s="15">
        <f>IFERROR(_xlfn.XLOOKUP(Table_Input_DataQuality_PastureManagement[[#This Row],[When was the data sourced?]],Table_SourceData_DataQuality_TemporalRepresentativeness[User friendly description],Table_SourceData_DataQuality_TemporalRepresentativeness[Score])+_xlfn.XLOOKUP(Table_Input_DataQuality_PastureManagement[[#This Row],[Where is the data sourced from?]],Table_SourceData_DataQuality_SpatialRepresentativeness[User friendly description],Table_SourceData_DataQuality_SpatialRepresentativeness[Score])+_xlfn.XLOOKUP(Table_Input_DataQuality_PastureManagement[[#This Row],[How much of the data was from direct samples?]],Table_SourceData_DataQuality_SampleSize[User friendly description],Table_SourceData_DataQuality_SampleSize[Score]), 0)</f>
        <v>0</v>
      </c>
    </row>
    <row r="48" spans="1:10" ht="20.100000000000001" customHeight="1" x14ac:dyDescent="0.2">
      <c r="D48" s="1" t="str">
        <f>"Irrigation method"</f>
        <v>Irrigation method</v>
      </c>
      <c r="E48" s="13"/>
      <c r="F48" s="13"/>
      <c r="G48" s="13"/>
      <c r="H48" s="83"/>
      <c r="I48" s="83"/>
      <c r="J48" s="15">
        <f>IFERROR(_xlfn.XLOOKUP(Table_Input_DataQuality_PastureManagement[[#This Row],[When was the data sourced?]],Table_SourceData_DataQuality_TemporalRepresentativeness[User friendly description],Table_SourceData_DataQuality_TemporalRepresentativeness[Score])+_xlfn.XLOOKUP(Table_Input_DataQuality_PastureManagement[[#This Row],[Where is the data sourced from?]],Table_SourceData_DataQuality_SpatialRepresentativeness[User friendly description],Table_SourceData_DataQuality_SpatialRepresentativeness[Score])+_xlfn.XLOOKUP(Table_Input_DataQuality_PastureManagement[[#This Row],[How much of the data was from direct samples?]],Table_SourceData_DataQuality_SampleSize[User friendly description],Table_SourceData_DataQuality_SampleSize[Score]), 0)</f>
        <v>0</v>
      </c>
    </row>
    <row r="49" spans="1:10" ht="20.100000000000001" customHeight="1" x14ac:dyDescent="0.2">
      <c r="D49" s="1" t="str">
        <f>"Area under pasture"</f>
        <v>Area under pasture</v>
      </c>
      <c r="E49" s="13"/>
      <c r="F49" s="13"/>
      <c r="G49" s="13"/>
      <c r="H49" s="83"/>
      <c r="I49" s="83"/>
      <c r="J49" s="15">
        <f>IFERROR(_xlfn.XLOOKUP(Table_Input_DataQuality_PastureManagement[[#This Row],[When was the data sourced?]],Table_SourceData_DataQuality_TemporalRepresentativeness[User friendly description],Table_SourceData_DataQuality_TemporalRepresentativeness[Score])+_xlfn.XLOOKUP(Table_Input_DataQuality_PastureManagement[[#This Row],[Where is the data sourced from?]],Table_SourceData_DataQuality_SpatialRepresentativeness[User friendly description],Table_SourceData_DataQuality_SpatialRepresentativeness[Score])+_xlfn.XLOOKUP(Table_Input_DataQuality_PastureManagement[[#This Row],[How much of the data was from direct samples?]],Table_SourceData_DataQuality_SampleSize[User friendly description],Table_SourceData_DataQuality_SampleSize[Score]), 0)</f>
        <v>0</v>
      </c>
    </row>
    <row r="50" spans="1:10" ht="20.100000000000001" customHeight="1" x14ac:dyDescent="0.2">
      <c r="A50" s="85" t="s">
        <v>1</v>
      </c>
      <c r="D50" s="1" t="str">
        <f>"Pasture yield"</f>
        <v>Pasture yield</v>
      </c>
      <c r="E50" s="13"/>
      <c r="F50" s="13"/>
      <c r="G50" s="13"/>
      <c r="H50" s="83"/>
      <c r="I50" s="83"/>
      <c r="J50" s="15">
        <f>IFERROR(_xlfn.XLOOKUP(Table_Input_DataQuality_PastureManagement[[#This Row],[When was the data sourced?]],Table_SourceData_DataQuality_TemporalRepresentativeness[User friendly description],Table_SourceData_DataQuality_TemporalRepresentativeness[Score])+_xlfn.XLOOKUP(Table_Input_DataQuality_PastureManagement[[#This Row],[Where is the data sourced from?]],Table_SourceData_DataQuality_SpatialRepresentativeness[User friendly description],Table_SourceData_DataQuality_SpatialRepresentativeness[Score])+_xlfn.XLOOKUP(Table_Input_DataQuality_PastureManagement[[#This Row],[How much of the data was from direct samples?]],Table_SourceData_DataQuality_SampleSize[User friendly description],Table_SourceData_DataQuality_SampleSize[Score]), 0)</f>
        <v>0</v>
      </c>
    </row>
    <row r="51" spans="1:10" ht="20.100000000000001" customHeight="1" x14ac:dyDescent="0.2">
      <c r="A51" s="5" t="str">
        <f>HYPERLINK("#'Constants - Pasture Beef'!A1", "Constants - Pasture Beef")</f>
        <v>Constants - Pasture Beef</v>
      </c>
      <c r="D51" s="1" t="str">
        <f>"Area of pasture renewed or removed"</f>
        <v>Area of pasture renewed or removed</v>
      </c>
      <c r="E51" s="13"/>
      <c r="F51" s="13"/>
      <c r="G51" s="13"/>
      <c r="H51" s="83"/>
      <c r="I51" s="83"/>
      <c r="J51" s="15">
        <f>IFERROR(_xlfn.XLOOKUP(Table_Input_DataQuality_PastureManagement[[#This Row],[When was the data sourced?]],Table_SourceData_DataQuality_TemporalRepresentativeness[User friendly description],Table_SourceData_DataQuality_TemporalRepresentativeness[Score])+_xlfn.XLOOKUP(Table_Input_DataQuality_PastureManagement[[#This Row],[Where is the data sourced from?]],Table_SourceData_DataQuality_SpatialRepresentativeness[User friendly description],Table_SourceData_DataQuality_SpatialRepresentativeness[Score])+_xlfn.XLOOKUP(Table_Input_DataQuality_PastureManagement[[#This Row],[How much of the data was from direct samples?]],Table_SourceData_DataQuality_SampleSize[User friendly description],Table_SourceData_DataQuality_SampleSize[Score]), 0)</f>
        <v>0</v>
      </c>
    </row>
    <row r="52" spans="1:10" ht="20.100000000000001" customHeight="1" x14ac:dyDescent="0.2">
      <c r="A52" s="5" t="str">
        <f>HYPERLINK("#'Constants - Ag Residue'!A1", "Constants - Ag residue")</f>
        <v>Constants - Ag residue</v>
      </c>
    </row>
    <row r="53" spans="1:10" ht="20.100000000000001" customHeight="1" x14ac:dyDescent="0.2">
      <c r="A53" s="5" t="str">
        <f>HYPERLINK("#'Constants - Common Livestock'!A1", "Constants - Common Livestock")</f>
        <v>Constants - Common Livestock</v>
      </c>
      <c r="J53" s="87">
        <f>SUM(Table_Input_DataQuality_PastureManagement[Score])</f>
        <v>0</v>
      </c>
    </row>
    <row r="54" spans="1:10" ht="20.100000000000001" customHeight="1" x14ac:dyDescent="0.2">
      <c r="A54" s="5" t="str">
        <f>HYPERLINK("#'Constants - Electricity'!A1", "Constants - Electricity")</f>
        <v>Constants - Electricity</v>
      </c>
      <c r="D54" s="2" t="s">
        <v>262</v>
      </c>
    </row>
    <row r="55" spans="1:10" ht="20.100000000000001" customHeight="1" x14ac:dyDescent="0.2">
      <c r="A55" s="5" t="str">
        <f>HYPERLINK("#'Constants - Fertiliser'!A1", "Constants - Fertiliser")</f>
        <v>Constants - Fertiliser</v>
      </c>
    </row>
    <row r="56" spans="1:10" ht="20.100000000000001" customHeight="1" x14ac:dyDescent="0.2">
      <c r="A56" s="5" t="str">
        <f>HYPERLINK("#'Constants - Fuel'!A1", "Constants - Fuel")</f>
        <v>Constants - Fuel</v>
      </c>
      <c r="D56" s="82" t="s">
        <v>275</v>
      </c>
      <c r="E56" s="82" t="s">
        <v>237</v>
      </c>
      <c r="F56" s="82" t="s">
        <v>238</v>
      </c>
      <c r="G56" s="82" t="s">
        <v>239</v>
      </c>
      <c r="H56" s="82" t="s">
        <v>186</v>
      </c>
      <c r="I56" s="82" t="s">
        <v>187</v>
      </c>
      <c r="J56" s="82" t="s">
        <v>188</v>
      </c>
    </row>
    <row r="57" spans="1:10" ht="20.100000000000001" customHeight="1" x14ac:dyDescent="0.2">
      <c r="A57" s="5" t="str">
        <f>HYPERLINK("#'Constants - Scope 3'!A1", "Constants - Scope 3")</f>
        <v>Constants - Scope 3</v>
      </c>
      <c r="D57" s="1" t="str">
        <f>"Branded inorganic fertiliser applications"</f>
        <v>Branded inorganic fertiliser applications</v>
      </c>
      <c r="E57" s="13"/>
      <c r="F57" s="13"/>
      <c r="G57" s="13"/>
      <c r="H57" s="83"/>
      <c r="I57" s="83"/>
      <c r="J57" s="15">
        <f>IFERROR(_xlfn.XLOOKUP(Table_Input_DataQuality_FertiliserApplications[[#This Row],[When was the data sourced?]],Table_SourceData_DataQuality_TemporalRepresentativeness[User friendly description],Table_SourceData_DataQuality_TemporalRepresentativeness[Score])+_xlfn.XLOOKUP(Table_Input_DataQuality_FertiliserApplications[[#This Row],[Where is the data sourced from?]],Table_SourceData_DataQuality_SpatialRepresentativeness[User friendly description],Table_SourceData_DataQuality_SpatialRepresentativeness[Score])+_xlfn.XLOOKUP(Table_Input_DataQuality_FertiliserApplications[[#This Row],[How much of the data was from direct samples?]],Table_SourceData_DataQuality_SampleSize[User friendly description],Table_SourceData_DataQuality_SampleSize[Score]), 0)</f>
        <v>0</v>
      </c>
    </row>
    <row r="58" spans="1:10" ht="20.100000000000001" customHeight="1" x14ac:dyDescent="0.2">
      <c r="A58" s="5" t="str">
        <f>HYPERLINK("#'Constants - Solid Waste'!A1", "Constants - Solid Waste")</f>
        <v>Constants - Solid Waste</v>
      </c>
      <c r="D58" s="1" t="str">
        <f>"Custom inorganic fertiliser blend applications"</f>
        <v>Custom inorganic fertiliser blend applications</v>
      </c>
      <c r="E58" s="13"/>
      <c r="F58" s="13"/>
      <c r="G58" s="13"/>
      <c r="H58" s="83"/>
      <c r="I58" s="83"/>
      <c r="J58" s="15">
        <f>IFERROR(_xlfn.XLOOKUP(Table_Input_DataQuality_FertiliserApplications[[#This Row],[When was the data sourced?]],Table_SourceData_DataQuality_TemporalRepresentativeness[User friendly description],Table_SourceData_DataQuality_TemporalRepresentativeness[Score])+_xlfn.XLOOKUP(Table_Input_DataQuality_FertiliserApplications[[#This Row],[Where is the data sourced from?]],Table_SourceData_DataQuality_SpatialRepresentativeness[User friendly description],Table_SourceData_DataQuality_SpatialRepresentativeness[Score])+_xlfn.XLOOKUP(Table_Input_DataQuality_FertiliserApplications[[#This Row],[How much of the data was from direct samples?]],Table_SourceData_DataQuality_SampleSize[User friendly description],Table_SourceData_DataQuality_SampleSize[Score]), 0)</f>
        <v>0</v>
      </c>
    </row>
    <row r="59" spans="1:10" ht="20.100000000000001" customHeight="1" x14ac:dyDescent="0.2">
      <c r="A59" s="5" t="str">
        <f>HYPERLINK("#'Constants - Common'!A1", "Constants - Common")</f>
        <v>Constants - Common</v>
      </c>
      <c r="D59" s="1" t="str">
        <f>"Lime applications"</f>
        <v>Lime applications</v>
      </c>
      <c r="E59" s="13"/>
      <c r="F59" s="13"/>
      <c r="G59" s="13"/>
      <c r="H59" s="83"/>
      <c r="I59" s="83"/>
      <c r="J59" s="15">
        <f>IFERROR(_xlfn.XLOOKUP(Table_Input_DataQuality_FertiliserApplications[[#This Row],[When was the data sourced?]],Table_SourceData_DataQuality_TemporalRepresentativeness[User friendly description],Table_SourceData_DataQuality_TemporalRepresentativeness[Score])+_xlfn.XLOOKUP(Table_Input_DataQuality_FertiliserApplications[[#This Row],[Where is the data sourced from?]],Table_SourceData_DataQuality_SpatialRepresentativeness[User friendly description],Table_SourceData_DataQuality_SpatialRepresentativeness[Score])+_xlfn.XLOOKUP(Table_Input_DataQuality_FertiliserApplications[[#This Row],[How much of the data was from direct samples?]],Table_SourceData_DataQuality_SampleSize[User friendly description],Table_SourceData_DataQuality_SampleSize[Score]), 0)</f>
        <v>0</v>
      </c>
    </row>
    <row r="60" spans="1:10" ht="20.100000000000001" customHeight="1" x14ac:dyDescent="0.2">
      <c r="A60" s="5" t="str">
        <f>HYPERLINK("#'Acknowledgements'!A1", "Acknowledgements")</f>
        <v>Acknowledgements</v>
      </c>
      <c r="D60" s="1" t="str">
        <f>"Organic fertiliser applications"</f>
        <v>Organic fertiliser applications</v>
      </c>
      <c r="E60" s="13"/>
      <c r="F60" s="13"/>
      <c r="G60" s="13"/>
      <c r="H60" s="83"/>
      <c r="I60" s="83"/>
      <c r="J60" s="15">
        <f>IFERROR(_xlfn.XLOOKUP(Table_Input_DataQuality_FertiliserApplications[[#This Row],[When was the data sourced?]],Table_SourceData_DataQuality_TemporalRepresentativeness[User friendly description],Table_SourceData_DataQuality_TemporalRepresentativeness[Score])+_xlfn.XLOOKUP(Table_Input_DataQuality_FertiliserApplications[[#This Row],[Where is the data sourced from?]],Table_SourceData_DataQuality_SpatialRepresentativeness[User friendly description],Table_SourceData_DataQuality_SpatialRepresentativeness[Score])+_xlfn.XLOOKUP(Table_Input_DataQuality_FertiliserApplications[[#This Row],[How much of the data was from direct samples?]],Table_SourceData_DataQuality_SampleSize[User friendly description],Table_SourceData_DataQuality_SampleSize[Score]), 0)</f>
        <v>0</v>
      </c>
    </row>
    <row r="62" spans="1:10" ht="20.100000000000001" customHeight="1" x14ac:dyDescent="0.2">
      <c r="J62" s="87">
        <f>SUM(Table_Input_DataQuality_FertiliserApplications[Score])</f>
        <v>0</v>
      </c>
    </row>
    <row r="63" spans="1:10" ht="20.100000000000001" customHeight="1" x14ac:dyDescent="0.2">
      <c r="D63" s="2" t="s">
        <v>276</v>
      </c>
    </row>
    <row r="65" spans="4:10" ht="20.100000000000001" customHeight="1" x14ac:dyDescent="0.2">
      <c r="D65" s="82" t="s">
        <v>275</v>
      </c>
      <c r="E65" s="82" t="s">
        <v>237</v>
      </c>
      <c r="F65" s="82" t="s">
        <v>238</v>
      </c>
      <c r="G65" s="82" t="s">
        <v>239</v>
      </c>
      <c r="H65" s="82" t="s">
        <v>186</v>
      </c>
      <c r="I65" s="82" t="s">
        <v>187</v>
      </c>
      <c r="J65" s="82" t="s">
        <v>188</v>
      </c>
    </row>
    <row r="66" spans="4:10" ht="20.100000000000001" customHeight="1" x14ac:dyDescent="0.2">
      <c r="D66" s="1" t="str">
        <f>"Fuel purchases"</f>
        <v>Fuel purchases</v>
      </c>
      <c r="E66" s="13"/>
      <c r="F66" s="13"/>
      <c r="G66" s="13"/>
      <c r="H66" s="83"/>
      <c r="I66" s="83"/>
      <c r="J66" s="15">
        <f>IFERROR(_xlfn.XLOOKUP(Table_Input_DataQuality_FuelElectricity[[#This Row],[When was the data sourced?]],Table_SourceData_DataQuality_TemporalRepresentativeness[User friendly description],Table_SourceData_DataQuality_TemporalRepresentativeness[Score])+_xlfn.XLOOKUP(Table_Input_DataQuality_FuelElectricity[[#This Row],[Where is the data sourced from?]],Table_SourceData_DataQuality_SpatialRepresentativeness[User friendly description],Table_SourceData_DataQuality_SpatialRepresentativeness[Score])+_xlfn.XLOOKUP(Table_Input_DataQuality_FuelElectricity[[#This Row],[How much of the data was from direct samples?]],Table_SourceData_DataQuality_SampleSize[User friendly description],Table_SourceData_DataQuality_SampleSize[Score]), 0)</f>
        <v>0</v>
      </c>
    </row>
    <row r="67" spans="4:10" ht="20.100000000000001" customHeight="1" x14ac:dyDescent="0.2">
      <c r="D67" s="1" t="str">
        <f>"Fuel consumption"</f>
        <v>Fuel consumption</v>
      </c>
      <c r="E67" s="13"/>
      <c r="F67" s="13"/>
      <c r="G67" s="13"/>
      <c r="H67" s="83"/>
      <c r="I67" s="83"/>
      <c r="J67" s="15">
        <f>IFERROR(_xlfn.XLOOKUP(Table_Input_DataQuality_FuelElectricity[[#This Row],[When was the data sourced?]],Table_SourceData_DataQuality_TemporalRepresentativeness[User friendly description],Table_SourceData_DataQuality_TemporalRepresentativeness[Score])+_xlfn.XLOOKUP(Table_Input_DataQuality_FuelElectricity[[#This Row],[Where is the data sourced from?]],Table_SourceData_DataQuality_SpatialRepresentativeness[User friendly description],Table_SourceData_DataQuality_SpatialRepresentativeness[Score])+_xlfn.XLOOKUP(Table_Input_DataQuality_FuelElectricity[[#This Row],[How much of the data was from direct samples?]],Table_SourceData_DataQuality_SampleSize[User friendly description],Table_SourceData_DataQuality_SampleSize[Score]), 0)</f>
        <v>0</v>
      </c>
    </row>
    <row r="68" spans="4:10" ht="20.100000000000001" customHeight="1" x14ac:dyDescent="0.2">
      <c r="D68" s="1" t="str">
        <f>"Electricity consumption"</f>
        <v>Electricity consumption</v>
      </c>
      <c r="E68" s="13"/>
      <c r="F68" s="13"/>
      <c r="G68" s="13"/>
      <c r="H68" s="83"/>
      <c r="I68" s="83"/>
      <c r="J68" s="15">
        <f>IFERROR(_xlfn.XLOOKUP(Table_Input_DataQuality_FuelElectricity[[#This Row],[When was the data sourced?]],Table_SourceData_DataQuality_TemporalRepresentativeness[User friendly description],Table_SourceData_DataQuality_TemporalRepresentativeness[Score])+_xlfn.XLOOKUP(Table_Input_DataQuality_FuelElectricity[[#This Row],[Where is the data sourced from?]],Table_SourceData_DataQuality_SpatialRepresentativeness[User friendly description],Table_SourceData_DataQuality_SpatialRepresentativeness[Score])+_xlfn.XLOOKUP(Table_Input_DataQuality_FuelElectricity[[#This Row],[How much of the data was from direct samples?]],Table_SourceData_DataQuality_SampleSize[User friendly description],Table_SourceData_DataQuality_SampleSize[Score]), 0)</f>
        <v>0</v>
      </c>
    </row>
    <row r="69" spans="4:10" ht="20.100000000000001" customHeight="1" x14ac:dyDescent="0.2">
      <c r="D69" s="1" t="str">
        <f>"Electricity generation"</f>
        <v>Electricity generation</v>
      </c>
      <c r="E69" s="13"/>
      <c r="F69" s="13"/>
      <c r="G69" s="13"/>
      <c r="H69" s="83"/>
      <c r="I69" s="83"/>
      <c r="J69" s="15">
        <f>IFERROR(_xlfn.XLOOKUP(Table_Input_DataQuality_FuelElectricity[[#This Row],[When was the data sourced?]],Table_SourceData_DataQuality_TemporalRepresentativeness[User friendly description],Table_SourceData_DataQuality_TemporalRepresentativeness[Score])+_xlfn.XLOOKUP(Table_Input_DataQuality_FuelElectricity[[#This Row],[Where is the data sourced from?]],Table_SourceData_DataQuality_SpatialRepresentativeness[User friendly description],Table_SourceData_DataQuality_SpatialRepresentativeness[Score])+_xlfn.XLOOKUP(Table_Input_DataQuality_FuelElectricity[[#This Row],[How much of the data was from direct samples?]],Table_SourceData_DataQuality_SampleSize[User friendly description],Table_SourceData_DataQuality_SampleSize[Score]), 0)</f>
        <v>0</v>
      </c>
    </row>
    <row r="71" spans="4:10" ht="20.100000000000001" customHeight="1" x14ac:dyDescent="0.2">
      <c r="J71" s="87">
        <f>SUM(Table_Input_DataQuality_FuelElectricity[Score])</f>
        <v>0</v>
      </c>
    </row>
    <row r="73" spans="4:10" ht="20.100000000000001" customHeight="1" x14ac:dyDescent="0.2">
      <c r="D73" s="2" t="s">
        <v>277</v>
      </c>
    </row>
    <row r="75" spans="4:10" ht="20.100000000000001" customHeight="1" x14ac:dyDescent="0.2">
      <c r="D75" s="82" t="s">
        <v>275</v>
      </c>
      <c r="E75" s="82" t="s">
        <v>237</v>
      </c>
      <c r="F75" s="82" t="s">
        <v>238</v>
      </c>
      <c r="G75" s="82" t="s">
        <v>239</v>
      </c>
      <c r="H75" s="82" t="s">
        <v>186</v>
      </c>
      <c r="I75" s="82" t="s">
        <v>187</v>
      </c>
      <c r="J75" s="82" t="s">
        <v>188</v>
      </c>
    </row>
    <row r="76" spans="4:10" ht="20.100000000000001" customHeight="1" x14ac:dyDescent="0.2">
      <c r="D76" s="1" t="str">
        <f>"Farm input purchases"</f>
        <v>Farm input purchases</v>
      </c>
      <c r="E76" s="13"/>
      <c r="F76" s="13"/>
      <c r="G76" s="13"/>
      <c r="H76" s="83"/>
      <c r="I76" s="83"/>
      <c r="J76" s="15">
        <f>IFERROR(_xlfn.XLOOKUP(Table_Input_DataQuality_FarmInputsFreightWaste[[#This Row],[When was the data sourced?]],Table_SourceData_DataQuality_TemporalRepresentativeness[User friendly description],Table_SourceData_DataQuality_TemporalRepresentativeness[Score])+_xlfn.XLOOKUP(Table_Input_DataQuality_FarmInputsFreightWaste[[#This Row],[Where is the data sourced from?]],Table_SourceData_DataQuality_SpatialRepresentativeness[User friendly description],Table_SourceData_DataQuality_SpatialRepresentativeness[Score])+_xlfn.XLOOKUP(Table_Input_DataQuality_FarmInputsFreightWaste[[#This Row],[How much of the data was from direct samples?]],Table_SourceData_DataQuality_SampleSize[User friendly description],Table_SourceData_DataQuality_SampleSize[Score]), 0)</f>
        <v>0</v>
      </c>
    </row>
    <row r="77" spans="4:10" ht="20.100000000000001" customHeight="1" x14ac:dyDescent="0.2">
      <c r="D77" s="1" t="str">
        <f>"Inbound freight use"</f>
        <v>Inbound freight use</v>
      </c>
      <c r="E77" s="13"/>
      <c r="F77" s="13"/>
      <c r="G77" s="13"/>
      <c r="H77" s="83"/>
      <c r="I77" s="83"/>
      <c r="J77" s="15">
        <f>IFERROR(_xlfn.XLOOKUP(Table_Input_DataQuality_FarmInputsFreightWaste[[#This Row],[When was the data sourced?]],Table_SourceData_DataQuality_TemporalRepresentativeness[User friendly description],Table_SourceData_DataQuality_TemporalRepresentativeness[Score])+_xlfn.XLOOKUP(Table_Input_DataQuality_FarmInputsFreightWaste[[#This Row],[Where is the data sourced from?]],Table_SourceData_DataQuality_SpatialRepresentativeness[User friendly description],Table_SourceData_DataQuality_SpatialRepresentativeness[Score])+_xlfn.XLOOKUP(Table_Input_DataQuality_FarmInputsFreightWaste[[#This Row],[How much of the data was from direct samples?]],Table_SourceData_DataQuality_SampleSize[User friendly description],Table_SourceData_DataQuality_SampleSize[Score]), 0)</f>
        <v>0</v>
      </c>
    </row>
    <row r="78" spans="4:10" ht="20.100000000000001" customHeight="1" x14ac:dyDescent="0.2">
      <c r="D78" s="1" t="str">
        <f>"Outbound freight use"</f>
        <v>Outbound freight use</v>
      </c>
      <c r="E78" s="13"/>
      <c r="F78" s="13"/>
      <c r="G78" s="13"/>
      <c r="H78" s="83"/>
      <c r="I78" s="83"/>
      <c r="J78" s="15">
        <f>IFERROR(_xlfn.XLOOKUP(Table_Input_DataQuality_FarmInputsFreightWaste[[#This Row],[When was the data sourced?]],Table_SourceData_DataQuality_TemporalRepresentativeness[User friendly description],Table_SourceData_DataQuality_TemporalRepresentativeness[Score])+_xlfn.XLOOKUP(Table_Input_DataQuality_FarmInputsFreightWaste[[#This Row],[Where is the data sourced from?]],Table_SourceData_DataQuality_SpatialRepresentativeness[User friendly description],Table_SourceData_DataQuality_SpatialRepresentativeness[Score])+_xlfn.XLOOKUP(Table_Input_DataQuality_FarmInputsFreightWaste[[#This Row],[How much of the data was from direct samples?]],Table_SourceData_DataQuality_SampleSize[User friendly description],Table_SourceData_DataQuality_SampleSize[Score]), 0)</f>
        <v>0</v>
      </c>
    </row>
    <row r="79" spans="4:10" ht="20.100000000000001" customHeight="1" x14ac:dyDescent="0.2">
      <c r="D79" s="1" t="str">
        <f>"Solid waste generation and treatment"</f>
        <v>Solid waste generation and treatment</v>
      </c>
      <c r="E79" s="13"/>
      <c r="F79" s="13"/>
      <c r="G79" s="13"/>
      <c r="H79" s="83"/>
      <c r="I79" s="83"/>
      <c r="J79" s="15">
        <f>IFERROR(_xlfn.XLOOKUP(Table_Input_DataQuality_FarmInputsFreightWaste[[#This Row],[When was the data sourced?]],Table_SourceData_DataQuality_TemporalRepresentativeness[User friendly description],Table_SourceData_DataQuality_TemporalRepresentativeness[Score])+_xlfn.XLOOKUP(Table_Input_DataQuality_FarmInputsFreightWaste[[#This Row],[Where is the data sourced from?]],Table_SourceData_DataQuality_SpatialRepresentativeness[User friendly description],Table_SourceData_DataQuality_SpatialRepresentativeness[Score])+_xlfn.XLOOKUP(Table_Input_DataQuality_FarmInputsFreightWaste[[#This Row],[How much of the data was from direct samples?]],Table_SourceData_DataQuality_SampleSize[User friendly description],Table_SourceData_DataQuality_SampleSize[Score]), 0)</f>
        <v>0</v>
      </c>
    </row>
    <row r="81" spans="4:10" ht="20.100000000000001" customHeight="1" x14ac:dyDescent="0.2">
      <c r="J81" s="87">
        <f>SUM(Table_Input_DataQuality_FarmInputsFreightWaste[Score])</f>
        <v>0</v>
      </c>
    </row>
    <row r="83" spans="4:10" ht="20.100000000000001" customHeight="1" x14ac:dyDescent="0.2">
      <c r="D83" s="90" t="s">
        <v>278</v>
      </c>
      <c r="E83" s="91" t="str">
        <f>(J15+J26+J43+J53+J62+J71+J81)&amp;" out of "&amp;((COUNT(Table_Input_DataQuality_Enterprise[Score])*15)+(COUNT(Table_Input_DataQuality_Site[Score])*15)+(COUNT(Table_Input_DataQuality_PastureBeef[Score])*15)+(COUNT(Table_Input_DataQuality_PastureManagement[Score])*15)+(COUNT(Table_Input_DataQuality_FertiliserApplications[Score])*15)+(COUNT(Table_Input_DataQuality_FuelElectricity[Score])*15)+(COUNT(Table_Input_DataQuality_FarmInputsFreightWaste[Score])*15))</f>
        <v>0 out of 615</v>
      </c>
    </row>
  </sheetData>
  <dataValidations count="3">
    <dataValidation type="list" allowBlank="1" showInputMessage="1" showErrorMessage="1" sqref="F8:F13 F19:F24 F30:F41 F47:F51 F57:F60 F66:F69 F76:F79" xr:uid="{7A41F482-9DC2-427F-BD67-9E7030E9FA1D}">
      <formula1>INDIRECT("Table_SourceData_DataQuality_SpatialRepresentativeness[User friendly description]")</formula1>
    </dataValidation>
    <dataValidation type="list" allowBlank="1" showInputMessage="1" showErrorMessage="1" sqref="E8:E13 E19:E24 E30:E41 E47:E51 E57:E60 E66:E69 E76:E79" xr:uid="{A2F79B94-E5F1-44B9-A20F-B6166F7EA291}">
      <formula1>INDIRECT("Table_SourceData_DataQuality_TemporalRepresentativeness[User friendly description]")</formula1>
    </dataValidation>
    <dataValidation type="list" allowBlank="1" showInputMessage="1" showErrorMessage="1" sqref="G8:G13 G19:G24 G30:G41 G47:G51 G57:G60 G66:G69 G76:G79" xr:uid="{BA67DDE5-AE35-4EC9-9563-5791102272E4}">
      <formula1>INDIRECT("Table_SourceData_DataQuality_SampleSize[User friendly description]")</formula1>
    </dataValidation>
  </dataValidations>
  <pageMargins left="0.7" right="0.7" top="0.75" bottom="0.75" header="0.3" footer="0.3"/>
  <tableParts count="7">
    <tablePart r:id="rId1"/>
    <tablePart r:id="rId2"/>
    <tablePart r:id="rId3"/>
    <tablePart r:id="rId4"/>
    <tablePart r:id="rId5"/>
    <tablePart r:id="rId6"/>
    <tablePart r:id="rId7"/>
  </tablePart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1F32CE-EB77-418E-84EA-E2E028B40CA9}">
  <sheetPr>
    <tabColor rgb="FF008000"/>
  </sheetPr>
  <dimension ref="A1:AI274"/>
  <sheetViews>
    <sheetView showGridLines="0" topLeftCell="A15" zoomScaleNormal="100" workbookViewId="0">
      <pane xSplit="1" topLeftCell="B1" activePane="topRight" state="frozen"/>
      <selection pane="topRight" activeCell="A30" sqref="A30"/>
    </sheetView>
  </sheetViews>
  <sheetFormatPr defaultRowHeight="20.100000000000001" customHeight="1" x14ac:dyDescent="0.2"/>
  <cols>
    <col min="1" max="1" width="36.7109375" customWidth="1"/>
    <col min="2" max="2" width="4.7109375" customWidth="1"/>
    <col min="3" max="3" width="4.7109375" style="1" customWidth="1"/>
    <col min="4" max="17" width="30.7109375" style="1" customWidth="1"/>
    <col min="18" max="18" width="4.7109375" style="1" customWidth="1"/>
    <col min="19" max="19" width="4.7109375" customWidth="1"/>
    <col min="20" max="20" width="4.7109375" style="1" customWidth="1"/>
    <col min="21" max="34" width="30.7109375" style="1" customWidth="1"/>
    <col min="35" max="35" width="4.7109375" style="1" customWidth="1"/>
  </cols>
  <sheetData>
    <row r="1" spans="1:35" s="21" customFormat="1" ht="30" customHeight="1" x14ac:dyDescent="0.35">
      <c r="A1" s="10" t="e" vm="1">
        <v>#VALUE!</v>
      </c>
      <c r="C1" s="21" t="s">
        <v>569</v>
      </c>
    </row>
    <row r="2" spans="1:35" s="3" customFormat="1" ht="20.100000000000001" customHeight="1" x14ac:dyDescent="0.2">
      <c r="A2"/>
    </row>
    <row r="3" spans="1:35" ht="20.100000000000001" customHeight="1" x14ac:dyDescent="0.2">
      <c r="A3" s="5" t="str">
        <f>HYPERLINK("#'Home'!A1", "Home")</f>
        <v>Home</v>
      </c>
      <c r="C3" s="23"/>
      <c r="D3" s="23" t="s">
        <v>136</v>
      </c>
      <c r="E3" s="23"/>
      <c r="F3" s="23"/>
      <c r="G3" s="23"/>
      <c r="H3" s="23"/>
      <c r="I3" s="23"/>
      <c r="J3" s="23"/>
      <c r="K3" s="23"/>
      <c r="L3" s="23"/>
      <c r="M3" s="23"/>
      <c r="N3" s="23"/>
      <c r="O3" s="23"/>
      <c r="P3" s="23"/>
      <c r="Q3" s="23"/>
      <c r="R3" s="23"/>
      <c r="T3" s="23"/>
      <c r="U3" s="23" t="s">
        <v>137</v>
      </c>
      <c r="V3" s="23"/>
      <c r="W3" s="23"/>
      <c r="X3" s="23"/>
      <c r="Y3" s="23"/>
      <c r="Z3" s="23"/>
      <c r="AA3" s="23"/>
      <c r="AB3" s="23"/>
      <c r="AC3" s="23"/>
      <c r="AD3" s="23"/>
      <c r="AE3" s="23"/>
      <c r="AF3" s="23"/>
      <c r="AG3" s="23"/>
      <c r="AH3" s="23"/>
      <c r="AI3" s="23"/>
    </row>
    <row r="4" spans="1:35" ht="20.100000000000001" customHeight="1" x14ac:dyDescent="0.2">
      <c r="A4" s="5" t="str">
        <f>HYPERLINK("#'Results - Activity period'!A1", "Results - Activity period")</f>
        <v>Results - Activity period</v>
      </c>
    </row>
    <row r="5" spans="1:35" ht="20.100000000000001" customHeight="1" x14ac:dyDescent="0.2">
      <c r="A5" s="5" t="str">
        <f>HYPERLINK("#'Results - Product EI'!A1", "Results - Product Emissions Intensity")</f>
        <v>Results - Product Emissions Intensity</v>
      </c>
      <c r="D5" s="2" t="s">
        <v>1208</v>
      </c>
    </row>
    <row r="6" spans="1:35" ht="20.100000000000001" customHeight="1" x14ac:dyDescent="0.2">
      <c r="D6" s="17" t="s">
        <v>1209</v>
      </c>
    </row>
    <row r="7" spans="1:35" ht="20.100000000000001" customHeight="1" x14ac:dyDescent="0.2">
      <c r="D7" s="103"/>
      <c r="E7" s="103" t="s">
        <v>372</v>
      </c>
    </row>
    <row r="8" spans="1:35" ht="20.100000000000001" customHeight="1" x14ac:dyDescent="0.2">
      <c r="A8" s="7" t="s">
        <v>0</v>
      </c>
    </row>
    <row r="9" spans="1:35" ht="20.100000000000001" customHeight="1" x14ac:dyDescent="0.2">
      <c r="A9" s="5" t="str">
        <f>HYPERLINK("#'Input - Enterprise'!A1", "Enterprise")</f>
        <v>Enterprise</v>
      </c>
    </row>
    <row r="10" spans="1:35" ht="20.100000000000001" customHeight="1" x14ac:dyDescent="0.2">
      <c r="A10" s="5" t="str">
        <f>HYPERLINK("#'Input - Site'!A1", "Site")</f>
        <v>Site</v>
      </c>
      <c r="D10" s="77" t="s">
        <v>373</v>
      </c>
      <c r="E10" s="1" t="s">
        <v>1210</v>
      </c>
    </row>
    <row r="11" spans="1:35" ht="20.100000000000001" customHeight="1" x14ac:dyDescent="0.2">
      <c r="A11" s="5" t="str">
        <f>HYPERLINK("#'Input - Pasture Beef'!A1", "Pasture Beef")</f>
        <v>Pasture Beef</v>
      </c>
      <c r="D11" s="77" t="s">
        <v>121</v>
      </c>
      <c r="E11" s="9" t="s">
        <v>346</v>
      </c>
    </row>
    <row r="12" spans="1:35" ht="20.100000000000001" customHeight="1" x14ac:dyDescent="0.2">
      <c r="A12" s="5" t="str">
        <f>HYPERLINK("#'Input - Livestock sales'!A1", "Livestock sales")</f>
        <v>Livestock sales</v>
      </c>
    </row>
    <row r="13" spans="1:35" ht="20.100000000000001" customHeight="1" x14ac:dyDescent="0.2">
      <c r="A13" s="5" t="str">
        <f>HYPERLINK("#'Input - Beef cattle purchases'!A1", "Beef cattle purchases")</f>
        <v>Beef cattle purchases</v>
      </c>
      <c r="D13" s="105" t="s">
        <v>1211</v>
      </c>
      <c r="E13" s="106" t="s">
        <v>1212</v>
      </c>
      <c r="F13" s="107"/>
      <c r="G13" s="108"/>
      <c r="H13" s="105" t="s">
        <v>346</v>
      </c>
      <c r="I13" s="109" t="s">
        <v>1219</v>
      </c>
      <c r="J13" s="111" t="str" cm="1">
        <f t="array" aca="1" ref="J13" ca="1">HYPERLINK(Common_InputFunctions.Utility_SourceHyperlink($D$18), $D$18)</f>
        <v>M1_Table_LC_j_k-4-5</v>
      </c>
    </row>
    <row r="14" spans="1:35" ht="20.100000000000001" customHeight="1" x14ac:dyDescent="0.2">
      <c r="A14" s="5" t="str">
        <f>HYPERLINK("#'Input - Pasture'!A1", "Pasture")</f>
        <v>Pasture</v>
      </c>
      <c r="D14" s="105" t="s">
        <v>1213</v>
      </c>
      <c r="E14" s="106" t="s">
        <v>1214</v>
      </c>
      <c r="F14" s="107"/>
      <c r="G14" s="108"/>
      <c r="H14" s="105" t="s">
        <v>346</v>
      </c>
      <c r="I14" s="110" t="s">
        <v>1220</v>
      </c>
      <c r="J14" s="105" t="e" cm="1">
        <f t="array" ref="J14">_xlfn.XLOOKUP(1, (Table_SourceData_PastureBeef_FeedIntakeAdjustment_Variation[Breed]=$J$16)*(Table_SourceData_PastureBeef_FeedIntakeAdjustment_Variation[Season]=+"Calving season"),Table_SourceData_PastureBeef_FeedIntakeAdjustment_Variation[Feed adjustment])</f>
        <v>#N/A</v>
      </c>
    </row>
    <row r="15" spans="1:35" ht="20.100000000000001" customHeight="1" x14ac:dyDescent="0.2">
      <c r="A15" s="5" t="str">
        <f>HYPERLINK("#'Input - Fert Prod System'!A1", "Fert Prod System")</f>
        <v>Fert Prod System</v>
      </c>
      <c r="D15" s="105" t="s">
        <v>1215</v>
      </c>
      <c r="E15" s="106" t="s">
        <v>1216</v>
      </c>
      <c r="F15" s="107"/>
      <c r="G15" s="108"/>
      <c r="H15" s="105" t="s">
        <v>346</v>
      </c>
      <c r="I15" s="110" t="s">
        <v>1220</v>
      </c>
      <c r="J15" s="105" t="e" cm="1">
        <f t="array" ref="J15">_xlfn.XLOOKUP(1, (Table_SourceData_PastureBeef_FeedIntakeAdjustment_Variation[Breed]=$J$16)*(Table_SourceData_PastureBeef_FeedIntakeAdjustment_Variation[Season]=+"Season after calving"),Table_SourceData_PastureBeef_FeedIntakeAdjustment_Variation[Feed adjustment])</f>
        <v>#N/A</v>
      </c>
    </row>
    <row r="16" spans="1:35" ht="20.100000000000001" customHeight="1" x14ac:dyDescent="0.2">
      <c r="A16" s="5" t="str">
        <f>HYPERLINK("#'Input - Fertiliser'!A1", "Fertiliser")</f>
        <v>Fertiliser</v>
      </c>
      <c r="D16" s="105" t="s">
        <v>1217</v>
      </c>
      <c r="E16" s="106" t="s">
        <v>1218</v>
      </c>
      <c r="F16" s="107"/>
      <c r="G16" s="108"/>
      <c r="H16" s="105"/>
      <c r="I16" s="109" t="s">
        <v>1219</v>
      </c>
      <c r="J16" s="105">
        <f>X_Cell_PastureBeef_Breed</f>
        <v>0</v>
      </c>
    </row>
    <row r="17" spans="1:34" ht="20.100000000000001" customHeight="1" x14ac:dyDescent="0.2">
      <c r="A17" s="5" t="str">
        <f>HYPERLINK("#'Input - Fuel'!A1", "Fuel")</f>
        <v>Fuel</v>
      </c>
    </row>
    <row r="18" spans="1:34" ht="20.100000000000001" customHeight="1" x14ac:dyDescent="0.2">
      <c r="A18" s="5" t="str">
        <f>HYPERLINK("#'Input - Electricity'!A1", "Electricity")</f>
        <v>Electricity</v>
      </c>
      <c r="D18" s="112" t="s">
        <v>374</v>
      </c>
    </row>
    <row r="19" spans="1:34" ht="20.100000000000001" customHeight="1" x14ac:dyDescent="0.2">
      <c r="A19" s="5" t="str">
        <f>HYPERLINK("#'Input - Common farm inputs'!A1", "Common farm inputs")</f>
        <v>Common farm inputs</v>
      </c>
      <c r="D19" s="113" t="s">
        <v>376</v>
      </c>
      <c r="U19" s="112" t="s">
        <v>375</v>
      </c>
    </row>
    <row r="20" spans="1:34" ht="20.100000000000001" customHeight="1" x14ac:dyDescent="0.2">
      <c r="A20" s="5" t="str">
        <f>HYPERLINK("#'Input - Crop pasture farm input'!A1", "Crop pasture farm input")</f>
        <v>Crop pasture farm input</v>
      </c>
      <c r="D20" s="114" t="s">
        <v>76</v>
      </c>
      <c r="E20" s="82" t="s">
        <v>328</v>
      </c>
      <c r="F20" s="82" t="s">
        <v>329</v>
      </c>
      <c r="G20" s="82" t="s">
        <v>330</v>
      </c>
      <c r="U20" s="113" t="s">
        <v>377</v>
      </c>
    </row>
    <row r="21" spans="1:34" ht="20.100000000000001" customHeight="1" x14ac:dyDescent="0.2">
      <c r="A21" s="5" t="str">
        <f>HYPERLINK("#'Input - Livestock farm Inputs'!A1", "Livestock farm Inputs")</f>
        <v>Livestock farm Inputs</v>
      </c>
      <c r="D21" s="15" t="str">
        <f>'Input - Pasture Beef'!E162</f>
        <v>Winter</v>
      </c>
      <c r="E21" s="125">
        <f>'Input - Pasture Beef'!F168</f>
        <v>0.7</v>
      </c>
      <c r="F21" s="125">
        <f>'Input - Pasture Beef'!G168</f>
        <v>0.5</v>
      </c>
      <c r="G21" s="125">
        <f>'Input - Pasture Beef'!H168</f>
        <v>0.5</v>
      </c>
      <c r="H21" s="16" t="s">
        <v>378</v>
      </c>
      <c r="U21" s="114" t="s">
        <v>75</v>
      </c>
      <c r="V21" s="82" t="s">
        <v>328</v>
      </c>
      <c r="W21" s="82" t="s">
        <v>329</v>
      </c>
      <c r="X21" s="82" t="s">
        <v>330</v>
      </c>
    </row>
    <row r="22" spans="1:34" ht="20.100000000000001" customHeight="1" x14ac:dyDescent="0.2">
      <c r="A22" s="5" t="str">
        <f>HYPERLINK("#'Input - Freight'!A1", "Freight")</f>
        <v>Freight</v>
      </c>
      <c r="U22" s="15" t="str">
        <f>TEXT(EDATE('Input - Pasture Beef'!E176,0), "mmmm") &amp; ", " &amp; TEXT(EDATE('Input - Pasture Beef'!E177,0), "mmmm") &amp; ", " &amp; TEXT(EDATE('Input - Pasture Beef'!E178,0), "mmmm")</f>
        <v>August, September, October</v>
      </c>
      <c r="V22" s="125">
        <f>'Input - Pasture Beef'!E185</f>
        <v>0.75</v>
      </c>
      <c r="W22" s="125">
        <f>'Input - Pasture Beef'!F185</f>
        <v>0.75</v>
      </c>
      <c r="X22" s="125">
        <f>'Input - Pasture Beef'!G185</f>
        <v>0.75</v>
      </c>
      <c r="Y22" s="16" t="s">
        <v>378</v>
      </c>
    </row>
    <row r="23" spans="1:34" ht="20.100000000000001" customHeight="1" x14ac:dyDescent="0.2">
      <c r="A23" s="5" t="str">
        <f>HYPERLINK("#'Input - Solid waste'!A1", "Solid waste")</f>
        <v>Solid waste</v>
      </c>
      <c r="D23" s="112" t="s">
        <v>381</v>
      </c>
      <c r="U23" s="15" t="str">
        <f>TEXT(EDATE('Input - Pasture Beef'!$E$176,1), "mmmm") &amp; ", " &amp; TEXT(EDATE('Input - Pasture Beef'!$E$176,2), "mmmm") &amp; ", " &amp; TEXT(EDATE('Input - Pasture Beef'!$E$176,3), "mmmm")</f>
        <v>September, October, November</v>
      </c>
      <c r="Y23" s="16"/>
    </row>
    <row r="24" spans="1:34" ht="20.100000000000001" customHeight="1" x14ac:dyDescent="0.2">
      <c r="A24" s="5" t="str">
        <f>HYPERLINK("#'Input - Manure sent off-site'!A1", "Manure sent off-site")</f>
        <v>Manure sent off-site</v>
      </c>
      <c r="D24" s="113" t="s">
        <v>383</v>
      </c>
      <c r="Y24" s="16"/>
    </row>
    <row r="25" spans="1:34" ht="20.100000000000001" customHeight="1" x14ac:dyDescent="0.2">
      <c r="A25" s="5" t="str">
        <f>HYPERLINK("#'Input - Data quality'!A1", "Data quality")</f>
        <v>Data quality</v>
      </c>
      <c r="D25" s="114" t="s">
        <v>76</v>
      </c>
      <c r="E25" s="114" t="s">
        <v>357</v>
      </c>
      <c r="F25" s="114" t="s">
        <v>382</v>
      </c>
      <c r="G25" s="114" t="s">
        <v>326</v>
      </c>
      <c r="H25" s="114" t="s">
        <v>184</v>
      </c>
      <c r="I25" s="114" t="s">
        <v>327</v>
      </c>
      <c r="J25" s="114" t="s">
        <v>328</v>
      </c>
      <c r="K25" s="114" t="s">
        <v>329</v>
      </c>
      <c r="L25" s="114" t="s">
        <v>330</v>
      </c>
      <c r="M25" s="114" t="s">
        <v>331</v>
      </c>
      <c r="N25" s="114" t="s">
        <v>332</v>
      </c>
      <c r="O25" s="114" t="s">
        <v>333</v>
      </c>
      <c r="P25" s="114" t="s">
        <v>334</v>
      </c>
      <c r="U25" s="112" t="s">
        <v>379</v>
      </c>
    </row>
    <row r="26" spans="1:34" ht="20.100000000000001" customHeight="1" x14ac:dyDescent="0.2">
      <c r="D26" s="15" t="s">
        <v>335</v>
      </c>
      <c r="E26" s="15" t="str" cm="1">
        <f t="array" ref="E26">_xlfn.IFS(D21=D26, "Calving season", D21=D29, "Season after calving", D21=D27, "", D21=D28, "")</f>
        <v>Season after calving</v>
      </c>
      <c r="F26" s="15" t="e" cm="1">
        <f t="array" ref="F26">_xlfn.IFS(E26="Calving season", $J$14, E26="Season after calving", $J$15, E26="", "")</f>
        <v>#N/A</v>
      </c>
      <c r="G26" s="15">
        <v>1</v>
      </c>
      <c r="H26" s="15">
        <v>1</v>
      </c>
      <c r="I26" s="15">
        <v>1</v>
      </c>
      <c r="J26" s="15">
        <f>IFERROR(((E$21 * $F26) + (1 - E$21)), 1)</f>
        <v>1</v>
      </c>
      <c r="K26" s="15">
        <f>IFERROR(((F$21 * $F26) + (1 - F$21)), 1)</f>
        <v>1</v>
      </c>
      <c r="L26" s="15">
        <f>IFERROR(((G$21 * $F26) + (1 - G$21)), 1)</f>
        <v>1</v>
      </c>
      <c r="M26" s="15">
        <v>1</v>
      </c>
      <c r="N26" s="15">
        <v>1</v>
      </c>
      <c r="O26" s="15">
        <v>1</v>
      </c>
      <c r="P26" s="15">
        <v>1</v>
      </c>
      <c r="Q26" s="16" t="str">
        <f>$E$11</f>
        <v>fraction</v>
      </c>
      <c r="U26" s="113" t="s">
        <v>380</v>
      </c>
    </row>
    <row r="27" spans="1:34" ht="20.100000000000001" customHeight="1" x14ac:dyDescent="0.2">
      <c r="D27" s="15" t="s">
        <v>336</v>
      </c>
      <c r="E27" s="15" t="str" cm="1">
        <f t="array" ref="E27">_xlfn.IFS(D21=D27, "Calving season", D21=D26, "Season after calving", D21=D28, "", D21=D29, "")</f>
        <v/>
      </c>
      <c r="F27" s="15" t="str" cm="1">
        <f t="array" ref="F27">_xlfn.IFS(E27="Calving season", $J$14, E27="Season after calving", $J$15, E27="", "")</f>
        <v/>
      </c>
      <c r="G27" s="15">
        <v>1</v>
      </c>
      <c r="H27" s="15">
        <v>1</v>
      </c>
      <c r="I27" s="15">
        <v>1</v>
      </c>
      <c r="J27" s="15">
        <f>IFERROR(((E$21 * $F27) + (1 - E$21)), 1)</f>
        <v>1</v>
      </c>
      <c r="K27" s="15">
        <f>IFERROR(((F$21 * $F27) + (1 - F$21)), 1)</f>
        <v>1</v>
      </c>
      <c r="L27" s="15">
        <f>IFERROR(((G$21 * $F27) + (1 - G$21)), 1)</f>
        <v>1</v>
      </c>
      <c r="M27" s="15">
        <v>1</v>
      </c>
      <c r="N27" s="15">
        <v>1</v>
      </c>
      <c r="O27" s="15">
        <v>1</v>
      </c>
      <c r="P27" s="15">
        <v>1</v>
      </c>
      <c r="Q27" s="16" t="str">
        <f t="shared" ref="Q27:Q29" si="0">$E$11</f>
        <v>fraction</v>
      </c>
      <c r="U27" s="114" t="s">
        <v>75</v>
      </c>
      <c r="V27" s="114" t="s">
        <v>357</v>
      </c>
      <c r="W27" s="114" t="s">
        <v>382</v>
      </c>
      <c r="X27" s="114" t="s">
        <v>326</v>
      </c>
      <c r="Y27" s="114" t="s">
        <v>184</v>
      </c>
      <c r="Z27" s="114" t="s">
        <v>327</v>
      </c>
      <c r="AA27" s="114" t="s">
        <v>328</v>
      </c>
      <c r="AB27" s="114" t="s">
        <v>329</v>
      </c>
      <c r="AC27" s="114" t="s">
        <v>330</v>
      </c>
      <c r="AD27" s="114" t="s">
        <v>331</v>
      </c>
      <c r="AE27" s="114" t="s">
        <v>332</v>
      </c>
      <c r="AF27" s="114" t="s">
        <v>333</v>
      </c>
      <c r="AG27" s="114" t="s">
        <v>334</v>
      </c>
    </row>
    <row r="28" spans="1:34" ht="20.100000000000001" customHeight="1" x14ac:dyDescent="0.2">
      <c r="A28" s="6" t="s">
        <v>2</v>
      </c>
      <c r="D28" s="15" t="s">
        <v>337</v>
      </c>
      <c r="E28" s="15" t="str" cm="1">
        <f t="array" ref="E28">_xlfn.IFS(D21=D28, "Calving season", D21=D27, "Season after calving", D21=D29, "", D21=D26, "")</f>
        <v/>
      </c>
      <c r="F28" s="15" t="str" cm="1">
        <f t="array" ref="F28">_xlfn.IFS(E28="Calving season", $J$14, E28="Season after calving", $J$15, E28="", "")</f>
        <v/>
      </c>
      <c r="G28" s="15">
        <v>1</v>
      </c>
      <c r="H28" s="15">
        <v>1</v>
      </c>
      <c r="I28" s="15">
        <v>1</v>
      </c>
      <c r="J28" s="15">
        <f>IFERROR(((E$21 * $F28) + (1 - E$21)), 1)</f>
        <v>1</v>
      </c>
      <c r="K28" s="15">
        <f>IFERROR(((F$21 * $F28) + (1 - F$21)), 1)</f>
        <v>1</v>
      </c>
      <c r="L28" s="15">
        <f>IFERROR(((G$21 * $F28) + (1 - G$21)), 1)</f>
        <v>1</v>
      </c>
      <c r="M28" s="15">
        <v>1</v>
      </c>
      <c r="N28" s="15">
        <v>1</v>
      </c>
      <c r="O28" s="15">
        <v>1</v>
      </c>
      <c r="P28" s="15">
        <v>1</v>
      </c>
      <c r="Q28" s="16" t="str">
        <f t="shared" si="0"/>
        <v>fraction</v>
      </c>
      <c r="U28" s="15" t="str">
        <f>TEXT(X_Cell_Site_StartDate,"mmmm")</f>
        <v>January</v>
      </c>
      <c r="V28" s="15" t="str" cm="1">
        <f t="array" ref="V28">IFERROR(_xlfn.IFS(SUMPRODUCT(ISNUMBER(SEARCH(TRIM(_xlfn.TEXTSPLIT($U$22,",")),U28))*1)&gt;0,"Calving season",SUMPRODUCT(ISNUMBER(SEARCH(TRIM(_xlfn.TEXTSPLIT($U$23,",")),U28))*1)&gt;0,"Season after calving"), "")</f>
        <v/>
      </c>
      <c r="W28" s="15" t="str" cm="1">
        <f t="array" ref="W28">_xlfn.IFS(V28="Calving season", $J$14, V28="Season after calving", $J$15, V28="", "")</f>
        <v/>
      </c>
      <c r="X28" s="15">
        <v>1</v>
      </c>
      <c r="Y28" s="15">
        <v>1</v>
      </c>
      <c r="Z28" s="15">
        <v>1</v>
      </c>
      <c r="AA28" s="15">
        <f>IFERROR(((V$22 * $W28) + (1 - V$22)), 1)</f>
        <v>1</v>
      </c>
      <c r="AB28" s="15">
        <f>IFERROR(((W$22 * $W28) + (1 - W$22)), 1)</f>
        <v>1</v>
      </c>
      <c r="AC28" s="15">
        <f>IFERROR(((X$22 * $W28) + (1 - X$22)), 1)</f>
        <v>1</v>
      </c>
      <c r="AD28" s="15">
        <v>1</v>
      </c>
      <c r="AE28" s="15">
        <v>1</v>
      </c>
      <c r="AF28" s="15">
        <v>1</v>
      </c>
      <c r="AG28" s="15">
        <v>1</v>
      </c>
      <c r="AH28" s="16" t="str">
        <f>$E$11</f>
        <v>fraction</v>
      </c>
    </row>
    <row r="29" spans="1:34" ht="20.100000000000001" customHeight="1" x14ac:dyDescent="0.2">
      <c r="A29" s="104" t="str">
        <f>HYPERLINK("#'3.2.1.1-2 Enteric Methane'!A1", "3.2.1.1-2 Enteric Methane")</f>
        <v>3.2.1.1-2 Enteric Methane</v>
      </c>
      <c r="D29" s="15" t="s">
        <v>338</v>
      </c>
      <c r="E29" s="15" t="str" cm="1">
        <f t="array" ref="E29">_xlfn.IFS(D21=D29, "Calving season", D21=D28, "Season after calving", D21=D26, "", D21=D27, "")</f>
        <v>Calving season</v>
      </c>
      <c r="F29" s="15" t="e" cm="1">
        <f t="array" ref="F29">_xlfn.IFS(E29="Calving season", $J$14, E29="Season after calving", $J$15, E29="", "")</f>
        <v>#N/A</v>
      </c>
      <c r="G29" s="15">
        <v>1</v>
      </c>
      <c r="H29" s="15">
        <v>1</v>
      </c>
      <c r="I29" s="15">
        <v>1</v>
      </c>
      <c r="J29" s="15">
        <f>IFERROR(((E$21 * $F29) + (1 - E$21)), 1)</f>
        <v>1</v>
      </c>
      <c r="K29" s="15">
        <f>IFERROR(((F$21 * $F29) + (1 - F$21)), 1)</f>
        <v>1</v>
      </c>
      <c r="L29" s="15">
        <f>IFERROR(((G$21 * $F29) + (1 - G$21)), 1)</f>
        <v>1</v>
      </c>
      <c r="M29" s="15">
        <v>1</v>
      </c>
      <c r="N29" s="15">
        <v>1</v>
      </c>
      <c r="O29" s="15">
        <v>1</v>
      </c>
      <c r="P29" s="15">
        <v>1</v>
      </c>
      <c r="Q29" s="16" t="str">
        <f t="shared" si="0"/>
        <v>fraction</v>
      </c>
      <c r="U29" s="15" t="str">
        <f>TEXT(EDATE(X_Cell_Site_StartDate,1), "mmmm")</f>
        <v>January</v>
      </c>
      <c r="V29" s="15" t="str" cm="1">
        <f t="array" ref="V29">IFERROR(_xlfn.IFS(SUMPRODUCT(ISNUMBER(SEARCH(TRIM(_xlfn.TEXTSPLIT($U$22,",")),U29))*1)&gt;0,"Calving season",SUMPRODUCT(ISNUMBER(SEARCH(TRIM(_xlfn.TEXTSPLIT($U$23,",")),U29))*1)&gt;0,"Season after calving"), "")</f>
        <v/>
      </c>
      <c r="W29" s="15" t="str" cm="1">
        <f t="array" ref="W29">_xlfn.IFS(V29="Calving season", $J$14, V29="Season after calving", $J$15, V29="", "")</f>
        <v/>
      </c>
      <c r="X29" s="15">
        <v>1</v>
      </c>
      <c r="Y29" s="15">
        <v>1</v>
      </c>
      <c r="Z29" s="15">
        <v>1</v>
      </c>
      <c r="AA29" s="15">
        <f>IFERROR(((V$22 * $W29) + (1 - V$22)), 1)</f>
        <v>1</v>
      </c>
      <c r="AB29" s="15">
        <f>IFERROR(((W$22 * $W29) + (1 - W$22)), 1)</f>
        <v>1</v>
      </c>
      <c r="AC29" s="15">
        <f>IFERROR(((X$22 * $W29) + (1 - X$22)), 1)</f>
        <v>1</v>
      </c>
      <c r="AD29" s="15">
        <v>1</v>
      </c>
      <c r="AE29" s="15">
        <v>1</v>
      </c>
      <c r="AF29" s="15">
        <v>1</v>
      </c>
      <c r="AG29" s="15">
        <v>1</v>
      </c>
      <c r="AH29" s="16" t="str">
        <f t="shared" ref="AH29:AH39" si="1">$E$11</f>
        <v>fraction</v>
      </c>
    </row>
    <row r="30" spans="1:34" ht="20.100000000000001" customHeight="1" x14ac:dyDescent="0.2">
      <c r="A30" s="5" t="str">
        <f>HYPERLINK("#'4.2.1.1-2 Methane'!A1", "4.2.1.1-2 Manure methane")</f>
        <v>4.2.1.1-2 Manure methane</v>
      </c>
      <c r="U30" s="15" t="str">
        <f>TEXT(EDATE(X_Cell_Site_StartDate,2), "mmmm")</f>
        <v>February</v>
      </c>
      <c r="V30" s="15" t="str" cm="1">
        <f t="array" ref="V30">IFERROR(_xlfn.IFS(SUMPRODUCT(ISNUMBER(SEARCH(TRIM(_xlfn.TEXTSPLIT($U$22,",")),U30))*1)&gt;0,"Calving season",SUMPRODUCT(ISNUMBER(SEARCH(TRIM(_xlfn.TEXTSPLIT($U$23,",")),U30))*1)&gt;0,"Season after calving"), "")</f>
        <v/>
      </c>
      <c r="W30" s="15" t="str" cm="1">
        <f t="array" ref="W30">_xlfn.IFS(V30="Calving season", $J$14, V30="Season after calving", $J$15, V30="", "")</f>
        <v/>
      </c>
      <c r="X30" s="15">
        <v>1</v>
      </c>
      <c r="Y30" s="15">
        <v>1</v>
      </c>
      <c r="Z30" s="15">
        <v>1</v>
      </c>
      <c r="AA30" s="15">
        <f>IFERROR(((V$22 * $W30) + (1 - V$22)), 1)</f>
        <v>1</v>
      </c>
      <c r="AB30" s="15">
        <f>IFERROR(((W$22 * $W30) + (1 - W$22)), 1)</f>
        <v>1</v>
      </c>
      <c r="AC30" s="15">
        <f>IFERROR(((X$22 * $W30) + (1 - X$22)), 1)</f>
        <v>1</v>
      </c>
      <c r="AD30" s="15">
        <v>1</v>
      </c>
      <c r="AE30" s="15">
        <v>1</v>
      </c>
      <c r="AF30" s="15">
        <v>1</v>
      </c>
      <c r="AG30" s="15">
        <v>1</v>
      </c>
      <c r="AH30" s="16" t="str">
        <f t="shared" si="1"/>
        <v>fraction</v>
      </c>
    </row>
    <row r="31" spans="1:34" ht="20.100000000000001" customHeight="1" x14ac:dyDescent="0.2">
      <c r="A31" s="5" t="str">
        <f>HYPERLINK("#'4.2.1.3-4 Soil direct N20'!A1", "4.2.1.3-4 Soil direct N2O")</f>
        <v>4.2.1.3-4 Soil direct N2O</v>
      </c>
      <c r="U31" s="15" t="str">
        <f>TEXT(EDATE(X_Cell_Site_StartDate,3), "mmmm")</f>
        <v>March</v>
      </c>
      <c r="V31" s="15" t="str" cm="1">
        <f t="array" ref="V31">IFERROR(_xlfn.IFS(SUMPRODUCT(ISNUMBER(SEARCH(TRIM(_xlfn.TEXTSPLIT($U$22,",")),U31))*1)&gt;0,"Calving season",SUMPRODUCT(ISNUMBER(SEARCH(TRIM(_xlfn.TEXTSPLIT($U$23,",")),U31))*1)&gt;0,"Season after calving"), "")</f>
        <v/>
      </c>
      <c r="W31" s="15" t="str" cm="1">
        <f t="array" ref="W31">_xlfn.IFS(V31="Calving season", $J$14, V31="Season after calving", $J$15, V31="", "")</f>
        <v/>
      </c>
      <c r="X31" s="15">
        <v>1</v>
      </c>
      <c r="Y31" s="15">
        <v>1</v>
      </c>
      <c r="Z31" s="15">
        <v>1</v>
      </c>
      <c r="AA31" s="15">
        <f>IFERROR(((V$22 * $W31) + (1 - V$22)), 1)</f>
        <v>1</v>
      </c>
      <c r="AB31" s="15">
        <f>IFERROR(((W$22 * $W31) + (1 - W$22)), 1)</f>
        <v>1</v>
      </c>
      <c r="AC31" s="15">
        <f>IFERROR(((X$22 * $W31) + (1 - X$22)), 1)</f>
        <v>1</v>
      </c>
      <c r="AD31" s="15">
        <v>1</v>
      </c>
      <c r="AE31" s="15">
        <v>1</v>
      </c>
      <c r="AF31" s="15">
        <v>1</v>
      </c>
      <c r="AG31" s="15">
        <v>1</v>
      </c>
      <c r="AH31" s="16" t="str">
        <f t="shared" si="1"/>
        <v>fraction</v>
      </c>
    </row>
    <row r="32" spans="1:34" ht="20.100000000000001" customHeight="1" x14ac:dyDescent="0.2">
      <c r="A32" s="5" t="str">
        <f>HYPERLINK("#'4.2.1.5-6 Soil Atmos Dep'!A1", "4.2.1.5-6 Soil atm. deposition")</f>
        <v>4.2.1.5-6 Soil atm. deposition</v>
      </c>
      <c r="C32" s="87"/>
      <c r="D32" s="87"/>
      <c r="E32" s="87"/>
      <c r="F32" s="87"/>
      <c r="G32" s="87"/>
      <c r="H32" s="87"/>
      <c r="I32" s="87"/>
      <c r="J32" s="87"/>
      <c r="K32" s="87"/>
      <c r="L32" s="87"/>
      <c r="M32" s="87"/>
      <c r="N32" s="87"/>
      <c r="O32" s="87"/>
      <c r="P32" s="87"/>
      <c r="Q32" s="87"/>
      <c r="R32" s="87"/>
      <c r="U32" s="15" t="str">
        <f>TEXT(EDATE(X_Cell_Site_StartDate,4), "mmmm")</f>
        <v>April</v>
      </c>
      <c r="V32" s="15" t="str" cm="1">
        <f t="array" ref="V32">IFERROR(_xlfn.IFS(SUMPRODUCT(ISNUMBER(SEARCH(TRIM(_xlfn.TEXTSPLIT($U$22,",")),U32))*1)&gt;0,"Calving season",SUMPRODUCT(ISNUMBER(SEARCH(TRIM(_xlfn.TEXTSPLIT($U$23,",")),U32))*1)&gt;0,"Season after calving"), "")</f>
        <v/>
      </c>
      <c r="W32" s="15" t="str" cm="1">
        <f t="array" ref="W32">_xlfn.IFS(V32="Calving season", $J$14, V32="Season after calving", $J$15, V32="", "")</f>
        <v/>
      </c>
      <c r="X32" s="15">
        <v>1</v>
      </c>
      <c r="Y32" s="15">
        <v>1</v>
      </c>
      <c r="Z32" s="15">
        <v>1</v>
      </c>
      <c r="AA32" s="15">
        <f>IFERROR(((V$22 * $W32) + (1 - V$22)), 1)</f>
        <v>1</v>
      </c>
      <c r="AB32" s="15">
        <f>IFERROR(((W$22 * $W32) + (1 - W$22)), 1)</f>
        <v>1</v>
      </c>
      <c r="AC32" s="15">
        <f>IFERROR(((X$22 * $W32) + (1 - X$22)), 1)</f>
        <v>1</v>
      </c>
      <c r="AD32" s="15">
        <v>1</v>
      </c>
      <c r="AE32" s="15">
        <v>1</v>
      </c>
      <c r="AF32" s="15">
        <v>1</v>
      </c>
      <c r="AG32" s="15">
        <v>1</v>
      </c>
      <c r="AH32" s="16" t="str">
        <f t="shared" si="1"/>
        <v>fraction</v>
      </c>
    </row>
    <row r="33" spans="1:34" ht="20.100000000000001" customHeight="1" x14ac:dyDescent="0.2">
      <c r="A33" s="5" t="str">
        <f>HYPERLINK("#'4.2.1.7-8 Soil leach runoff'!A1", "4.2.1.7-8 Soil leach &amp; runoff")</f>
        <v>4.2.1.7-8 Soil leach &amp; runoff</v>
      </c>
      <c r="D33" s="2" t="s">
        <v>1221</v>
      </c>
      <c r="U33" s="15" t="str">
        <f>TEXT(EDATE(X_Cell_Site_StartDate,5), "mmmm")</f>
        <v>May</v>
      </c>
      <c r="V33" s="15" t="str" cm="1">
        <f t="array" ref="V33">IFERROR(_xlfn.IFS(SUMPRODUCT(ISNUMBER(SEARCH(TRIM(_xlfn.TEXTSPLIT($U$22,",")),U33))*1)&gt;0,"Calving season",SUMPRODUCT(ISNUMBER(SEARCH(TRIM(_xlfn.TEXTSPLIT($U$23,",")),U33))*1)&gt;0,"Season after calving"), "")</f>
        <v/>
      </c>
      <c r="W33" s="15" t="str" cm="1">
        <f t="array" ref="W33">_xlfn.IFS(V33="Calving season", $J$14, V33="Season after calving", $J$15, V33="", "")</f>
        <v/>
      </c>
      <c r="X33" s="15">
        <v>1</v>
      </c>
      <c r="Y33" s="15">
        <v>1</v>
      </c>
      <c r="Z33" s="15">
        <v>1</v>
      </c>
      <c r="AA33" s="15">
        <f>IFERROR(((V$22 * $W33) + (1 - V$22)), 1)</f>
        <v>1</v>
      </c>
      <c r="AB33" s="15">
        <f>IFERROR(((W$22 * $W33) + (1 - W$22)), 1)</f>
        <v>1</v>
      </c>
      <c r="AC33" s="15">
        <f>IFERROR(((X$22 * $W33) + (1 - X$22)), 1)</f>
        <v>1</v>
      </c>
      <c r="AD33" s="15">
        <v>1</v>
      </c>
      <c r="AE33" s="15">
        <v>1</v>
      </c>
      <c r="AF33" s="15">
        <v>1</v>
      </c>
      <c r="AG33" s="15">
        <v>1</v>
      </c>
      <c r="AH33" s="16" t="str">
        <f t="shared" si="1"/>
        <v>fraction</v>
      </c>
    </row>
    <row r="34" spans="1:34" ht="20.100000000000001" customHeight="1" x14ac:dyDescent="0.2">
      <c r="A34" s="5" t="str">
        <f>HYPERLINK("#'5.1.1.1-2 Inorganic fert N2O'!A1", "5.1.1.1-2 Inorganic fert N2O")</f>
        <v>5.1.1.1-2 Inorganic fert N2O</v>
      </c>
      <c r="D34" s="17" t="s">
        <v>1222</v>
      </c>
      <c r="U34" s="15" t="str">
        <f>TEXT(EDATE(X_Cell_Site_StartDate,6), "mmmm")</f>
        <v>June</v>
      </c>
      <c r="V34" s="15" t="str" cm="1">
        <f t="array" ref="V34">IFERROR(_xlfn.IFS(SUMPRODUCT(ISNUMBER(SEARCH(TRIM(_xlfn.TEXTSPLIT($U$22,",")),U34))*1)&gt;0,"Calving season",SUMPRODUCT(ISNUMBER(SEARCH(TRIM(_xlfn.TEXTSPLIT($U$23,",")),U34))*1)&gt;0,"Season after calving"), "")</f>
        <v/>
      </c>
      <c r="W34" s="15" t="str" cm="1">
        <f t="array" ref="W34">_xlfn.IFS(V34="Calving season", $J$14, V34="Season after calving", $J$15, V34="", "")</f>
        <v/>
      </c>
      <c r="X34" s="15">
        <v>1</v>
      </c>
      <c r="Y34" s="15">
        <v>1</v>
      </c>
      <c r="Z34" s="15">
        <v>1</v>
      </c>
      <c r="AA34" s="15">
        <f>IFERROR(((V$22 * $W34) + (1 - V$22)), 1)</f>
        <v>1</v>
      </c>
      <c r="AB34" s="15">
        <f>IFERROR(((W$22 * $W34) + (1 - W$22)), 1)</f>
        <v>1</v>
      </c>
      <c r="AC34" s="15">
        <f>IFERROR(((X$22 * $W34) + (1 - X$22)), 1)</f>
        <v>1</v>
      </c>
      <c r="AD34" s="15">
        <v>1</v>
      </c>
      <c r="AE34" s="15">
        <v>1</v>
      </c>
      <c r="AF34" s="15">
        <v>1</v>
      </c>
      <c r="AG34" s="15">
        <v>1</v>
      </c>
      <c r="AH34" s="16" t="str">
        <f t="shared" si="1"/>
        <v>fraction</v>
      </c>
    </row>
    <row r="35" spans="1:34" ht="20.100000000000001" customHeight="1" x14ac:dyDescent="0.2">
      <c r="A35" s="5" t="str">
        <f>HYPERLINK("#'5.1.1.3-4 Inorganic fert CO2'!A1", "5.1.1.3-4 Inorganic fert CO2")</f>
        <v>5.1.1.3-4 Inorganic fert CO2</v>
      </c>
      <c r="D35" s="103"/>
      <c r="E35" s="103"/>
      <c r="U35" s="15" t="str">
        <f>TEXT(EDATE(X_Cell_Site_StartDate,7), "mmmm")</f>
        <v>July</v>
      </c>
      <c r="V35" s="15" t="str" cm="1">
        <f t="array" ref="V35">IFERROR(_xlfn.IFS(SUMPRODUCT(ISNUMBER(SEARCH(TRIM(_xlfn.TEXTSPLIT($U$22,",")),U35))*1)&gt;0,"Calving season",SUMPRODUCT(ISNUMBER(SEARCH(TRIM(_xlfn.TEXTSPLIT($U$23,",")),U35))*1)&gt;0,"Season after calving"), "")</f>
        <v/>
      </c>
      <c r="W35" s="15" t="str" cm="1">
        <f t="array" ref="W35">_xlfn.IFS(V35="Calving season", $J$14, V35="Season after calving", $J$15, V35="", "")</f>
        <v/>
      </c>
      <c r="X35" s="15">
        <v>1</v>
      </c>
      <c r="Y35" s="15">
        <v>1</v>
      </c>
      <c r="Z35" s="15">
        <v>1</v>
      </c>
      <c r="AA35" s="15">
        <f>IFERROR(((V$22 * $W35) + (1 - V$22)), 1)</f>
        <v>1</v>
      </c>
      <c r="AB35" s="15">
        <f>IFERROR(((W$22 * $W35) + (1 - W$22)), 1)</f>
        <v>1</v>
      </c>
      <c r="AC35" s="15">
        <f>IFERROR(((X$22 * $W35) + (1 - X$22)), 1)</f>
        <v>1</v>
      </c>
      <c r="AD35" s="15">
        <v>1</v>
      </c>
      <c r="AE35" s="15">
        <v>1</v>
      </c>
      <c r="AF35" s="15">
        <v>1</v>
      </c>
      <c r="AG35" s="15">
        <v>1</v>
      </c>
      <c r="AH35" s="16" t="str">
        <f t="shared" si="1"/>
        <v>fraction</v>
      </c>
    </row>
    <row r="36" spans="1:34" ht="20.100000000000001" customHeight="1" x14ac:dyDescent="0.2">
      <c r="A36" s="5" t="str">
        <f>HYPERLINK("#'5.2.1.1-2 Organic Fert N2O'!A1", "5.2.1.1-2 Organic fert N2O")</f>
        <v>5.2.1.1-2 Organic fert N2O</v>
      </c>
      <c r="U36" s="15" t="str">
        <f>TEXT(EDATE(X_Cell_Site_StartDate,8), "mmmm")</f>
        <v>August</v>
      </c>
      <c r="V36" s="15" t="str" cm="1">
        <f t="array" ref="V36">IFERROR(_xlfn.IFS(SUMPRODUCT(ISNUMBER(SEARCH(TRIM(_xlfn.TEXTSPLIT($U$22,",")),U36))*1)&gt;0,"Calving season",SUMPRODUCT(ISNUMBER(SEARCH(TRIM(_xlfn.TEXTSPLIT($U$23,",")),U36))*1)&gt;0,"Season after calving"), "")</f>
        <v>Calving season</v>
      </c>
      <c r="W36" s="15" t="e" cm="1">
        <f t="array" ref="W36">_xlfn.IFS(V36="Calving season", $J$14, V36="Season after calving", $J$15, V36="", "")</f>
        <v>#N/A</v>
      </c>
      <c r="X36" s="15">
        <v>1</v>
      </c>
      <c r="Y36" s="15">
        <v>1</v>
      </c>
      <c r="Z36" s="15">
        <v>1</v>
      </c>
      <c r="AA36" s="15">
        <f>IFERROR(((V$22 * $W36) + (1 - V$22)), 1)</f>
        <v>1</v>
      </c>
      <c r="AB36" s="15">
        <f>IFERROR(((W$22 * $W36) + (1 - W$22)), 1)</f>
        <v>1</v>
      </c>
      <c r="AC36" s="15">
        <f>IFERROR(((X$22 * $W36) + (1 - X$22)), 1)</f>
        <v>1</v>
      </c>
      <c r="AD36" s="15">
        <v>1</v>
      </c>
      <c r="AE36" s="15">
        <v>1</v>
      </c>
      <c r="AF36" s="15">
        <v>1</v>
      </c>
      <c r="AG36" s="15">
        <v>1</v>
      </c>
      <c r="AH36" s="16" t="str">
        <f t="shared" si="1"/>
        <v>fraction</v>
      </c>
    </row>
    <row r="37" spans="1:34" ht="20.100000000000001" customHeight="1" x14ac:dyDescent="0.2">
      <c r="A37" s="5" t="str">
        <f>HYPERLINK("#'5.3.1.1-2 Lime CO2'!A1", "5.3.1.1-2 Lime CO2")</f>
        <v>5.3.1.1-2 Lime CO2</v>
      </c>
      <c r="G37" s="2" t="s">
        <v>1223</v>
      </c>
      <c r="U37" s="15" t="str">
        <f>TEXT(EDATE(X_Cell_Site_StartDate,9), "mmmm")</f>
        <v>September</v>
      </c>
      <c r="V37" s="15" t="str" cm="1">
        <f t="array" ref="V37">IFERROR(_xlfn.IFS(SUMPRODUCT(ISNUMBER(SEARCH(TRIM(_xlfn.TEXTSPLIT($U$22,",")),U37))*1)&gt;0,"Calving season",SUMPRODUCT(ISNUMBER(SEARCH(TRIM(_xlfn.TEXTSPLIT($U$23,",")),U37))*1)&gt;0,"Season after calving"), "")</f>
        <v>Calving season</v>
      </c>
      <c r="W37" s="15" t="e" cm="1">
        <f t="array" ref="W37">_xlfn.IFS(V37="Calving season", $J$14, V37="Season after calving", $J$15, V37="", "")</f>
        <v>#N/A</v>
      </c>
      <c r="X37" s="15">
        <v>1</v>
      </c>
      <c r="Y37" s="15">
        <v>1</v>
      </c>
      <c r="Z37" s="15">
        <v>1</v>
      </c>
      <c r="AA37" s="15">
        <f>IFERROR(((V$22 * $W37) + (1 - V$22)), 1)</f>
        <v>1</v>
      </c>
      <c r="AB37" s="15">
        <f>IFERROR(((W$22 * $W37) + (1 - W$22)), 1)</f>
        <v>1</v>
      </c>
      <c r="AC37" s="15">
        <f>IFERROR(((X$22 * $W37) + (1 - X$22)), 1)</f>
        <v>1</v>
      </c>
      <c r="AD37" s="15">
        <v>1</v>
      </c>
      <c r="AE37" s="15">
        <v>1</v>
      </c>
      <c r="AF37" s="15">
        <v>1</v>
      </c>
      <c r="AG37" s="15">
        <v>1</v>
      </c>
      <c r="AH37" s="16" t="str">
        <f t="shared" si="1"/>
        <v>fraction</v>
      </c>
    </row>
    <row r="38" spans="1:34" ht="20.100000000000001" customHeight="1" x14ac:dyDescent="0.2">
      <c r="A38" s="5" t="str">
        <f>HYPERLINK("#'5.4.1.1-4 Atmos deposition'!A1", "5.4.1.1-4 Atmos. deposition")</f>
        <v>5.4.1.1-4 Atmos. deposition</v>
      </c>
      <c r="D38" s="77" t="s">
        <v>373</v>
      </c>
      <c r="E38" s="1" t="s">
        <v>1224</v>
      </c>
      <c r="U38" s="15" t="str">
        <f>TEXT(EDATE(X_Cell_Site_StartDate,10), "mmmm")</f>
        <v>October</v>
      </c>
      <c r="V38" s="15" t="str" cm="1">
        <f t="array" ref="V38">IFERROR(_xlfn.IFS(SUMPRODUCT(ISNUMBER(SEARCH(TRIM(_xlfn.TEXTSPLIT($U$22,",")),U38))*1)&gt;0,"Calving season",SUMPRODUCT(ISNUMBER(SEARCH(TRIM(_xlfn.TEXTSPLIT($U$23,",")),U38))*1)&gt;0,"Season after calving"), "")</f>
        <v>Calving season</v>
      </c>
      <c r="W38" s="15" t="e" cm="1">
        <f t="array" ref="W38">_xlfn.IFS(V38="Calving season", $J$14, V38="Season after calving", $J$15, V38="", "")</f>
        <v>#N/A</v>
      </c>
      <c r="X38" s="15">
        <v>1</v>
      </c>
      <c r="Y38" s="15">
        <v>1</v>
      </c>
      <c r="Z38" s="15">
        <v>1</v>
      </c>
      <c r="AA38" s="15">
        <f>IFERROR(((V$22 * $W38) + (1 - V$22)), 1)</f>
        <v>1</v>
      </c>
      <c r="AB38" s="15">
        <f>IFERROR(((W$22 * $W38) + (1 - W$22)), 1)</f>
        <v>1</v>
      </c>
      <c r="AC38" s="15">
        <f>IFERROR(((X$22 * $W38) + (1 - X$22)), 1)</f>
        <v>1</v>
      </c>
      <c r="AD38" s="15">
        <v>1</v>
      </c>
      <c r="AE38" s="15">
        <v>1</v>
      </c>
      <c r="AF38" s="15">
        <v>1</v>
      </c>
      <c r="AG38" s="15">
        <v>1</v>
      </c>
      <c r="AH38" s="16" t="str">
        <f t="shared" si="1"/>
        <v>fraction</v>
      </c>
    </row>
    <row r="39" spans="1:34" ht="20.100000000000001" customHeight="1" x14ac:dyDescent="0.2">
      <c r="A39" s="5" t="str">
        <f>HYPERLINK("#'5.5.1.1-2 Leaching and runoff'!A1", "5.5.1.1-2 Leaching &amp; runoff")</f>
        <v>5.5.1.1-2 Leaching &amp; runoff</v>
      </c>
      <c r="D39" s="77" t="s">
        <v>121</v>
      </c>
      <c r="E39" s="9" t="s">
        <v>1225</v>
      </c>
      <c r="U39" s="15" t="str">
        <f>TEXT(EDATE(X_Cell_Site_StartDate,11), "mmmm")</f>
        <v>November</v>
      </c>
      <c r="V39" s="15" t="str" cm="1">
        <f t="array" ref="V39">IFERROR(_xlfn.IFS(SUMPRODUCT(ISNUMBER(SEARCH(TRIM(_xlfn.TEXTSPLIT($U$22,",")),U39))*1)&gt;0,"Calving season",SUMPRODUCT(ISNUMBER(SEARCH(TRIM(_xlfn.TEXTSPLIT($U$23,",")),U39))*1)&gt;0,"Season after calving"), "")</f>
        <v>Season after calving</v>
      </c>
      <c r="W39" s="15" t="e" cm="1">
        <f t="array" ref="W39">_xlfn.IFS(V39="Calving season", $J$14, V39="Season after calving", $J$15, V39="", "")</f>
        <v>#N/A</v>
      </c>
      <c r="X39" s="15">
        <v>1</v>
      </c>
      <c r="Y39" s="15">
        <v>1</v>
      </c>
      <c r="Z39" s="15">
        <v>1</v>
      </c>
      <c r="AA39" s="15">
        <f>IFERROR(((V$22 * $W39) + (1 - V$22)), 1)</f>
        <v>1</v>
      </c>
      <c r="AB39" s="15">
        <f>IFERROR(((W$22 * $W39) + (1 - W$22)), 1)</f>
        <v>1</v>
      </c>
      <c r="AC39" s="15">
        <f>IFERROR(((X$22 * $W39) + (1 - X$22)), 1)</f>
        <v>1</v>
      </c>
      <c r="AD39" s="15">
        <v>1</v>
      </c>
      <c r="AE39" s="15">
        <v>1</v>
      </c>
      <c r="AF39" s="15">
        <v>1</v>
      </c>
      <c r="AG39" s="15">
        <v>1</v>
      </c>
      <c r="AH39" s="16" t="str">
        <f t="shared" si="1"/>
        <v>fraction</v>
      </c>
    </row>
    <row r="40" spans="1:34" ht="20.100000000000001" customHeight="1" x14ac:dyDescent="0.2">
      <c r="A40" s="5" t="str">
        <f>HYPERLINK("#'6.2.1.1-2 Pasture residue N2O'!A1", "6.2.1.1-2 Pasture residue N2O")</f>
        <v>6.2.1.1-2 Pasture residue N2O</v>
      </c>
    </row>
    <row r="41" spans="1:34" ht="20.100000000000001" customHeight="1" x14ac:dyDescent="0.2">
      <c r="A41" s="5" t="str">
        <f>HYPERLINK("#'6.3.1.1-2 Leach runoff pasture'!A1", "6.3.1.1-2 Leach &amp; runoff (pasture)")</f>
        <v>6.3.1.1-2 Leach &amp; runoff (pasture)</v>
      </c>
      <c r="D41" s="105" t="s">
        <v>1226</v>
      </c>
      <c r="E41" s="106" t="s">
        <v>1227</v>
      </c>
      <c r="F41" s="108"/>
      <c r="G41" s="105" t="s">
        <v>636</v>
      </c>
      <c r="H41" s="109" t="s">
        <v>1219</v>
      </c>
      <c r="I41" s="111" t="str" cm="1">
        <f t="array" aca="1" ref="I41" ca="1">HYPERLINK(Common_InputFunctions.Utility_SourceHyperlink($D$45), $D$45)</f>
        <v>M1_Table_W_j_k_l</v>
      </c>
      <c r="U41" s="112" t="s">
        <v>388</v>
      </c>
    </row>
    <row r="42" spans="1:34" ht="20.100000000000001" customHeight="1" x14ac:dyDescent="0.2">
      <c r="A42" s="5" t="str">
        <f>HYPERLINK("#'8.1.1.1-2 Transport fuel'!A1", "8.1.1.1-2 Transport fuel")</f>
        <v>8.1.1.1-2 Transport fuel</v>
      </c>
      <c r="D42" s="105" t="s">
        <v>1228</v>
      </c>
      <c r="E42" s="106" t="s">
        <v>1229</v>
      </c>
      <c r="F42" s="108"/>
      <c r="G42" s="105" t="s">
        <v>344</v>
      </c>
      <c r="H42" s="109" t="s">
        <v>1219</v>
      </c>
      <c r="I42" s="111" t="str" cm="1">
        <f t="array" aca="1" ref="I42" ca="1">HYPERLINK(Common_InputFunctions.Utility_SourceHyperlink($D$53), $D$53)</f>
        <v>M1_Table_LWG_j_k_l</v>
      </c>
      <c r="U42" s="113" t="s">
        <v>389</v>
      </c>
    </row>
    <row r="43" spans="1:34" ht="20.100000000000001" customHeight="1" x14ac:dyDescent="0.2">
      <c r="A43" s="5" t="str">
        <f>HYPERLINK("#'8.2.1.1-2 Stationary fuel'!A1", "8.2.1.1-2 Stationary fuel")</f>
        <v>8.2.1.1-2 Stationary fuel</v>
      </c>
      <c r="D43" s="105" t="s">
        <v>1210</v>
      </c>
      <c r="E43" s="106" t="s">
        <v>1230</v>
      </c>
      <c r="F43" s="108"/>
      <c r="G43" s="105" t="s">
        <v>344</v>
      </c>
      <c r="H43" s="110" t="s">
        <v>1231</v>
      </c>
      <c r="I43" s="111" t="str" cm="1">
        <f t="array" aca="1" ref="I43" ca="1">HYPERLINK(Common_InputFunctions.Utility_SourceHyperlink($D$23), $D$23)</f>
        <v>M1_Table_MA_j_k-4-5</v>
      </c>
      <c r="U43" s="114" t="s">
        <v>75</v>
      </c>
      <c r="V43" s="82" t="s">
        <v>326</v>
      </c>
      <c r="W43" s="82" t="s">
        <v>184</v>
      </c>
      <c r="X43" s="82" t="s">
        <v>327</v>
      </c>
      <c r="Y43" s="82" t="s">
        <v>328</v>
      </c>
      <c r="Z43" s="82" t="s">
        <v>329</v>
      </c>
      <c r="AA43" s="82" t="s">
        <v>330</v>
      </c>
      <c r="AB43" s="82" t="s">
        <v>331</v>
      </c>
      <c r="AC43" s="82" t="s">
        <v>332</v>
      </c>
      <c r="AD43" s="82" t="s">
        <v>333</v>
      </c>
      <c r="AE43" s="82" t="s">
        <v>334</v>
      </c>
      <c r="AF43" s="16"/>
    </row>
    <row r="44" spans="1:34" ht="20.100000000000001" customHeight="1" x14ac:dyDescent="0.2">
      <c r="A44" s="5" t="str">
        <f>HYPERLINK("#'10.1.1-2 Solid waste treatment'!A1", "10.1.1.1-2 Solid waste")</f>
        <v>10.1.1.1-2 Solid waste</v>
      </c>
      <c r="U44" s="15" t="str">
        <f>TEXT(X_Cell_Site_StartDate,"mmmm")</f>
        <v>January</v>
      </c>
      <c r="V44" s="15" t="e" cm="1">
        <f t="array" aca="1" ref="V44:AE55" ca="1">OFFSET(X_Table_PastureBeef_Liveweight_Method2,1,1,12,10)</f>
        <v>#N/A</v>
      </c>
      <c r="W44" s="15" t="e">
        <f ca="1"/>
        <v>#N/A</v>
      </c>
      <c r="X44" s="15" t="e">
        <f ca="1"/>
        <v>#N/A</v>
      </c>
      <c r="Y44" s="15" t="e">
        <f ca="1"/>
        <v>#N/A</v>
      </c>
      <c r="Z44" s="15" t="e">
        <f ca="1"/>
        <v>#N/A</v>
      </c>
      <c r="AA44" s="15" t="e">
        <f ca="1"/>
        <v>#N/A</v>
      </c>
      <c r="AB44" s="15" t="e">
        <f ca="1"/>
        <v>#N/A</v>
      </c>
      <c r="AC44" s="15" t="e">
        <f ca="1"/>
        <v>#N/A</v>
      </c>
      <c r="AD44" s="15" t="e">
        <f ca="1"/>
        <v>#N/A</v>
      </c>
      <c r="AE44" s="15" t="e">
        <f ca="1"/>
        <v>#N/A</v>
      </c>
      <c r="AF44" s="16" t="s">
        <v>343</v>
      </c>
    </row>
    <row r="45" spans="1:34" ht="20.100000000000001" customHeight="1" x14ac:dyDescent="0.2">
      <c r="A45" s="5" t="str">
        <f>HYPERLINK("#'14.1.1-2 Purchased electricity'!A1", "14.1.1-2 Purchased electricity")</f>
        <v>14.1.1-2 Purchased electricity</v>
      </c>
      <c r="D45" s="112" t="s">
        <v>390</v>
      </c>
      <c r="U45" s="15" t="str">
        <f>TEXT(EDATE(X_Cell_Site_StartDate,1), "mmmm")</f>
        <v>January</v>
      </c>
      <c r="V45" s="15" t="e">
        <f ca="1"/>
        <v>#N/A</v>
      </c>
      <c r="W45" s="15" t="e">
        <f ca="1"/>
        <v>#N/A</v>
      </c>
      <c r="X45" s="15" t="e">
        <f ca="1"/>
        <v>#N/A</v>
      </c>
      <c r="Y45" s="15" t="e">
        <f ca="1"/>
        <v>#N/A</v>
      </c>
      <c r="Z45" s="15" t="e">
        <f ca="1"/>
        <v>#N/A</v>
      </c>
      <c r="AA45" s="15" t="e">
        <f ca="1"/>
        <v>#N/A</v>
      </c>
      <c r="AB45" s="15" t="e">
        <f ca="1"/>
        <v>#N/A</v>
      </c>
      <c r="AC45" s="15" t="e">
        <f ca="1"/>
        <v>#N/A</v>
      </c>
      <c r="AD45" s="15" t="e">
        <f ca="1"/>
        <v>#N/A</v>
      </c>
      <c r="AE45" s="15" t="e">
        <f ca="1"/>
        <v>#N/A</v>
      </c>
      <c r="AF45" s="16" t="s">
        <v>343</v>
      </c>
    </row>
    <row r="46" spans="1:34" ht="20.100000000000001" customHeight="1" x14ac:dyDescent="0.2">
      <c r="A46" s="5" t="str">
        <f>HYPERLINK("#'15 Scope 3'!A1", "15 Scope 3")</f>
        <v>15 Scope 3</v>
      </c>
      <c r="D46" s="113" t="s">
        <v>391</v>
      </c>
      <c r="U46" s="15" t="str">
        <f>TEXT(EDATE(X_Cell_Site_StartDate,2), "mmmm")</f>
        <v>February</v>
      </c>
      <c r="V46" s="15" t="e">
        <f ca="1"/>
        <v>#N/A</v>
      </c>
      <c r="W46" s="15" t="e">
        <f ca="1"/>
        <v>#N/A</v>
      </c>
      <c r="X46" s="15" t="e">
        <f ca="1"/>
        <v>#N/A</v>
      </c>
      <c r="Y46" s="15" t="e">
        <f ca="1"/>
        <v>#N/A</v>
      </c>
      <c r="Z46" s="15" t="e">
        <f ca="1"/>
        <v>#N/A</v>
      </c>
      <c r="AA46" s="15" t="e">
        <f ca="1"/>
        <v>#N/A</v>
      </c>
      <c r="AB46" s="15" t="e">
        <f ca="1"/>
        <v>#N/A</v>
      </c>
      <c r="AC46" s="15" t="e">
        <f ca="1"/>
        <v>#N/A</v>
      </c>
      <c r="AD46" s="15" t="e">
        <f ca="1"/>
        <v>#N/A</v>
      </c>
      <c r="AE46" s="15" t="e">
        <f ca="1"/>
        <v>#N/A</v>
      </c>
      <c r="AF46" s="16" t="s">
        <v>343</v>
      </c>
    </row>
    <row r="47" spans="1:34" ht="20.100000000000001" customHeight="1" x14ac:dyDescent="0.2">
      <c r="A47" s="5" t="str">
        <f>HYPERLINK("#'Calcs - Manure sent off-site'!A1", "Calcs - Manure sent off-site")</f>
        <v>Calcs - Manure sent off-site</v>
      </c>
      <c r="D47" s="114" t="s">
        <v>76</v>
      </c>
      <c r="E47" s="82" t="s">
        <v>326</v>
      </c>
      <c r="F47" s="82" t="s">
        <v>184</v>
      </c>
      <c r="G47" s="82" t="s">
        <v>327</v>
      </c>
      <c r="H47" s="82" t="s">
        <v>328</v>
      </c>
      <c r="I47" s="82" t="s">
        <v>329</v>
      </c>
      <c r="J47" s="82" t="s">
        <v>330</v>
      </c>
      <c r="K47" s="82" t="s">
        <v>331</v>
      </c>
      <c r="L47" s="82" t="s">
        <v>332</v>
      </c>
      <c r="M47" s="82" t="s">
        <v>333</v>
      </c>
      <c r="N47" s="82" t="s">
        <v>334</v>
      </c>
      <c r="U47" s="15" t="str">
        <f>TEXT(EDATE(X_Cell_Site_StartDate,3), "mmmm")</f>
        <v>March</v>
      </c>
      <c r="V47" s="15" t="e">
        <f ca="1"/>
        <v>#N/A</v>
      </c>
      <c r="W47" s="15" t="e">
        <f ca="1"/>
        <v>#N/A</v>
      </c>
      <c r="X47" s="15" t="e">
        <f ca="1"/>
        <v>#N/A</v>
      </c>
      <c r="Y47" s="15" t="e">
        <f ca="1"/>
        <v>#N/A</v>
      </c>
      <c r="Z47" s="15" t="e">
        <f ca="1"/>
        <v>#N/A</v>
      </c>
      <c r="AA47" s="15" t="e">
        <f ca="1"/>
        <v>#N/A</v>
      </c>
      <c r="AB47" s="15" t="e">
        <f ca="1"/>
        <v>#N/A</v>
      </c>
      <c r="AC47" s="15" t="e">
        <f ca="1"/>
        <v>#N/A</v>
      </c>
      <c r="AD47" s="15" t="e">
        <f ca="1"/>
        <v>#N/A</v>
      </c>
      <c r="AE47" s="15" t="e">
        <f ca="1"/>
        <v>#N/A</v>
      </c>
      <c r="AF47" s="16" t="s">
        <v>343</v>
      </c>
    </row>
    <row r="48" spans="1:34" ht="20.100000000000001" customHeight="1" x14ac:dyDescent="0.2">
      <c r="D48" s="15" t="str">
        <f>INDEX(X_Table_PastureBeef_Liveweight_Method1,2,1)</f>
        <v>Spring</v>
      </c>
      <c r="E48" s="15" t="e" cm="1">
        <f t="array" aca="1" ref="E48:N51" ca="1">OFFSET(X_Table_PastureBeef_Liveweight_Method1, 1,1, 4,10)</f>
        <v>#N/A</v>
      </c>
      <c r="F48" s="15" t="e">
        <f ca="1"/>
        <v>#N/A</v>
      </c>
      <c r="G48" s="15" t="e">
        <f ca="1"/>
        <v>#N/A</v>
      </c>
      <c r="H48" s="15" t="e">
        <f ca="1"/>
        <v>#N/A</v>
      </c>
      <c r="I48" s="15" t="e">
        <f ca="1"/>
        <v>#N/A</v>
      </c>
      <c r="J48" s="15" t="e">
        <f ca="1"/>
        <v>#N/A</v>
      </c>
      <c r="K48" s="15" t="e">
        <f ca="1"/>
        <v>#N/A</v>
      </c>
      <c r="L48" s="15" t="e">
        <f ca="1"/>
        <v>#N/A</v>
      </c>
      <c r="M48" s="15" t="e">
        <f ca="1"/>
        <v>#N/A</v>
      </c>
      <c r="N48" s="15" t="e">
        <f ca="1"/>
        <v>#N/A</v>
      </c>
      <c r="O48" s="16" t="s">
        <v>343</v>
      </c>
      <c r="P48" s="16"/>
      <c r="Q48" s="16"/>
      <c r="U48" s="15" t="str">
        <f>TEXT(EDATE(X_Cell_Site_StartDate,4), "mmmm")</f>
        <v>April</v>
      </c>
      <c r="V48" s="15" t="e">
        <f ca="1"/>
        <v>#N/A</v>
      </c>
      <c r="W48" s="15" t="e">
        <f ca="1"/>
        <v>#N/A</v>
      </c>
      <c r="X48" s="15" t="e">
        <f ca="1"/>
        <v>#N/A</v>
      </c>
      <c r="Y48" s="15" t="e">
        <f ca="1"/>
        <v>#N/A</v>
      </c>
      <c r="Z48" s="15" t="e">
        <f ca="1"/>
        <v>#N/A</v>
      </c>
      <c r="AA48" s="15" t="e">
        <f ca="1"/>
        <v>#N/A</v>
      </c>
      <c r="AB48" s="15" t="e">
        <f ca="1"/>
        <v>#N/A</v>
      </c>
      <c r="AC48" s="15" t="e">
        <f ca="1"/>
        <v>#N/A</v>
      </c>
      <c r="AD48" s="15" t="e">
        <f ca="1"/>
        <v>#N/A</v>
      </c>
      <c r="AE48" s="15" t="e">
        <f ca="1"/>
        <v>#N/A</v>
      </c>
      <c r="AF48" s="16" t="s">
        <v>343</v>
      </c>
    </row>
    <row r="49" spans="1:34" ht="20.100000000000001" customHeight="1" x14ac:dyDescent="0.2">
      <c r="D49" s="15" t="str">
        <f>INDEX(X_Table_PastureBeef_Liveweight_Method1,3,1)</f>
        <v>Summer</v>
      </c>
      <c r="E49" s="15" t="e">
        <f ca="1"/>
        <v>#N/A</v>
      </c>
      <c r="F49" s="15" t="e">
        <f ca="1"/>
        <v>#N/A</v>
      </c>
      <c r="G49" s="15" t="e">
        <f ca="1"/>
        <v>#N/A</v>
      </c>
      <c r="H49" s="15" t="e">
        <f ca="1"/>
        <v>#N/A</v>
      </c>
      <c r="I49" s="15" t="e">
        <f ca="1"/>
        <v>#N/A</v>
      </c>
      <c r="J49" s="15" t="e">
        <f ca="1"/>
        <v>#N/A</v>
      </c>
      <c r="K49" s="15" t="e">
        <f ca="1"/>
        <v>#N/A</v>
      </c>
      <c r="L49" s="15" t="e">
        <f ca="1"/>
        <v>#N/A</v>
      </c>
      <c r="M49" s="15" t="e">
        <f ca="1"/>
        <v>#N/A</v>
      </c>
      <c r="N49" s="15" t="e">
        <f ca="1"/>
        <v>#N/A</v>
      </c>
      <c r="O49" s="16" t="s">
        <v>343</v>
      </c>
      <c r="P49" s="16"/>
      <c r="Q49" s="16"/>
      <c r="U49" s="15" t="str">
        <f>TEXT(EDATE(X_Cell_Site_StartDate,5), "mmmm")</f>
        <v>May</v>
      </c>
      <c r="V49" s="15" t="e">
        <f ca="1"/>
        <v>#N/A</v>
      </c>
      <c r="W49" s="15" t="e">
        <f ca="1"/>
        <v>#N/A</v>
      </c>
      <c r="X49" s="15" t="e">
        <f ca="1"/>
        <v>#N/A</v>
      </c>
      <c r="Y49" s="15" t="e">
        <f ca="1"/>
        <v>#N/A</v>
      </c>
      <c r="Z49" s="15" t="e">
        <f ca="1"/>
        <v>#N/A</v>
      </c>
      <c r="AA49" s="15" t="e">
        <f ca="1"/>
        <v>#N/A</v>
      </c>
      <c r="AB49" s="15" t="e">
        <f ca="1"/>
        <v>#N/A</v>
      </c>
      <c r="AC49" s="15" t="e">
        <f ca="1"/>
        <v>#N/A</v>
      </c>
      <c r="AD49" s="15" t="e">
        <f ca="1"/>
        <v>#N/A</v>
      </c>
      <c r="AE49" s="15" t="e">
        <f ca="1"/>
        <v>#N/A</v>
      </c>
      <c r="AF49" s="16" t="s">
        <v>343</v>
      </c>
    </row>
    <row r="50" spans="1:34" ht="20.100000000000001" customHeight="1" x14ac:dyDescent="0.2">
      <c r="A50" s="85" t="s">
        <v>1</v>
      </c>
      <c r="D50" s="15" t="str">
        <f>INDEX(X_Table_PastureBeef_Liveweight_Method1,4,1)</f>
        <v>Autumn</v>
      </c>
      <c r="E50" s="15" t="e">
        <f ca="1"/>
        <v>#N/A</v>
      </c>
      <c r="F50" s="15" t="e">
        <f ca="1"/>
        <v>#N/A</v>
      </c>
      <c r="G50" s="15" t="e">
        <f ca="1"/>
        <v>#N/A</v>
      </c>
      <c r="H50" s="15" t="e">
        <f ca="1"/>
        <v>#N/A</v>
      </c>
      <c r="I50" s="15" t="e">
        <f ca="1"/>
        <v>#N/A</v>
      </c>
      <c r="J50" s="15" t="e">
        <f ca="1"/>
        <v>#N/A</v>
      </c>
      <c r="K50" s="15" t="e">
        <f ca="1"/>
        <v>#N/A</v>
      </c>
      <c r="L50" s="15" t="e">
        <f ca="1"/>
        <v>#N/A</v>
      </c>
      <c r="M50" s="15" t="e">
        <f ca="1"/>
        <v>#N/A</v>
      </c>
      <c r="N50" s="15" t="e">
        <f ca="1"/>
        <v>#N/A</v>
      </c>
      <c r="O50" s="16" t="s">
        <v>343</v>
      </c>
      <c r="P50" s="16"/>
      <c r="Q50" s="16"/>
      <c r="U50" s="15" t="str">
        <f>TEXT(EDATE(X_Cell_Site_StartDate,6), "mmmm")</f>
        <v>June</v>
      </c>
      <c r="V50" s="15" t="e">
        <f ca="1"/>
        <v>#N/A</v>
      </c>
      <c r="W50" s="15" t="e">
        <f ca="1"/>
        <v>#N/A</v>
      </c>
      <c r="X50" s="15" t="e">
        <f ca="1"/>
        <v>#N/A</v>
      </c>
      <c r="Y50" s="15" t="e">
        <f ca="1"/>
        <v>#N/A</v>
      </c>
      <c r="Z50" s="15" t="e">
        <f ca="1"/>
        <v>#N/A</v>
      </c>
      <c r="AA50" s="15" t="e">
        <f ca="1"/>
        <v>#N/A</v>
      </c>
      <c r="AB50" s="15" t="e">
        <f ca="1"/>
        <v>#N/A</v>
      </c>
      <c r="AC50" s="15" t="e">
        <f ca="1"/>
        <v>#N/A</v>
      </c>
      <c r="AD50" s="15" t="e">
        <f ca="1"/>
        <v>#N/A</v>
      </c>
      <c r="AE50" s="15" t="e">
        <f ca="1"/>
        <v>#N/A</v>
      </c>
      <c r="AF50" s="16" t="s">
        <v>343</v>
      </c>
    </row>
    <row r="51" spans="1:34" ht="20.100000000000001" customHeight="1" x14ac:dyDescent="0.2">
      <c r="A51" s="5" t="str">
        <f>HYPERLINK("#'Constants - Pasture Beef'!A1", "Constants - Pasture Beef")</f>
        <v>Constants - Pasture Beef</v>
      </c>
      <c r="D51" s="15" t="str">
        <f>INDEX(X_Table_PastureBeef_Liveweight_Method1,5,1)</f>
        <v>Winter</v>
      </c>
      <c r="E51" s="15" t="e">
        <f ca="1"/>
        <v>#N/A</v>
      </c>
      <c r="F51" s="15" t="e">
        <f ca="1"/>
        <v>#N/A</v>
      </c>
      <c r="G51" s="15" t="e">
        <f ca="1"/>
        <v>#N/A</v>
      </c>
      <c r="H51" s="15" t="e">
        <f ca="1"/>
        <v>#N/A</v>
      </c>
      <c r="I51" s="15" t="e">
        <f ca="1"/>
        <v>#N/A</v>
      </c>
      <c r="J51" s="15" t="e">
        <f ca="1"/>
        <v>#N/A</v>
      </c>
      <c r="K51" s="15" t="e">
        <f ca="1"/>
        <v>#N/A</v>
      </c>
      <c r="L51" s="15" t="e">
        <f ca="1"/>
        <v>#N/A</v>
      </c>
      <c r="M51" s="15" t="e">
        <f ca="1"/>
        <v>#N/A</v>
      </c>
      <c r="N51" s="15" t="e">
        <f ca="1"/>
        <v>#N/A</v>
      </c>
      <c r="O51" s="16" t="s">
        <v>343</v>
      </c>
      <c r="P51" s="16"/>
      <c r="Q51" s="16"/>
      <c r="U51" s="15" t="str">
        <f>TEXT(EDATE(X_Cell_Site_StartDate,7), "mmmm")</f>
        <v>July</v>
      </c>
      <c r="V51" s="15" t="e">
        <f ca="1"/>
        <v>#N/A</v>
      </c>
      <c r="W51" s="15" t="e">
        <f ca="1"/>
        <v>#N/A</v>
      </c>
      <c r="X51" s="15" t="e">
        <f ca="1"/>
        <v>#N/A</v>
      </c>
      <c r="Y51" s="15" t="e">
        <f ca="1"/>
        <v>#N/A</v>
      </c>
      <c r="Z51" s="15" t="e">
        <f ca="1"/>
        <v>#N/A</v>
      </c>
      <c r="AA51" s="15" t="e">
        <f ca="1"/>
        <v>#N/A</v>
      </c>
      <c r="AB51" s="15" t="e">
        <f ca="1"/>
        <v>#N/A</v>
      </c>
      <c r="AC51" s="15" t="e">
        <f ca="1"/>
        <v>#N/A</v>
      </c>
      <c r="AD51" s="15" t="e">
        <f ca="1"/>
        <v>#N/A</v>
      </c>
      <c r="AE51" s="15" t="e">
        <f ca="1"/>
        <v>#N/A</v>
      </c>
      <c r="AF51" s="16" t="s">
        <v>343</v>
      </c>
      <c r="AG51" s="16"/>
      <c r="AH51" s="16"/>
    </row>
    <row r="52" spans="1:34" ht="20.100000000000001" customHeight="1" x14ac:dyDescent="0.2">
      <c r="A52" s="5" t="str">
        <f>HYPERLINK("#'Constants - Ag Residue'!A1", "Constants - Ag residue")</f>
        <v>Constants - Ag residue</v>
      </c>
      <c r="U52" s="15" t="str">
        <f>TEXT(EDATE(X_Cell_Site_StartDate,8), "mmmm")</f>
        <v>August</v>
      </c>
      <c r="V52" s="15" t="e">
        <f ca="1"/>
        <v>#N/A</v>
      </c>
      <c r="W52" s="15" t="e">
        <f ca="1"/>
        <v>#N/A</v>
      </c>
      <c r="X52" s="15" t="e">
        <f ca="1"/>
        <v>#N/A</v>
      </c>
      <c r="Y52" s="15" t="e">
        <f ca="1"/>
        <v>#N/A</v>
      </c>
      <c r="Z52" s="15" t="e">
        <f ca="1"/>
        <v>#N/A</v>
      </c>
      <c r="AA52" s="15" t="e">
        <f ca="1"/>
        <v>#N/A</v>
      </c>
      <c r="AB52" s="15" t="e">
        <f ca="1"/>
        <v>#N/A</v>
      </c>
      <c r="AC52" s="15" t="e">
        <f ca="1"/>
        <v>#N/A</v>
      </c>
      <c r="AD52" s="15" t="e">
        <f ca="1"/>
        <v>#N/A</v>
      </c>
      <c r="AE52" s="15" t="e">
        <f ca="1"/>
        <v>#N/A</v>
      </c>
      <c r="AF52" s="16" t="s">
        <v>343</v>
      </c>
      <c r="AG52" s="16"/>
      <c r="AH52" s="16"/>
    </row>
    <row r="53" spans="1:34" ht="20.100000000000001" customHeight="1" x14ac:dyDescent="0.2">
      <c r="A53" s="5" t="str">
        <f>HYPERLINK("#'Constants - Common Livestock'!A1", "Constants - Common Livestock")</f>
        <v>Constants - Common Livestock</v>
      </c>
      <c r="D53" s="112" t="s">
        <v>394</v>
      </c>
      <c r="U53" s="15" t="str">
        <f>TEXT(EDATE(X_Cell_Site_StartDate,9), "mmmm")</f>
        <v>September</v>
      </c>
      <c r="V53" s="15" t="e">
        <f ca="1"/>
        <v>#N/A</v>
      </c>
      <c r="W53" s="15" t="e">
        <f ca="1"/>
        <v>#N/A</v>
      </c>
      <c r="X53" s="15" t="e">
        <f ca="1"/>
        <v>#N/A</v>
      </c>
      <c r="Y53" s="15" t="e">
        <f ca="1"/>
        <v>#N/A</v>
      </c>
      <c r="Z53" s="15" t="e">
        <f ca="1"/>
        <v>#N/A</v>
      </c>
      <c r="AA53" s="15" t="e">
        <f ca="1"/>
        <v>#N/A</v>
      </c>
      <c r="AB53" s="15" t="e">
        <f ca="1"/>
        <v>#N/A</v>
      </c>
      <c r="AC53" s="15" t="e">
        <f ca="1"/>
        <v>#N/A</v>
      </c>
      <c r="AD53" s="15" t="e">
        <f ca="1"/>
        <v>#N/A</v>
      </c>
      <c r="AE53" s="15" t="e">
        <f ca="1"/>
        <v>#N/A</v>
      </c>
      <c r="AF53" s="16" t="s">
        <v>343</v>
      </c>
      <c r="AG53" s="16"/>
      <c r="AH53" s="16"/>
    </row>
    <row r="54" spans="1:34" ht="20.100000000000001" customHeight="1" x14ac:dyDescent="0.2">
      <c r="A54" s="5" t="str">
        <f>HYPERLINK("#'Constants - Electricity'!A1", "Constants - Electricity")</f>
        <v>Constants - Electricity</v>
      </c>
      <c r="D54" s="113" t="s">
        <v>395</v>
      </c>
      <c r="U54" s="15" t="str">
        <f>TEXT(EDATE(X_Cell_Site_StartDate,10), "mmmm")</f>
        <v>October</v>
      </c>
      <c r="V54" s="15" t="e">
        <f ca="1"/>
        <v>#N/A</v>
      </c>
      <c r="W54" s="15" t="e">
        <f ca="1"/>
        <v>#N/A</v>
      </c>
      <c r="X54" s="15" t="e">
        <f ca="1"/>
        <v>#N/A</v>
      </c>
      <c r="Y54" s="15" t="e">
        <f ca="1"/>
        <v>#N/A</v>
      </c>
      <c r="Z54" s="15" t="e">
        <f ca="1"/>
        <v>#N/A</v>
      </c>
      <c r="AA54" s="15" t="e">
        <f ca="1"/>
        <v>#N/A</v>
      </c>
      <c r="AB54" s="15" t="e">
        <f ca="1"/>
        <v>#N/A</v>
      </c>
      <c r="AC54" s="15" t="e">
        <f ca="1"/>
        <v>#N/A</v>
      </c>
      <c r="AD54" s="15" t="e">
        <f ca="1"/>
        <v>#N/A</v>
      </c>
      <c r="AE54" s="15" t="e">
        <f ca="1"/>
        <v>#N/A</v>
      </c>
      <c r="AF54" s="16" t="s">
        <v>343</v>
      </c>
      <c r="AG54" s="16"/>
      <c r="AH54" s="16"/>
    </row>
    <row r="55" spans="1:34" ht="20.100000000000001" customHeight="1" x14ac:dyDescent="0.2">
      <c r="A55" s="5" t="str">
        <f>HYPERLINK("#'Constants - Fertiliser'!A1", "Constants - Fertiliser")</f>
        <v>Constants - Fertiliser</v>
      </c>
      <c r="D55" s="114" t="s">
        <v>76</v>
      </c>
      <c r="E55" s="82" t="s">
        <v>326</v>
      </c>
      <c r="F55" s="82" t="s">
        <v>184</v>
      </c>
      <c r="G55" s="82" t="s">
        <v>327</v>
      </c>
      <c r="H55" s="82" t="s">
        <v>328</v>
      </c>
      <c r="I55" s="82" t="s">
        <v>329</v>
      </c>
      <c r="J55" s="82" t="s">
        <v>330</v>
      </c>
      <c r="K55" s="82" t="s">
        <v>331</v>
      </c>
      <c r="L55" s="82" t="s">
        <v>332</v>
      </c>
      <c r="M55" s="82" t="s">
        <v>333</v>
      </c>
      <c r="N55" s="82" t="s">
        <v>334</v>
      </c>
      <c r="U55" s="15" t="str">
        <f>TEXT(EDATE(X_Cell_Site_StartDate,11), "mmmm")</f>
        <v>November</v>
      </c>
      <c r="V55" s="15" t="e">
        <f ca="1"/>
        <v>#N/A</v>
      </c>
      <c r="W55" s="15" t="e">
        <f ca="1"/>
        <v>#N/A</v>
      </c>
      <c r="X55" s="15" t="e">
        <f ca="1"/>
        <v>#N/A</v>
      </c>
      <c r="Y55" s="15" t="e">
        <f ca="1"/>
        <v>#N/A</v>
      </c>
      <c r="Z55" s="15" t="e">
        <f ca="1"/>
        <v>#N/A</v>
      </c>
      <c r="AA55" s="15" t="e">
        <f ca="1"/>
        <v>#N/A</v>
      </c>
      <c r="AB55" s="15" t="e">
        <f ca="1"/>
        <v>#N/A</v>
      </c>
      <c r="AC55" s="15" t="e">
        <f ca="1"/>
        <v>#N/A</v>
      </c>
      <c r="AD55" s="15" t="e">
        <f ca="1"/>
        <v>#N/A</v>
      </c>
      <c r="AE55" s="15" t="e">
        <f ca="1"/>
        <v>#N/A</v>
      </c>
      <c r="AF55" s="16" t="s">
        <v>343</v>
      </c>
      <c r="AG55" s="16"/>
      <c r="AH55" s="16"/>
    </row>
    <row r="56" spans="1:34" ht="20.100000000000001" customHeight="1" x14ac:dyDescent="0.2">
      <c r="A56" s="5" t="str">
        <f>HYPERLINK("#'Constants - Fuel'!A1", "Constants - Fuel")</f>
        <v>Constants - Fuel</v>
      </c>
      <c r="D56" s="15" t="str">
        <f>INDEX(X_Table_PastureBeef_LiveweightGain_Method1,2,1)</f>
        <v>Spring</v>
      </c>
      <c r="E56" s="15" t="e" cm="1">
        <f t="array" aca="1" ref="E56:N59" ca="1">OFFSET(X_Table_PastureBeef_LiveweightGain_Method1, 1,1, 4,10)</f>
        <v>#N/A</v>
      </c>
      <c r="F56" s="15" t="e">
        <f ca="1"/>
        <v>#N/A</v>
      </c>
      <c r="G56" s="15" t="e">
        <f ca="1"/>
        <v>#N/A</v>
      </c>
      <c r="H56" s="15" t="e">
        <f ca="1"/>
        <v>#N/A</v>
      </c>
      <c r="I56" s="15" t="e">
        <f ca="1"/>
        <v>#N/A</v>
      </c>
      <c r="J56" s="15" t="e">
        <f ca="1"/>
        <v>#N/A</v>
      </c>
      <c r="K56" s="15" t="e">
        <f ca="1"/>
        <v>#N/A</v>
      </c>
      <c r="L56" s="15" t="e">
        <f ca="1"/>
        <v>#N/A</v>
      </c>
      <c r="M56" s="15" t="e">
        <f ca="1"/>
        <v>#N/A</v>
      </c>
      <c r="N56" s="15" t="e">
        <f ca="1"/>
        <v>#N/A</v>
      </c>
      <c r="O56" s="16" t="s">
        <v>343</v>
      </c>
      <c r="P56" s="16"/>
      <c r="Q56" s="16"/>
      <c r="AG56" s="16"/>
      <c r="AH56" s="16"/>
    </row>
    <row r="57" spans="1:34" ht="20.100000000000001" customHeight="1" x14ac:dyDescent="0.2">
      <c r="A57" s="5" t="str">
        <f>HYPERLINK("#'Constants - Scope 3'!A1", "Constants - Scope 3")</f>
        <v>Constants - Scope 3</v>
      </c>
      <c r="D57" s="15" t="str">
        <f>INDEX(X_Table_PastureBeef_LiveweightGain_Method1,3,1)</f>
        <v>Summer</v>
      </c>
      <c r="E57" s="15" t="e">
        <f ca="1"/>
        <v>#N/A</v>
      </c>
      <c r="F57" s="15" t="e">
        <f ca="1"/>
        <v>#N/A</v>
      </c>
      <c r="G57" s="15" t="e">
        <f ca="1"/>
        <v>#N/A</v>
      </c>
      <c r="H57" s="15" t="e">
        <f ca="1"/>
        <v>#N/A</v>
      </c>
      <c r="I57" s="15" t="e">
        <f ca="1"/>
        <v>#N/A</v>
      </c>
      <c r="J57" s="15" t="e">
        <f ca="1"/>
        <v>#N/A</v>
      </c>
      <c r="K57" s="15" t="e">
        <f ca="1"/>
        <v>#N/A</v>
      </c>
      <c r="L57" s="15" t="e">
        <f ca="1"/>
        <v>#N/A</v>
      </c>
      <c r="M57" s="15" t="e">
        <f ca="1"/>
        <v>#N/A</v>
      </c>
      <c r="N57" s="15" t="e">
        <f ca="1"/>
        <v>#N/A</v>
      </c>
      <c r="O57" s="16" t="s">
        <v>343</v>
      </c>
      <c r="P57" s="16"/>
      <c r="Q57" s="16"/>
      <c r="U57" s="112" t="s">
        <v>392</v>
      </c>
      <c r="AG57" s="16"/>
      <c r="AH57" s="16"/>
    </row>
    <row r="58" spans="1:34" ht="20.100000000000001" customHeight="1" x14ac:dyDescent="0.2">
      <c r="A58" s="5" t="str">
        <f>HYPERLINK("#'Constants - Solid Waste'!A1", "Constants - Solid Waste")</f>
        <v>Constants - Solid Waste</v>
      </c>
      <c r="D58" s="15" t="str">
        <f>INDEX(X_Table_PastureBeef_LiveweightGain_Method1,4,1)</f>
        <v>Autumn</v>
      </c>
      <c r="E58" s="15" t="e">
        <f ca="1"/>
        <v>#N/A</v>
      </c>
      <c r="F58" s="15" t="e">
        <f ca="1"/>
        <v>#N/A</v>
      </c>
      <c r="G58" s="15" t="e">
        <f ca="1"/>
        <v>#N/A</v>
      </c>
      <c r="H58" s="15" t="e">
        <f ca="1"/>
        <v>#N/A</v>
      </c>
      <c r="I58" s="15" t="e">
        <f ca="1"/>
        <v>#N/A</v>
      </c>
      <c r="J58" s="15" t="e">
        <f ca="1"/>
        <v>#N/A</v>
      </c>
      <c r="K58" s="15" t="e">
        <f ca="1"/>
        <v>#N/A</v>
      </c>
      <c r="L58" s="15" t="e">
        <f ca="1"/>
        <v>#N/A</v>
      </c>
      <c r="M58" s="15" t="e">
        <f ca="1"/>
        <v>#N/A</v>
      </c>
      <c r="N58" s="15" t="e">
        <f ca="1"/>
        <v>#N/A</v>
      </c>
      <c r="O58" s="16" t="s">
        <v>343</v>
      </c>
      <c r="P58" s="16"/>
      <c r="Q58" s="16"/>
      <c r="U58" s="113" t="s">
        <v>393</v>
      </c>
      <c r="AG58" s="16"/>
      <c r="AH58" s="16"/>
    </row>
    <row r="59" spans="1:34" ht="20.100000000000001" customHeight="1" x14ac:dyDescent="0.2">
      <c r="A59" s="5" t="str">
        <f>HYPERLINK("#'Constants - Common'!A1", "Constants - Common")</f>
        <v>Constants - Common</v>
      </c>
      <c r="D59" s="15" t="str">
        <f>INDEX(X_Table_PastureBeef_LiveweightGain_Method1,5,1)</f>
        <v>Winter</v>
      </c>
      <c r="E59" s="15" t="e">
        <f ca="1"/>
        <v>#N/A</v>
      </c>
      <c r="F59" s="15" t="e">
        <f ca="1"/>
        <v>#N/A</v>
      </c>
      <c r="G59" s="15" t="e">
        <f ca="1"/>
        <v>#N/A</v>
      </c>
      <c r="H59" s="15" t="e">
        <f ca="1"/>
        <v>#N/A</v>
      </c>
      <c r="I59" s="15" t="e">
        <f ca="1"/>
        <v>#N/A</v>
      </c>
      <c r="J59" s="15" t="e">
        <f ca="1"/>
        <v>#N/A</v>
      </c>
      <c r="K59" s="15" t="e">
        <f ca="1"/>
        <v>#N/A</v>
      </c>
      <c r="L59" s="15" t="e">
        <f ca="1"/>
        <v>#N/A</v>
      </c>
      <c r="M59" s="15" t="e">
        <f ca="1"/>
        <v>#N/A</v>
      </c>
      <c r="N59" s="15" t="e">
        <f ca="1"/>
        <v>#N/A</v>
      </c>
      <c r="O59" s="16" t="s">
        <v>343</v>
      </c>
      <c r="P59" s="16"/>
      <c r="Q59" s="16"/>
      <c r="U59" s="114" t="s">
        <v>75</v>
      </c>
      <c r="V59" s="82" t="s">
        <v>326</v>
      </c>
      <c r="W59" s="82" t="s">
        <v>184</v>
      </c>
      <c r="X59" s="82" t="s">
        <v>327</v>
      </c>
      <c r="Y59" s="82" t="s">
        <v>328</v>
      </c>
      <c r="Z59" s="82" t="s">
        <v>329</v>
      </c>
      <c r="AA59" s="82" t="s">
        <v>330</v>
      </c>
      <c r="AB59" s="82" t="s">
        <v>331</v>
      </c>
      <c r="AC59" s="82" t="s">
        <v>332</v>
      </c>
      <c r="AD59" s="82" t="s">
        <v>333</v>
      </c>
      <c r="AE59" s="82" t="s">
        <v>334</v>
      </c>
      <c r="AG59" s="16"/>
      <c r="AH59" s="16"/>
    </row>
    <row r="60" spans="1:34" ht="20.100000000000001" customHeight="1" x14ac:dyDescent="0.2">
      <c r="A60" s="5" t="str">
        <f>HYPERLINK("#'Acknowledgements'!A1", "Acknowledgements")</f>
        <v>Acknowledgements</v>
      </c>
      <c r="U60" s="15" t="str">
        <f>TEXT(X_Cell_Site_StartDate,"mmmm")</f>
        <v>January</v>
      </c>
      <c r="V60" s="15" t="e" cm="1">
        <f t="array" aca="1" ref="V60:AE71" ca="1">OFFSET(X_Table_PastureBeef_LiveweightGain_Method2,1,1,12,10)</f>
        <v>#N/A</v>
      </c>
      <c r="W60" s="15" t="e">
        <f ca="1"/>
        <v>#N/A</v>
      </c>
      <c r="X60" s="15" t="e">
        <f ca="1"/>
        <v>#N/A</v>
      </c>
      <c r="Y60" s="15" t="e">
        <f ca="1"/>
        <v>#N/A</v>
      </c>
      <c r="Z60" s="15" t="e">
        <f ca="1"/>
        <v>#N/A</v>
      </c>
      <c r="AA60" s="15" t="e">
        <f ca="1"/>
        <v>#N/A</v>
      </c>
      <c r="AB60" s="15" t="e">
        <f ca="1"/>
        <v>#N/A</v>
      </c>
      <c r="AC60" s="15" t="e">
        <f ca="1"/>
        <v>#N/A</v>
      </c>
      <c r="AD60" s="15" t="e">
        <f ca="1"/>
        <v>#N/A</v>
      </c>
      <c r="AE60" s="15" t="e">
        <f ca="1"/>
        <v>#N/A</v>
      </c>
      <c r="AF60" s="16" t="s">
        <v>344</v>
      </c>
      <c r="AG60" s="16"/>
      <c r="AH60" s="16"/>
    </row>
    <row r="61" spans="1:34" ht="20.100000000000001" customHeight="1" x14ac:dyDescent="0.2">
      <c r="D61" s="112" t="s">
        <v>398</v>
      </c>
      <c r="U61" s="15" t="str">
        <f>TEXT(EDATE(X_Cell_Site_StartDate,1), "mmmm")</f>
        <v>January</v>
      </c>
      <c r="V61" s="15" t="e">
        <f ca="1"/>
        <v>#N/A</v>
      </c>
      <c r="W61" s="15" t="e">
        <f ca="1"/>
        <v>#N/A</v>
      </c>
      <c r="X61" s="15" t="e">
        <f ca="1"/>
        <v>#N/A</v>
      </c>
      <c r="Y61" s="15" t="e">
        <f ca="1"/>
        <v>#N/A</v>
      </c>
      <c r="Z61" s="15" t="e">
        <f ca="1"/>
        <v>#N/A</v>
      </c>
      <c r="AA61" s="15" t="e">
        <f ca="1"/>
        <v>#N/A</v>
      </c>
      <c r="AB61" s="15" t="e">
        <f ca="1"/>
        <v>#N/A</v>
      </c>
      <c r="AC61" s="15" t="e">
        <f ca="1"/>
        <v>#N/A</v>
      </c>
      <c r="AD61" s="15" t="e">
        <f ca="1"/>
        <v>#N/A</v>
      </c>
      <c r="AE61" s="15" t="e">
        <f ca="1"/>
        <v>#N/A</v>
      </c>
      <c r="AF61" s="16" t="s">
        <v>344</v>
      </c>
      <c r="AG61" s="16"/>
      <c r="AH61" s="16"/>
    </row>
    <row r="62" spans="1:34" ht="20.100000000000001" customHeight="1" x14ac:dyDescent="0.2">
      <c r="D62" s="113" t="s">
        <v>399</v>
      </c>
      <c r="U62" s="15" t="str">
        <f>TEXT(EDATE(X_Cell_Site_StartDate,2), "mmmm")</f>
        <v>February</v>
      </c>
      <c r="V62" s="15" t="e">
        <f ca="1"/>
        <v>#N/A</v>
      </c>
      <c r="W62" s="15" t="e">
        <f ca="1"/>
        <v>#N/A</v>
      </c>
      <c r="X62" s="15" t="e">
        <f ca="1"/>
        <v>#N/A</v>
      </c>
      <c r="Y62" s="15" t="e">
        <f ca="1"/>
        <v>#N/A</v>
      </c>
      <c r="Z62" s="15" t="e">
        <f ca="1"/>
        <v>#N/A</v>
      </c>
      <c r="AA62" s="15" t="e">
        <f ca="1"/>
        <v>#N/A</v>
      </c>
      <c r="AB62" s="15" t="e">
        <f ca="1"/>
        <v>#N/A</v>
      </c>
      <c r="AC62" s="15" t="e">
        <f ca="1"/>
        <v>#N/A</v>
      </c>
      <c r="AD62" s="15" t="e">
        <f ca="1"/>
        <v>#N/A</v>
      </c>
      <c r="AE62" s="15" t="e">
        <f ca="1"/>
        <v>#N/A</v>
      </c>
      <c r="AF62" s="16" t="s">
        <v>344</v>
      </c>
      <c r="AG62" s="16"/>
      <c r="AH62" s="16"/>
    </row>
    <row r="63" spans="1:34" ht="20.100000000000001" customHeight="1" x14ac:dyDescent="0.2">
      <c r="D63" s="114" t="s">
        <v>76</v>
      </c>
      <c r="E63" s="114" t="s">
        <v>326</v>
      </c>
      <c r="F63" s="114" t="s">
        <v>184</v>
      </c>
      <c r="G63" s="114" t="s">
        <v>327</v>
      </c>
      <c r="H63" s="114" t="s">
        <v>328</v>
      </c>
      <c r="I63" s="114" t="s">
        <v>329</v>
      </c>
      <c r="J63" s="114" t="s">
        <v>330</v>
      </c>
      <c r="K63" s="114" t="s">
        <v>331</v>
      </c>
      <c r="L63" s="114" t="s">
        <v>332</v>
      </c>
      <c r="M63" s="114" t="s">
        <v>333</v>
      </c>
      <c r="N63" s="114" t="s">
        <v>334</v>
      </c>
      <c r="U63" s="15" t="str">
        <f>TEXT(EDATE(X_Cell_Site_StartDate,3), "mmmm")</f>
        <v>March</v>
      </c>
      <c r="V63" s="15" t="e">
        <f ca="1"/>
        <v>#N/A</v>
      </c>
      <c r="W63" s="15" t="e">
        <f ca="1"/>
        <v>#N/A</v>
      </c>
      <c r="X63" s="15" t="e">
        <f ca="1"/>
        <v>#N/A</v>
      </c>
      <c r="Y63" s="15" t="e">
        <f ca="1"/>
        <v>#N/A</v>
      </c>
      <c r="Z63" s="15" t="e">
        <f ca="1"/>
        <v>#N/A</v>
      </c>
      <c r="AA63" s="15" t="e">
        <f ca="1"/>
        <v>#N/A</v>
      </c>
      <c r="AB63" s="15" t="e">
        <f ca="1"/>
        <v>#N/A</v>
      </c>
      <c r="AC63" s="15" t="e">
        <f ca="1"/>
        <v>#N/A</v>
      </c>
      <c r="AD63" s="15" t="e">
        <f ca="1"/>
        <v>#N/A</v>
      </c>
      <c r="AE63" s="15" t="e">
        <f ca="1"/>
        <v>#N/A</v>
      </c>
      <c r="AF63" s="16" t="s">
        <v>344</v>
      </c>
      <c r="AG63" s="16"/>
      <c r="AH63" s="16"/>
    </row>
    <row r="64" spans="1:34" ht="20.100000000000001" customHeight="1" x14ac:dyDescent="0.2">
      <c r="D64" s="15" t="s">
        <v>335</v>
      </c>
      <c r="E64" s="15" t="e">
        <f ca="1">((1.185 + 0.00454 * E48 - 0.0000026 * E48 ^ 2 + 0.315 * E56) ^ 2 * G26)</f>
        <v>#N/A</v>
      </c>
      <c r="F64" s="15" t="e">
        <f ca="1">((1.185 + 0.00454 * F48 - 0.0000026 * F48 ^ 2 + 0.315 * F56) ^ 2 * H26)</f>
        <v>#N/A</v>
      </c>
      <c r="G64" s="15" t="e">
        <f ca="1">((1.185 + 0.00454 * G48 - 0.0000026 * G48 ^ 2 + 0.315 * G56) ^ 2 * I26)</f>
        <v>#N/A</v>
      </c>
      <c r="H64" s="15" t="e">
        <f ca="1">((1.185 + 0.00454 * H48 - 0.0000026 * H48 ^ 2 + 0.315 * H56) ^ 2 * J26)</f>
        <v>#N/A</v>
      </c>
      <c r="I64" s="15" t="e">
        <f ca="1">((1.185 + 0.00454 * I48 - 0.0000026 * I48 ^ 2 + 0.315 * I56) ^ 2 * K26)</f>
        <v>#N/A</v>
      </c>
      <c r="J64" s="15" t="e">
        <f ca="1">((1.185 + 0.00454 * J48 - 0.0000026 * J48 ^ 2 + 0.315 * J56) ^ 2 * L26)</f>
        <v>#N/A</v>
      </c>
      <c r="K64" s="15" t="e">
        <f ca="1">((1.185 + 0.00454 * K48 - 0.0000026 * K48 ^ 2 + 0.315 * K56) ^ 2 * M26)</f>
        <v>#N/A</v>
      </c>
      <c r="L64" s="15" t="e">
        <f ca="1">((1.185 + 0.00454 * L48 - 0.0000026 * L48 ^ 2 + 0.315 * L56) ^ 2 * N26)</f>
        <v>#N/A</v>
      </c>
      <c r="M64" s="15" t="e">
        <f ca="1">((1.185 + 0.00454 * M48 - 0.0000026 * M48 ^ 2 + 0.315 * M56) ^ 2 * O26)</f>
        <v>#N/A</v>
      </c>
      <c r="N64" s="15" t="e">
        <f ca="1">((1.185 + 0.00454 * N48 - 0.0000026 * N48 ^ 2 + 0.315 * N56) ^ 2 * P26)</f>
        <v>#N/A</v>
      </c>
      <c r="O64" s="16" t="str">
        <f>$E$39</f>
        <v>kg DM/head/day</v>
      </c>
      <c r="P64" s="16"/>
      <c r="Q64" s="16"/>
      <c r="U64" s="15" t="str">
        <f>TEXT(EDATE(X_Cell_Site_StartDate,4), "mmmm")</f>
        <v>April</v>
      </c>
      <c r="V64" s="15" t="e">
        <f ca="1"/>
        <v>#N/A</v>
      </c>
      <c r="W64" s="15" t="e">
        <f ca="1"/>
        <v>#N/A</v>
      </c>
      <c r="X64" s="15" t="e">
        <f ca="1"/>
        <v>#N/A</v>
      </c>
      <c r="Y64" s="15" t="e">
        <f ca="1"/>
        <v>#N/A</v>
      </c>
      <c r="Z64" s="15" t="e">
        <f ca="1"/>
        <v>#N/A</v>
      </c>
      <c r="AA64" s="15" t="e">
        <f ca="1"/>
        <v>#N/A</v>
      </c>
      <c r="AB64" s="15" t="e">
        <f ca="1"/>
        <v>#N/A</v>
      </c>
      <c r="AC64" s="15" t="e">
        <f ca="1"/>
        <v>#N/A</v>
      </c>
      <c r="AD64" s="15" t="e">
        <f ca="1"/>
        <v>#N/A</v>
      </c>
      <c r="AE64" s="15" t="e">
        <f ca="1"/>
        <v>#N/A</v>
      </c>
      <c r="AF64" s="16" t="s">
        <v>344</v>
      </c>
    </row>
    <row r="65" spans="3:34" ht="20.100000000000001" customHeight="1" x14ac:dyDescent="0.2">
      <c r="D65" s="15" t="s">
        <v>336</v>
      </c>
      <c r="E65" s="15" t="e">
        <f ca="1">((1.185 + 0.00454 * E49 - 0.0000026 * E49 ^ 2 + 0.315 * E57) ^ 2 * G27)</f>
        <v>#N/A</v>
      </c>
      <c r="F65" s="15" t="e">
        <f ca="1">((1.185 + 0.00454 * F49 - 0.0000026 * F49 ^ 2 + 0.315 * F57) ^ 2 * H27)</f>
        <v>#N/A</v>
      </c>
      <c r="G65" s="15" t="e">
        <f ca="1">((1.185 + 0.00454 * G49 - 0.0000026 * G49 ^ 2 + 0.315 * G57) ^ 2 * I27)</f>
        <v>#N/A</v>
      </c>
      <c r="H65" s="15" t="e">
        <f ca="1">((1.185 + 0.00454 * H49 - 0.0000026 * H49 ^ 2 + 0.315 * H57) ^ 2 * J27)</f>
        <v>#N/A</v>
      </c>
      <c r="I65" s="15" t="e">
        <f ca="1">((1.185 + 0.00454 * I49 - 0.0000026 * I49 ^ 2 + 0.315 * I57) ^ 2 * K27)</f>
        <v>#N/A</v>
      </c>
      <c r="J65" s="15" t="e">
        <f ca="1">((1.185 + 0.00454 * J49 - 0.0000026 * J49 ^ 2 + 0.315 * J57) ^ 2 * L27)</f>
        <v>#N/A</v>
      </c>
      <c r="K65" s="15" t="e">
        <f ca="1">((1.185 + 0.00454 * K49 - 0.0000026 * K49 ^ 2 + 0.315 * K57) ^ 2 * M27)</f>
        <v>#N/A</v>
      </c>
      <c r="L65" s="15" t="e">
        <f ca="1">((1.185 + 0.00454 * L49 - 0.0000026 * L49 ^ 2 + 0.315 * L57) ^ 2 * N27)</f>
        <v>#N/A</v>
      </c>
      <c r="M65" s="15" t="e">
        <f ca="1">((1.185 + 0.00454 * M49 - 0.0000026 * M49 ^ 2 + 0.315 * M57) ^ 2 * O27)</f>
        <v>#N/A</v>
      </c>
      <c r="N65" s="15" t="e">
        <f ca="1">((1.185 + 0.00454 * N49 - 0.0000026 * N49 ^ 2 + 0.315 * N57) ^ 2 * P27)</f>
        <v>#N/A</v>
      </c>
      <c r="O65" s="16" t="str">
        <f>$E$39</f>
        <v>kg DM/head/day</v>
      </c>
      <c r="P65" s="16"/>
      <c r="Q65" s="16"/>
      <c r="U65" s="15" t="str">
        <f>TEXT(EDATE(X_Cell_Site_StartDate,5), "mmmm")</f>
        <v>May</v>
      </c>
      <c r="V65" s="15" t="e">
        <f ca="1"/>
        <v>#N/A</v>
      </c>
      <c r="W65" s="15" t="e">
        <f ca="1"/>
        <v>#N/A</v>
      </c>
      <c r="X65" s="15" t="e">
        <f ca="1"/>
        <v>#N/A</v>
      </c>
      <c r="Y65" s="15" t="e">
        <f ca="1"/>
        <v>#N/A</v>
      </c>
      <c r="Z65" s="15" t="e">
        <f ca="1"/>
        <v>#N/A</v>
      </c>
      <c r="AA65" s="15" t="e">
        <f ca="1"/>
        <v>#N/A</v>
      </c>
      <c r="AB65" s="15" t="e">
        <f ca="1"/>
        <v>#N/A</v>
      </c>
      <c r="AC65" s="15" t="e">
        <f ca="1"/>
        <v>#N/A</v>
      </c>
      <c r="AD65" s="15" t="e">
        <f ca="1"/>
        <v>#N/A</v>
      </c>
      <c r="AE65" s="15" t="e">
        <f ca="1"/>
        <v>#N/A</v>
      </c>
      <c r="AF65" s="16" t="s">
        <v>344</v>
      </c>
    </row>
    <row r="66" spans="3:34" ht="20.100000000000001" customHeight="1" x14ac:dyDescent="0.2">
      <c r="D66" s="15" t="s">
        <v>337</v>
      </c>
      <c r="E66" s="15" t="e">
        <f ca="1">((1.185 + 0.00454 * E50 - 0.0000026 * E50 ^ 2 + 0.315 * E58) ^ 2 * G28)</f>
        <v>#N/A</v>
      </c>
      <c r="F66" s="15" t="e">
        <f ca="1">((1.185 + 0.00454 * F50 - 0.0000026 * F50 ^ 2 + 0.315 * F58) ^ 2 * H28)</f>
        <v>#N/A</v>
      </c>
      <c r="G66" s="15" t="e">
        <f ca="1">((1.185 + 0.00454 * G50 - 0.0000026 * G50 ^ 2 + 0.315 * G58) ^ 2 * I28)</f>
        <v>#N/A</v>
      </c>
      <c r="H66" s="15" t="e">
        <f ca="1">((1.185 + 0.00454 * H50 - 0.0000026 * H50 ^ 2 + 0.315 * H58) ^ 2 * J28)</f>
        <v>#N/A</v>
      </c>
      <c r="I66" s="15" t="e">
        <f ca="1">((1.185 + 0.00454 * I50 - 0.0000026 * I50 ^ 2 + 0.315 * I58) ^ 2 * K28)</f>
        <v>#N/A</v>
      </c>
      <c r="J66" s="15" t="e">
        <f ca="1">((1.185 + 0.00454 * J50 - 0.0000026 * J50 ^ 2 + 0.315 * J58) ^ 2 * L28)</f>
        <v>#N/A</v>
      </c>
      <c r="K66" s="15" t="e">
        <f ca="1">((1.185 + 0.00454 * K50 - 0.0000026 * K50 ^ 2 + 0.315 * K58) ^ 2 * M28)</f>
        <v>#N/A</v>
      </c>
      <c r="L66" s="15" t="e">
        <f ca="1">((1.185 + 0.00454 * L50 - 0.0000026 * L50 ^ 2 + 0.315 * L58) ^ 2 * N28)</f>
        <v>#N/A</v>
      </c>
      <c r="M66" s="15" t="e">
        <f ca="1">((1.185 + 0.00454 * M50 - 0.0000026 * M50 ^ 2 + 0.315 * M58) ^ 2 * O28)</f>
        <v>#N/A</v>
      </c>
      <c r="N66" s="15" t="e">
        <f ca="1">((1.185 + 0.00454 * N50 - 0.0000026 * N50 ^ 2 + 0.315 * N58) ^ 2 * P28)</f>
        <v>#N/A</v>
      </c>
      <c r="O66" s="16" t="str">
        <f>$E$39</f>
        <v>kg DM/head/day</v>
      </c>
      <c r="P66" s="16"/>
      <c r="Q66" s="16"/>
      <c r="U66" s="15" t="str">
        <f>TEXT(EDATE(X_Cell_Site_StartDate,6), "mmmm")</f>
        <v>June</v>
      </c>
      <c r="V66" s="15" t="e">
        <f ca="1"/>
        <v>#N/A</v>
      </c>
      <c r="W66" s="15" t="e">
        <f ca="1"/>
        <v>#N/A</v>
      </c>
      <c r="X66" s="15" t="e">
        <f ca="1"/>
        <v>#N/A</v>
      </c>
      <c r="Y66" s="15" t="e">
        <f ca="1"/>
        <v>#N/A</v>
      </c>
      <c r="Z66" s="15" t="e">
        <f ca="1"/>
        <v>#N/A</v>
      </c>
      <c r="AA66" s="15" t="e">
        <f ca="1"/>
        <v>#N/A</v>
      </c>
      <c r="AB66" s="15" t="e">
        <f ca="1"/>
        <v>#N/A</v>
      </c>
      <c r="AC66" s="15" t="e">
        <f ca="1"/>
        <v>#N/A</v>
      </c>
      <c r="AD66" s="15" t="e">
        <f ca="1"/>
        <v>#N/A</v>
      </c>
      <c r="AE66" s="15" t="e">
        <f ca="1"/>
        <v>#N/A</v>
      </c>
      <c r="AF66" s="16" t="s">
        <v>344</v>
      </c>
    </row>
    <row r="67" spans="3:34" ht="20.100000000000001" customHeight="1" x14ac:dyDescent="0.2">
      <c r="D67" s="15" t="s">
        <v>338</v>
      </c>
      <c r="E67" s="15" t="e">
        <f ca="1">((1.185 + 0.00454 * E51 - 0.0000026 * E51 ^ 2 + 0.315 * E59) ^ 2 * G29)</f>
        <v>#N/A</v>
      </c>
      <c r="F67" s="15" t="e">
        <f ca="1">((1.185 + 0.00454 * F51 - 0.0000026 * F51 ^ 2 + 0.315 * F59) ^ 2 * H29)</f>
        <v>#N/A</v>
      </c>
      <c r="G67" s="15" t="e">
        <f ca="1">((1.185 + 0.00454 * G51 - 0.0000026 * G51 ^ 2 + 0.315 * G59) ^ 2 * I29)</f>
        <v>#N/A</v>
      </c>
      <c r="H67" s="15" t="e">
        <f ca="1">((1.185 + 0.00454 * H51 - 0.0000026 * H51 ^ 2 + 0.315 * H59) ^ 2 * J29)</f>
        <v>#N/A</v>
      </c>
      <c r="I67" s="15" t="e">
        <f ca="1">((1.185 + 0.00454 * I51 - 0.0000026 * I51 ^ 2 + 0.315 * I59) ^ 2 * K29)</f>
        <v>#N/A</v>
      </c>
      <c r="J67" s="15" t="e">
        <f ca="1">((1.185 + 0.00454 * J51 - 0.0000026 * J51 ^ 2 + 0.315 * J59) ^ 2 * L29)</f>
        <v>#N/A</v>
      </c>
      <c r="K67" s="15" t="e">
        <f ca="1">((1.185 + 0.00454 * K51 - 0.0000026 * K51 ^ 2 + 0.315 * K59) ^ 2 * M29)</f>
        <v>#N/A</v>
      </c>
      <c r="L67" s="15" t="e">
        <f ca="1">((1.185 + 0.00454 * L51 - 0.0000026 * L51 ^ 2 + 0.315 * L59) ^ 2 * N29)</f>
        <v>#N/A</v>
      </c>
      <c r="M67" s="15" t="e">
        <f ca="1">((1.185 + 0.00454 * M51 - 0.0000026 * M51 ^ 2 + 0.315 * M59) ^ 2 * O29)</f>
        <v>#N/A</v>
      </c>
      <c r="N67" s="15" t="e">
        <f ca="1">((1.185 + 0.00454 * N51 - 0.0000026 * N51 ^ 2 + 0.315 * N59) ^ 2 * P29)</f>
        <v>#N/A</v>
      </c>
      <c r="O67" s="16" t="str">
        <f>$E$39</f>
        <v>kg DM/head/day</v>
      </c>
      <c r="P67" s="16"/>
      <c r="Q67" s="16"/>
      <c r="U67" s="15" t="str">
        <f>TEXT(EDATE(X_Cell_Site_StartDate,7), "mmmm")</f>
        <v>July</v>
      </c>
      <c r="V67" s="15" t="e">
        <f ca="1"/>
        <v>#N/A</v>
      </c>
      <c r="W67" s="15" t="e">
        <f ca="1"/>
        <v>#N/A</v>
      </c>
      <c r="X67" s="15" t="e">
        <f ca="1"/>
        <v>#N/A</v>
      </c>
      <c r="Y67" s="15" t="e">
        <f ca="1"/>
        <v>#N/A</v>
      </c>
      <c r="Z67" s="15" t="e">
        <f ca="1"/>
        <v>#N/A</v>
      </c>
      <c r="AA67" s="15" t="e">
        <f ca="1"/>
        <v>#N/A</v>
      </c>
      <c r="AB67" s="15" t="e">
        <f ca="1"/>
        <v>#N/A</v>
      </c>
      <c r="AC67" s="15" t="e">
        <f ca="1"/>
        <v>#N/A</v>
      </c>
      <c r="AD67" s="15" t="e">
        <f ca="1"/>
        <v>#N/A</v>
      </c>
      <c r="AE67" s="15" t="e">
        <f ca="1"/>
        <v>#N/A</v>
      </c>
      <c r="AF67" s="16" t="s">
        <v>344</v>
      </c>
    </row>
    <row r="68" spans="3:34" ht="20.100000000000001" customHeight="1" x14ac:dyDescent="0.2">
      <c r="U68" s="15" t="str">
        <f>TEXT(EDATE(X_Cell_Site_StartDate,8), "mmmm")</f>
        <v>August</v>
      </c>
      <c r="V68" s="15" t="e">
        <f ca="1"/>
        <v>#N/A</v>
      </c>
      <c r="W68" s="15" t="e">
        <f ca="1"/>
        <v>#N/A</v>
      </c>
      <c r="X68" s="15" t="e">
        <f ca="1"/>
        <v>#N/A</v>
      </c>
      <c r="Y68" s="15" t="e">
        <f ca="1"/>
        <v>#N/A</v>
      </c>
      <c r="Z68" s="15" t="e">
        <f ca="1"/>
        <v>#N/A</v>
      </c>
      <c r="AA68" s="15" t="e">
        <f ca="1"/>
        <v>#N/A</v>
      </c>
      <c r="AB68" s="15" t="e">
        <f ca="1"/>
        <v>#N/A</v>
      </c>
      <c r="AC68" s="15" t="e">
        <f ca="1"/>
        <v>#N/A</v>
      </c>
      <c r="AD68" s="15" t="e">
        <f ca="1"/>
        <v>#N/A</v>
      </c>
      <c r="AE68" s="15" t="e">
        <f ca="1"/>
        <v>#N/A</v>
      </c>
      <c r="AF68" s="16" t="s">
        <v>344</v>
      </c>
      <c r="AG68" s="16"/>
      <c r="AH68" s="16"/>
    </row>
    <row r="69" spans="3:34" ht="20.100000000000001" customHeight="1" x14ac:dyDescent="0.2">
      <c r="U69" s="15" t="str">
        <f>TEXT(EDATE(X_Cell_Site_StartDate,9), "mmmm")</f>
        <v>September</v>
      </c>
      <c r="V69" s="15" t="e">
        <f ca="1"/>
        <v>#N/A</v>
      </c>
      <c r="W69" s="15" t="e">
        <f ca="1"/>
        <v>#N/A</v>
      </c>
      <c r="X69" s="15" t="e">
        <f ca="1"/>
        <v>#N/A</v>
      </c>
      <c r="Y69" s="15" t="e">
        <f ca="1"/>
        <v>#N/A</v>
      </c>
      <c r="Z69" s="15" t="e">
        <f ca="1"/>
        <v>#N/A</v>
      </c>
      <c r="AA69" s="15" t="e">
        <f ca="1"/>
        <v>#N/A</v>
      </c>
      <c r="AB69" s="15" t="e">
        <f ca="1"/>
        <v>#N/A</v>
      </c>
      <c r="AC69" s="15" t="e">
        <f ca="1"/>
        <v>#N/A</v>
      </c>
      <c r="AD69" s="15" t="e">
        <f ca="1"/>
        <v>#N/A</v>
      </c>
      <c r="AE69" s="15" t="e">
        <f ca="1"/>
        <v>#N/A</v>
      </c>
      <c r="AF69" s="16" t="s">
        <v>344</v>
      </c>
      <c r="AG69" s="16"/>
      <c r="AH69" s="16"/>
    </row>
    <row r="70" spans="3:34" ht="20.100000000000001" customHeight="1" x14ac:dyDescent="0.2">
      <c r="C70" s="87"/>
      <c r="D70" s="87"/>
      <c r="E70" s="87"/>
      <c r="F70" s="87"/>
      <c r="G70" s="87"/>
      <c r="H70" s="87"/>
      <c r="I70" s="87"/>
      <c r="J70" s="87"/>
      <c r="K70" s="87"/>
      <c r="L70" s="87"/>
      <c r="M70" s="87"/>
      <c r="N70" s="87"/>
      <c r="O70" s="87"/>
      <c r="P70" s="87"/>
      <c r="Q70" s="87"/>
      <c r="R70" s="87"/>
      <c r="U70" s="15" t="str">
        <f>TEXT(EDATE(X_Cell_Site_StartDate,10), "mmmm")</f>
        <v>October</v>
      </c>
      <c r="V70" s="15" t="e">
        <f ca="1"/>
        <v>#N/A</v>
      </c>
      <c r="W70" s="15" t="e">
        <f ca="1"/>
        <v>#N/A</v>
      </c>
      <c r="X70" s="15" t="e">
        <f ca="1"/>
        <v>#N/A</v>
      </c>
      <c r="Y70" s="15" t="e">
        <f ca="1"/>
        <v>#N/A</v>
      </c>
      <c r="Z70" s="15" t="e">
        <f ca="1"/>
        <v>#N/A</v>
      </c>
      <c r="AA70" s="15" t="e">
        <f ca="1"/>
        <v>#N/A</v>
      </c>
      <c r="AB70" s="15" t="e">
        <f ca="1"/>
        <v>#N/A</v>
      </c>
      <c r="AC70" s="15" t="e">
        <f ca="1"/>
        <v>#N/A</v>
      </c>
      <c r="AD70" s="15" t="e">
        <f ca="1"/>
        <v>#N/A</v>
      </c>
      <c r="AE70" s="15" t="e">
        <f ca="1"/>
        <v>#N/A</v>
      </c>
      <c r="AF70" s="16" t="s">
        <v>344</v>
      </c>
      <c r="AG70" s="16"/>
      <c r="AH70" s="16"/>
    </row>
    <row r="71" spans="3:34" ht="20.100000000000001" customHeight="1" x14ac:dyDescent="0.2">
      <c r="D71" s="2" t="s">
        <v>1232</v>
      </c>
      <c r="U71" s="15" t="str">
        <f>TEXT(EDATE(X_Cell_Site_StartDate,11), "mmmm")</f>
        <v>November</v>
      </c>
      <c r="V71" s="15" t="e">
        <f ca="1"/>
        <v>#N/A</v>
      </c>
      <c r="W71" s="15" t="e">
        <f ca="1"/>
        <v>#N/A</v>
      </c>
      <c r="X71" s="15" t="e">
        <f ca="1"/>
        <v>#N/A</v>
      </c>
      <c r="Y71" s="15" t="e">
        <f ca="1"/>
        <v>#N/A</v>
      </c>
      <c r="Z71" s="15" t="e">
        <f ca="1"/>
        <v>#N/A</v>
      </c>
      <c r="AA71" s="15" t="e">
        <f ca="1"/>
        <v>#N/A</v>
      </c>
      <c r="AB71" s="15" t="e">
        <f ca="1"/>
        <v>#N/A</v>
      </c>
      <c r="AC71" s="15" t="e">
        <f ca="1"/>
        <v>#N/A</v>
      </c>
      <c r="AD71" s="15" t="e">
        <f ca="1"/>
        <v>#N/A</v>
      </c>
      <c r="AE71" s="15" t="e">
        <f ca="1"/>
        <v>#N/A</v>
      </c>
      <c r="AF71" s="16" t="s">
        <v>344</v>
      </c>
      <c r="AG71" s="16"/>
      <c r="AH71" s="16"/>
    </row>
    <row r="72" spans="3:34" ht="20.100000000000001" customHeight="1" x14ac:dyDescent="0.2">
      <c r="D72" s="17" t="s">
        <v>1233</v>
      </c>
      <c r="AG72" s="16"/>
      <c r="AH72" s="16"/>
    </row>
    <row r="73" spans="3:34" ht="20.100000000000001" customHeight="1" x14ac:dyDescent="0.2">
      <c r="D73" s="103"/>
      <c r="E73" s="103"/>
      <c r="U73" s="112" t="s">
        <v>396</v>
      </c>
      <c r="AG73" s="16"/>
      <c r="AH73" s="16"/>
    </row>
    <row r="74" spans="3:34" ht="20.100000000000001" customHeight="1" x14ac:dyDescent="0.2">
      <c r="U74" s="113" t="s">
        <v>397</v>
      </c>
      <c r="AG74" s="16"/>
      <c r="AH74" s="16"/>
    </row>
    <row r="75" spans="3:34" ht="20.100000000000001" customHeight="1" x14ac:dyDescent="0.2">
      <c r="U75" s="114" t="s">
        <v>75</v>
      </c>
      <c r="V75" s="114" t="s">
        <v>326</v>
      </c>
      <c r="W75" s="114" t="s">
        <v>184</v>
      </c>
      <c r="X75" s="114" t="s">
        <v>327</v>
      </c>
      <c r="Y75" s="114" t="s">
        <v>328</v>
      </c>
      <c r="Z75" s="114" t="s">
        <v>329</v>
      </c>
      <c r="AA75" s="114" t="s">
        <v>330</v>
      </c>
      <c r="AB75" s="114" t="s">
        <v>331</v>
      </c>
      <c r="AC75" s="114" t="s">
        <v>332</v>
      </c>
      <c r="AD75" s="114" t="s">
        <v>333</v>
      </c>
      <c r="AE75" s="114" t="s">
        <v>334</v>
      </c>
      <c r="AG75" s="16"/>
      <c r="AH75" s="16"/>
    </row>
    <row r="76" spans="3:34" ht="20.100000000000001" customHeight="1" x14ac:dyDescent="0.2">
      <c r="U76" s="15" t="str">
        <f>TEXT(X_Cell_Site_StartDate,"mmmm")</f>
        <v>January</v>
      </c>
      <c r="V76" s="15" t="e">
        <f ca="1">((1.185 + 0.00454 * V44 - 0.0000026 * V44 ^ 2 + 0.315 * V60) ^ 2 * X28)</f>
        <v>#N/A</v>
      </c>
      <c r="W76" s="15" t="e">
        <f ca="1">((1.185 + 0.00454 * W44 - 0.0000026 * W44 ^ 2 + 0.315 * W60) ^ 2 * Y28)</f>
        <v>#N/A</v>
      </c>
      <c r="X76" s="15" t="e">
        <f ca="1">((1.185 + 0.00454 * X44 - 0.0000026 * X44 ^ 2 + 0.315 * X60) ^ 2 * Z28)</f>
        <v>#N/A</v>
      </c>
      <c r="Y76" s="15" t="e">
        <f ca="1">((1.185 + 0.00454 * Y44 - 0.0000026 * Y44 ^ 2 + 0.315 * Y60) ^ 2 * AA28)</f>
        <v>#N/A</v>
      </c>
      <c r="Z76" s="15" t="e">
        <f ca="1">((1.185 + 0.00454 * Z44 - 0.0000026 * Z44 ^ 2 + 0.315 * Z60) ^ 2 * AB28)</f>
        <v>#N/A</v>
      </c>
      <c r="AA76" s="15" t="e">
        <f ca="1">((1.185 + 0.00454 * AA44 - 0.0000026 * AA44 ^ 2 + 0.315 * AA60) ^ 2 * AC28)</f>
        <v>#N/A</v>
      </c>
      <c r="AB76" s="15" t="e">
        <f ca="1">((1.185 + 0.00454 * AB44 - 0.0000026 * AB44 ^ 2 + 0.315 * AB60) ^ 2 * AD28)</f>
        <v>#N/A</v>
      </c>
      <c r="AC76" s="15" t="e">
        <f ca="1">((1.185 + 0.00454 * AC44 - 0.0000026 * AC44 ^ 2 + 0.315 * AC60) ^ 2 * AE28)</f>
        <v>#N/A</v>
      </c>
      <c r="AD76" s="15" t="e">
        <f ca="1">((1.185 + 0.00454 * AD44 - 0.0000026 * AD44 ^ 2 + 0.315 * AD60) ^ 2 * AF28)</f>
        <v>#N/A</v>
      </c>
      <c r="AE76" s="15" t="e">
        <f ca="1">((1.185 + 0.00454 * AE44 - 0.0000026 * AE44 ^ 2 + 0.315 * AE60) ^ 2 * AG28)</f>
        <v>#N/A</v>
      </c>
      <c r="AF76" s="16" t="str">
        <f t="shared" ref="AF76:AF87" si="2">$E$39</f>
        <v>kg DM/head/day</v>
      </c>
      <c r="AG76" s="16"/>
      <c r="AH76" s="16"/>
    </row>
    <row r="77" spans="3:34" ht="20.100000000000001" customHeight="1" x14ac:dyDescent="0.2">
      <c r="D77" s="77" t="s">
        <v>373</v>
      </c>
      <c r="E77" s="1" t="s">
        <v>1234</v>
      </c>
      <c r="U77" s="15" t="str">
        <f>TEXT(EDATE(X_Cell_Site_StartDate,1), "mmmm")</f>
        <v>January</v>
      </c>
      <c r="V77" s="15" t="e">
        <f ca="1">((1.185 + 0.00454 * V45 - 0.0000026 * V45 ^ 2 + 0.315 * V61) ^ 2 * X29)</f>
        <v>#N/A</v>
      </c>
      <c r="W77" s="15" t="e">
        <f ca="1">((1.185 + 0.00454 * W45 - 0.0000026 * W45 ^ 2 + 0.315 * W61) ^ 2 * Y29)</f>
        <v>#N/A</v>
      </c>
      <c r="X77" s="15" t="e">
        <f ca="1">((1.185 + 0.00454 * X45 - 0.0000026 * X45 ^ 2 + 0.315 * X61) ^ 2 * Z29)</f>
        <v>#N/A</v>
      </c>
      <c r="Y77" s="15" t="e">
        <f ca="1">((1.185 + 0.00454 * Y45 - 0.0000026 * Y45 ^ 2 + 0.315 * Y61) ^ 2 * AA29)</f>
        <v>#N/A</v>
      </c>
      <c r="Z77" s="15" t="e">
        <f ca="1">((1.185 + 0.00454 * Z45 - 0.0000026 * Z45 ^ 2 + 0.315 * Z61) ^ 2 * AB29)</f>
        <v>#N/A</v>
      </c>
      <c r="AA77" s="15" t="e">
        <f ca="1">((1.185 + 0.00454 * AA45 - 0.0000026 * AA45 ^ 2 + 0.315 * AA61) ^ 2 * AC29)</f>
        <v>#N/A</v>
      </c>
      <c r="AB77" s="15" t="e">
        <f ca="1">((1.185 + 0.00454 * AB45 - 0.0000026 * AB45 ^ 2 + 0.315 * AB61) ^ 2 * AD29)</f>
        <v>#N/A</v>
      </c>
      <c r="AC77" s="15" t="e">
        <f ca="1">((1.185 + 0.00454 * AC45 - 0.0000026 * AC45 ^ 2 + 0.315 * AC61) ^ 2 * AE29)</f>
        <v>#N/A</v>
      </c>
      <c r="AD77" s="15" t="e">
        <f ca="1">((1.185 + 0.00454 * AD45 - 0.0000026 * AD45 ^ 2 + 0.315 * AD61) ^ 2 * AF29)</f>
        <v>#N/A</v>
      </c>
      <c r="AE77" s="15" t="e">
        <f ca="1">((1.185 + 0.00454 * AE45 - 0.0000026 * AE45 ^ 2 + 0.315 * AE61) ^ 2 * AG29)</f>
        <v>#N/A</v>
      </c>
      <c r="AF77" s="16" t="str">
        <f t="shared" si="2"/>
        <v>kg DM/head/day</v>
      </c>
      <c r="AG77" s="16"/>
      <c r="AH77" s="16"/>
    </row>
    <row r="78" spans="3:34" ht="20.100000000000001" customHeight="1" x14ac:dyDescent="0.2">
      <c r="D78" s="77" t="s">
        <v>121</v>
      </c>
      <c r="E78" s="9" t="s">
        <v>1235</v>
      </c>
      <c r="U78" s="15" t="str">
        <f>TEXT(EDATE(X_Cell_Site_StartDate,2), "mmmm")</f>
        <v>February</v>
      </c>
      <c r="V78" s="15" t="e">
        <f ca="1">((1.185 + 0.00454 * V46 - 0.0000026 * V46 ^ 2 + 0.315 * V62) ^ 2 * X30)</f>
        <v>#N/A</v>
      </c>
      <c r="W78" s="15" t="e">
        <f ca="1">((1.185 + 0.00454 * W46 - 0.0000026 * W46 ^ 2 + 0.315 * W62) ^ 2 * Y30)</f>
        <v>#N/A</v>
      </c>
      <c r="X78" s="15" t="e">
        <f ca="1">((1.185 + 0.00454 * X46 - 0.0000026 * X46 ^ 2 + 0.315 * X62) ^ 2 * Z30)</f>
        <v>#N/A</v>
      </c>
      <c r="Y78" s="15" t="e">
        <f ca="1">((1.185 + 0.00454 * Y46 - 0.0000026 * Y46 ^ 2 + 0.315 * Y62) ^ 2 * AA30)</f>
        <v>#N/A</v>
      </c>
      <c r="Z78" s="15" t="e">
        <f ca="1">((1.185 + 0.00454 * Z46 - 0.0000026 * Z46 ^ 2 + 0.315 * Z62) ^ 2 * AB30)</f>
        <v>#N/A</v>
      </c>
      <c r="AA78" s="15" t="e">
        <f ca="1">((1.185 + 0.00454 * AA46 - 0.0000026 * AA46 ^ 2 + 0.315 * AA62) ^ 2 * AC30)</f>
        <v>#N/A</v>
      </c>
      <c r="AB78" s="15" t="e">
        <f ca="1">((1.185 + 0.00454 * AB46 - 0.0000026 * AB46 ^ 2 + 0.315 * AB62) ^ 2 * AD30)</f>
        <v>#N/A</v>
      </c>
      <c r="AC78" s="15" t="e">
        <f ca="1">((1.185 + 0.00454 * AC46 - 0.0000026 * AC46 ^ 2 + 0.315 * AC62) ^ 2 * AE30)</f>
        <v>#N/A</v>
      </c>
      <c r="AD78" s="15" t="e">
        <f ca="1">((1.185 + 0.00454 * AD46 - 0.0000026 * AD46 ^ 2 + 0.315 * AD62) ^ 2 * AF30)</f>
        <v>#N/A</v>
      </c>
      <c r="AE78" s="15" t="e">
        <f ca="1">((1.185 + 0.00454 * AE46 - 0.0000026 * AE46 ^ 2 + 0.315 * AE62) ^ 2 * AG30)</f>
        <v>#N/A</v>
      </c>
      <c r="AF78" s="16" t="str">
        <f t="shared" si="2"/>
        <v>kg DM/head/day</v>
      </c>
      <c r="AG78" s="16"/>
      <c r="AH78" s="16"/>
    </row>
    <row r="79" spans="3:34" ht="20.100000000000001" customHeight="1" x14ac:dyDescent="0.2">
      <c r="U79" s="15" t="str">
        <f>TEXT(EDATE(X_Cell_Site_StartDate,3), "mmmm")</f>
        <v>March</v>
      </c>
      <c r="V79" s="15" t="e">
        <f ca="1">((1.185 + 0.00454 * V47 - 0.0000026 * V47 ^ 2 + 0.315 * V63) ^ 2 * X31)</f>
        <v>#N/A</v>
      </c>
      <c r="W79" s="15" t="e">
        <f ca="1">((1.185 + 0.00454 * W47 - 0.0000026 * W47 ^ 2 + 0.315 * W63) ^ 2 * Y31)</f>
        <v>#N/A</v>
      </c>
      <c r="X79" s="15" t="e">
        <f ca="1">((1.185 + 0.00454 * X47 - 0.0000026 * X47 ^ 2 + 0.315 * X63) ^ 2 * Z31)</f>
        <v>#N/A</v>
      </c>
      <c r="Y79" s="15" t="e">
        <f ca="1">((1.185 + 0.00454 * Y47 - 0.0000026 * Y47 ^ 2 + 0.315 * Y63) ^ 2 * AA31)</f>
        <v>#N/A</v>
      </c>
      <c r="Z79" s="15" t="e">
        <f ca="1">((1.185 + 0.00454 * Z47 - 0.0000026 * Z47 ^ 2 + 0.315 * Z63) ^ 2 * AB31)</f>
        <v>#N/A</v>
      </c>
      <c r="AA79" s="15" t="e">
        <f ca="1">((1.185 + 0.00454 * AA47 - 0.0000026 * AA47 ^ 2 + 0.315 * AA63) ^ 2 * AC31)</f>
        <v>#N/A</v>
      </c>
      <c r="AB79" s="15" t="e">
        <f ca="1">((1.185 + 0.00454 * AB47 - 0.0000026 * AB47 ^ 2 + 0.315 * AB63) ^ 2 * AD31)</f>
        <v>#N/A</v>
      </c>
      <c r="AC79" s="15" t="e">
        <f ca="1">((1.185 + 0.00454 * AC47 - 0.0000026 * AC47 ^ 2 + 0.315 * AC63) ^ 2 * AE31)</f>
        <v>#N/A</v>
      </c>
      <c r="AD79" s="15" t="e">
        <f ca="1">((1.185 + 0.00454 * AD47 - 0.0000026 * AD47 ^ 2 + 0.315 * AD63) ^ 2 * AF31)</f>
        <v>#N/A</v>
      </c>
      <c r="AE79" s="15" t="e">
        <f ca="1">((1.185 + 0.00454 * AE47 - 0.0000026 * AE47 ^ 2 + 0.315 * AE63) ^ 2 * AG31)</f>
        <v>#N/A</v>
      </c>
      <c r="AF79" s="16" t="str">
        <f t="shared" si="2"/>
        <v>kg DM/head/day</v>
      </c>
      <c r="AG79" s="16"/>
      <c r="AH79" s="16"/>
    </row>
    <row r="80" spans="3:34" ht="20.100000000000001" customHeight="1" x14ac:dyDescent="0.2">
      <c r="D80" s="105" t="s">
        <v>1224</v>
      </c>
      <c r="E80" s="106" t="s">
        <v>1236</v>
      </c>
      <c r="F80" s="108"/>
      <c r="G80" s="105" t="s">
        <v>1225</v>
      </c>
      <c r="H80" s="110" t="s">
        <v>1237</v>
      </c>
      <c r="I80" s="111" t="str" cm="1">
        <f t="array" aca="1" ref="I80" ca="1">HYPERLINK(Common_InputFunctions.Utility_SourceHyperlink($D$61), $D$61)</f>
        <v>M1_Table_I_j_k_l</v>
      </c>
      <c r="U80" s="15" t="str">
        <f>TEXT(EDATE(X_Cell_Site_StartDate,4), "mmmm")</f>
        <v>April</v>
      </c>
      <c r="V80" s="15" t="e">
        <f ca="1">((1.185 + 0.00454 * V48 - 0.0000026 * V48 ^ 2 + 0.315 * V64) ^ 2 * X32)</f>
        <v>#N/A</v>
      </c>
      <c r="W80" s="15" t="e">
        <f ca="1">((1.185 + 0.00454 * W48 - 0.0000026 * W48 ^ 2 + 0.315 * W64) ^ 2 * Y32)</f>
        <v>#N/A</v>
      </c>
      <c r="X80" s="15" t="e">
        <f ca="1">((1.185 + 0.00454 * X48 - 0.0000026 * X48 ^ 2 + 0.315 * X64) ^ 2 * Z32)</f>
        <v>#N/A</v>
      </c>
      <c r="Y80" s="15" t="e">
        <f ca="1">((1.185 + 0.00454 * Y48 - 0.0000026 * Y48 ^ 2 + 0.315 * Y64) ^ 2 * AA32)</f>
        <v>#N/A</v>
      </c>
      <c r="Z80" s="15" t="e">
        <f ca="1">((1.185 + 0.00454 * Z48 - 0.0000026 * Z48 ^ 2 + 0.315 * Z64) ^ 2 * AB32)</f>
        <v>#N/A</v>
      </c>
      <c r="AA80" s="15" t="e">
        <f ca="1">((1.185 + 0.00454 * AA48 - 0.0000026 * AA48 ^ 2 + 0.315 * AA64) ^ 2 * AC32)</f>
        <v>#N/A</v>
      </c>
      <c r="AB80" s="15" t="e">
        <f ca="1">((1.185 + 0.00454 * AB48 - 0.0000026 * AB48 ^ 2 + 0.315 * AB64) ^ 2 * AD32)</f>
        <v>#N/A</v>
      </c>
      <c r="AC80" s="15" t="e">
        <f ca="1">((1.185 + 0.00454 * AC48 - 0.0000026 * AC48 ^ 2 + 0.315 * AC64) ^ 2 * AE32)</f>
        <v>#N/A</v>
      </c>
      <c r="AD80" s="15" t="e">
        <f ca="1">((1.185 + 0.00454 * AD48 - 0.0000026 * AD48 ^ 2 + 0.315 * AD64) ^ 2 * AF32)</f>
        <v>#N/A</v>
      </c>
      <c r="AE80" s="15" t="e">
        <f ca="1">((1.185 + 0.00454 * AE48 - 0.0000026 * AE48 ^ 2 + 0.315 * AE64) ^ 2 * AG32)</f>
        <v>#N/A</v>
      </c>
      <c r="AF80" s="16" t="str">
        <f t="shared" si="2"/>
        <v>kg DM/head/day</v>
      </c>
    </row>
    <row r="81" spans="3:35" ht="20.100000000000001" customHeight="1" x14ac:dyDescent="0.2">
      <c r="U81" s="15" t="str">
        <f>TEXT(EDATE(X_Cell_Site_StartDate,5), "mmmm")</f>
        <v>May</v>
      </c>
      <c r="V81" s="15" t="e">
        <f ca="1">((1.185 + 0.00454 * V49 - 0.0000026 * V49 ^ 2 + 0.315 * V65) ^ 2 * X33)</f>
        <v>#N/A</v>
      </c>
      <c r="W81" s="15" t="e">
        <f ca="1">((1.185 + 0.00454 * W49 - 0.0000026 * W49 ^ 2 + 0.315 * W65) ^ 2 * Y33)</f>
        <v>#N/A</v>
      </c>
      <c r="X81" s="15" t="e">
        <f ca="1">((1.185 + 0.00454 * X49 - 0.0000026 * X49 ^ 2 + 0.315 * X65) ^ 2 * Z33)</f>
        <v>#N/A</v>
      </c>
      <c r="Y81" s="15" t="e">
        <f ca="1">((1.185 + 0.00454 * Y49 - 0.0000026 * Y49 ^ 2 + 0.315 * Y65) ^ 2 * AA33)</f>
        <v>#N/A</v>
      </c>
      <c r="Z81" s="15" t="e">
        <f ca="1">((1.185 + 0.00454 * Z49 - 0.0000026 * Z49 ^ 2 + 0.315 * Z65) ^ 2 * AB33)</f>
        <v>#N/A</v>
      </c>
      <c r="AA81" s="15" t="e">
        <f ca="1">((1.185 + 0.00454 * AA49 - 0.0000026 * AA49 ^ 2 + 0.315 * AA65) ^ 2 * AC33)</f>
        <v>#N/A</v>
      </c>
      <c r="AB81" s="15" t="e">
        <f ca="1">((1.185 + 0.00454 * AB49 - 0.0000026 * AB49 ^ 2 + 0.315 * AB65) ^ 2 * AD33)</f>
        <v>#N/A</v>
      </c>
      <c r="AC81" s="15" t="e">
        <f ca="1">((1.185 + 0.00454 * AC49 - 0.0000026 * AC49 ^ 2 + 0.315 * AC65) ^ 2 * AE33)</f>
        <v>#N/A</v>
      </c>
      <c r="AD81" s="15" t="e">
        <f ca="1">((1.185 + 0.00454 * AD49 - 0.0000026 * AD49 ^ 2 + 0.315 * AD65) ^ 2 * AF33)</f>
        <v>#N/A</v>
      </c>
      <c r="AE81" s="15" t="e">
        <f ca="1">((1.185 + 0.00454 * AE49 - 0.0000026 * AE49 ^ 2 + 0.315 * AE65) ^ 2 * AG33)</f>
        <v>#N/A</v>
      </c>
      <c r="AF81" s="16" t="str">
        <f t="shared" si="2"/>
        <v>kg DM/head/day</v>
      </c>
    </row>
    <row r="82" spans="3:35" ht="20.100000000000001" customHeight="1" x14ac:dyDescent="0.2">
      <c r="D82" s="112" t="s">
        <v>570</v>
      </c>
      <c r="U82" s="15" t="str">
        <f>TEXT(EDATE(X_Cell_Site_StartDate,6), "mmmm")</f>
        <v>June</v>
      </c>
      <c r="V82" s="15" t="e">
        <f ca="1">((1.185 + 0.00454 * V50 - 0.0000026 * V50 ^ 2 + 0.315 * V66) ^ 2 * X34)</f>
        <v>#N/A</v>
      </c>
      <c r="W82" s="15" t="e">
        <f ca="1">((1.185 + 0.00454 * W50 - 0.0000026 * W50 ^ 2 + 0.315 * W66) ^ 2 * Y34)</f>
        <v>#N/A</v>
      </c>
      <c r="X82" s="15" t="e">
        <f ca="1">((1.185 + 0.00454 * X50 - 0.0000026 * X50 ^ 2 + 0.315 * X66) ^ 2 * Z34)</f>
        <v>#N/A</v>
      </c>
      <c r="Y82" s="15" t="e">
        <f ca="1">((1.185 + 0.00454 * Y50 - 0.0000026 * Y50 ^ 2 + 0.315 * Y66) ^ 2 * AA34)</f>
        <v>#N/A</v>
      </c>
      <c r="Z82" s="15" t="e">
        <f ca="1">((1.185 + 0.00454 * Z50 - 0.0000026 * Z50 ^ 2 + 0.315 * Z66) ^ 2 * AB34)</f>
        <v>#N/A</v>
      </c>
      <c r="AA82" s="15" t="e">
        <f ca="1">((1.185 + 0.00454 * AA50 - 0.0000026 * AA50 ^ 2 + 0.315 * AA66) ^ 2 * AC34)</f>
        <v>#N/A</v>
      </c>
      <c r="AB82" s="15" t="e">
        <f ca="1">((1.185 + 0.00454 * AB50 - 0.0000026 * AB50 ^ 2 + 0.315 * AB66) ^ 2 * AD34)</f>
        <v>#N/A</v>
      </c>
      <c r="AC82" s="15" t="e">
        <f ca="1">((1.185 + 0.00454 * AC50 - 0.0000026 * AC50 ^ 2 + 0.315 * AC66) ^ 2 * AE34)</f>
        <v>#N/A</v>
      </c>
      <c r="AD82" s="15" t="e">
        <f ca="1">((1.185 + 0.00454 * AD50 - 0.0000026 * AD50 ^ 2 + 0.315 * AD66) ^ 2 * AF34)</f>
        <v>#N/A</v>
      </c>
      <c r="AE82" s="15" t="e">
        <f ca="1">((1.185 + 0.00454 * AE50 - 0.0000026 * AE50 ^ 2 + 0.315 * AE66) ^ 2 * AG34)</f>
        <v>#N/A</v>
      </c>
      <c r="AF82" s="16" t="str">
        <f t="shared" si="2"/>
        <v>kg DM/head/day</v>
      </c>
    </row>
    <row r="83" spans="3:35" ht="20.100000000000001" customHeight="1" x14ac:dyDescent="0.2">
      <c r="D83" s="113" t="s">
        <v>571</v>
      </c>
      <c r="U83" s="15" t="str">
        <f>TEXT(EDATE(X_Cell_Site_StartDate,7), "mmmm")</f>
        <v>July</v>
      </c>
      <c r="V83" s="15" t="e">
        <f ca="1">((1.185 + 0.00454 * V51 - 0.0000026 * V51 ^ 2 + 0.315 * V67) ^ 2 * X35)</f>
        <v>#N/A</v>
      </c>
      <c r="W83" s="15" t="e">
        <f ca="1">((1.185 + 0.00454 * W51 - 0.0000026 * W51 ^ 2 + 0.315 * W67) ^ 2 * Y35)</f>
        <v>#N/A</v>
      </c>
      <c r="X83" s="15" t="e">
        <f ca="1">((1.185 + 0.00454 * X51 - 0.0000026 * X51 ^ 2 + 0.315 * X67) ^ 2 * Z35)</f>
        <v>#N/A</v>
      </c>
      <c r="Y83" s="15" t="e">
        <f ca="1">((1.185 + 0.00454 * Y51 - 0.0000026 * Y51 ^ 2 + 0.315 * Y67) ^ 2 * AA35)</f>
        <v>#N/A</v>
      </c>
      <c r="Z83" s="15" t="e">
        <f ca="1">((1.185 + 0.00454 * Z51 - 0.0000026 * Z51 ^ 2 + 0.315 * Z67) ^ 2 * AB35)</f>
        <v>#N/A</v>
      </c>
      <c r="AA83" s="15" t="e">
        <f ca="1">((1.185 + 0.00454 * AA51 - 0.0000026 * AA51 ^ 2 + 0.315 * AA67) ^ 2 * AC35)</f>
        <v>#N/A</v>
      </c>
      <c r="AB83" s="15" t="e">
        <f ca="1">((1.185 + 0.00454 * AB51 - 0.0000026 * AB51 ^ 2 + 0.315 * AB67) ^ 2 * AD35)</f>
        <v>#N/A</v>
      </c>
      <c r="AC83" s="15" t="e">
        <f ca="1">((1.185 + 0.00454 * AC51 - 0.0000026 * AC51 ^ 2 + 0.315 * AC67) ^ 2 * AE35)</f>
        <v>#N/A</v>
      </c>
      <c r="AD83" s="15" t="e">
        <f ca="1">((1.185 + 0.00454 * AD51 - 0.0000026 * AD51 ^ 2 + 0.315 * AD67) ^ 2 * AF35)</f>
        <v>#N/A</v>
      </c>
      <c r="AE83" s="15" t="e">
        <f ca="1">((1.185 + 0.00454 * AE51 - 0.0000026 * AE51 ^ 2 + 0.315 * AE67) ^ 2 * AG35)</f>
        <v>#N/A</v>
      </c>
      <c r="AF83" s="16" t="str">
        <f t="shared" si="2"/>
        <v>kg DM/head/day</v>
      </c>
    </row>
    <row r="84" spans="3:35" ht="20.100000000000001" customHeight="1" x14ac:dyDescent="0.2">
      <c r="D84" s="114" t="s">
        <v>76</v>
      </c>
      <c r="E84" s="114" t="s">
        <v>326</v>
      </c>
      <c r="F84" s="114" t="s">
        <v>184</v>
      </c>
      <c r="G84" s="114" t="s">
        <v>327</v>
      </c>
      <c r="H84" s="114" t="s">
        <v>328</v>
      </c>
      <c r="I84" s="114" t="s">
        <v>329</v>
      </c>
      <c r="J84" s="114" t="s">
        <v>330</v>
      </c>
      <c r="K84" s="114" t="s">
        <v>331</v>
      </c>
      <c r="L84" s="114" t="s">
        <v>332</v>
      </c>
      <c r="M84" s="114" t="s">
        <v>333</v>
      </c>
      <c r="N84" s="114" t="s">
        <v>334</v>
      </c>
      <c r="U84" s="15" t="str">
        <f>TEXT(EDATE(X_Cell_Site_StartDate,8), "mmmm")</f>
        <v>August</v>
      </c>
      <c r="V84" s="15" t="e">
        <f ca="1">((1.185 + 0.00454 * V52 - 0.0000026 * V52 ^ 2 + 0.315 * V68) ^ 2 * X36)</f>
        <v>#N/A</v>
      </c>
      <c r="W84" s="15" t="e">
        <f ca="1">((1.185 + 0.00454 * W52 - 0.0000026 * W52 ^ 2 + 0.315 * W68) ^ 2 * Y36)</f>
        <v>#N/A</v>
      </c>
      <c r="X84" s="15" t="e">
        <f ca="1">((1.185 + 0.00454 * X52 - 0.0000026 * X52 ^ 2 + 0.315 * X68) ^ 2 * Z36)</f>
        <v>#N/A</v>
      </c>
      <c r="Y84" s="15" t="e">
        <f ca="1">((1.185 + 0.00454 * Y52 - 0.0000026 * Y52 ^ 2 + 0.315 * Y68) ^ 2 * AA36)</f>
        <v>#N/A</v>
      </c>
      <c r="Z84" s="15" t="e">
        <f ca="1">((1.185 + 0.00454 * Z52 - 0.0000026 * Z52 ^ 2 + 0.315 * Z68) ^ 2 * AB36)</f>
        <v>#N/A</v>
      </c>
      <c r="AA84" s="15" t="e">
        <f ca="1">((1.185 + 0.00454 * AA52 - 0.0000026 * AA52 ^ 2 + 0.315 * AA68) ^ 2 * AC36)</f>
        <v>#N/A</v>
      </c>
      <c r="AB84" s="15" t="e">
        <f ca="1">((1.185 + 0.00454 * AB52 - 0.0000026 * AB52 ^ 2 + 0.315 * AB68) ^ 2 * AD36)</f>
        <v>#N/A</v>
      </c>
      <c r="AC84" s="15" t="e">
        <f ca="1">((1.185 + 0.00454 * AC52 - 0.0000026 * AC52 ^ 2 + 0.315 * AC68) ^ 2 * AE36)</f>
        <v>#N/A</v>
      </c>
      <c r="AD84" s="15" t="e">
        <f ca="1">((1.185 + 0.00454 * AD52 - 0.0000026 * AD52 ^ 2 + 0.315 * AD68) ^ 2 * AF36)</f>
        <v>#N/A</v>
      </c>
      <c r="AE84" s="15" t="e">
        <f ca="1">((1.185 + 0.00454 * AE52 - 0.0000026 * AE52 ^ 2 + 0.315 * AE68) ^ 2 * AG36)</f>
        <v>#N/A</v>
      </c>
      <c r="AF84" s="16" t="str">
        <f t="shared" si="2"/>
        <v>kg DM/head/day</v>
      </c>
      <c r="AG84" s="16"/>
      <c r="AH84" s="16"/>
    </row>
    <row r="85" spans="3:35" ht="20.100000000000001" customHeight="1" x14ac:dyDescent="0.2">
      <c r="D85" s="15" t="s">
        <v>335</v>
      </c>
      <c r="E85" s="15" t="e">
        <f ca="1">(20.7 * E64 * 10 ^ -3)</f>
        <v>#N/A</v>
      </c>
      <c r="F85" s="15" t="e">
        <f ca="1">(20.7 * F64 * 10 ^ -3)</f>
        <v>#N/A</v>
      </c>
      <c r="G85" s="15" t="e">
        <f ca="1">(20.7 * G64 * 10 ^ -3)</f>
        <v>#N/A</v>
      </c>
      <c r="H85" s="15" t="e">
        <f ca="1">(20.7 * H64 * 10 ^ -3)</f>
        <v>#N/A</v>
      </c>
      <c r="I85" s="15" t="e">
        <f ca="1">(20.7 * I64 * 10 ^ -3)</f>
        <v>#N/A</v>
      </c>
      <c r="J85" s="15" t="e">
        <f ca="1">(20.7 * J64 * 10 ^ -3)</f>
        <v>#N/A</v>
      </c>
      <c r="K85" s="15" t="e">
        <f ca="1">(20.7 * K64 * 10 ^ -3)</f>
        <v>#N/A</v>
      </c>
      <c r="L85" s="15" t="e">
        <f ca="1">(20.7 * L64 * 10 ^ -3)</f>
        <v>#N/A</v>
      </c>
      <c r="M85" s="15" t="e">
        <f ca="1">(20.7 * M64 * 10 ^ -3)</f>
        <v>#N/A</v>
      </c>
      <c r="N85" s="15" t="e">
        <f ca="1">(20.7 * N64 * 10 ^ -3)</f>
        <v>#N/A</v>
      </c>
      <c r="O85" s="16" t="str">
        <f>G80</f>
        <v>kg DM/head/day</v>
      </c>
      <c r="P85" s="16"/>
      <c r="Q85" s="16"/>
      <c r="U85" s="15" t="str">
        <f>TEXT(EDATE(X_Cell_Site_StartDate,9), "mmmm")</f>
        <v>September</v>
      </c>
      <c r="V85" s="15" t="e">
        <f ca="1">((1.185 + 0.00454 * V53 - 0.0000026 * V53 ^ 2 + 0.315 * V69) ^ 2 * X37)</f>
        <v>#N/A</v>
      </c>
      <c r="W85" s="15" t="e">
        <f ca="1">((1.185 + 0.00454 * W53 - 0.0000026 * W53 ^ 2 + 0.315 * W69) ^ 2 * Y37)</f>
        <v>#N/A</v>
      </c>
      <c r="X85" s="15" t="e">
        <f ca="1">((1.185 + 0.00454 * X53 - 0.0000026 * X53 ^ 2 + 0.315 * X69) ^ 2 * Z37)</f>
        <v>#N/A</v>
      </c>
      <c r="Y85" s="15" t="e">
        <f ca="1">((1.185 + 0.00454 * Y53 - 0.0000026 * Y53 ^ 2 + 0.315 * Y69) ^ 2 * AA37)</f>
        <v>#N/A</v>
      </c>
      <c r="Z85" s="15" t="e">
        <f ca="1">((1.185 + 0.00454 * Z53 - 0.0000026 * Z53 ^ 2 + 0.315 * Z69) ^ 2 * AB37)</f>
        <v>#N/A</v>
      </c>
      <c r="AA85" s="15" t="e">
        <f ca="1">((1.185 + 0.00454 * AA53 - 0.0000026 * AA53 ^ 2 + 0.315 * AA69) ^ 2 * AC37)</f>
        <v>#N/A</v>
      </c>
      <c r="AB85" s="15" t="e">
        <f ca="1">((1.185 + 0.00454 * AB53 - 0.0000026 * AB53 ^ 2 + 0.315 * AB69) ^ 2 * AD37)</f>
        <v>#N/A</v>
      </c>
      <c r="AC85" s="15" t="e">
        <f ca="1">((1.185 + 0.00454 * AC53 - 0.0000026 * AC53 ^ 2 + 0.315 * AC69) ^ 2 * AE37)</f>
        <v>#N/A</v>
      </c>
      <c r="AD85" s="15" t="e">
        <f ca="1">((1.185 + 0.00454 * AD53 - 0.0000026 * AD53 ^ 2 + 0.315 * AD69) ^ 2 * AF37)</f>
        <v>#N/A</v>
      </c>
      <c r="AE85" s="15" t="e">
        <f ca="1">((1.185 + 0.00454 * AE53 - 0.0000026 * AE53 ^ 2 + 0.315 * AE69) ^ 2 * AG37)</f>
        <v>#N/A</v>
      </c>
      <c r="AF85" s="16" t="str">
        <f t="shared" si="2"/>
        <v>kg DM/head/day</v>
      </c>
      <c r="AG85" s="16"/>
      <c r="AH85" s="16"/>
    </row>
    <row r="86" spans="3:35" ht="20.100000000000001" customHeight="1" x14ac:dyDescent="0.2">
      <c r="D86" s="15" t="s">
        <v>336</v>
      </c>
      <c r="E86" s="15" t="e">
        <f ca="1">(20.7 * E65 * 10 ^ -3)</f>
        <v>#N/A</v>
      </c>
      <c r="F86" s="15" t="e">
        <f ca="1">(20.7 * F65 * 10 ^ -3)</f>
        <v>#N/A</v>
      </c>
      <c r="G86" s="15" t="e">
        <f ca="1">(20.7 * G65 * 10 ^ -3)</f>
        <v>#N/A</v>
      </c>
      <c r="H86" s="15" t="e">
        <f ca="1">(20.7 * H65 * 10 ^ -3)</f>
        <v>#N/A</v>
      </c>
      <c r="I86" s="15" t="e">
        <f ca="1">(20.7 * I65 * 10 ^ -3)</f>
        <v>#N/A</v>
      </c>
      <c r="J86" s="15" t="e">
        <f ca="1">(20.7 * J65 * 10 ^ -3)</f>
        <v>#N/A</v>
      </c>
      <c r="K86" s="15" t="e">
        <f ca="1">(20.7 * K65 * 10 ^ -3)</f>
        <v>#N/A</v>
      </c>
      <c r="L86" s="15" t="e">
        <f ca="1">(20.7 * L65 * 10 ^ -3)</f>
        <v>#N/A</v>
      </c>
      <c r="M86" s="15" t="e">
        <f ca="1">(20.7 * M65 * 10 ^ -3)</f>
        <v>#N/A</v>
      </c>
      <c r="N86" s="15" t="e">
        <f ca="1">(20.7 * N65 * 10 ^ -3)</f>
        <v>#N/A</v>
      </c>
      <c r="O86" s="16"/>
      <c r="P86" s="16"/>
      <c r="Q86" s="16"/>
      <c r="U86" s="15" t="str">
        <f>TEXT(EDATE(X_Cell_Site_StartDate,10), "mmmm")</f>
        <v>October</v>
      </c>
      <c r="V86" s="15" t="e">
        <f ca="1">((1.185 + 0.00454 * V54 - 0.0000026 * V54 ^ 2 + 0.315 * V70) ^ 2 * X38)</f>
        <v>#N/A</v>
      </c>
      <c r="W86" s="15" t="e">
        <f ca="1">((1.185 + 0.00454 * W54 - 0.0000026 * W54 ^ 2 + 0.315 * W70) ^ 2 * Y38)</f>
        <v>#N/A</v>
      </c>
      <c r="X86" s="15" t="e">
        <f ca="1">((1.185 + 0.00454 * X54 - 0.0000026 * X54 ^ 2 + 0.315 * X70) ^ 2 * Z38)</f>
        <v>#N/A</v>
      </c>
      <c r="Y86" s="15" t="e">
        <f ca="1">((1.185 + 0.00454 * Y54 - 0.0000026 * Y54 ^ 2 + 0.315 * Y70) ^ 2 * AA38)</f>
        <v>#N/A</v>
      </c>
      <c r="Z86" s="15" t="e">
        <f ca="1">((1.185 + 0.00454 * Z54 - 0.0000026 * Z54 ^ 2 + 0.315 * Z70) ^ 2 * AB38)</f>
        <v>#N/A</v>
      </c>
      <c r="AA86" s="15" t="e">
        <f ca="1">((1.185 + 0.00454 * AA54 - 0.0000026 * AA54 ^ 2 + 0.315 * AA70) ^ 2 * AC38)</f>
        <v>#N/A</v>
      </c>
      <c r="AB86" s="15" t="e">
        <f ca="1">((1.185 + 0.00454 * AB54 - 0.0000026 * AB54 ^ 2 + 0.315 * AB70) ^ 2 * AD38)</f>
        <v>#N/A</v>
      </c>
      <c r="AC86" s="15" t="e">
        <f ca="1">((1.185 + 0.00454 * AC54 - 0.0000026 * AC54 ^ 2 + 0.315 * AC70) ^ 2 * AE38)</f>
        <v>#N/A</v>
      </c>
      <c r="AD86" s="15" t="e">
        <f ca="1">((1.185 + 0.00454 * AD54 - 0.0000026 * AD54 ^ 2 + 0.315 * AD70) ^ 2 * AF38)</f>
        <v>#N/A</v>
      </c>
      <c r="AE86" s="15" t="e">
        <f ca="1">((1.185 + 0.00454 * AE54 - 0.0000026 * AE54 ^ 2 + 0.315 * AE70) ^ 2 * AG38)</f>
        <v>#N/A</v>
      </c>
      <c r="AF86" s="16" t="str">
        <f t="shared" si="2"/>
        <v>kg DM/head/day</v>
      </c>
      <c r="AG86" s="16"/>
      <c r="AH86" s="16"/>
    </row>
    <row r="87" spans="3:35" ht="20.100000000000001" customHeight="1" x14ac:dyDescent="0.2">
      <c r="D87" s="15" t="s">
        <v>337</v>
      </c>
      <c r="E87" s="15" t="e">
        <f ca="1">(20.7 * E66 * 10 ^ -3)</f>
        <v>#N/A</v>
      </c>
      <c r="F87" s="15" t="e">
        <f ca="1">(20.7 * F66 * 10 ^ -3)</f>
        <v>#N/A</v>
      </c>
      <c r="G87" s="15" t="e">
        <f ca="1">(20.7 * G66 * 10 ^ -3)</f>
        <v>#N/A</v>
      </c>
      <c r="H87" s="15" t="e">
        <f ca="1">(20.7 * H66 * 10 ^ -3)</f>
        <v>#N/A</v>
      </c>
      <c r="I87" s="15" t="e">
        <f ca="1">(20.7 * I66 * 10 ^ -3)</f>
        <v>#N/A</v>
      </c>
      <c r="J87" s="15" t="e">
        <f ca="1">(20.7 * J66 * 10 ^ -3)</f>
        <v>#N/A</v>
      </c>
      <c r="K87" s="15" t="e">
        <f ca="1">(20.7 * K66 * 10 ^ -3)</f>
        <v>#N/A</v>
      </c>
      <c r="L87" s="15" t="e">
        <f ca="1">(20.7 * L66 * 10 ^ -3)</f>
        <v>#N/A</v>
      </c>
      <c r="M87" s="15" t="e">
        <f ca="1">(20.7 * M66 * 10 ^ -3)</f>
        <v>#N/A</v>
      </c>
      <c r="N87" s="15" t="e">
        <f ca="1">(20.7 * N66 * 10 ^ -3)</f>
        <v>#N/A</v>
      </c>
      <c r="O87" s="16"/>
      <c r="P87" s="16"/>
      <c r="Q87" s="16"/>
      <c r="U87" s="15" t="str">
        <f>TEXT(EDATE(X_Cell_Site_StartDate,11), "mmmm")</f>
        <v>November</v>
      </c>
      <c r="V87" s="15" t="e">
        <f ca="1">((1.185 + 0.00454 * V55 - 0.0000026 * V55 ^ 2 + 0.315 * V71) ^ 2 * X39)</f>
        <v>#N/A</v>
      </c>
      <c r="W87" s="15" t="e">
        <f ca="1">((1.185 + 0.00454 * W55 - 0.0000026 * W55 ^ 2 + 0.315 * W71) ^ 2 * Y39)</f>
        <v>#N/A</v>
      </c>
      <c r="X87" s="15" t="e">
        <f ca="1">((1.185 + 0.00454 * X55 - 0.0000026 * X55 ^ 2 + 0.315 * X71) ^ 2 * Z39)</f>
        <v>#N/A</v>
      </c>
      <c r="Y87" s="15" t="e">
        <f ca="1">((1.185 + 0.00454 * Y55 - 0.0000026 * Y55 ^ 2 + 0.315 * Y71) ^ 2 * AA39)</f>
        <v>#N/A</v>
      </c>
      <c r="Z87" s="15" t="e">
        <f ca="1">((1.185 + 0.00454 * Z55 - 0.0000026 * Z55 ^ 2 + 0.315 * Z71) ^ 2 * AB39)</f>
        <v>#N/A</v>
      </c>
      <c r="AA87" s="15" t="e">
        <f ca="1">((1.185 + 0.00454 * AA55 - 0.0000026 * AA55 ^ 2 + 0.315 * AA71) ^ 2 * AC39)</f>
        <v>#N/A</v>
      </c>
      <c r="AB87" s="15" t="e">
        <f ca="1">((1.185 + 0.00454 * AB55 - 0.0000026 * AB55 ^ 2 + 0.315 * AB71) ^ 2 * AD39)</f>
        <v>#N/A</v>
      </c>
      <c r="AC87" s="15" t="e">
        <f ca="1">((1.185 + 0.00454 * AC55 - 0.0000026 * AC55 ^ 2 + 0.315 * AC71) ^ 2 * AE39)</f>
        <v>#N/A</v>
      </c>
      <c r="AD87" s="15" t="e">
        <f ca="1">((1.185 + 0.00454 * AD55 - 0.0000026 * AD55 ^ 2 + 0.315 * AD71) ^ 2 * AF39)</f>
        <v>#N/A</v>
      </c>
      <c r="AE87" s="15" t="e">
        <f ca="1">((1.185 + 0.00454 * AE55 - 0.0000026 * AE55 ^ 2 + 0.315 * AE71) ^ 2 * AG39)</f>
        <v>#N/A</v>
      </c>
      <c r="AF87" s="16" t="str">
        <f t="shared" si="2"/>
        <v>kg DM/head/day</v>
      </c>
      <c r="AG87" s="16"/>
      <c r="AH87" s="16"/>
    </row>
    <row r="88" spans="3:35" ht="20.100000000000001" customHeight="1" x14ac:dyDescent="0.2">
      <c r="D88" s="15" t="s">
        <v>338</v>
      </c>
      <c r="E88" s="15" t="e">
        <f ca="1">(20.7 * E67 * 10 ^ -3)</f>
        <v>#N/A</v>
      </c>
      <c r="F88" s="15" t="e">
        <f ca="1">(20.7 * F67 * 10 ^ -3)</f>
        <v>#N/A</v>
      </c>
      <c r="G88" s="15" t="e">
        <f ca="1">(20.7 * G67 * 10 ^ -3)</f>
        <v>#N/A</v>
      </c>
      <c r="H88" s="15" t="e">
        <f ca="1">(20.7 * H67 * 10 ^ -3)</f>
        <v>#N/A</v>
      </c>
      <c r="I88" s="15" t="e">
        <f ca="1">(20.7 * I67 * 10 ^ -3)</f>
        <v>#N/A</v>
      </c>
      <c r="J88" s="15" t="e">
        <f ca="1">(20.7 * J67 * 10 ^ -3)</f>
        <v>#N/A</v>
      </c>
      <c r="K88" s="15" t="e">
        <f ca="1">(20.7 * K67 * 10 ^ -3)</f>
        <v>#N/A</v>
      </c>
      <c r="L88" s="15" t="e">
        <f ca="1">(20.7 * L67 * 10 ^ -3)</f>
        <v>#N/A</v>
      </c>
      <c r="M88" s="15" t="e">
        <f ca="1">(20.7 * M67 * 10 ^ -3)</f>
        <v>#N/A</v>
      </c>
      <c r="N88" s="15" t="e">
        <f ca="1">(20.7 * N67 * 10 ^ -3)</f>
        <v>#N/A</v>
      </c>
      <c r="O88" s="16"/>
      <c r="P88" s="16"/>
      <c r="Q88" s="16"/>
      <c r="AG88" s="16"/>
      <c r="AH88" s="16"/>
    </row>
    <row r="89" spans="3:35" ht="20.100000000000001" customHeight="1" x14ac:dyDescent="0.2">
      <c r="AG89" s="16"/>
      <c r="AH89" s="16"/>
    </row>
    <row r="90" spans="3:35" ht="20.100000000000001" customHeight="1" x14ac:dyDescent="0.2">
      <c r="AG90" s="16"/>
      <c r="AH90" s="16"/>
    </row>
    <row r="91" spans="3:35" ht="20.100000000000001" customHeight="1" x14ac:dyDescent="0.2">
      <c r="C91" s="87"/>
      <c r="D91" s="87"/>
      <c r="E91" s="87"/>
      <c r="F91" s="87"/>
      <c r="G91" s="87"/>
      <c r="H91" s="87"/>
      <c r="I91" s="87"/>
      <c r="J91" s="87"/>
      <c r="K91" s="87"/>
      <c r="L91" s="87"/>
      <c r="M91" s="87"/>
      <c r="N91" s="87"/>
      <c r="O91" s="87"/>
      <c r="P91" s="87"/>
      <c r="Q91" s="87"/>
      <c r="R91" s="87"/>
      <c r="T91" s="87"/>
      <c r="U91" s="87"/>
      <c r="V91" s="87"/>
      <c r="W91" s="87"/>
      <c r="X91" s="87"/>
      <c r="Y91" s="87"/>
      <c r="Z91" s="87"/>
      <c r="AA91" s="87"/>
      <c r="AB91" s="87"/>
      <c r="AC91" s="87"/>
      <c r="AD91" s="87"/>
      <c r="AE91" s="87"/>
      <c r="AF91" s="87"/>
      <c r="AG91" s="87"/>
      <c r="AH91" s="87"/>
      <c r="AI91" s="87"/>
    </row>
    <row r="92" spans="3:35" ht="20.100000000000001" customHeight="1" x14ac:dyDescent="0.2">
      <c r="D92" s="2" t="s">
        <v>1238</v>
      </c>
      <c r="U92" s="2" t="s">
        <v>1232</v>
      </c>
    </row>
    <row r="93" spans="3:35" ht="20.100000000000001" customHeight="1" x14ac:dyDescent="0.2">
      <c r="D93" s="17" t="s">
        <v>1239</v>
      </c>
    </row>
    <row r="94" spans="3:35" ht="20.100000000000001" customHeight="1" x14ac:dyDescent="0.2">
      <c r="D94" s="103"/>
      <c r="E94" s="103"/>
      <c r="U94" s="112" t="s">
        <v>572</v>
      </c>
    </row>
    <row r="95" spans="3:35" ht="20.100000000000001" customHeight="1" x14ac:dyDescent="0.2">
      <c r="U95" s="113" t="s">
        <v>573</v>
      </c>
    </row>
    <row r="96" spans="3:35" ht="20.100000000000001" customHeight="1" x14ac:dyDescent="0.2">
      <c r="U96" s="114" t="s">
        <v>75</v>
      </c>
      <c r="V96" s="114" t="s">
        <v>326</v>
      </c>
      <c r="W96" s="114" t="s">
        <v>184</v>
      </c>
      <c r="X96" s="114" t="s">
        <v>327</v>
      </c>
      <c r="Y96" s="114" t="s">
        <v>328</v>
      </c>
      <c r="Z96" s="114" t="s">
        <v>329</v>
      </c>
      <c r="AA96" s="114" t="s">
        <v>330</v>
      </c>
      <c r="AB96" s="114" t="s">
        <v>331</v>
      </c>
      <c r="AC96" s="114" t="s">
        <v>332</v>
      </c>
      <c r="AD96" s="114" t="s">
        <v>333</v>
      </c>
      <c r="AE96" s="114" t="s">
        <v>334</v>
      </c>
    </row>
    <row r="97" spans="4:35" ht="20.100000000000001" customHeight="1" x14ac:dyDescent="0.2">
      <c r="D97" s="77" t="s">
        <v>373</v>
      </c>
      <c r="E97" s="1" t="s">
        <v>1240</v>
      </c>
      <c r="U97" s="15" t="str">
        <f>TEXT(X_Cell_Site_StartDate,"mmmm")</f>
        <v>January</v>
      </c>
      <c r="V97" s="15" t="e">
        <f ca="1">(20.7 * V76 * 10 ^ -3)</f>
        <v>#N/A</v>
      </c>
      <c r="W97" s="15" t="e">
        <f ca="1">(20.7 * W76 * 10 ^ -3)</f>
        <v>#N/A</v>
      </c>
      <c r="X97" s="15" t="e">
        <f ca="1">(20.7 * X76 * 10 ^ -3)</f>
        <v>#N/A</v>
      </c>
      <c r="Y97" s="15" t="e">
        <f ca="1">(20.7 * Y76 * 10 ^ -3)</f>
        <v>#N/A</v>
      </c>
      <c r="Z97" s="15" t="e">
        <f ca="1">(20.7 * Z76 * 10 ^ -3)</f>
        <v>#N/A</v>
      </c>
      <c r="AA97" s="15" t="e">
        <f ca="1">(20.7 * AA76 * 10 ^ -3)</f>
        <v>#N/A</v>
      </c>
      <c r="AB97" s="15" t="e">
        <f ca="1">(20.7 * AB76 * 10 ^ -3)</f>
        <v>#N/A</v>
      </c>
      <c r="AC97" s="15" t="e">
        <f ca="1">(20.7 * AC76 * 10 ^ -3)</f>
        <v>#N/A</v>
      </c>
      <c r="AD97" s="15" t="e">
        <f ca="1">(20.7 * AD76 * 10 ^ -3)</f>
        <v>#N/A</v>
      </c>
      <c r="AE97" s="15" t="e">
        <f ca="1">(20.7 * AE76 * 10 ^ -3)</f>
        <v>#N/A</v>
      </c>
      <c r="AF97" s="16" t="str">
        <f>$G$80</f>
        <v>kg DM/head/day</v>
      </c>
    </row>
    <row r="98" spans="4:35" ht="20.100000000000001" customHeight="1" x14ac:dyDescent="0.2">
      <c r="D98" s="77" t="s">
        <v>121</v>
      </c>
      <c r="E98" s="9" t="s">
        <v>5</v>
      </c>
      <c r="U98" s="15" t="str">
        <f>TEXT(EDATE(X_Cell_Site_StartDate,1), "mmmm")</f>
        <v>January</v>
      </c>
      <c r="V98" s="15" t="e">
        <f ca="1">(20.7 * V77 * 10 ^ -3)</f>
        <v>#N/A</v>
      </c>
      <c r="W98" s="15" t="e">
        <f ca="1">(20.7 * W77 * 10 ^ -3)</f>
        <v>#N/A</v>
      </c>
      <c r="X98" s="15" t="e">
        <f ca="1">(20.7 * X77 * 10 ^ -3)</f>
        <v>#N/A</v>
      </c>
      <c r="Y98" s="15" t="e">
        <f ca="1">(20.7 * Y77 * 10 ^ -3)</f>
        <v>#N/A</v>
      </c>
      <c r="Z98" s="15" t="e">
        <f ca="1">(20.7 * Z77 * 10 ^ -3)</f>
        <v>#N/A</v>
      </c>
      <c r="AA98" s="15" t="e">
        <f ca="1">(20.7 * AA77 * 10 ^ -3)</f>
        <v>#N/A</v>
      </c>
      <c r="AB98" s="15" t="e">
        <f ca="1">(20.7 * AB77 * 10 ^ -3)</f>
        <v>#N/A</v>
      </c>
      <c r="AC98" s="15" t="e">
        <f ca="1">(20.7 * AC77 * 10 ^ -3)</f>
        <v>#N/A</v>
      </c>
      <c r="AD98" s="15" t="e">
        <f ca="1">(20.7 * AD77 * 10 ^ -3)</f>
        <v>#N/A</v>
      </c>
      <c r="AE98" s="15" t="e">
        <f ca="1">(20.7 * AE77 * 10 ^ -3)</f>
        <v>#N/A</v>
      </c>
      <c r="AF98" s="16"/>
    </row>
    <row r="99" spans="4:35" ht="20.100000000000001" customHeight="1" x14ac:dyDescent="0.2">
      <c r="U99" s="15" t="str">
        <f>TEXT(EDATE(X_Cell_Site_StartDate,2), "mmmm")</f>
        <v>February</v>
      </c>
      <c r="V99" s="15" t="e">
        <f ca="1">(20.7 * V78 * 10 ^ -3)</f>
        <v>#N/A</v>
      </c>
      <c r="W99" s="15" t="e">
        <f ca="1">(20.7 * W78 * 10 ^ -3)</f>
        <v>#N/A</v>
      </c>
      <c r="X99" s="15" t="e">
        <f ca="1">(20.7 * X78 * 10 ^ -3)</f>
        <v>#N/A</v>
      </c>
      <c r="Y99" s="15" t="e">
        <f ca="1">(20.7 * Y78 * 10 ^ -3)</f>
        <v>#N/A</v>
      </c>
      <c r="Z99" s="15" t="e">
        <f ca="1">(20.7 * Z78 * 10 ^ -3)</f>
        <v>#N/A</v>
      </c>
      <c r="AA99" s="15" t="e">
        <f ca="1">(20.7 * AA78 * 10 ^ -3)</f>
        <v>#N/A</v>
      </c>
      <c r="AB99" s="15" t="e">
        <f ca="1">(20.7 * AB78 * 10 ^ -3)</f>
        <v>#N/A</v>
      </c>
      <c r="AC99" s="15" t="e">
        <f ca="1">(20.7 * AC78 * 10 ^ -3)</f>
        <v>#N/A</v>
      </c>
      <c r="AD99" s="15" t="e">
        <f ca="1">(20.7 * AD78 * 10 ^ -3)</f>
        <v>#N/A</v>
      </c>
      <c r="AE99" s="15" t="e">
        <f ca="1">(20.7 * AE78 * 10 ^ -3)</f>
        <v>#N/A</v>
      </c>
      <c r="AF99" s="16"/>
    </row>
    <row r="100" spans="4:35" ht="20.100000000000001" customHeight="1" x14ac:dyDescent="0.2">
      <c r="D100" s="105" t="s">
        <v>1241</v>
      </c>
      <c r="E100" s="106" t="s">
        <v>1242</v>
      </c>
      <c r="F100" s="108"/>
      <c r="G100" s="105" t="s">
        <v>428</v>
      </c>
      <c r="H100" s="109" t="s">
        <v>1219</v>
      </c>
      <c r="I100" s="111" t="str" cm="1">
        <f t="array" aca="1" ref="I100" ca="1">HYPERLINK(Common_InputFunctions.Utility_SourceHyperlink($D$112), $D$112)</f>
        <v>M1_Table_D_j</v>
      </c>
      <c r="U100" s="15" t="str">
        <f>TEXT(EDATE(X_Cell_Site_StartDate,3), "mmmm")</f>
        <v>March</v>
      </c>
      <c r="V100" s="15" t="e">
        <f ca="1">(20.7 * V79 * 10 ^ -3)</f>
        <v>#N/A</v>
      </c>
      <c r="W100" s="15" t="e">
        <f ca="1">(20.7 * W79 * 10 ^ -3)</f>
        <v>#N/A</v>
      </c>
      <c r="X100" s="15" t="e">
        <f ca="1">(20.7 * X79 * 10 ^ -3)</f>
        <v>#N/A</v>
      </c>
      <c r="Y100" s="15" t="e">
        <f ca="1">(20.7 * Y79 * 10 ^ -3)</f>
        <v>#N/A</v>
      </c>
      <c r="Z100" s="15" t="e">
        <f ca="1">(20.7 * Z79 * 10 ^ -3)</f>
        <v>#N/A</v>
      </c>
      <c r="AA100" s="15" t="e">
        <f ca="1">(20.7 * AA79 * 10 ^ -3)</f>
        <v>#N/A</v>
      </c>
      <c r="AB100" s="15" t="e">
        <f ca="1">(20.7 * AB79 * 10 ^ -3)</f>
        <v>#N/A</v>
      </c>
      <c r="AC100" s="15" t="e">
        <f ca="1">(20.7 * AC79 * 10 ^ -3)</f>
        <v>#N/A</v>
      </c>
      <c r="AD100" s="15" t="e">
        <f ca="1">(20.7 * AD79 * 10 ^ -3)</f>
        <v>#N/A</v>
      </c>
      <c r="AE100" s="15" t="e">
        <f ca="1">(20.7 * AE79 * 10 ^ -3)</f>
        <v>#N/A</v>
      </c>
      <c r="AF100" s="16"/>
    </row>
    <row r="101" spans="4:35" ht="20.100000000000001" customHeight="1" x14ac:dyDescent="0.2">
      <c r="D101" s="105" t="s">
        <v>1234</v>
      </c>
      <c r="E101" s="106" t="s">
        <v>1243</v>
      </c>
      <c r="F101" s="108"/>
      <c r="G101" s="105" t="s">
        <v>1235</v>
      </c>
      <c r="H101" s="110" t="s">
        <v>1246</v>
      </c>
      <c r="I101" s="111" t="str" cm="1">
        <f t="array" aca="1" ref="I101" ca="1">HYPERLINK(Common_InputFunctions.Utility_SourceHyperlink($D$82), $D$82)</f>
        <v>M1_Table_M_j_k_l</v>
      </c>
      <c r="U101" s="15" t="str">
        <f>TEXT(EDATE(X_Cell_Site_StartDate,4), "mmmm")</f>
        <v>April</v>
      </c>
      <c r="V101" s="15" t="e">
        <f ca="1">(20.7 * V80 * 10 ^ -3)</f>
        <v>#N/A</v>
      </c>
      <c r="W101" s="15" t="e">
        <f ca="1">(20.7 * W80 * 10 ^ -3)</f>
        <v>#N/A</v>
      </c>
      <c r="X101" s="15" t="e">
        <f ca="1">(20.7 * X80 * 10 ^ -3)</f>
        <v>#N/A</v>
      </c>
      <c r="Y101" s="15" t="e">
        <f ca="1">(20.7 * Y80 * 10 ^ -3)</f>
        <v>#N/A</v>
      </c>
      <c r="Z101" s="15" t="e">
        <f ca="1">(20.7 * Z80 * 10 ^ -3)</f>
        <v>#N/A</v>
      </c>
      <c r="AA101" s="15" t="e">
        <f ca="1">(20.7 * AA80 * 10 ^ -3)</f>
        <v>#N/A</v>
      </c>
      <c r="AB101" s="15" t="e">
        <f ca="1">(20.7 * AB80 * 10 ^ -3)</f>
        <v>#N/A</v>
      </c>
      <c r="AC101" s="15" t="e">
        <f ca="1">(20.7 * AC80 * 10 ^ -3)</f>
        <v>#N/A</v>
      </c>
      <c r="AD101" s="15" t="e">
        <f ca="1">(20.7 * AD80 * 10 ^ -3)</f>
        <v>#N/A</v>
      </c>
      <c r="AE101" s="15" t="e">
        <f ca="1">(20.7 * AE80 * 10 ^ -3)</f>
        <v>#N/A</v>
      </c>
      <c r="AF101" s="16"/>
    </row>
    <row r="102" spans="4:35" ht="20.100000000000001" customHeight="1" x14ac:dyDescent="0.2">
      <c r="D102" s="105" t="s">
        <v>1244</v>
      </c>
      <c r="E102" s="106" t="s">
        <v>1245</v>
      </c>
      <c r="F102" s="108"/>
      <c r="G102" s="105" t="s">
        <v>425</v>
      </c>
      <c r="H102" s="109" t="s">
        <v>1219</v>
      </c>
      <c r="I102" s="111" t="str" cm="1">
        <f t="array" aca="1" ref="I102" ca="1">HYPERLINK(Common_InputFunctions.Utility_SourceHyperlink($D$104), $D$104)</f>
        <v>M1_Table_N_j_k_l</v>
      </c>
      <c r="U102" s="15" t="str">
        <f>TEXT(EDATE(X_Cell_Site_StartDate,5), "mmmm")</f>
        <v>May</v>
      </c>
      <c r="V102" s="15" t="e">
        <f ca="1">(20.7 * V81 * 10 ^ -3)</f>
        <v>#N/A</v>
      </c>
      <c r="W102" s="15" t="e">
        <f ca="1">(20.7 * W81 * 10 ^ -3)</f>
        <v>#N/A</v>
      </c>
      <c r="X102" s="15" t="e">
        <f ca="1">(20.7 * X81 * 10 ^ -3)</f>
        <v>#N/A</v>
      </c>
      <c r="Y102" s="15" t="e">
        <f ca="1">(20.7 * Y81 * 10 ^ -3)</f>
        <v>#N/A</v>
      </c>
      <c r="Z102" s="15" t="e">
        <f ca="1">(20.7 * Z81 * 10 ^ -3)</f>
        <v>#N/A</v>
      </c>
      <c r="AA102" s="15" t="e">
        <f ca="1">(20.7 * AA81 * 10 ^ -3)</f>
        <v>#N/A</v>
      </c>
      <c r="AB102" s="15" t="e">
        <f ca="1">(20.7 * AB81 * 10 ^ -3)</f>
        <v>#N/A</v>
      </c>
      <c r="AC102" s="15" t="e">
        <f ca="1">(20.7 * AC81 * 10 ^ -3)</f>
        <v>#N/A</v>
      </c>
      <c r="AD102" s="15" t="e">
        <f ca="1">(20.7 * AD81 * 10 ^ -3)</f>
        <v>#N/A</v>
      </c>
      <c r="AE102" s="15" t="e">
        <f ca="1">(20.7 * AE81 * 10 ^ -3)</f>
        <v>#N/A</v>
      </c>
      <c r="AF102" s="16"/>
    </row>
    <row r="103" spans="4:35" ht="20.100000000000001" customHeight="1" x14ac:dyDescent="0.2">
      <c r="U103" s="15" t="str">
        <f>TEXT(EDATE(X_Cell_Site_StartDate,6), "mmmm")</f>
        <v>June</v>
      </c>
      <c r="V103" s="15" t="e">
        <f ca="1">(20.7 * V82 * 10 ^ -3)</f>
        <v>#N/A</v>
      </c>
      <c r="W103" s="15" t="e">
        <f ca="1">(20.7 * W82 * 10 ^ -3)</f>
        <v>#N/A</v>
      </c>
      <c r="X103" s="15" t="e">
        <f ca="1">(20.7 * X82 * 10 ^ -3)</f>
        <v>#N/A</v>
      </c>
      <c r="Y103" s="15" t="e">
        <f ca="1">(20.7 * Y82 * 10 ^ -3)</f>
        <v>#N/A</v>
      </c>
      <c r="Z103" s="15" t="e">
        <f ca="1">(20.7 * Z82 * 10 ^ -3)</f>
        <v>#N/A</v>
      </c>
      <c r="AA103" s="15" t="e">
        <f ca="1">(20.7 * AA82 * 10 ^ -3)</f>
        <v>#N/A</v>
      </c>
      <c r="AB103" s="15" t="e">
        <f ca="1">(20.7 * AB82 * 10 ^ -3)</f>
        <v>#N/A</v>
      </c>
      <c r="AC103" s="15" t="e">
        <f ca="1">(20.7 * AC82 * 10 ^ -3)</f>
        <v>#N/A</v>
      </c>
      <c r="AD103" s="15" t="e">
        <f ca="1">(20.7 * AD82 * 10 ^ -3)</f>
        <v>#N/A</v>
      </c>
      <c r="AE103" s="15" t="e">
        <f ca="1">(20.7 * AE82 * 10 ^ -3)</f>
        <v>#N/A</v>
      </c>
      <c r="AF103" s="16"/>
    </row>
    <row r="104" spans="4:35" ht="20.100000000000001" customHeight="1" x14ac:dyDescent="0.2">
      <c r="D104" s="112" t="s">
        <v>421</v>
      </c>
      <c r="U104" s="15" t="str">
        <f>TEXT(EDATE(X_Cell_Site_StartDate,7), "mmmm")</f>
        <v>July</v>
      </c>
      <c r="V104" s="15" t="e">
        <f ca="1">(20.7 * V83 * 10 ^ -3)</f>
        <v>#N/A</v>
      </c>
      <c r="W104" s="15" t="e">
        <f ca="1">(20.7 * W83 * 10 ^ -3)</f>
        <v>#N/A</v>
      </c>
      <c r="X104" s="15" t="e">
        <f ca="1">(20.7 * X83 * 10 ^ -3)</f>
        <v>#N/A</v>
      </c>
      <c r="Y104" s="15" t="e">
        <f ca="1">(20.7 * Y83 * 10 ^ -3)</f>
        <v>#N/A</v>
      </c>
      <c r="Z104" s="15" t="e">
        <f ca="1">(20.7 * Z83 * 10 ^ -3)</f>
        <v>#N/A</v>
      </c>
      <c r="AA104" s="15" t="e">
        <f ca="1">(20.7 * AA83 * 10 ^ -3)</f>
        <v>#N/A</v>
      </c>
      <c r="AB104" s="15" t="e">
        <f ca="1">(20.7 * AB83 * 10 ^ -3)</f>
        <v>#N/A</v>
      </c>
      <c r="AC104" s="15" t="e">
        <f ca="1">(20.7 * AC83 * 10 ^ -3)</f>
        <v>#N/A</v>
      </c>
      <c r="AD104" s="15" t="e">
        <f ca="1">(20.7 * AD83 * 10 ^ -3)</f>
        <v>#N/A</v>
      </c>
      <c r="AE104" s="15" t="e">
        <f ca="1">(20.7 * AE83 * 10 ^ -3)</f>
        <v>#N/A</v>
      </c>
      <c r="AF104" s="16"/>
    </row>
    <row r="105" spans="4:35" ht="20.100000000000001" customHeight="1" x14ac:dyDescent="0.2">
      <c r="D105" s="113" t="s">
        <v>423</v>
      </c>
      <c r="U105" s="15" t="str">
        <f>TEXT(EDATE(X_Cell_Site_StartDate,8), "mmmm")</f>
        <v>August</v>
      </c>
      <c r="V105" s="15" t="e">
        <f ca="1">(20.7 * V84 * 10 ^ -3)</f>
        <v>#N/A</v>
      </c>
      <c r="W105" s="15" t="e">
        <f ca="1">(20.7 * W84 * 10 ^ -3)</f>
        <v>#N/A</v>
      </c>
      <c r="X105" s="15" t="e">
        <f ca="1">(20.7 * X84 * 10 ^ -3)</f>
        <v>#N/A</v>
      </c>
      <c r="Y105" s="15" t="e">
        <f ca="1">(20.7 * Y84 * 10 ^ -3)</f>
        <v>#N/A</v>
      </c>
      <c r="Z105" s="15" t="e">
        <f ca="1">(20.7 * Z84 * 10 ^ -3)</f>
        <v>#N/A</v>
      </c>
      <c r="AA105" s="15" t="e">
        <f ca="1">(20.7 * AA84 * 10 ^ -3)</f>
        <v>#N/A</v>
      </c>
      <c r="AB105" s="15" t="e">
        <f ca="1">(20.7 * AB84 * 10 ^ -3)</f>
        <v>#N/A</v>
      </c>
      <c r="AC105" s="15" t="e">
        <f ca="1">(20.7 * AC84 * 10 ^ -3)</f>
        <v>#N/A</v>
      </c>
      <c r="AD105" s="15" t="e">
        <f ca="1">(20.7 * AD84 * 10 ^ -3)</f>
        <v>#N/A</v>
      </c>
      <c r="AE105" s="15" t="e">
        <f ca="1">(20.7 * AE84 * 10 ^ -3)</f>
        <v>#N/A</v>
      </c>
      <c r="AF105" s="16"/>
    </row>
    <row r="106" spans="4:35" ht="20.100000000000001" customHeight="1" x14ac:dyDescent="0.2">
      <c r="D106" s="114" t="s">
        <v>76</v>
      </c>
      <c r="E106" s="82" t="s">
        <v>326</v>
      </c>
      <c r="F106" s="82" t="s">
        <v>184</v>
      </c>
      <c r="G106" s="82" t="s">
        <v>327</v>
      </c>
      <c r="H106" s="82" t="s">
        <v>328</v>
      </c>
      <c r="I106" s="82" t="s">
        <v>329</v>
      </c>
      <c r="J106" s="82" t="s">
        <v>330</v>
      </c>
      <c r="K106" s="82" t="s">
        <v>331</v>
      </c>
      <c r="L106" s="82" t="s">
        <v>332</v>
      </c>
      <c r="M106" s="82" t="s">
        <v>333</v>
      </c>
      <c r="N106" s="82" t="s">
        <v>334</v>
      </c>
      <c r="U106" s="15" t="str">
        <f>TEXT(EDATE(X_Cell_Site_StartDate,9), "mmmm")</f>
        <v>September</v>
      </c>
      <c r="V106" s="15" t="e">
        <f ca="1">(20.7 * V85 * 10 ^ -3)</f>
        <v>#N/A</v>
      </c>
      <c r="W106" s="15" t="e">
        <f ca="1">(20.7 * W85 * 10 ^ -3)</f>
        <v>#N/A</v>
      </c>
      <c r="X106" s="15" t="e">
        <f ca="1">(20.7 * X85 * 10 ^ -3)</f>
        <v>#N/A</v>
      </c>
      <c r="Y106" s="15" t="e">
        <f ca="1">(20.7 * Y85 * 10 ^ -3)</f>
        <v>#N/A</v>
      </c>
      <c r="Z106" s="15" t="e">
        <f ca="1">(20.7 * Z85 * 10 ^ -3)</f>
        <v>#N/A</v>
      </c>
      <c r="AA106" s="15" t="e">
        <f ca="1">(20.7 * AA85 * 10 ^ -3)</f>
        <v>#N/A</v>
      </c>
      <c r="AB106" s="15" t="e">
        <f ca="1">(20.7 * AB85 * 10 ^ -3)</f>
        <v>#N/A</v>
      </c>
      <c r="AC106" s="15" t="e">
        <f ca="1">(20.7 * AC85 * 10 ^ -3)</f>
        <v>#N/A</v>
      </c>
      <c r="AD106" s="15" t="e">
        <f ca="1">(20.7 * AD85 * 10 ^ -3)</f>
        <v>#N/A</v>
      </c>
      <c r="AE106" s="15" t="e">
        <f ca="1">(20.7 * AE85 * 10 ^ -3)</f>
        <v>#N/A</v>
      </c>
      <c r="AF106" s="16"/>
    </row>
    <row r="107" spans="4:35" ht="20.100000000000001" customHeight="1" x14ac:dyDescent="0.2">
      <c r="D107" s="15" t="s">
        <v>335</v>
      </c>
      <c r="E107" s="15" cm="1">
        <f t="array" aca="1" ref="E107:N110" ca="1">OFFSET(X_Table_PastureBeef_Head_Method1,1,1,4,10)</f>
        <v>0</v>
      </c>
      <c r="F107" s="15">
        <f ca="1"/>
        <v>0</v>
      </c>
      <c r="G107" s="15">
        <f ca="1"/>
        <v>0</v>
      </c>
      <c r="H107" s="15">
        <f ca="1"/>
        <v>0</v>
      </c>
      <c r="I107" s="15">
        <f ca="1"/>
        <v>0</v>
      </c>
      <c r="J107" s="15">
        <f ca="1"/>
        <v>0</v>
      </c>
      <c r="K107" s="15">
        <f ca="1"/>
        <v>0</v>
      </c>
      <c r="L107" s="15">
        <f ca="1"/>
        <v>0</v>
      </c>
      <c r="M107" s="15">
        <f ca="1"/>
        <v>0</v>
      </c>
      <c r="N107" s="15">
        <f ca="1"/>
        <v>0</v>
      </c>
      <c r="O107" s="16" t="str">
        <f>G102</f>
        <v>head</v>
      </c>
      <c r="U107" s="15" t="str">
        <f>TEXT(EDATE(X_Cell_Site_StartDate,10), "mmmm")</f>
        <v>October</v>
      </c>
      <c r="V107" s="15" t="e">
        <f ca="1">(20.7 * V86 * 10 ^ -3)</f>
        <v>#N/A</v>
      </c>
      <c r="W107" s="15" t="e">
        <f ca="1">(20.7 * W86 * 10 ^ -3)</f>
        <v>#N/A</v>
      </c>
      <c r="X107" s="15" t="e">
        <f ca="1">(20.7 * X86 * 10 ^ -3)</f>
        <v>#N/A</v>
      </c>
      <c r="Y107" s="15" t="e">
        <f ca="1">(20.7 * Y86 * 10 ^ -3)</f>
        <v>#N/A</v>
      </c>
      <c r="Z107" s="15" t="e">
        <f ca="1">(20.7 * Z86 * 10 ^ -3)</f>
        <v>#N/A</v>
      </c>
      <c r="AA107" s="15" t="e">
        <f ca="1">(20.7 * AA86 * 10 ^ -3)</f>
        <v>#N/A</v>
      </c>
      <c r="AB107" s="15" t="e">
        <f ca="1">(20.7 * AB86 * 10 ^ -3)</f>
        <v>#N/A</v>
      </c>
      <c r="AC107" s="15" t="e">
        <f ca="1">(20.7 * AC86 * 10 ^ -3)</f>
        <v>#N/A</v>
      </c>
      <c r="AD107" s="15" t="e">
        <f ca="1">(20.7 * AD86 * 10 ^ -3)</f>
        <v>#N/A</v>
      </c>
      <c r="AE107" s="15" t="e">
        <f ca="1">(20.7 * AE86 * 10 ^ -3)</f>
        <v>#N/A</v>
      </c>
      <c r="AF107" s="16"/>
    </row>
    <row r="108" spans="4:35" ht="20.100000000000001" customHeight="1" x14ac:dyDescent="0.2">
      <c r="D108" s="15" t="s">
        <v>336</v>
      </c>
      <c r="E108" s="15">
        <f ca="1"/>
        <v>0</v>
      </c>
      <c r="F108" s="15">
        <f ca="1"/>
        <v>0</v>
      </c>
      <c r="G108" s="15">
        <f ca="1"/>
        <v>0</v>
      </c>
      <c r="H108" s="15">
        <f ca="1"/>
        <v>0</v>
      </c>
      <c r="I108" s="15">
        <f ca="1"/>
        <v>0</v>
      </c>
      <c r="J108" s="15">
        <f ca="1"/>
        <v>0</v>
      </c>
      <c r="K108" s="15">
        <f ca="1"/>
        <v>0</v>
      </c>
      <c r="L108" s="15">
        <f ca="1"/>
        <v>0</v>
      </c>
      <c r="M108" s="15">
        <f ca="1"/>
        <v>0</v>
      </c>
      <c r="N108" s="15">
        <f ca="1"/>
        <v>0</v>
      </c>
      <c r="O108" s="16"/>
      <c r="U108" s="15" t="str">
        <f>TEXT(EDATE(X_Cell_Site_StartDate,11), "mmmm")</f>
        <v>November</v>
      </c>
      <c r="V108" s="15" t="e">
        <f ca="1">(20.7 * V87 * 10 ^ -3)</f>
        <v>#N/A</v>
      </c>
      <c r="W108" s="15" t="e">
        <f ca="1">(20.7 * W87 * 10 ^ -3)</f>
        <v>#N/A</v>
      </c>
      <c r="X108" s="15" t="e">
        <f ca="1">(20.7 * X87 * 10 ^ -3)</f>
        <v>#N/A</v>
      </c>
      <c r="Y108" s="15" t="e">
        <f ca="1">(20.7 * Y87 * 10 ^ -3)</f>
        <v>#N/A</v>
      </c>
      <c r="Z108" s="15" t="e">
        <f ca="1">(20.7 * Z87 * 10 ^ -3)</f>
        <v>#N/A</v>
      </c>
      <c r="AA108" s="15" t="e">
        <f ca="1">(20.7 * AA87 * 10 ^ -3)</f>
        <v>#N/A</v>
      </c>
      <c r="AB108" s="15" t="e">
        <f ca="1">(20.7 * AB87 * 10 ^ -3)</f>
        <v>#N/A</v>
      </c>
      <c r="AC108" s="15" t="e">
        <f ca="1">(20.7 * AC87 * 10 ^ -3)</f>
        <v>#N/A</v>
      </c>
      <c r="AD108" s="15" t="e">
        <f ca="1">(20.7 * AD87 * 10 ^ -3)</f>
        <v>#N/A</v>
      </c>
      <c r="AE108" s="15" t="e">
        <f ca="1">(20.7 * AE87 * 10 ^ -3)</f>
        <v>#N/A</v>
      </c>
      <c r="AF108" s="16"/>
    </row>
    <row r="109" spans="4:35" ht="20.100000000000001" customHeight="1" x14ac:dyDescent="0.2">
      <c r="D109" s="15" t="s">
        <v>337</v>
      </c>
      <c r="E109" s="15">
        <f ca="1"/>
        <v>0</v>
      </c>
      <c r="F109" s="15">
        <f ca="1"/>
        <v>0</v>
      </c>
      <c r="G109" s="15">
        <f ca="1"/>
        <v>0</v>
      </c>
      <c r="H109" s="15">
        <f ca="1"/>
        <v>0</v>
      </c>
      <c r="I109" s="15">
        <f ca="1"/>
        <v>0</v>
      </c>
      <c r="J109" s="15">
        <f ca="1"/>
        <v>0</v>
      </c>
      <c r="K109" s="15">
        <f ca="1"/>
        <v>0</v>
      </c>
      <c r="L109" s="15">
        <f ca="1"/>
        <v>0</v>
      </c>
      <c r="M109" s="15">
        <f ca="1"/>
        <v>0</v>
      </c>
      <c r="N109" s="15">
        <f ca="1"/>
        <v>0</v>
      </c>
      <c r="O109" s="16"/>
    </row>
    <row r="110" spans="4:35" ht="20.100000000000001" customHeight="1" x14ac:dyDescent="0.2">
      <c r="D110" s="15" t="s">
        <v>338</v>
      </c>
      <c r="E110" s="15">
        <f ca="1"/>
        <v>0</v>
      </c>
      <c r="F110" s="15">
        <f ca="1"/>
        <v>0</v>
      </c>
      <c r="G110" s="15">
        <f ca="1"/>
        <v>0</v>
      </c>
      <c r="H110" s="15">
        <f ca="1"/>
        <v>0</v>
      </c>
      <c r="I110" s="15">
        <f ca="1"/>
        <v>0</v>
      </c>
      <c r="J110" s="15">
        <f ca="1"/>
        <v>0</v>
      </c>
      <c r="K110" s="15">
        <f ca="1"/>
        <v>0</v>
      </c>
      <c r="L110" s="15">
        <f ca="1"/>
        <v>0</v>
      </c>
      <c r="M110" s="15">
        <f ca="1"/>
        <v>0</v>
      </c>
      <c r="N110" s="15">
        <f ca="1"/>
        <v>0</v>
      </c>
      <c r="O110" s="16"/>
    </row>
    <row r="111" spans="4:35" ht="20.100000000000001" customHeight="1" x14ac:dyDescent="0.2">
      <c r="T111" s="87"/>
      <c r="U111" s="87"/>
      <c r="V111" s="87"/>
      <c r="W111" s="87"/>
      <c r="X111" s="87"/>
      <c r="Y111" s="87"/>
      <c r="Z111" s="87"/>
      <c r="AA111" s="87"/>
      <c r="AB111" s="87"/>
      <c r="AC111" s="87"/>
      <c r="AD111" s="87"/>
      <c r="AE111" s="87"/>
      <c r="AF111" s="87"/>
      <c r="AG111" s="87"/>
      <c r="AH111" s="87"/>
      <c r="AI111" s="87"/>
    </row>
    <row r="112" spans="4:35" ht="20.100000000000001" customHeight="1" x14ac:dyDescent="0.2">
      <c r="D112" s="112" t="s">
        <v>426</v>
      </c>
      <c r="U112" s="2" t="s">
        <v>1238</v>
      </c>
    </row>
    <row r="113" spans="4:34" ht="20.100000000000001" customHeight="1" x14ac:dyDescent="0.2">
      <c r="D113" s="113" t="s">
        <v>427</v>
      </c>
    </row>
    <row r="114" spans="4:34" ht="20.100000000000001" customHeight="1" x14ac:dyDescent="0.2">
      <c r="D114" s="114" t="s">
        <v>76</v>
      </c>
      <c r="E114" s="82" t="s">
        <v>326</v>
      </c>
      <c r="F114" s="82" t="s">
        <v>184</v>
      </c>
      <c r="G114" s="82" t="s">
        <v>327</v>
      </c>
      <c r="H114" s="82" t="s">
        <v>328</v>
      </c>
      <c r="I114" s="82" t="s">
        <v>329</v>
      </c>
      <c r="J114" s="82" t="s">
        <v>330</v>
      </c>
      <c r="K114" s="82" t="s">
        <v>331</v>
      </c>
      <c r="L114" s="82" t="s">
        <v>332</v>
      </c>
      <c r="M114" s="82" t="s">
        <v>333</v>
      </c>
      <c r="N114" s="82" t="s">
        <v>334</v>
      </c>
      <c r="U114" s="112" t="s">
        <v>422</v>
      </c>
    </row>
    <row r="115" spans="4:34" ht="20.100000000000001" customHeight="1" x14ac:dyDescent="0.2">
      <c r="D115" s="15" t="s">
        <v>335</v>
      </c>
      <c r="E115" s="15" cm="1">
        <f t="array" aca="1" ref="E115:N118" ca="1">OFFSET(X_Table_PastureBeef_Duration_Method1,1,1,4,10)</f>
        <v>91.25</v>
      </c>
      <c r="F115" s="15">
        <f ca="1"/>
        <v>91.25</v>
      </c>
      <c r="G115" s="15">
        <f ca="1"/>
        <v>91.25</v>
      </c>
      <c r="H115" s="15">
        <f ca="1"/>
        <v>91.25</v>
      </c>
      <c r="I115" s="15">
        <f ca="1"/>
        <v>91.25</v>
      </c>
      <c r="J115" s="15">
        <f ca="1"/>
        <v>91.25</v>
      </c>
      <c r="K115" s="15">
        <f ca="1"/>
        <v>91.25</v>
      </c>
      <c r="L115" s="15">
        <f ca="1"/>
        <v>91.25</v>
      </c>
      <c r="M115" s="15">
        <f ca="1"/>
        <v>91.25</v>
      </c>
      <c r="N115" s="15">
        <f ca="1"/>
        <v>91.25</v>
      </c>
      <c r="O115" s="16" t="str">
        <f>G100</f>
        <v>days</v>
      </c>
      <c r="U115" s="113" t="s">
        <v>424</v>
      </c>
      <c r="AH115" s="16"/>
    </row>
    <row r="116" spans="4:34" ht="20.100000000000001" customHeight="1" x14ac:dyDescent="0.2">
      <c r="D116" s="15" t="s">
        <v>336</v>
      </c>
      <c r="E116" s="15">
        <f ca="1"/>
        <v>91.25</v>
      </c>
      <c r="F116" s="15">
        <f ca="1"/>
        <v>91.25</v>
      </c>
      <c r="G116" s="15">
        <f ca="1"/>
        <v>91.25</v>
      </c>
      <c r="H116" s="15">
        <f ca="1"/>
        <v>91.25</v>
      </c>
      <c r="I116" s="15">
        <f ca="1"/>
        <v>91.25</v>
      </c>
      <c r="J116" s="15">
        <f ca="1"/>
        <v>91.25</v>
      </c>
      <c r="K116" s="15">
        <f ca="1"/>
        <v>91.25</v>
      </c>
      <c r="L116" s="15">
        <f ca="1"/>
        <v>91.25</v>
      </c>
      <c r="M116" s="15">
        <f ca="1"/>
        <v>91.25</v>
      </c>
      <c r="N116" s="15">
        <f ca="1"/>
        <v>91.25</v>
      </c>
      <c r="O116" s="16"/>
      <c r="U116" s="114" t="s">
        <v>75</v>
      </c>
      <c r="V116" s="82" t="s">
        <v>326</v>
      </c>
      <c r="W116" s="82" t="s">
        <v>184</v>
      </c>
      <c r="X116" s="82" t="s">
        <v>327</v>
      </c>
      <c r="Y116" s="82" t="s">
        <v>328</v>
      </c>
      <c r="Z116" s="82" t="s">
        <v>329</v>
      </c>
      <c r="AA116" s="82" t="s">
        <v>330</v>
      </c>
      <c r="AB116" s="82" t="s">
        <v>331</v>
      </c>
      <c r="AC116" s="82" t="s">
        <v>332</v>
      </c>
      <c r="AD116" s="82" t="s">
        <v>333</v>
      </c>
      <c r="AE116" s="82" t="s">
        <v>334</v>
      </c>
      <c r="AF116" s="16"/>
      <c r="AH116" s="16"/>
    </row>
    <row r="117" spans="4:34" ht="20.100000000000001" customHeight="1" x14ac:dyDescent="0.2">
      <c r="D117" s="15" t="s">
        <v>337</v>
      </c>
      <c r="E117" s="15">
        <f ca="1"/>
        <v>91.25</v>
      </c>
      <c r="F117" s="15">
        <f ca="1"/>
        <v>91.25</v>
      </c>
      <c r="G117" s="15">
        <f ca="1"/>
        <v>91.25</v>
      </c>
      <c r="H117" s="15">
        <f ca="1"/>
        <v>91.25</v>
      </c>
      <c r="I117" s="15">
        <f ca="1"/>
        <v>91.25</v>
      </c>
      <c r="J117" s="15">
        <f ca="1"/>
        <v>91.25</v>
      </c>
      <c r="K117" s="15">
        <f ca="1"/>
        <v>91.25</v>
      </c>
      <c r="L117" s="15">
        <f ca="1"/>
        <v>91.25</v>
      </c>
      <c r="M117" s="15">
        <f ca="1"/>
        <v>91.25</v>
      </c>
      <c r="N117" s="15">
        <f ca="1"/>
        <v>91.25</v>
      </c>
      <c r="O117" s="16"/>
      <c r="U117" s="15" t="str">
        <f>TEXT(X_Cell_Site_StartDate,"mmmm")</f>
        <v>January</v>
      </c>
      <c r="V117" s="15" cm="1">
        <f t="array" aca="1" ref="V117:AE128" ca="1">OFFSET(X_Table_PastureBeef_Head_Method2,1,1,12,10)</f>
        <v>0</v>
      </c>
      <c r="W117" s="15">
        <f ca="1"/>
        <v>0</v>
      </c>
      <c r="X117" s="15">
        <f ca="1"/>
        <v>0</v>
      </c>
      <c r="Y117" s="15">
        <f ca="1"/>
        <v>0</v>
      </c>
      <c r="Z117" s="15">
        <f ca="1"/>
        <v>0</v>
      </c>
      <c r="AA117" s="15">
        <f ca="1"/>
        <v>0</v>
      </c>
      <c r="AB117" s="15">
        <f ca="1"/>
        <v>0</v>
      </c>
      <c r="AC117" s="15">
        <f ca="1"/>
        <v>0</v>
      </c>
      <c r="AD117" s="15">
        <f ca="1"/>
        <v>0</v>
      </c>
      <c r="AE117" s="15">
        <f ca="1"/>
        <v>0</v>
      </c>
      <c r="AF117" s="16" t="str">
        <f>$G$102</f>
        <v>head</v>
      </c>
      <c r="AH117" s="16"/>
    </row>
    <row r="118" spans="4:34" ht="20.100000000000001" customHeight="1" x14ac:dyDescent="0.2">
      <c r="D118" s="15" t="s">
        <v>338</v>
      </c>
      <c r="E118" s="15">
        <f ca="1"/>
        <v>91.25</v>
      </c>
      <c r="F118" s="15">
        <f ca="1"/>
        <v>91.25</v>
      </c>
      <c r="G118" s="15">
        <f ca="1"/>
        <v>91.25</v>
      </c>
      <c r="H118" s="15">
        <f ca="1"/>
        <v>91.25</v>
      </c>
      <c r="I118" s="15">
        <f ca="1"/>
        <v>91.25</v>
      </c>
      <c r="J118" s="15">
        <f ca="1"/>
        <v>91.25</v>
      </c>
      <c r="K118" s="15">
        <f ca="1"/>
        <v>91.25</v>
      </c>
      <c r="L118" s="15">
        <f ca="1"/>
        <v>91.25</v>
      </c>
      <c r="M118" s="15">
        <f ca="1"/>
        <v>91.25</v>
      </c>
      <c r="N118" s="15">
        <f ca="1"/>
        <v>91.25</v>
      </c>
      <c r="O118" s="16"/>
      <c r="U118" s="15" t="str">
        <f>TEXT(EDATE(X_Cell_Site_StartDate,1), "mmmm")</f>
        <v>January</v>
      </c>
      <c r="V118" s="15">
        <f ca="1"/>
        <v>0</v>
      </c>
      <c r="W118" s="15">
        <f ca="1"/>
        <v>0</v>
      </c>
      <c r="X118" s="15">
        <f ca="1"/>
        <v>0</v>
      </c>
      <c r="Y118" s="15">
        <f ca="1"/>
        <v>0</v>
      </c>
      <c r="Z118" s="15">
        <f ca="1"/>
        <v>0</v>
      </c>
      <c r="AA118" s="15">
        <f ca="1"/>
        <v>0</v>
      </c>
      <c r="AB118" s="15">
        <f ca="1"/>
        <v>0</v>
      </c>
      <c r="AC118" s="15">
        <f ca="1"/>
        <v>0</v>
      </c>
      <c r="AD118" s="15">
        <f ca="1"/>
        <v>0</v>
      </c>
      <c r="AE118" s="15">
        <f ca="1"/>
        <v>0</v>
      </c>
      <c r="AF118" s="16"/>
      <c r="AH118" s="16"/>
    </row>
    <row r="119" spans="4:34" ht="20.100000000000001" customHeight="1" x14ac:dyDescent="0.2">
      <c r="U119" s="15" t="str">
        <f>TEXT(EDATE(X_Cell_Site_StartDate,2), "mmmm")</f>
        <v>February</v>
      </c>
      <c r="V119" s="15">
        <f ca="1"/>
        <v>0</v>
      </c>
      <c r="W119" s="15">
        <f ca="1"/>
        <v>0</v>
      </c>
      <c r="X119" s="15">
        <f ca="1"/>
        <v>0</v>
      </c>
      <c r="Y119" s="15">
        <f ca="1"/>
        <v>0</v>
      </c>
      <c r="Z119" s="15">
        <f ca="1"/>
        <v>0</v>
      </c>
      <c r="AA119" s="15">
        <f ca="1"/>
        <v>0</v>
      </c>
      <c r="AB119" s="15">
        <f ca="1"/>
        <v>0</v>
      </c>
      <c r="AC119" s="15">
        <f ca="1"/>
        <v>0</v>
      </c>
      <c r="AD119" s="15">
        <f ca="1"/>
        <v>0</v>
      </c>
      <c r="AE119" s="15">
        <f ca="1"/>
        <v>0</v>
      </c>
      <c r="AF119" s="16"/>
      <c r="AH119" s="16"/>
    </row>
    <row r="120" spans="4:34" ht="20.100000000000001" customHeight="1" x14ac:dyDescent="0.2">
      <c r="D120" s="112" t="s">
        <v>574</v>
      </c>
      <c r="U120" s="15" t="str">
        <f>TEXT(EDATE(X_Cell_Site_StartDate,3), "mmmm")</f>
        <v>March</v>
      </c>
      <c r="V120" s="15">
        <f ca="1"/>
        <v>0</v>
      </c>
      <c r="W120" s="15">
        <f ca="1"/>
        <v>0</v>
      </c>
      <c r="X120" s="15">
        <f ca="1"/>
        <v>0</v>
      </c>
      <c r="Y120" s="15">
        <f ca="1"/>
        <v>0</v>
      </c>
      <c r="Z120" s="15">
        <f ca="1"/>
        <v>0</v>
      </c>
      <c r="AA120" s="15">
        <f ca="1"/>
        <v>0</v>
      </c>
      <c r="AB120" s="15">
        <f ca="1"/>
        <v>0</v>
      </c>
      <c r="AC120" s="15">
        <f ca="1"/>
        <v>0</v>
      </c>
      <c r="AD120" s="15">
        <f ca="1"/>
        <v>0</v>
      </c>
      <c r="AE120" s="15">
        <f ca="1"/>
        <v>0</v>
      </c>
      <c r="AF120" s="16"/>
      <c r="AH120" s="16"/>
    </row>
    <row r="121" spans="4:34" ht="20.100000000000001" customHeight="1" x14ac:dyDescent="0.2">
      <c r="D121" s="113" t="s">
        <v>575</v>
      </c>
      <c r="U121" s="15" t="str">
        <f>TEXT(EDATE(X_Cell_Site_StartDate,4), "mmmm")</f>
        <v>April</v>
      </c>
      <c r="V121" s="15">
        <f ca="1"/>
        <v>0</v>
      </c>
      <c r="W121" s="15">
        <f ca="1"/>
        <v>0</v>
      </c>
      <c r="X121" s="15">
        <f ca="1"/>
        <v>0</v>
      </c>
      <c r="Y121" s="15">
        <f ca="1"/>
        <v>0</v>
      </c>
      <c r="Z121" s="15">
        <f ca="1"/>
        <v>0</v>
      </c>
      <c r="AA121" s="15">
        <f ca="1"/>
        <v>0</v>
      </c>
      <c r="AB121" s="15">
        <f ca="1"/>
        <v>0</v>
      </c>
      <c r="AC121" s="15">
        <f ca="1"/>
        <v>0</v>
      </c>
      <c r="AD121" s="15">
        <f ca="1"/>
        <v>0</v>
      </c>
      <c r="AE121" s="15">
        <f ca="1"/>
        <v>0</v>
      </c>
      <c r="AF121" s="16"/>
      <c r="AH121" s="16"/>
    </row>
    <row r="122" spans="4:34" ht="20.100000000000001" customHeight="1" x14ac:dyDescent="0.2">
      <c r="D122" s="114" t="s">
        <v>76</v>
      </c>
      <c r="E122" s="114" t="s">
        <v>326</v>
      </c>
      <c r="F122" s="114" t="s">
        <v>184</v>
      </c>
      <c r="G122" s="114" t="s">
        <v>327</v>
      </c>
      <c r="H122" s="114" t="s">
        <v>328</v>
      </c>
      <c r="I122" s="114" t="s">
        <v>329</v>
      </c>
      <c r="J122" s="114" t="s">
        <v>330</v>
      </c>
      <c r="K122" s="114" t="s">
        <v>331</v>
      </c>
      <c r="L122" s="114" t="s">
        <v>332</v>
      </c>
      <c r="M122" s="114" t="s">
        <v>333</v>
      </c>
      <c r="N122" s="114" t="s">
        <v>334</v>
      </c>
      <c r="U122" s="15" t="str">
        <f>TEXT(EDATE(X_Cell_Site_StartDate,5), "mmmm")</f>
        <v>May</v>
      </c>
      <c r="V122" s="15">
        <f ca="1"/>
        <v>0</v>
      </c>
      <c r="W122" s="15">
        <f ca="1"/>
        <v>0</v>
      </c>
      <c r="X122" s="15">
        <f ca="1"/>
        <v>0</v>
      </c>
      <c r="Y122" s="15">
        <f ca="1"/>
        <v>0</v>
      </c>
      <c r="Z122" s="15">
        <f ca="1"/>
        <v>0</v>
      </c>
      <c r="AA122" s="15">
        <f ca="1"/>
        <v>0</v>
      </c>
      <c r="AB122" s="15">
        <f ca="1"/>
        <v>0</v>
      </c>
      <c r="AC122" s="15">
        <f ca="1"/>
        <v>0</v>
      </c>
      <c r="AD122" s="15">
        <f ca="1"/>
        <v>0</v>
      </c>
      <c r="AE122" s="15">
        <f ca="1"/>
        <v>0</v>
      </c>
      <c r="AF122" s="16"/>
      <c r="AH122" s="16"/>
    </row>
    <row r="123" spans="4:34" ht="20.100000000000001" customHeight="1" x14ac:dyDescent="0.2">
      <c r="D123" s="15" t="s">
        <v>335</v>
      </c>
      <c r="E123" s="15" t="e">
        <f ca="1">((E115 * E85 * E107) * 10 ^ -3)</f>
        <v>#N/A</v>
      </c>
      <c r="F123" s="15" t="e">
        <f ca="1">((F115 * F85 * F107) * 10 ^ -3)</f>
        <v>#N/A</v>
      </c>
      <c r="G123" s="15" t="e">
        <f ca="1">((G115 * G85 * G107) * 10 ^ -3)</f>
        <v>#N/A</v>
      </c>
      <c r="H123" s="15" t="e">
        <f ca="1">((H115 * H85 * H107) * 10 ^ -3)</f>
        <v>#N/A</v>
      </c>
      <c r="I123" s="15" t="e">
        <f ca="1">((I115 * I85 * I107) * 10 ^ -3)</f>
        <v>#N/A</v>
      </c>
      <c r="J123" s="15" t="e">
        <f ca="1">((J115 * J85 * J107) * 10 ^ -3)</f>
        <v>#N/A</v>
      </c>
      <c r="K123" s="15" t="e">
        <f ca="1">((K115 * K85 * K107) * 10 ^ -3)</f>
        <v>#N/A</v>
      </c>
      <c r="L123" s="15" t="e">
        <f ca="1">((L115 * L85 * L107) * 10 ^ -3)</f>
        <v>#N/A</v>
      </c>
      <c r="M123" s="15" t="e">
        <f ca="1">((M115 * M85 * M107) * 10 ^ -3)</f>
        <v>#N/A</v>
      </c>
      <c r="N123" s="15" t="e">
        <f ca="1">((N115 * N85 * N107) * 10 ^ -3)</f>
        <v>#N/A</v>
      </c>
      <c r="O123" s="16" t="str">
        <f>E98</f>
        <v>t CH4</v>
      </c>
      <c r="Q123" s="16"/>
      <c r="U123" s="15" t="str">
        <f>TEXT(EDATE(X_Cell_Site_StartDate,6), "mmmm")</f>
        <v>June</v>
      </c>
      <c r="V123" s="15">
        <f ca="1"/>
        <v>0</v>
      </c>
      <c r="W123" s="15">
        <f ca="1"/>
        <v>0</v>
      </c>
      <c r="X123" s="15">
        <f ca="1"/>
        <v>0</v>
      </c>
      <c r="Y123" s="15">
        <f ca="1"/>
        <v>0</v>
      </c>
      <c r="Z123" s="15">
        <f ca="1"/>
        <v>0</v>
      </c>
      <c r="AA123" s="15">
        <f ca="1"/>
        <v>0</v>
      </c>
      <c r="AB123" s="15">
        <f ca="1"/>
        <v>0</v>
      </c>
      <c r="AC123" s="15">
        <f ca="1"/>
        <v>0</v>
      </c>
      <c r="AD123" s="15">
        <f ca="1"/>
        <v>0</v>
      </c>
      <c r="AE123" s="15">
        <f ca="1"/>
        <v>0</v>
      </c>
      <c r="AF123" s="16"/>
      <c r="AH123" s="16"/>
    </row>
    <row r="124" spans="4:34" ht="20.100000000000001" customHeight="1" x14ac:dyDescent="0.2">
      <c r="D124" s="15" t="s">
        <v>336</v>
      </c>
      <c r="E124" s="15" t="e">
        <f ca="1">((E116 * E86 * E108) * 10 ^ -3)</f>
        <v>#N/A</v>
      </c>
      <c r="F124" s="15" t="e">
        <f ca="1">((F116 * F86 * F108) * 10 ^ -3)</f>
        <v>#N/A</v>
      </c>
      <c r="G124" s="15" t="e">
        <f ca="1">((G116 * G86 * G108) * 10 ^ -3)</f>
        <v>#N/A</v>
      </c>
      <c r="H124" s="15" t="e">
        <f ca="1">((H116 * H86 * H108) * 10 ^ -3)</f>
        <v>#N/A</v>
      </c>
      <c r="I124" s="15" t="e">
        <f ca="1">((I116 * I86 * I108) * 10 ^ -3)</f>
        <v>#N/A</v>
      </c>
      <c r="J124" s="15" t="e">
        <f ca="1">((J116 * J86 * J108) * 10 ^ -3)</f>
        <v>#N/A</v>
      </c>
      <c r="K124" s="15" t="e">
        <f ca="1">((K116 * K86 * K108) * 10 ^ -3)</f>
        <v>#N/A</v>
      </c>
      <c r="L124" s="15" t="e">
        <f ca="1">((L116 * L86 * L108) * 10 ^ -3)</f>
        <v>#N/A</v>
      </c>
      <c r="M124" s="15" t="e">
        <f ca="1">((M116 * M86 * M108) * 10 ^ -3)</f>
        <v>#N/A</v>
      </c>
      <c r="N124" s="15" t="e">
        <f ca="1">((N116 * N86 * N108) * 10 ^ -3)</f>
        <v>#N/A</v>
      </c>
      <c r="O124" s="16"/>
      <c r="Q124" s="16"/>
      <c r="U124" s="15" t="str">
        <f>TEXT(EDATE(X_Cell_Site_StartDate,7), "mmmm")</f>
        <v>July</v>
      </c>
      <c r="V124" s="15">
        <f ca="1"/>
        <v>0</v>
      </c>
      <c r="W124" s="15">
        <f ca="1"/>
        <v>0</v>
      </c>
      <c r="X124" s="15">
        <f ca="1"/>
        <v>0</v>
      </c>
      <c r="Y124" s="15">
        <f ca="1"/>
        <v>0</v>
      </c>
      <c r="Z124" s="15">
        <f ca="1"/>
        <v>0</v>
      </c>
      <c r="AA124" s="15">
        <f ca="1"/>
        <v>0</v>
      </c>
      <c r="AB124" s="15">
        <f ca="1"/>
        <v>0</v>
      </c>
      <c r="AC124" s="15">
        <f ca="1"/>
        <v>0</v>
      </c>
      <c r="AD124" s="15">
        <f ca="1"/>
        <v>0</v>
      </c>
      <c r="AE124" s="15">
        <f ca="1"/>
        <v>0</v>
      </c>
      <c r="AF124" s="16"/>
      <c r="AH124" s="16"/>
    </row>
    <row r="125" spans="4:34" ht="20.100000000000001" customHeight="1" x14ac:dyDescent="0.2">
      <c r="D125" s="15" t="s">
        <v>337</v>
      </c>
      <c r="E125" s="15" t="e">
        <f ca="1">((E117 * E87 * E109) * 10 ^ -3)</f>
        <v>#N/A</v>
      </c>
      <c r="F125" s="15" t="e">
        <f ca="1">((F117 * F87 * F109) * 10 ^ -3)</f>
        <v>#N/A</v>
      </c>
      <c r="G125" s="15" t="e">
        <f ca="1">((G117 * G87 * G109) * 10 ^ -3)</f>
        <v>#N/A</v>
      </c>
      <c r="H125" s="15" t="e">
        <f ca="1">((H117 * H87 * H109) * 10 ^ -3)</f>
        <v>#N/A</v>
      </c>
      <c r="I125" s="15" t="e">
        <f ca="1">((I117 * I87 * I109) * 10 ^ -3)</f>
        <v>#N/A</v>
      </c>
      <c r="J125" s="15" t="e">
        <f ca="1">((J117 * J87 * J109) * 10 ^ -3)</f>
        <v>#N/A</v>
      </c>
      <c r="K125" s="15" t="e">
        <f ca="1">((K117 * K87 * K109) * 10 ^ -3)</f>
        <v>#N/A</v>
      </c>
      <c r="L125" s="15" t="e">
        <f ca="1">((L117 * L87 * L109) * 10 ^ -3)</f>
        <v>#N/A</v>
      </c>
      <c r="M125" s="15" t="e">
        <f ca="1">((M117 * M87 * M109) * 10 ^ -3)</f>
        <v>#N/A</v>
      </c>
      <c r="N125" s="15" t="e">
        <f ca="1">((N117 * N87 * N109) * 10 ^ -3)</f>
        <v>#N/A</v>
      </c>
      <c r="O125" s="16"/>
      <c r="Q125" s="16"/>
      <c r="U125" s="15" t="str">
        <f>TEXT(EDATE(X_Cell_Site_StartDate,8), "mmmm")</f>
        <v>August</v>
      </c>
      <c r="V125" s="15">
        <f ca="1"/>
        <v>0</v>
      </c>
      <c r="W125" s="15">
        <f ca="1"/>
        <v>0</v>
      </c>
      <c r="X125" s="15">
        <f ca="1"/>
        <v>0</v>
      </c>
      <c r="Y125" s="15">
        <f ca="1"/>
        <v>0</v>
      </c>
      <c r="Z125" s="15">
        <f ca="1"/>
        <v>0</v>
      </c>
      <c r="AA125" s="15">
        <f ca="1"/>
        <v>0</v>
      </c>
      <c r="AB125" s="15">
        <f ca="1"/>
        <v>0</v>
      </c>
      <c r="AC125" s="15">
        <f ca="1"/>
        <v>0</v>
      </c>
      <c r="AD125" s="15">
        <f ca="1"/>
        <v>0</v>
      </c>
      <c r="AE125" s="15">
        <f ca="1"/>
        <v>0</v>
      </c>
      <c r="AF125" s="16"/>
      <c r="AH125" s="16"/>
    </row>
    <row r="126" spans="4:34" ht="20.100000000000001" customHeight="1" x14ac:dyDescent="0.2">
      <c r="D126" s="15" t="s">
        <v>338</v>
      </c>
      <c r="E126" s="15" t="e">
        <f ca="1">((E118 * E88 * E110) * 10 ^ -3)</f>
        <v>#N/A</v>
      </c>
      <c r="F126" s="15" t="e">
        <f ca="1">((F118 * F88 * F110) * 10 ^ -3)</f>
        <v>#N/A</v>
      </c>
      <c r="G126" s="15" t="e">
        <f ca="1">((G118 * G88 * G110) * 10 ^ -3)</f>
        <v>#N/A</v>
      </c>
      <c r="H126" s="15" t="e">
        <f ca="1">((H118 * H88 * H110) * 10 ^ -3)</f>
        <v>#N/A</v>
      </c>
      <c r="I126" s="15" t="e">
        <f ca="1">((I118 * I88 * I110) * 10 ^ -3)</f>
        <v>#N/A</v>
      </c>
      <c r="J126" s="15" t="e">
        <f ca="1">((J118 * J88 * J110) * 10 ^ -3)</f>
        <v>#N/A</v>
      </c>
      <c r="K126" s="15" t="e">
        <f ca="1">((K118 * K88 * K110) * 10 ^ -3)</f>
        <v>#N/A</v>
      </c>
      <c r="L126" s="15" t="e">
        <f ca="1">((L118 * L88 * L110) * 10 ^ -3)</f>
        <v>#N/A</v>
      </c>
      <c r="M126" s="15" t="e">
        <f ca="1">((M118 * M88 * M110) * 10 ^ -3)</f>
        <v>#N/A</v>
      </c>
      <c r="N126" s="15" t="e">
        <f ca="1">((N118 * N88 * N110) * 10 ^ -3)</f>
        <v>#N/A</v>
      </c>
      <c r="O126" s="16"/>
      <c r="Q126" s="16"/>
      <c r="U126" s="15" t="str">
        <f>TEXT(EDATE(X_Cell_Site_StartDate,9), "mmmm")</f>
        <v>September</v>
      </c>
      <c r="V126" s="15">
        <f ca="1"/>
        <v>0</v>
      </c>
      <c r="W126" s="15">
        <f ca="1"/>
        <v>0</v>
      </c>
      <c r="X126" s="15">
        <f ca="1"/>
        <v>0</v>
      </c>
      <c r="Y126" s="15">
        <f ca="1"/>
        <v>0</v>
      </c>
      <c r="Z126" s="15">
        <f ca="1"/>
        <v>0</v>
      </c>
      <c r="AA126" s="15">
        <f ca="1"/>
        <v>0</v>
      </c>
      <c r="AB126" s="15">
        <f ca="1"/>
        <v>0</v>
      </c>
      <c r="AC126" s="15">
        <f ca="1"/>
        <v>0</v>
      </c>
      <c r="AD126" s="15">
        <f ca="1"/>
        <v>0</v>
      </c>
      <c r="AE126" s="15">
        <f ca="1"/>
        <v>0</v>
      </c>
      <c r="AF126" s="16"/>
      <c r="AH126" s="16"/>
    </row>
    <row r="127" spans="4:34" ht="20.100000000000001" customHeight="1" x14ac:dyDescent="0.2">
      <c r="Q127" s="16"/>
      <c r="U127" s="15" t="str">
        <f>TEXT(EDATE(X_Cell_Site_StartDate,10), "mmmm")</f>
        <v>October</v>
      </c>
      <c r="V127" s="15">
        <f ca="1"/>
        <v>0</v>
      </c>
      <c r="W127" s="15">
        <f ca="1"/>
        <v>0</v>
      </c>
      <c r="X127" s="15">
        <f ca="1"/>
        <v>0</v>
      </c>
      <c r="Y127" s="15">
        <f ca="1"/>
        <v>0</v>
      </c>
      <c r="Z127" s="15">
        <f ca="1"/>
        <v>0</v>
      </c>
      <c r="AA127" s="15">
        <f ca="1"/>
        <v>0</v>
      </c>
      <c r="AB127" s="15">
        <f ca="1"/>
        <v>0</v>
      </c>
      <c r="AC127" s="15">
        <f ca="1"/>
        <v>0</v>
      </c>
      <c r="AD127" s="15">
        <f ca="1"/>
        <v>0</v>
      </c>
      <c r="AE127" s="15">
        <f ca="1"/>
        <v>0</v>
      </c>
      <c r="AF127" s="16"/>
    </row>
    <row r="128" spans="4:34" ht="20.100000000000001" customHeight="1" x14ac:dyDescent="0.2">
      <c r="D128" s="90" t="s">
        <v>433</v>
      </c>
      <c r="E128" s="91" t="e">
        <f ca="1">SUM(E123:N126)</f>
        <v>#N/A</v>
      </c>
      <c r="F128" s="95" t="str">
        <f>$E$98</f>
        <v>t CH4</v>
      </c>
      <c r="Q128" s="16"/>
      <c r="U128" s="15" t="str">
        <f>TEXT(EDATE(X_Cell_Site_StartDate,11), "mmmm")</f>
        <v>November</v>
      </c>
      <c r="V128" s="15">
        <f ca="1"/>
        <v>0</v>
      </c>
      <c r="W128" s="15">
        <f ca="1"/>
        <v>0</v>
      </c>
      <c r="X128" s="15">
        <f ca="1"/>
        <v>0</v>
      </c>
      <c r="Y128" s="15">
        <f ca="1"/>
        <v>0</v>
      </c>
      <c r="Z128" s="15">
        <f ca="1"/>
        <v>0</v>
      </c>
      <c r="AA128" s="15">
        <f ca="1"/>
        <v>0</v>
      </c>
      <c r="AB128" s="15">
        <f ca="1"/>
        <v>0</v>
      </c>
      <c r="AC128" s="15">
        <f ca="1"/>
        <v>0</v>
      </c>
      <c r="AD128" s="15">
        <f ca="1"/>
        <v>0</v>
      </c>
      <c r="AE128" s="15">
        <f ca="1"/>
        <v>0</v>
      </c>
      <c r="AF128" s="16"/>
    </row>
    <row r="129" spans="4:34" ht="20.100000000000001" customHeight="1" x14ac:dyDescent="0.2">
      <c r="Q129" s="16"/>
    </row>
    <row r="130" spans="4:34" ht="20.100000000000001" customHeight="1" x14ac:dyDescent="0.2">
      <c r="D130" s="116" t="str" cm="1">
        <f t="array" ref="D130:E131">Common_Equations.Common_ConvertCH4ToCO2e_Arguments()</f>
        <v>ECH4</v>
      </c>
      <c r="E130" s="117" t="str">
        <v>Methane emissions (t CH4)</v>
      </c>
      <c r="F130" s="118"/>
      <c r="G130" s="15" t="e">
        <f ca="1">VEERG_3_2_1_1__1_TotalAnnualMethaneFromEntericFermentation_Result_Method1</f>
        <v>#N/A</v>
      </c>
      <c r="Q130" s="16"/>
      <c r="U130" s="112" t="s">
        <v>430</v>
      </c>
    </row>
    <row r="131" spans="4:34" ht="20.100000000000001" customHeight="1" x14ac:dyDescent="0.2">
      <c r="D131" s="116" t="str">
        <v>GWPCH4</v>
      </c>
      <c r="E131" s="117" t="str">
        <v>Global warming potential for methane (t CO2-e / t CH4)</v>
      </c>
      <c r="F131" s="118"/>
      <c r="G131" s="15">
        <f>Common_InputFunctions.Utility_LookupValueInTableNumber("CH4",Table_GWPData[Gas],Table_GWPData[CO2-e factor])</f>
        <v>28</v>
      </c>
      <c r="U131" s="113" t="s">
        <v>432</v>
      </c>
      <c r="AH131" s="16"/>
    </row>
    <row r="132" spans="4:34" ht="20.100000000000001" customHeight="1" x14ac:dyDescent="0.2">
      <c r="U132" s="114" t="s">
        <v>75</v>
      </c>
      <c r="V132" s="82" t="s">
        <v>326</v>
      </c>
      <c r="W132" s="82" t="s">
        <v>184</v>
      </c>
      <c r="X132" s="82" t="s">
        <v>327</v>
      </c>
      <c r="Y132" s="82" t="s">
        <v>328</v>
      </c>
      <c r="Z132" s="82" t="s">
        <v>329</v>
      </c>
      <c r="AA132" s="82" t="s">
        <v>330</v>
      </c>
      <c r="AB132" s="82" t="s">
        <v>331</v>
      </c>
      <c r="AC132" s="82" t="s">
        <v>332</v>
      </c>
      <c r="AD132" s="82" t="s">
        <v>333</v>
      </c>
      <c r="AE132" s="82" t="s">
        <v>334</v>
      </c>
      <c r="AF132" s="16"/>
      <c r="AH132" s="16"/>
    </row>
    <row r="133" spans="4:34" ht="20.100000000000001" customHeight="1" x14ac:dyDescent="0.2">
      <c r="D133" s="87" t="s">
        <v>435</v>
      </c>
      <c r="E133" s="87" t="e" cm="1">
        <f t="array" aca="1" ref="E133" ca="1">Common_Equations.Common_ConvertN2OToCO2e(G130,G131)</f>
        <v>#N/A</v>
      </c>
      <c r="F133" s="94" t="str" cm="1">
        <f t="array" ref="F133">Common_Equations.Common_ConvertN2OToCO2e_Unit()</f>
        <v>t CO2e</v>
      </c>
      <c r="U133" s="15" t="str">
        <f>TEXT(X_Cell_Site_StartDate,"mmmm")</f>
        <v>January</v>
      </c>
      <c r="V133" s="15" cm="1">
        <f t="array" aca="1" ref="V133:AE144" ca="1">OFFSET(X_Table_PastureBeef_Duration_Method2,1,1,12,10)</f>
        <v>31</v>
      </c>
      <c r="W133" s="15">
        <f ca="1"/>
        <v>31</v>
      </c>
      <c r="X133" s="15">
        <f ca="1"/>
        <v>31</v>
      </c>
      <c r="Y133" s="15">
        <f ca="1"/>
        <v>31</v>
      </c>
      <c r="Z133" s="15">
        <f ca="1"/>
        <v>31</v>
      </c>
      <c r="AA133" s="15">
        <f ca="1"/>
        <v>31</v>
      </c>
      <c r="AB133" s="15">
        <f ca="1"/>
        <v>31</v>
      </c>
      <c r="AC133" s="15">
        <f ca="1"/>
        <v>31</v>
      </c>
      <c r="AD133" s="15">
        <f ca="1"/>
        <v>31</v>
      </c>
      <c r="AE133" s="15">
        <f ca="1"/>
        <v>31</v>
      </c>
      <c r="AF133" s="16" t="str">
        <f>$G$100</f>
        <v>days</v>
      </c>
      <c r="AH133" s="16"/>
    </row>
    <row r="134" spans="4:34" ht="20.100000000000001" customHeight="1" x14ac:dyDescent="0.2">
      <c r="U134" s="15" t="str">
        <f>TEXT(EDATE(X_Cell_Site_StartDate,1), "mmmm")</f>
        <v>January</v>
      </c>
      <c r="V134" s="15">
        <f ca="1"/>
        <v>31</v>
      </c>
      <c r="W134" s="15">
        <f ca="1"/>
        <v>31</v>
      </c>
      <c r="X134" s="15">
        <f ca="1"/>
        <v>31</v>
      </c>
      <c r="Y134" s="15">
        <f ca="1"/>
        <v>31</v>
      </c>
      <c r="Z134" s="15">
        <f ca="1"/>
        <v>31</v>
      </c>
      <c r="AA134" s="15">
        <f ca="1"/>
        <v>31</v>
      </c>
      <c r="AB134" s="15">
        <f ca="1"/>
        <v>31</v>
      </c>
      <c r="AC134" s="15">
        <f ca="1"/>
        <v>31</v>
      </c>
      <c r="AD134" s="15">
        <f ca="1"/>
        <v>31</v>
      </c>
      <c r="AE134" s="15">
        <f ca="1"/>
        <v>31</v>
      </c>
      <c r="AF134" s="16"/>
      <c r="AH134" s="16"/>
    </row>
    <row r="135" spans="4:34" ht="20.100000000000001" customHeight="1" x14ac:dyDescent="0.2">
      <c r="U135" s="15" t="str">
        <f>TEXT(EDATE(X_Cell_Site_StartDate,2), "mmmm")</f>
        <v>February</v>
      </c>
      <c r="V135" s="15">
        <f ca="1"/>
        <v>28</v>
      </c>
      <c r="W135" s="15">
        <f ca="1"/>
        <v>28</v>
      </c>
      <c r="X135" s="15">
        <f ca="1"/>
        <v>28</v>
      </c>
      <c r="Y135" s="15">
        <f ca="1"/>
        <v>28</v>
      </c>
      <c r="Z135" s="15">
        <f ca="1"/>
        <v>28</v>
      </c>
      <c r="AA135" s="15">
        <f ca="1"/>
        <v>28</v>
      </c>
      <c r="AB135" s="15">
        <f ca="1"/>
        <v>28</v>
      </c>
      <c r="AC135" s="15">
        <f ca="1"/>
        <v>28</v>
      </c>
      <c r="AD135" s="15">
        <f ca="1"/>
        <v>28</v>
      </c>
      <c r="AE135" s="15">
        <f ca="1"/>
        <v>28</v>
      </c>
      <c r="AF135" s="16"/>
      <c r="AH135" s="16"/>
    </row>
    <row r="136" spans="4:34" ht="20.100000000000001" customHeight="1" x14ac:dyDescent="0.2">
      <c r="U136" s="15" t="str">
        <f>TEXT(EDATE(X_Cell_Site_StartDate,3), "mmmm")</f>
        <v>March</v>
      </c>
      <c r="V136" s="15">
        <f ca="1"/>
        <v>31</v>
      </c>
      <c r="W136" s="15">
        <f ca="1"/>
        <v>31</v>
      </c>
      <c r="X136" s="15">
        <f ca="1"/>
        <v>31</v>
      </c>
      <c r="Y136" s="15">
        <f ca="1"/>
        <v>31</v>
      </c>
      <c r="Z136" s="15">
        <f ca="1"/>
        <v>31</v>
      </c>
      <c r="AA136" s="15">
        <f ca="1"/>
        <v>31</v>
      </c>
      <c r="AB136" s="15">
        <f ca="1"/>
        <v>31</v>
      </c>
      <c r="AC136" s="15">
        <f ca="1"/>
        <v>31</v>
      </c>
      <c r="AD136" s="15">
        <f ca="1"/>
        <v>31</v>
      </c>
      <c r="AE136" s="15">
        <f ca="1"/>
        <v>31</v>
      </c>
      <c r="AF136" s="16"/>
      <c r="AH136" s="16"/>
    </row>
    <row r="137" spans="4:34" ht="20.100000000000001" customHeight="1" x14ac:dyDescent="0.2">
      <c r="U137" s="15" t="str">
        <f>TEXT(EDATE(X_Cell_Site_StartDate,4), "mmmm")</f>
        <v>April</v>
      </c>
      <c r="V137" s="15">
        <f ca="1"/>
        <v>30</v>
      </c>
      <c r="W137" s="15">
        <f ca="1"/>
        <v>30</v>
      </c>
      <c r="X137" s="15">
        <f ca="1"/>
        <v>30</v>
      </c>
      <c r="Y137" s="15">
        <f ca="1"/>
        <v>30</v>
      </c>
      <c r="Z137" s="15">
        <f ca="1"/>
        <v>30</v>
      </c>
      <c r="AA137" s="15">
        <f ca="1"/>
        <v>30</v>
      </c>
      <c r="AB137" s="15">
        <f ca="1"/>
        <v>30</v>
      </c>
      <c r="AC137" s="15">
        <f ca="1"/>
        <v>30</v>
      </c>
      <c r="AD137" s="15">
        <f ca="1"/>
        <v>30</v>
      </c>
      <c r="AE137" s="15">
        <f ca="1"/>
        <v>30</v>
      </c>
      <c r="AF137" s="16"/>
      <c r="AH137" s="16"/>
    </row>
    <row r="138" spans="4:34" ht="20.100000000000001" customHeight="1" x14ac:dyDescent="0.2">
      <c r="U138" s="15" t="str">
        <f>TEXT(EDATE(X_Cell_Site_StartDate,5), "mmmm")</f>
        <v>May</v>
      </c>
      <c r="V138" s="15">
        <f ca="1"/>
        <v>31</v>
      </c>
      <c r="W138" s="15">
        <f ca="1"/>
        <v>31</v>
      </c>
      <c r="X138" s="15">
        <f ca="1"/>
        <v>31</v>
      </c>
      <c r="Y138" s="15">
        <f ca="1"/>
        <v>31</v>
      </c>
      <c r="Z138" s="15">
        <f ca="1"/>
        <v>31</v>
      </c>
      <c r="AA138" s="15">
        <f ca="1"/>
        <v>31</v>
      </c>
      <c r="AB138" s="15">
        <f ca="1"/>
        <v>31</v>
      </c>
      <c r="AC138" s="15">
        <f ca="1"/>
        <v>31</v>
      </c>
      <c r="AD138" s="15">
        <f ca="1"/>
        <v>31</v>
      </c>
      <c r="AE138" s="15">
        <f ca="1"/>
        <v>31</v>
      </c>
      <c r="AF138" s="16"/>
      <c r="AH138" s="16"/>
    </row>
    <row r="139" spans="4:34" ht="20.100000000000001" customHeight="1" x14ac:dyDescent="0.2">
      <c r="U139" s="15" t="str">
        <f>TEXT(EDATE(X_Cell_Site_StartDate,6), "mmmm")</f>
        <v>June</v>
      </c>
      <c r="V139" s="15">
        <f ca="1"/>
        <v>30</v>
      </c>
      <c r="W139" s="15">
        <f ca="1"/>
        <v>30</v>
      </c>
      <c r="X139" s="15">
        <f ca="1"/>
        <v>30</v>
      </c>
      <c r="Y139" s="15">
        <f ca="1"/>
        <v>30</v>
      </c>
      <c r="Z139" s="15">
        <f ca="1"/>
        <v>30</v>
      </c>
      <c r="AA139" s="15">
        <f ca="1"/>
        <v>30</v>
      </c>
      <c r="AB139" s="15">
        <f ca="1"/>
        <v>30</v>
      </c>
      <c r="AC139" s="15">
        <f ca="1"/>
        <v>30</v>
      </c>
      <c r="AD139" s="15">
        <f ca="1"/>
        <v>30</v>
      </c>
      <c r="AE139" s="15">
        <f ca="1"/>
        <v>30</v>
      </c>
      <c r="AF139" s="16"/>
      <c r="AH139" s="16"/>
    </row>
    <row r="140" spans="4:34" ht="20.100000000000001" customHeight="1" x14ac:dyDescent="0.2">
      <c r="U140" s="15" t="str">
        <f>TEXT(EDATE(X_Cell_Site_StartDate,7), "mmmm")</f>
        <v>July</v>
      </c>
      <c r="V140" s="15">
        <f ca="1"/>
        <v>31</v>
      </c>
      <c r="W140" s="15">
        <f ca="1"/>
        <v>31</v>
      </c>
      <c r="X140" s="15">
        <f ca="1"/>
        <v>31</v>
      </c>
      <c r="Y140" s="15">
        <f ca="1"/>
        <v>31</v>
      </c>
      <c r="Z140" s="15">
        <f ca="1"/>
        <v>31</v>
      </c>
      <c r="AA140" s="15">
        <f ca="1"/>
        <v>31</v>
      </c>
      <c r="AB140" s="15">
        <f ca="1"/>
        <v>31</v>
      </c>
      <c r="AC140" s="15">
        <f ca="1"/>
        <v>31</v>
      </c>
      <c r="AD140" s="15">
        <f ca="1"/>
        <v>31</v>
      </c>
      <c r="AE140" s="15">
        <f ca="1"/>
        <v>31</v>
      </c>
      <c r="AF140" s="16"/>
      <c r="AH140" s="16"/>
    </row>
    <row r="141" spans="4:34" ht="20.100000000000001" customHeight="1" x14ac:dyDescent="0.2">
      <c r="U141" s="15" t="str">
        <f>TEXT(EDATE(X_Cell_Site_StartDate,8), "mmmm")</f>
        <v>August</v>
      </c>
      <c r="V141" s="15">
        <f ca="1"/>
        <v>31</v>
      </c>
      <c r="W141" s="15">
        <f ca="1"/>
        <v>31</v>
      </c>
      <c r="X141" s="15">
        <f ca="1"/>
        <v>31</v>
      </c>
      <c r="Y141" s="15">
        <f ca="1"/>
        <v>31</v>
      </c>
      <c r="Z141" s="15">
        <f ca="1"/>
        <v>31</v>
      </c>
      <c r="AA141" s="15">
        <f ca="1"/>
        <v>31</v>
      </c>
      <c r="AB141" s="15">
        <f ca="1"/>
        <v>31</v>
      </c>
      <c r="AC141" s="15">
        <f ca="1"/>
        <v>31</v>
      </c>
      <c r="AD141" s="15">
        <f ca="1"/>
        <v>31</v>
      </c>
      <c r="AE141" s="15">
        <f ca="1"/>
        <v>31</v>
      </c>
      <c r="AF141" s="16"/>
      <c r="AH141" s="16"/>
    </row>
    <row r="142" spans="4:34" ht="20.100000000000001" customHeight="1" x14ac:dyDescent="0.2">
      <c r="U142" s="15" t="str">
        <f>TEXT(EDATE(X_Cell_Site_StartDate,9), "mmmm")</f>
        <v>September</v>
      </c>
      <c r="V142" s="15">
        <f ca="1"/>
        <v>30</v>
      </c>
      <c r="W142" s="15">
        <f ca="1"/>
        <v>30</v>
      </c>
      <c r="X142" s="15">
        <f ca="1"/>
        <v>30</v>
      </c>
      <c r="Y142" s="15">
        <f ca="1"/>
        <v>30</v>
      </c>
      <c r="Z142" s="15">
        <f ca="1"/>
        <v>30</v>
      </c>
      <c r="AA142" s="15">
        <f ca="1"/>
        <v>30</v>
      </c>
      <c r="AB142" s="15">
        <f ca="1"/>
        <v>30</v>
      </c>
      <c r="AC142" s="15">
        <f ca="1"/>
        <v>30</v>
      </c>
      <c r="AD142" s="15">
        <f ca="1"/>
        <v>30</v>
      </c>
      <c r="AE142" s="15">
        <f ca="1"/>
        <v>30</v>
      </c>
      <c r="AF142" s="16"/>
      <c r="AH142" s="16"/>
    </row>
    <row r="143" spans="4:34" ht="20.100000000000001" customHeight="1" x14ac:dyDescent="0.2">
      <c r="U143" s="15" t="str">
        <f>TEXT(EDATE(X_Cell_Site_StartDate,10), "mmmm")</f>
        <v>October</v>
      </c>
      <c r="V143" s="15">
        <f ca="1"/>
        <v>31</v>
      </c>
      <c r="W143" s="15">
        <f ca="1"/>
        <v>31</v>
      </c>
      <c r="X143" s="15">
        <f ca="1"/>
        <v>31</v>
      </c>
      <c r="Y143" s="15">
        <f ca="1"/>
        <v>31</v>
      </c>
      <c r="Z143" s="15">
        <f ca="1"/>
        <v>31</v>
      </c>
      <c r="AA143" s="15">
        <f ca="1"/>
        <v>31</v>
      </c>
      <c r="AB143" s="15">
        <f ca="1"/>
        <v>31</v>
      </c>
      <c r="AC143" s="15">
        <f ca="1"/>
        <v>31</v>
      </c>
      <c r="AD143" s="15">
        <f ca="1"/>
        <v>31</v>
      </c>
      <c r="AE143" s="15">
        <f ca="1"/>
        <v>31</v>
      </c>
      <c r="AF143" s="16"/>
    </row>
    <row r="144" spans="4:34" ht="20.100000000000001" customHeight="1" x14ac:dyDescent="0.2">
      <c r="U144" s="15" t="str">
        <f>TEXT(EDATE(X_Cell_Site_StartDate,11), "mmmm")</f>
        <v>November</v>
      </c>
      <c r="V144" s="15">
        <f ca="1"/>
        <v>30</v>
      </c>
      <c r="W144" s="15">
        <f ca="1"/>
        <v>30</v>
      </c>
      <c r="X144" s="15">
        <f ca="1"/>
        <v>30</v>
      </c>
      <c r="Y144" s="15">
        <f ca="1"/>
        <v>30</v>
      </c>
      <c r="Z144" s="15">
        <f ca="1"/>
        <v>30</v>
      </c>
      <c r="AA144" s="15">
        <f ca="1"/>
        <v>30</v>
      </c>
      <c r="AB144" s="15">
        <f ca="1"/>
        <v>30</v>
      </c>
      <c r="AC144" s="15">
        <f ca="1"/>
        <v>30</v>
      </c>
      <c r="AD144" s="15">
        <f ca="1"/>
        <v>30</v>
      </c>
      <c r="AE144" s="15">
        <f ca="1"/>
        <v>30</v>
      </c>
      <c r="AF144" s="16"/>
    </row>
    <row r="146" spans="21:32" ht="20.100000000000001" customHeight="1" x14ac:dyDescent="0.2">
      <c r="U146" s="112" t="s">
        <v>576</v>
      </c>
    </row>
    <row r="147" spans="21:32" ht="20.100000000000001" customHeight="1" x14ac:dyDescent="0.2">
      <c r="U147" s="113" t="s">
        <v>577</v>
      </c>
    </row>
    <row r="148" spans="21:32" ht="20.100000000000001" customHeight="1" x14ac:dyDescent="0.2">
      <c r="U148" s="114" t="s">
        <v>75</v>
      </c>
      <c r="V148" s="114" t="s">
        <v>326</v>
      </c>
      <c r="W148" s="114" t="s">
        <v>184</v>
      </c>
      <c r="X148" s="114" t="s">
        <v>327</v>
      </c>
      <c r="Y148" s="114" t="s">
        <v>328</v>
      </c>
      <c r="Z148" s="114" t="s">
        <v>329</v>
      </c>
      <c r="AA148" s="114" t="s">
        <v>330</v>
      </c>
      <c r="AB148" s="114" t="s">
        <v>331</v>
      </c>
      <c r="AC148" s="114" t="s">
        <v>332</v>
      </c>
      <c r="AD148" s="114" t="s">
        <v>333</v>
      </c>
      <c r="AE148" s="114" t="s">
        <v>334</v>
      </c>
    </row>
    <row r="149" spans="21:32" ht="20.100000000000001" customHeight="1" x14ac:dyDescent="0.2">
      <c r="U149" s="15" t="str">
        <f t="shared" ref="U149:U160" si="3">U133</f>
        <v>January</v>
      </c>
      <c r="V149" s="15" t="e">
        <f ca="1">((V133 * V97 * V117) * 10 ^ -3)</f>
        <v>#N/A</v>
      </c>
      <c r="W149" s="15" t="e">
        <f ca="1">((W133 * W97 * W117) * 10 ^ -3)</f>
        <v>#N/A</v>
      </c>
      <c r="X149" s="15" t="e">
        <f ca="1">((X133 * X97 * X117) * 10 ^ -3)</f>
        <v>#N/A</v>
      </c>
      <c r="Y149" s="15" t="e">
        <f ca="1">((Y133 * Y97 * Y117) * 10 ^ -3)</f>
        <v>#N/A</v>
      </c>
      <c r="Z149" s="15" t="e">
        <f ca="1">((Z133 * Z97 * Z117) * 10 ^ -3)</f>
        <v>#N/A</v>
      </c>
      <c r="AA149" s="15" t="e">
        <f ca="1">((AA133 * AA97 * AA117) * 10 ^ -3)</f>
        <v>#N/A</v>
      </c>
      <c r="AB149" s="15" t="e">
        <f ca="1">((AB133 * AB97 * AB117) * 10 ^ -3)</f>
        <v>#N/A</v>
      </c>
      <c r="AC149" s="15" t="e">
        <f ca="1">((AC133 * AC97 * AC117) * 10 ^ -3)</f>
        <v>#N/A</v>
      </c>
      <c r="AD149" s="15" t="e">
        <f ca="1">((AD133 * AD97 * AD117) * 10 ^ -3)</f>
        <v>#N/A</v>
      </c>
      <c r="AE149" s="15" t="e">
        <f ca="1">((AE133 * AE97 * AE117) * 10 ^ -3)</f>
        <v>#N/A</v>
      </c>
      <c r="AF149" s="16" t="str">
        <f>$E$98</f>
        <v>t CH4</v>
      </c>
    </row>
    <row r="150" spans="21:32" ht="20.100000000000001" customHeight="1" x14ac:dyDescent="0.2">
      <c r="U150" s="15" t="str">
        <f t="shared" si="3"/>
        <v>January</v>
      </c>
      <c r="V150" s="15" t="e">
        <f ca="1">((V134 * V98 * V118) * 10 ^ -3)</f>
        <v>#N/A</v>
      </c>
      <c r="W150" s="15" t="e">
        <f ca="1">((W134 * W98 * W118) * 10 ^ -3)</f>
        <v>#N/A</v>
      </c>
      <c r="X150" s="15" t="e">
        <f ca="1">((X134 * X98 * X118) * 10 ^ -3)</f>
        <v>#N/A</v>
      </c>
      <c r="Y150" s="15" t="e">
        <f ca="1">((Y134 * Y98 * Y118) * 10 ^ -3)</f>
        <v>#N/A</v>
      </c>
      <c r="Z150" s="15" t="e">
        <f ca="1">((Z134 * Z98 * Z118) * 10 ^ -3)</f>
        <v>#N/A</v>
      </c>
      <c r="AA150" s="15" t="e">
        <f ca="1">((AA134 * AA98 * AA118) * 10 ^ -3)</f>
        <v>#N/A</v>
      </c>
      <c r="AB150" s="15" t="e">
        <f ca="1">((AB134 * AB98 * AB118) * 10 ^ -3)</f>
        <v>#N/A</v>
      </c>
      <c r="AC150" s="15" t="e">
        <f ca="1">((AC134 * AC98 * AC118) * 10 ^ -3)</f>
        <v>#N/A</v>
      </c>
      <c r="AD150" s="15" t="e">
        <f ca="1">((AD134 * AD98 * AD118) * 10 ^ -3)</f>
        <v>#N/A</v>
      </c>
      <c r="AE150" s="15" t="e">
        <f ca="1">((AE134 * AE98 * AE118) * 10 ^ -3)</f>
        <v>#N/A</v>
      </c>
      <c r="AF150" s="16"/>
    </row>
    <row r="151" spans="21:32" ht="20.100000000000001" customHeight="1" x14ac:dyDescent="0.2">
      <c r="U151" s="15" t="str">
        <f t="shared" si="3"/>
        <v>February</v>
      </c>
      <c r="V151" s="15" t="e">
        <f ca="1">((V135 * V99 * V119) * 10 ^ -3)</f>
        <v>#N/A</v>
      </c>
      <c r="W151" s="15" t="e">
        <f ca="1">((W135 * W99 * W119) * 10 ^ -3)</f>
        <v>#N/A</v>
      </c>
      <c r="X151" s="15" t="e">
        <f ca="1">((X135 * X99 * X119) * 10 ^ -3)</f>
        <v>#N/A</v>
      </c>
      <c r="Y151" s="15" t="e">
        <f ca="1">((Y135 * Y99 * Y119) * 10 ^ -3)</f>
        <v>#N/A</v>
      </c>
      <c r="Z151" s="15" t="e">
        <f ca="1">((Z135 * Z99 * Z119) * 10 ^ -3)</f>
        <v>#N/A</v>
      </c>
      <c r="AA151" s="15" t="e">
        <f ca="1">((AA135 * AA99 * AA119) * 10 ^ -3)</f>
        <v>#N/A</v>
      </c>
      <c r="AB151" s="15" t="e">
        <f ca="1">((AB135 * AB99 * AB119) * 10 ^ -3)</f>
        <v>#N/A</v>
      </c>
      <c r="AC151" s="15" t="e">
        <f ca="1">((AC135 * AC99 * AC119) * 10 ^ -3)</f>
        <v>#N/A</v>
      </c>
      <c r="AD151" s="15" t="e">
        <f ca="1">((AD135 * AD99 * AD119) * 10 ^ -3)</f>
        <v>#N/A</v>
      </c>
      <c r="AE151" s="15" t="e">
        <f ca="1">((AE135 * AE99 * AE119) * 10 ^ -3)</f>
        <v>#N/A</v>
      </c>
      <c r="AF151" s="16"/>
    </row>
    <row r="152" spans="21:32" ht="20.100000000000001" customHeight="1" x14ac:dyDescent="0.2">
      <c r="U152" s="15" t="str">
        <f t="shared" si="3"/>
        <v>March</v>
      </c>
      <c r="V152" s="15" t="e">
        <f ca="1">((V136 * V100 * V120) * 10 ^ -3)</f>
        <v>#N/A</v>
      </c>
      <c r="W152" s="15" t="e">
        <f ca="1">((W136 * W100 * W120) * 10 ^ -3)</f>
        <v>#N/A</v>
      </c>
      <c r="X152" s="15" t="e">
        <f ca="1">((X136 * X100 * X120) * 10 ^ -3)</f>
        <v>#N/A</v>
      </c>
      <c r="Y152" s="15" t="e">
        <f ca="1">((Y136 * Y100 * Y120) * 10 ^ -3)</f>
        <v>#N/A</v>
      </c>
      <c r="Z152" s="15" t="e">
        <f ca="1">((Z136 * Z100 * Z120) * 10 ^ -3)</f>
        <v>#N/A</v>
      </c>
      <c r="AA152" s="15" t="e">
        <f ca="1">((AA136 * AA100 * AA120) * 10 ^ -3)</f>
        <v>#N/A</v>
      </c>
      <c r="AB152" s="15" t="e">
        <f ca="1">((AB136 * AB100 * AB120) * 10 ^ -3)</f>
        <v>#N/A</v>
      </c>
      <c r="AC152" s="15" t="e">
        <f ca="1">((AC136 * AC100 * AC120) * 10 ^ -3)</f>
        <v>#N/A</v>
      </c>
      <c r="AD152" s="15" t="e">
        <f ca="1">((AD136 * AD100 * AD120) * 10 ^ -3)</f>
        <v>#N/A</v>
      </c>
      <c r="AE152" s="15" t="e">
        <f ca="1">((AE136 * AE100 * AE120) * 10 ^ -3)</f>
        <v>#N/A</v>
      </c>
      <c r="AF152" s="16"/>
    </row>
    <row r="153" spans="21:32" ht="20.100000000000001" customHeight="1" x14ac:dyDescent="0.2">
      <c r="U153" s="15" t="str">
        <f t="shared" si="3"/>
        <v>April</v>
      </c>
      <c r="V153" s="15" t="e">
        <f ca="1">((V137 * V101 * V121) * 10 ^ -3)</f>
        <v>#N/A</v>
      </c>
      <c r="W153" s="15" t="e">
        <f ca="1">((W137 * W101 * W121) * 10 ^ -3)</f>
        <v>#N/A</v>
      </c>
      <c r="X153" s="15" t="e">
        <f ca="1">((X137 * X101 * X121) * 10 ^ -3)</f>
        <v>#N/A</v>
      </c>
      <c r="Y153" s="15" t="e">
        <f ca="1">((Y137 * Y101 * Y121) * 10 ^ -3)</f>
        <v>#N/A</v>
      </c>
      <c r="Z153" s="15" t="e">
        <f ca="1">((Z137 * Z101 * Z121) * 10 ^ -3)</f>
        <v>#N/A</v>
      </c>
      <c r="AA153" s="15" t="e">
        <f ca="1">((AA137 * AA101 * AA121) * 10 ^ -3)</f>
        <v>#N/A</v>
      </c>
      <c r="AB153" s="15" t="e">
        <f ca="1">((AB137 * AB101 * AB121) * 10 ^ -3)</f>
        <v>#N/A</v>
      </c>
      <c r="AC153" s="15" t="e">
        <f ca="1">((AC137 * AC101 * AC121) * 10 ^ -3)</f>
        <v>#N/A</v>
      </c>
      <c r="AD153" s="15" t="e">
        <f ca="1">((AD137 * AD101 * AD121) * 10 ^ -3)</f>
        <v>#N/A</v>
      </c>
      <c r="AE153" s="15" t="e">
        <f ca="1">((AE137 * AE101 * AE121) * 10 ^ -3)</f>
        <v>#N/A</v>
      </c>
      <c r="AF153" s="16"/>
    </row>
    <row r="154" spans="21:32" ht="20.100000000000001" customHeight="1" x14ac:dyDescent="0.2">
      <c r="U154" s="15" t="str">
        <f t="shared" si="3"/>
        <v>May</v>
      </c>
      <c r="V154" s="15" t="e">
        <f ca="1">((V138 * V102 * V122) * 10 ^ -3)</f>
        <v>#N/A</v>
      </c>
      <c r="W154" s="15" t="e">
        <f ca="1">((W138 * W102 * W122) * 10 ^ -3)</f>
        <v>#N/A</v>
      </c>
      <c r="X154" s="15" t="e">
        <f ca="1">((X138 * X102 * X122) * 10 ^ -3)</f>
        <v>#N/A</v>
      </c>
      <c r="Y154" s="15" t="e">
        <f ca="1">((Y138 * Y102 * Y122) * 10 ^ -3)</f>
        <v>#N/A</v>
      </c>
      <c r="Z154" s="15" t="e">
        <f ca="1">((Z138 * Z102 * Z122) * 10 ^ -3)</f>
        <v>#N/A</v>
      </c>
      <c r="AA154" s="15" t="e">
        <f ca="1">((AA138 * AA102 * AA122) * 10 ^ -3)</f>
        <v>#N/A</v>
      </c>
      <c r="AB154" s="15" t="e">
        <f ca="1">((AB138 * AB102 * AB122) * 10 ^ -3)</f>
        <v>#N/A</v>
      </c>
      <c r="AC154" s="15" t="e">
        <f ca="1">((AC138 * AC102 * AC122) * 10 ^ -3)</f>
        <v>#N/A</v>
      </c>
      <c r="AD154" s="15" t="e">
        <f ca="1">((AD138 * AD102 * AD122) * 10 ^ -3)</f>
        <v>#N/A</v>
      </c>
      <c r="AE154" s="15" t="e">
        <f ca="1">((AE138 * AE102 * AE122) * 10 ^ -3)</f>
        <v>#N/A</v>
      </c>
      <c r="AF154" s="16"/>
    </row>
    <row r="155" spans="21:32" ht="20.100000000000001" customHeight="1" x14ac:dyDescent="0.2">
      <c r="U155" s="15" t="str">
        <f t="shared" si="3"/>
        <v>June</v>
      </c>
      <c r="V155" s="15" t="e">
        <f ca="1">((V139 * V103 * V123) * 10 ^ -3)</f>
        <v>#N/A</v>
      </c>
      <c r="W155" s="15" t="e">
        <f ca="1">((W139 * W103 * W123) * 10 ^ -3)</f>
        <v>#N/A</v>
      </c>
      <c r="X155" s="15" t="e">
        <f ca="1">((X139 * X103 * X123) * 10 ^ -3)</f>
        <v>#N/A</v>
      </c>
      <c r="Y155" s="15" t="e">
        <f ca="1">((Y139 * Y103 * Y123) * 10 ^ -3)</f>
        <v>#N/A</v>
      </c>
      <c r="Z155" s="15" t="e">
        <f ca="1">((Z139 * Z103 * Z123) * 10 ^ -3)</f>
        <v>#N/A</v>
      </c>
      <c r="AA155" s="15" t="e">
        <f ca="1">((AA139 * AA103 * AA123) * 10 ^ -3)</f>
        <v>#N/A</v>
      </c>
      <c r="AB155" s="15" t="e">
        <f ca="1">((AB139 * AB103 * AB123) * 10 ^ -3)</f>
        <v>#N/A</v>
      </c>
      <c r="AC155" s="15" t="e">
        <f ca="1">((AC139 * AC103 * AC123) * 10 ^ -3)</f>
        <v>#N/A</v>
      </c>
      <c r="AD155" s="15" t="e">
        <f ca="1">((AD139 * AD103 * AD123) * 10 ^ -3)</f>
        <v>#N/A</v>
      </c>
      <c r="AE155" s="15" t="e">
        <f ca="1">((AE139 * AE103 * AE123) * 10 ^ -3)</f>
        <v>#N/A</v>
      </c>
      <c r="AF155" s="16"/>
    </row>
    <row r="156" spans="21:32" ht="20.100000000000001" customHeight="1" x14ac:dyDescent="0.2">
      <c r="U156" s="15" t="str">
        <f t="shared" si="3"/>
        <v>July</v>
      </c>
      <c r="V156" s="15" t="e">
        <f ca="1">((V140 * V104 * V124) * 10 ^ -3)</f>
        <v>#N/A</v>
      </c>
      <c r="W156" s="15" t="e">
        <f ca="1">((W140 * W104 * W124) * 10 ^ -3)</f>
        <v>#N/A</v>
      </c>
      <c r="X156" s="15" t="e">
        <f ca="1">((X140 * X104 * X124) * 10 ^ -3)</f>
        <v>#N/A</v>
      </c>
      <c r="Y156" s="15" t="e">
        <f ca="1">((Y140 * Y104 * Y124) * 10 ^ -3)</f>
        <v>#N/A</v>
      </c>
      <c r="Z156" s="15" t="e">
        <f ca="1">((Z140 * Z104 * Z124) * 10 ^ -3)</f>
        <v>#N/A</v>
      </c>
      <c r="AA156" s="15" t="e">
        <f ca="1">((AA140 * AA104 * AA124) * 10 ^ -3)</f>
        <v>#N/A</v>
      </c>
      <c r="AB156" s="15" t="e">
        <f ca="1">((AB140 * AB104 * AB124) * 10 ^ -3)</f>
        <v>#N/A</v>
      </c>
      <c r="AC156" s="15" t="e">
        <f ca="1">((AC140 * AC104 * AC124) * 10 ^ -3)</f>
        <v>#N/A</v>
      </c>
      <c r="AD156" s="15" t="e">
        <f ca="1">((AD140 * AD104 * AD124) * 10 ^ -3)</f>
        <v>#N/A</v>
      </c>
      <c r="AE156" s="15" t="e">
        <f ca="1">((AE140 * AE104 * AE124) * 10 ^ -3)</f>
        <v>#N/A</v>
      </c>
      <c r="AF156" s="16"/>
    </row>
    <row r="157" spans="21:32" ht="20.100000000000001" customHeight="1" x14ac:dyDescent="0.2">
      <c r="U157" s="15" t="str">
        <f t="shared" si="3"/>
        <v>August</v>
      </c>
      <c r="V157" s="15" t="e">
        <f ca="1">((V141 * V105 * V125) * 10 ^ -3)</f>
        <v>#N/A</v>
      </c>
      <c r="W157" s="15" t="e">
        <f ca="1">((W141 * W105 * W125) * 10 ^ -3)</f>
        <v>#N/A</v>
      </c>
      <c r="X157" s="15" t="e">
        <f ca="1">((X141 * X105 * X125) * 10 ^ -3)</f>
        <v>#N/A</v>
      </c>
      <c r="Y157" s="15" t="e">
        <f ca="1">((Y141 * Y105 * Y125) * 10 ^ -3)</f>
        <v>#N/A</v>
      </c>
      <c r="Z157" s="15" t="e">
        <f ca="1">((Z141 * Z105 * Z125) * 10 ^ -3)</f>
        <v>#N/A</v>
      </c>
      <c r="AA157" s="15" t="e">
        <f ca="1">((AA141 * AA105 * AA125) * 10 ^ -3)</f>
        <v>#N/A</v>
      </c>
      <c r="AB157" s="15" t="e">
        <f ca="1">((AB141 * AB105 * AB125) * 10 ^ -3)</f>
        <v>#N/A</v>
      </c>
      <c r="AC157" s="15" t="e">
        <f ca="1">((AC141 * AC105 * AC125) * 10 ^ -3)</f>
        <v>#N/A</v>
      </c>
      <c r="AD157" s="15" t="e">
        <f ca="1">((AD141 * AD105 * AD125) * 10 ^ -3)</f>
        <v>#N/A</v>
      </c>
      <c r="AE157" s="15" t="e">
        <f ca="1">((AE141 * AE105 * AE125) * 10 ^ -3)</f>
        <v>#N/A</v>
      </c>
      <c r="AF157" s="16"/>
    </row>
    <row r="158" spans="21:32" ht="20.100000000000001" customHeight="1" x14ac:dyDescent="0.2">
      <c r="U158" s="15" t="str">
        <f t="shared" si="3"/>
        <v>September</v>
      </c>
      <c r="V158" s="15" t="e">
        <f ca="1">((V142 * V106 * V126) * 10 ^ -3)</f>
        <v>#N/A</v>
      </c>
      <c r="W158" s="15" t="e">
        <f ca="1">((W142 * W106 * W126) * 10 ^ -3)</f>
        <v>#N/A</v>
      </c>
      <c r="X158" s="15" t="e">
        <f ca="1">((X142 * X106 * X126) * 10 ^ -3)</f>
        <v>#N/A</v>
      </c>
      <c r="Y158" s="15" t="e">
        <f ca="1">((Y142 * Y106 * Y126) * 10 ^ -3)</f>
        <v>#N/A</v>
      </c>
      <c r="Z158" s="15" t="e">
        <f ca="1">((Z142 * Z106 * Z126) * 10 ^ -3)</f>
        <v>#N/A</v>
      </c>
      <c r="AA158" s="15" t="e">
        <f ca="1">((AA142 * AA106 * AA126) * 10 ^ -3)</f>
        <v>#N/A</v>
      </c>
      <c r="AB158" s="15" t="e">
        <f ca="1">((AB142 * AB106 * AB126) * 10 ^ -3)</f>
        <v>#N/A</v>
      </c>
      <c r="AC158" s="15" t="e">
        <f ca="1">((AC142 * AC106 * AC126) * 10 ^ -3)</f>
        <v>#N/A</v>
      </c>
      <c r="AD158" s="15" t="e">
        <f ca="1">((AD142 * AD106 * AD126) * 10 ^ -3)</f>
        <v>#N/A</v>
      </c>
      <c r="AE158" s="15" t="e">
        <f ca="1">((AE142 * AE106 * AE126) * 10 ^ -3)</f>
        <v>#N/A</v>
      </c>
      <c r="AF158" s="16"/>
    </row>
    <row r="159" spans="21:32" ht="20.100000000000001" customHeight="1" x14ac:dyDescent="0.2">
      <c r="U159" s="15" t="str">
        <f t="shared" si="3"/>
        <v>October</v>
      </c>
      <c r="V159" s="15" t="e">
        <f ca="1">((V143 * V107 * V127) * 10 ^ -3)</f>
        <v>#N/A</v>
      </c>
      <c r="W159" s="15" t="e">
        <f ca="1">((W143 * W107 * W127) * 10 ^ -3)</f>
        <v>#N/A</v>
      </c>
      <c r="X159" s="15" t="e">
        <f ca="1">((X143 * X107 * X127) * 10 ^ -3)</f>
        <v>#N/A</v>
      </c>
      <c r="Y159" s="15" t="e">
        <f ca="1">((Y143 * Y107 * Y127) * 10 ^ -3)</f>
        <v>#N/A</v>
      </c>
      <c r="Z159" s="15" t="e">
        <f ca="1">((Z143 * Z107 * Z127) * 10 ^ -3)</f>
        <v>#N/A</v>
      </c>
      <c r="AA159" s="15" t="e">
        <f ca="1">((AA143 * AA107 * AA127) * 10 ^ -3)</f>
        <v>#N/A</v>
      </c>
      <c r="AB159" s="15" t="e">
        <f ca="1">((AB143 * AB107 * AB127) * 10 ^ -3)</f>
        <v>#N/A</v>
      </c>
      <c r="AC159" s="15" t="e">
        <f ca="1">((AC143 * AC107 * AC127) * 10 ^ -3)</f>
        <v>#N/A</v>
      </c>
      <c r="AD159" s="15" t="e">
        <f ca="1">((AD143 * AD107 * AD127) * 10 ^ -3)</f>
        <v>#N/A</v>
      </c>
      <c r="AE159" s="15" t="e">
        <f ca="1">((AE143 * AE107 * AE127) * 10 ^ -3)</f>
        <v>#N/A</v>
      </c>
      <c r="AF159" s="16"/>
    </row>
    <row r="160" spans="21:32" ht="20.100000000000001" customHeight="1" x14ac:dyDescent="0.2">
      <c r="U160" s="15" t="str">
        <f t="shared" si="3"/>
        <v>November</v>
      </c>
      <c r="V160" s="15" t="e">
        <f ca="1">((V144 * V108 * V128) * 10 ^ -3)</f>
        <v>#N/A</v>
      </c>
      <c r="W160" s="15" t="e">
        <f ca="1">((W144 * W108 * W128) * 10 ^ -3)</f>
        <v>#N/A</v>
      </c>
      <c r="X160" s="15" t="e">
        <f ca="1">((X144 * X108 * X128) * 10 ^ -3)</f>
        <v>#N/A</v>
      </c>
      <c r="Y160" s="15" t="e">
        <f ca="1">((Y144 * Y108 * Y128) * 10 ^ -3)</f>
        <v>#N/A</v>
      </c>
      <c r="Z160" s="15" t="e">
        <f ca="1">((Z144 * Z108 * Z128) * 10 ^ -3)</f>
        <v>#N/A</v>
      </c>
      <c r="AA160" s="15" t="e">
        <f ca="1">((AA144 * AA108 * AA128) * 10 ^ -3)</f>
        <v>#N/A</v>
      </c>
      <c r="AB160" s="15" t="e">
        <f ca="1">((AB144 * AB108 * AB128) * 10 ^ -3)</f>
        <v>#N/A</v>
      </c>
      <c r="AC160" s="15" t="e">
        <f ca="1">((AC144 * AC108 * AC128) * 10 ^ -3)</f>
        <v>#N/A</v>
      </c>
      <c r="AD160" s="15" t="e">
        <f ca="1">((AD144 * AD108 * AD128) * 10 ^ -3)</f>
        <v>#N/A</v>
      </c>
      <c r="AE160" s="15" t="e">
        <f ca="1">((AE144 * AE108 * AE128) * 10 ^ -3)</f>
        <v>#N/A</v>
      </c>
      <c r="AF160" s="16"/>
    </row>
    <row r="162" spans="21:24" ht="20.100000000000001" customHeight="1" x14ac:dyDescent="0.2">
      <c r="U162" s="90" t="s">
        <v>433</v>
      </c>
      <c r="V162" s="91" t="e">
        <f ca="1">SUM(V149:AE160)</f>
        <v>#N/A</v>
      </c>
      <c r="W162" s="95" t="str">
        <f>$E$98</f>
        <v>t CH4</v>
      </c>
    </row>
    <row r="164" spans="21:24" ht="20.100000000000001" customHeight="1" x14ac:dyDescent="0.2">
      <c r="U164" s="116" t="str" cm="1">
        <f t="array" ref="U164:V165">Common_Equations.Common_ConvertCH4ToCO2e_Arguments()</f>
        <v>ECH4</v>
      </c>
      <c r="V164" s="117" t="str">
        <v>Methane emissions (t CH4)</v>
      </c>
      <c r="W164" s="118"/>
      <c r="X164" s="15" t="e">
        <f ca="1">VEERG_3_2_1_1__1_TotalAnnualMethaneFromEntericFermentation_Result_Method2</f>
        <v>#N/A</v>
      </c>
    </row>
    <row r="165" spans="21:24" ht="20.100000000000001" customHeight="1" x14ac:dyDescent="0.2">
      <c r="U165" s="116" t="str">
        <v>GWPCH4</v>
      </c>
      <c r="V165" s="117" t="str">
        <v>Global warming potential for methane (t CO2-e / t CH4)</v>
      </c>
      <c r="W165" s="118"/>
      <c r="X165" s="15">
        <f>Common_InputFunctions.Utility_LookupValueInTableNumber("CH4",Table_GWPData[Gas],Table_GWPData[CO2-e factor])</f>
        <v>28</v>
      </c>
    </row>
    <row r="167" spans="21:24" ht="20.100000000000001" customHeight="1" x14ac:dyDescent="0.2">
      <c r="U167" s="87" t="s">
        <v>435</v>
      </c>
      <c r="V167" s="87" t="e" cm="1">
        <f t="array" aca="1" ref="V167" ca="1">Common_Equations.Common_ConvertN2OToCO2e(X164,X165)</f>
        <v>#N/A</v>
      </c>
      <c r="W167" s="94" t="str" cm="1">
        <f t="array" ref="W167">Common_Equations.Common_ConvertN2OToCO2e_Unit()</f>
        <v>t CO2e</v>
      </c>
    </row>
    <row r="177" spans="34:34" ht="20.100000000000001" customHeight="1" x14ac:dyDescent="0.2">
      <c r="AH177" s="16"/>
    </row>
    <row r="235" spans="17:17" ht="20.100000000000001" customHeight="1" x14ac:dyDescent="0.2">
      <c r="Q235" s="16"/>
    </row>
    <row r="236" spans="17:17" ht="20.100000000000001" customHeight="1" x14ac:dyDescent="0.2">
      <c r="Q236" s="16"/>
    </row>
    <row r="237" spans="17:17" ht="20.100000000000001" customHeight="1" x14ac:dyDescent="0.2">
      <c r="Q237" s="16"/>
    </row>
    <row r="238" spans="17:17" ht="20.100000000000001" customHeight="1" x14ac:dyDescent="0.2">
      <c r="Q238" s="16"/>
    </row>
    <row r="239" spans="17:17" ht="20.100000000000001" customHeight="1" x14ac:dyDescent="0.2">
      <c r="Q239" s="16"/>
    </row>
    <row r="240" spans="17:17" ht="20.100000000000001" customHeight="1" x14ac:dyDescent="0.2">
      <c r="Q240" s="16"/>
    </row>
    <row r="241" spans="17:34" ht="20.100000000000001" customHeight="1" x14ac:dyDescent="0.2">
      <c r="Q241" s="16"/>
    </row>
    <row r="242" spans="17:34" ht="20.100000000000001" customHeight="1" x14ac:dyDescent="0.2">
      <c r="Q242" s="16"/>
    </row>
    <row r="251" spans="17:34" ht="20.100000000000001" customHeight="1" x14ac:dyDescent="0.2">
      <c r="AH251" s="16"/>
    </row>
    <row r="252" spans="17:34" ht="20.100000000000001" customHeight="1" x14ac:dyDescent="0.2">
      <c r="AH252" s="16"/>
    </row>
    <row r="253" spans="17:34" ht="20.100000000000001" customHeight="1" x14ac:dyDescent="0.2">
      <c r="AH253" s="16"/>
    </row>
    <row r="254" spans="17:34" ht="20.100000000000001" customHeight="1" x14ac:dyDescent="0.2">
      <c r="AH254" s="16"/>
    </row>
    <row r="255" spans="17:34" ht="20.100000000000001" customHeight="1" x14ac:dyDescent="0.2">
      <c r="AH255" s="16"/>
    </row>
    <row r="256" spans="17:34" ht="20.100000000000001" customHeight="1" x14ac:dyDescent="0.2">
      <c r="AH256" s="16"/>
    </row>
    <row r="257" spans="34:34" ht="20.100000000000001" customHeight="1" x14ac:dyDescent="0.2">
      <c r="AH257" s="16"/>
    </row>
    <row r="258" spans="34:34" ht="20.100000000000001" customHeight="1" x14ac:dyDescent="0.2">
      <c r="AH258" s="16"/>
    </row>
    <row r="259" spans="34:34" ht="20.100000000000001" customHeight="1" x14ac:dyDescent="0.2">
      <c r="AH259" s="16"/>
    </row>
    <row r="260" spans="34:34" ht="20.100000000000001" customHeight="1" x14ac:dyDescent="0.2">
      <c r="AH260" s="16"/>
    </row>
    <row r="261" spans="34:34" ht="20.100000000000001" customHeight="1" x14ac:dyDescent="0.2">
      <c r="AH261" s="16"/>
    </row>
    <row r="262" spans="34:34" ht="20.100000000000001" customHeight="1" x14ac:dyDescent="0.2">
      <c r="AH262" s="16"/>
    </row>
    <row r="263" spans="34:34" ht="20.100000000000001" customHeight="1" x14ac:dyDescent="0.2">
      <c r="AH263" s="16"/>
    </row>
    <row r="264" spans="34:34" ht="20.100000000000001" customHeight="1" x14ac:dyDescent="0.2">
      <c r="AH264" s="16"/>
    </row>
    <row r="265" spans="34:34" ht="20.100000000000001" customHeight="1" x14ac:dyDescent="0.2">
      <c r="AH265" s="16"/>
    </row>
    <row r="266" spans="34:34" ht="20.100000000000001" customHeight="1" x14ac:dyDescent="0.2">
      <c r="AH266" s="16"/>
    </row>
    <row r="267" spans="34:34" ht="20.100000000000001" customHeight="1" x14ac:dyDescent="0.2">
      <c r="AH267" s="16"/>
    </row>
    <row r="268" spans="34:34" ht="20.100000000000001" customHeight="1" x14ac:dyDescent="0.2">
      <c r="AH268" s="16"/>
    </row>
    <row r="269" spans="34:34" ht="20.100000000000001" customHeight="1" x14ac:dyDescent="0.2">
      <c r="AH269" s="16"/>
    </row>
    <row r="270" spans="34:34" ht="20.100000000000001" customHeight="1" x14ac:dyDescent="0.2">
      <c r="AH270" s="16"/>
    </row>
    <row r="271" spans="34:34" ht="20.100000000000001" customHeight="1" x14ac:dyDescent="0.2">
      <c r="AH271" s="16"/>
    </row>
    <row r="272" spans="34:34" ht="20.100000000000001" customHeight="1" x14ac:dyDescent="0.2">
      <c r="AH272" s="16"/>
    </row>
    <row r="273" spans="34:34" ht="20.100000000000001" customHeight="1" x14ac:dyDescent="0.2">
      <c r="AH273" s="16"/>
    </row>
    <row r="274" spans="34:34" ht="20.100000000000001" customHeight="1" x14ac:dyDescent="0.2">
      <c r="AH274" s="16"/>
    </row>
  </sheetData>
  <dataValidations count="1">
    <dataValidation operator="equal" allowBlank="1" showInputMessage="1" showErrorMessage="1" sqref="E255 D100:G100 E258 V111 D103:I103 F119:J119" xr:uid="{241A0AF2-B737-46D9-AF93-070921C5C3B3}"/>
  </dataValidations>
  <pageMargins left="0.7" right="0.7" top="0.75" bottom="0.75" header="0.3" footer="0.3"/>
  <pageSetup paperSize="9" orientation="portrait" r:id="rId1"/>
  <drawing r:id="rId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EA0FE6-20CA-4D4B-8F4A-BD528AB90E86}">
  <sheetPr>
    <tabColor rgb="FF008000"/>
  </sheetPr>
  <dimension ref="A1:AK281"/>
  <sheetViews>
    <sheetView showGridLines="0" zoomScaleNormal="100" workbookViewId="0">
      <pane xSplit="1" topLeftCell="B1" activePane="topRight" state="frozen"/>
      <selection pane="topRight" activeCell="A25" sqref="A25"/>
    </sheetView>
  </sheetViews>
  <sheetFormatPr defaultRowHeight="20.100000000000001" customHeight="1" x14ac:dyDescent="0.2"/>
  <cols>
    <col min="1" max="1" width="36.7109375" customWidth="1"/>
    <col min="2" max="2" width="4.7109375" customWidth="1"/>
    <col min="3" max="3" width="4.7109375" style="1" customWidth="1"/>
    <col min="4" max="19" width="30.7109375" style="1" customWidth="1"/>
    <col min="20" max="20" width="4.7109375" style="1" customWidth="1"/>
    <col min="21" max="21" width="4.7109375" customWidth="1"/>
    <col min="22" max="22" width="4.7109375" style="1" customWidth="1"/>
    <col min="23" max="36" width="30.7109375" style="1" customWidth="1"/>
    <col min="37" max="37" width="4.7109375" style="1" customWidth="1"/>
  </cols>
  <sheetData>
    <row r="1" spans="1:37" s="21" customFormat="1" ht="30" customHeight="1" x14ac:dyDescent="0.35">
      <c r="A1" s="10" t="e" vm="1">
        <v>#VALUE!</v>
      </c>
      <c r="C1" s="21" t="s">
        <v>371</v>
      </c>
    </row>
    <row r="2" spans="1:37" s="3" customFormat="1" ht="20.100000000000001" customHeight="1" x14ac:dyDescent="0.2">
      <c r="A2"/>
    </row>
    <row r="3" spans="1:37" ht="20.100000000000001" customHeight="1" x14ac:dyDescent="0.2">
      <c r="A3" s="5" t="str">
        <f>HYPERLINK("#'Home'!A1", "Home")</f>
        <v>Home</v>
      </c>
      <c r="C3" s="23"/>
      <c r="D3" s="23" t="s">
        <v>136</v>
      </c>
      <c r="E3" s="23"/>
      <c r="F3" s="23"/>
      <c r="G3" s="23"/>
      <c r="H3" s="23"/>
      <c r="I3" s="23"/>
      <c r="J3" s="23"/>
      <c r="K3" s="23"/>
      <c r="L3" s="23"/>
      <c r="M3" s="23"/>
      <c r="N3" s="23"/>
      <c r="O3" s="23"/>
      <c r="P3" s="23"/>
      <c r="Q3" s="23"/>
      <c r="R3" s="23"/>
      <c r="S3" s="23"/>
      <c r="T3" s="23"/>
      <c r="V3" s="23"/>
      <c r="W3" s="23" t="s">
        <v>137</v>
      </c>
      <c r="X3" s="23"/>
      <c r="Y3" s="23"/>
      <c r="Z3" s="23"/>
      <c r="AA3" s="23"/>
      <c r="AB3" s="23"/>
      <c r="AC3" s="23"/>
      <c r="AD3" s="23"/>
      <c r="AE3" s="23"/>
      <c r="AF3" s="23"/>
      <c r="AG3" s="23"/>
      <c r="AH3" s="23"/>
      <c r="AI3" s="23"/>
      <c r="AJ3" s="23"/>
      <c r="AK3" s="23"/>
    </row>
    <row r="4" spans="1:37" ht="20.100000000000001" customHeight="1" x14ac:dyDescent="0.2">
      <c r="A4" s="5" t="str">
        <f>HYPERLINK("#'Results - Activity period'!A1", "Results - Activity period")</f>
        <v>Results - Activity period</v>
      </c>
    </row>
    <row r="5" spans="1:37" ht="20.100000000000001" customHeight="1" x14ac:dyDescent="0.2">
      <c r="A5" s="5" t="str">
        <f>HYPERLINK("#'Results - Product EI'!A1", "Results - Product Emissions Intensity")</f>
        <v>Results - Product Emissions Intensity</v>
      </c>
      <c r="D5" s="2" t="s">
        <v>1208</v>
      </c>
    </row>
    <row r="6" spans="1:37" ht="20.100000000000001" customHeight="1" x14ac:dyDescent="0.2">
      <c r="D6" s="17" t="s">
        <v>1209</v>
      </c>
    </row>
    <row r="7" spans="1:37" ht="20.100000000000001" customHeight="1" x14ac:dyDescent="0.2">
      <c r="D7" s="103"/>
      <c r="E7" s="103" t="s">
        <v>372</v>
      </c>
    </row>
    <row r="8" spans="1:37" ht="20.100000000000001" customHeight="1" x14ac:dyDescent="0.2">
      <c r="A8" s="7" t="s">
        <v>0</v>
      </c>
    </row>
    <row r="9" spans="1:37" ht="20.100000000000001" customHeight="1" x14ac:dyDescent="0.2">
      <c r="A9" s="5" t="str">
        <f>HYPERLINK("#'Input - Enterprise'!A1", "Enterprise")</f>
        <v>Enterprise</v>
      </c>
    </row>
    <row r="10" spans="1:37" ht="20.100000000000001" customHeight="1" x14ac:dyDescent="0.2">
      <c r="A10" s="5" t="str">
        <f>HYPERLINK("#'Input - Site'!A1", "Site")</f>
        <v>Site</v>
      </c>
      <c r="D10" s="77" t="s">
        <v>373</v>
      </c>
      <c r="E10" s="1" t="s">
        <v>1210</v>
      </c>
    </row>
    <row r="11" spans="1:37" ht="20.100000000000001" customHeight="1" x14ac:dyDescent="0.2">
      <c r="A11" s="5" t="str">
        <f>HYPERLINK("#'Input - Pasture Beef'!A1", "Pasture Beef")</f>
        <v>Pasture Beef</v>
      </c>
      <c r="D11" s="77" t="s">
        <v>121</v>
      </c>
      <c r="E11" s="9" t="s">
        <v>346</v>
      </c>
    </row>
    <row r="12" spans="1:37" ht="20.100000000000001" customHeight="1" x14ac:dyDescent="0.2">
      <c r="A12" s="5" t="str">
        <f>HYPERLINK("#'Input - Livestock sales'!A1", "Livestock sales")</f>
        <v>Livestock sales</v>
      </c>
    </row>
    <row r="13" spans="1:37" ht="20.100000000000001" customHeight="1" x14ac:dyDescent="0.2">
      <c r="A13" s="5" t="str">
        <f>HYPERLINK("#'Input - Beef cattle purchases'!A1", "Beef cattle purchases")</f>
        <v>Beef cattle purchases</v>
      </c>
      <c r="D13" s="105" t="s">
        <v>1211</v>
      </c>
      <c r="E13" s="106" t="s">
        <v>1212</v>
      </c>
      <c r="F13" s="107"/>
      <c r="G13" s="108"/>
      <c r="H13" s="105" t="s">
        <v>346</v>
      </c>
      <c r="I13" s="109" t="s">
        <v>1219</v>
      </c>
      <c r="J13" s="111" t="str" cm="1">
        <f t="array" aca="1" ref="J13" ca="1">HYPERLINK(Common_InputFunctions.Utility_SourceHyperlink($D$19), $D$19)</f>
        <v>M1_Table_LC_j_k-4-5</v>
      </c>
    </row>
    <row r="14" spans="1:37" ht="20.100000000000001" customHeight="1" x14ac:dyDescent="0.2">
      <c r="A14" s="5" t="str">
        <f>HYPERLINK("#'Input - Pasture'!A1", "Pasture")</f>
        <v>Pasture</v>
      </c>
      <c r="D14" s="105" t="s">
        <v>1213</v>
      </c>
      <c r="E14" s="106" t="s">
        <v>1214</v>
      </c>
      <c r="F14" s="107"/>
      <c r="G14" s="108"/>
      <c r="H14" s="105" t="s">
        <v>346</v>
      </c>
      <c r="I14" s="110" t="s">
        <v>1220</v>
      </c>
      <c r="J14" s="105" t="e" cm="1">
        <f t="array" ref="J14">_xlfn.XLOOKUP(1, (Table_SourceData_PastureBeef_FeedIntakeAdjustment_Variation[Breed]=$J$16)*(Table_SourceData_PastureBeef_FeedIntakeAdjustment_Variation[Season]=+"Calving season"),Table_SourceData_PastureBeef_FeedIntakeAdjustment_Variation[Feed adjustment])</f>
        <v>#N/A</v>
      </c>
    </row>
    <row r="15" spans="1:37" ht="20.100000000000001" customHeight="1" x14ac:dyDescent="0.2">
      <c r="A15" s="5" t="str">
        <f>HYPERLINK("#'Input - Fert Prod System'!A1", "Fert Prod System")</f>
        <v>Fert Prod System</v>
      </c>
      <c r="D15" s="105" t="s">
        <v>1215</v>
      </c>
      <c r="E15" s="106" t="s">
        <v>1216</v>
      </c>
      <c r="F15" s="107"/>
      <c r="G15" s="108"/>
      <c r="H15" s="105" t="s">
        <v>346</v>
      </c>
      <c r="I15" s="110" t="s">
        <v>1220</v>
      </c>
      <c r="J15" s="105" t="e" cm="1">
        <f t="array" ref="J15">_xlfn.XLOOKUP(1, (Table_SourceData_PastureBeef_FeedIntakeAdjustment_Variation[Breed]=$J$16)*(Table_SourceData_PastureBeef_FeedIntakeAdjustment_Variation[Season]=+"Season after calving"),Table_SourceData_PastureBeef_FeedIntakeAdjustment_Variation[Feed adjustment])</f>
        <v>#N/A</v>
      </c>
    </row>
    <row r="16" spans="1:37" ht="20.100000000000001" customHeight="1" x14ac:dyDescent="0.2">
      <c r="A16" s="5" t="str">
        <f>HYPERLINK("#'Input - Fertiliser'!A1", "Fertiliser")</f>
        <v>Fertiliser</v>
      </c>
      <c r="D16" s="105" t="s">
        <v>1217</v>
      </c>
      <c r="E16" s="106" t="s">
        <v>1218</v>
      </c>
      <c r="F16" s="107"/>
      <c r="G16" s="108"/>
      <c r="H16" s="105"/>
      <c r="I16" s="109" t="s">
        <v>1219</v>
      </c>
      <c r="J16" s="105">
        <f>X_Cell_PastureBeef_Breed</f>
        <v>0</v>
      </c>
    </row>
    <row r="17" spans="1:36" ht="20.100000000000001" customHeight="1" x14ac:dyDescent="0.2">
      <c r="A17" s="5" t="str">
        <f>HYPERLINK("#'Input - Fuel'!A1", "Fuel")</f>
        <v>Fuel</v>
      </c>
    </row>
    <row r="18" spans="1:36" ht="20.100000000000001" customHeight="1" x14ac:dyDescent="0.2">
      <c r="A18" s="5" t="str">
        <f>HYPERLINK("#'Input - Electricity'!A1", "Electricity")</f>
        <v>Electricity</v>
      </c>
    </row>
    <row r="19" spans="1:36" ht="20.100000000000001" customHeight="1" x14ac:dyDescent="0.2">
      <c r="A19" s="5" t="str">
        <f>HYPERLINK("#'Input - Common farm inputs'!A1", "Common farm inputs")</f>
        <v>Common farm inputs</v>
      </c>
      <c r="D19" s="112" t="s">
        <v>374</v>
      </c>
      <c r="W19" s="112" t="s">
        <v>375</v>
      </c>
    </row>
    <row r="20" spans="1:36" ht="20.100000000000001" customHeight="1" x14ac:dyDescent="0.2">
      <c r="A20" s="5" t="str">
        <f>HYPERLINK("#'Input - Crop pasture farm input'!A1", "Crop pasture farm input")</f>
        <v>Crop pasture farm input</v>
      </c>
      <c r="D20" s="113" t="s">
        <v>376</v>
      </c>
      <c r="W20" s="113" t="s">
        <v>377</v>
      </c>
    </row>
    <row r="21" spans="1:36" ht="20.100000000000001" customHeight="1" x14ac:dyDescent="0.2">
      <c r="A21" s="5" t="str">
        <f>HYPERLINK("#'Input - Livestock farm Inputs'!A1", "Livestock farm Inputs")</f>
        <v>Livestock farm Inputs</v>
      </c>
      <c r="D21" s="114" t="s">
        <v>76</v>
      </c>
      <c r="E21" s="82" t="s">
        <v>357</v>
      </c>
      <c r="F21" s="82" t="s">
        <v>328</v>
      </c>
      <c r="G21" s="82" t="s">
        <v>329</v>
      </c>
      <c r="H21" s="82" t="s">
        <v>330</v>
      </c>
      <c r="W21" s="114" t="s">
        <v>75</v>
      </c>
      <c r="X21" s="82" t="s">
        <v>328</v>
      </c>
      <c r="Y21" s="82" t="s">
        <v>329</v>
      </c>
      <c r="Z21" s="82" t="s">
        <v>330</v>
      </c>
    </row>
    <row r="22" spans="1:36" ht="20.100000000000001" customHeight="1" x14ac:dyDescent="0.2">
      <c r="A22" s="5" t="str">
        <f>HYPERLINK("#'Input - Freight'!A1", "Freight")</f>
        <v>Freight</v>
      </c>
      <c r="D22" s="15" t="s">
        <v>335</v>
      </c>
      <c r="E22" s="15" t="str">
        <f>'Input - Pasture Beef'!$E169</f>
        <v>Yes</v>
      </c>
      <c r="F22" s="125">
        <f>'Input - Pasture Beef'!$F169</f>
        <v>0.1</v>
      </c>
      <c r="G22" s="125">
        <f>'Input - Pasture Beef'!$G169</f>
        <v>0.4</v>
      </c>
      <c r="H22" s="125">
        <f>'Input - Pasture Beef'!$H169</f>
        <v>0.4</v>
      </c>
      <c r="I22" s="16" t="s">
        <v>378</v>
      </c>
      <c r="W22" s="15" t="str">
        <f>TEXT(EDATE('Input - Pasture Beef'!$D$182,0), "mmmm") &amp; ", " &amp; TEXT(EDATE('Input - Pasture Beef'!$D$183,0), "mmmm") &amp; ", " &amp; TEXT(EDATE('Input - Pasture Beef'!$D$184,0), "mmmm")</f>
        <v>August, September, October</v>
      </c>
      <c r="X22" s="125">
        <f>'Input - Pasture Beef'!$E$185</f>
        <v>0.75</v>
      </c>
      <c r="Y22" s="125">
        <f>'Input - Pasture Beef'!$F$185</f>
        <v>0.75</v>
      </c>
      <c r="Z22" s="125">
        <f>'Input - Pasture Beef'!$G$185</f>
        <v>0.75</v>
      </c>
      <c r="AA22" s="16" t="s">
        <v>378</v>
      </c>
    </row>
    <row r="23" spans="1:36" ht="20.100000000000001" customHeight="1" x14ac:dyDescent="0.2">
      <c r="A23" s="5" t="str">
        <f>HYPERLINK("#'Input - Solid waste'!A1", "Solid waste")</f>
        <v>Solid waste</v>
      </c>
      <c r="D23" s="15" t="s">
        <v>336</v>
      </c>
      <c r="E23" s="15" t="str">
        <f>'Input - Pasture Beef'!$E170</f>
        <v>Yes</v>
      </c>
      <c r="F23" s="125">
        <f>'Input - Pasture Beef'!$F170</f>
        <v>0.1</v>
      </c>
      <c r="G23" s="125">
        <f>'Input - Pasture Beef'!$G170</f>
        <v>0</v>
      </c>
      <c r="H23" s="125">
        <f>'Input - Pasture Beef'!$H170</f>
        <v>0</v>
      </c>
      <c r="W23" s="15" t="str">
        <f>TEXT(EDATE('Input - Pasture Beef'!$D$184,1), "mmmm") &amp; ", " &amp; TEXT(EDATE('Input - Pasture Beef'!$D$184,2), "mmmm") &amp; ", " &amp; TEXT(EDATE('Input - Pasture Beef'!$D$184,3), "mmmm")</f>
        <v>November, December, January</v>
      </c>
      <c r="AA23" s="16"/>
    </row>
    <row r="24" spans="1:36" ht="20.100000000000001" customHeight="1" x14ac:dyDescent="0.2">
      <c r="A24" s="5" t="str">
        <f>HYPERLINK("#'Input - Manure sent off-site'!A1", "Manure sent off-site")</f>
        <v>Manure sent off-site</v>
      </c>
      <c r="D24" s="15" t="s">
        <v>337</v>
      </c>
      <c r="E24" s="15" t="str">
        <f>'Input - Pasture Beef'!$E171</f>
        <v>No</v>
      </c>
      <c r="F24" s="125">
        <f>'Input - Pasture Beef'!$F171</f>
        <v>0</v>
      </c>
      <c r="G24" s="125">
        <f>'Input - Pasture Beef'!$G171</f>
        <v>0</v>
      </c>
      <c r="H24" s="125">
        <f>'Input - Pasture Beef'!$H171</f>
        <v>0</v>
      </c>
      <c r="AA24" s="16"/>
    </row>
    <row r="25" spans="1:36" ht="20.100000000000001" customHeight="1" x14ac:dyDescent="0.2">
      <c r="A25" s="5" t="str">
        <f>HYPERLINK("#'Input - Data quality'!A1", "Data quality")</f>
        <v>Data quality</v>
      </c>
      <c r="D25" s="15" t="s">
        <v>338</v>
      </c>
      <c r="E25" s="15" t="str">
        <f>'Input - Pasture Beef'!$E169</f>
        <v>Yes</v>
      </c>
      <c r="F25" s="125">
        <f>'Input - Pasture Beef'!$F$168</f>
        <v>0.7</v>
      </c>
      <c r="G25" s="125">
        <f>'Input - Pasture Beef'!$G$168</f>
        <v>0.5</v>
      </c>
      <c r="H25" s="125">
        <f>'Input - Pasture Beef'!$H$168</f>
        <v>0.5</v>
      </c>
      <c r="W25" s="112" t="s">
        <v>379</v>
      </c>
    </row>
    <row r="26" spans="1:36" ht="20.100000000000001" customHeight="1" x14ac:dyDescent="0.2">
      <c r="W26" s="113" t="s">
        <v>380</v>
      </c>
    </row>
    <row r="27" spans="1:36" ht="20.100000000000001" customHeight="1" x14ac:dyDescent="0.2">
      <c r="D27" s="112" t="s">
        <v>381</v>
      </c>
      <c r="W27" s="114" t="s">
        <v>75</v>
      </c>
      <c r="X27" s="114" t="s">
        <v>357</v>
      </c>
      <c r="Y27" s="114" t="s">
        <v>382</v>
      </c>
      <c r="Z27" s="114" t="s">
        <v>326</v>
      </c>
      <c r="AA27" s="114" t="s">
        <v>184</v>
      </c>
      <c r="AB27" s="114" t="s">
        <v>327</v>
      </c>
      <c r="AC27" s="114" t="s">
        <v>328</v>
      </c>
      <c r="AD27" s="114" t="s">
        <v>329</v>
      </c>
      <c r="AE27" s="114" t="s">
        <v>330</v>
      </c>
      <c r="AF27" s="114" t="s">
        <v>331</v>
      </c>
      <c r="AG27" s="114" t="s">
        <v>332</v>
      </c>
      <c r="AH27" s="114" t="s">
        <v>333</v>
      </c>
      <c r="AI27" s="114" t="s">
        <v>334</v>
      </c>
    </row>
    <row r="28" spans="1:36" ht="20.100000000000001" customHeight="1" x14ac:dyDescent="0.2">
      <c r="A28" s="6" t="s">
        <v>2</v>
      </c>
      <c r="D28" s="113" t="s">
        <v>383</v>
      </c>
      <c r="W28" s="15" t="str">
        <f>TEXT(X_Cell_Site_StartDate,"mmmm")</f>
        <v>January</v>
      </c>
      <c r="X28" s="15" t="str" cm="1">
        <f t="array" ref="X28">IFERROR(_xlfn.IFS(SUMPRODUCT(ISNUMBER(SEARCH(TRIM(_xlfn.TEXTSPLIT($W$22,",")),W28))*1)&gt;0,"Calving season",SUMPRODUCT(ISNUMBER(SEARCH(TRIM(_xlfn.TEXTSPLIT($W$23,",")),W28))*1)&gt;0,"Season after calving"), "")</f>
        <v>Season after calving</v>
      </c>
      <c r="Y28" s="15" t="e" cm="1">
        <f t="array" ref="Y28">_xlfn.IFS(X28="Calving season", $J$14, X28="Season after calving", $J$15, X28="", "")</f>
        <v>#N/A</v>
      </c>
      <c r="Z28" s="15">
        <v>1</v>
      </c>
      <c r="AA28" s="15">
        <v>1</v>
      </c>
      <c r="AB28" s="15">
        <v>1</v>
      </c>
      <c r="AC28" s="15">
        <f>IFERROR(((X$22 * $Y28) + (1 - X$22)), 1)</f>
        <v>1</v>
      </c>
      <c r="AD28" s="15">
        <f>IFERROR(((Y$22 * $Y28) + (1 - Y$22)), 1)</f>
        <v>1</v>
      </c>
      <c r="AE28" s="15">
        <f>IFERROR(((Z$22 * $Y28) + (1 - Z$22)), 1)</f>
        <v>1</v>
      </c>
      <c r="AF28" s="15">
        <v>1</v>
      </c>
      <c r="AG28" s="15">
        <v>1</v>
      </c>
      <c r="AH28" s="15">
        <v>1</v>
      </c>
      <c r="AI28" s="15">
        <v>1</v>
      </c>
      <c r="AJ28" s="16" t="str">
        <f>$E$11</f>
        <v>fraction</v>
      </c>
    </row>
    <row r="29" spans="1:36" ht="20.100000000000001" customHeight="1" x14ac:dyDescent="0.2">
      <c r="A29" s="5" t="str">
        <f>HYPERLINK("#'3.2.1.1-2 Enteric Methane'!A1", "3.2.1.1-2 Enteric Methane")</f>
        <v>3.2.1.1-2 Enteric Methane</v>
      </c>
      <c r="D29" s="114" t="s">
        <v>76</v>
      </c>
      <c r="E29" s="114" t="s">
        <v>357</v>
      </c>
      <c r="F29" s="114" t="s">
        <v>384</v>
      </c>
      <c r="G29" s="114" t="s">
        <v>382</v>
      </c>
      <c r="H29" s="114" t="s">
        <v>382</v>
      </c>
      <c r="I29" s="114" t="s">
        <v>326</v>
      </c>
      <c r="J29" s="114" t="s">
        <v>184</v>
      </c>
      <c r="K29" s="114" t="s">
        <v>327</v>
      </c>
      <c r="L29" s="114" t="s">
        <v>328</v>
      </c>
      <c r="M29" s="114" t="s">
        <v>329</v>
      </c>
      <c r="N29" s="114" t="s">
        <v>330</v>
      </c>
      <c r="O29" s="114" t="s">
        <v>331</v>
      </c>
      <c r="P29" s="114" t="s">
        <v>332</v>
      </c>
      <c r="Q29" s="114" t="s">
        <v>333</v>
      </c>
      <c r="R29" s="114" t="s">
        <v>334</v>
      </c>
      <c r="W29" s="15" t="str">
        <f>TEXT(EDATE(X_Cell_Site_StartDate,1), "mmmm")</f>
        <v>January</v>
      </c>
      <c r="X29" s="15" t="str" cm="1">
        <f t="array" ref="X29">IFERROR(_xlfn.IFS(SUMPRODUCT(ISNUMBER(SEARCH(TRIM(_xlfn.TEXTSPLIT($W$22,",")),W29))*1)&gt;0,"Calving season",SUMPRODUCT(ISNUMBER(SEARCH(TRIM(_xlfn.TEXTSPLIT($W$23,",")),W29))*1)&gt;0,"Season after calving"), "")</f>
        <v>Season after calving</v>
      </c>
      <c r="Y29" s="15" t="e" cm="1">
        <f t="array" ref="Y29">_xlfn.IFS(X29="Calving season", $J$14, X29="Season after calving", $J$15, X29="", "")</f>
        <v>#N/A</v>
      </c>
      <c r="Z29" s="15">
        <v>1</v>
      </c>
      <c r="AA29" s="15">
        <v>1</v>
      </c>
      <c r="AB29" s="15">
        <v>1</v>
      </c>
      <c r="AC29" s="15">
        <f>IFERROR(((X$22 * $Y29) + (1 - X$22)), 1)</f>
        <v>1</v>
      </c>
      <c r="AD29" s="15">
        <f>IFERROR(((Y$22 * $Y29) + (1 - Y$22)), 1)</f>
        <v>1</v>
      </c>
      <c r="AE29" s="15">
        <f>IFERROR(((Z$22 * $Y29) + (1 - Z$22)), 1)</f>
        <v>1</v>
      </c>
      <c r="AF29" s="15">
        <v>1</v>
      </c>
      <c r="AG29" s="15">
        <v>1</v>
      </c>
      <c r="AH29" s="15">
        <v>1</v>
      </c>
      <c r="AI29" s="15">
        <v>1</v>
      </c>
      <c r="AJ29" s="16" t="str">
        <f t="shared" ref="AJ29:AJ39" si="0">$E$11</f>
        <v>fraction</v>
      </c>
    </row>
    <row r="30" spans="1:36" ht="20.100000000000001" customHeight="1" x14ac:dyDescent="0.2">
      <c r="A30" s="104" t="str">
        <f>HYPERLINK("#'4.2.1.1-2 Methane'!A1", "4.2.1.1-2 Manure methane")</f>
        <v>4.2.1.1-2 Manure methane</v>
      </c>
      <c r="D30" s="15" t="s">
        <v>335</v>
      </c>
      <c r="E30" s="15" t="str">
        <f>IF('Input - Pasture Beef'!E169="Yes", "Calving season", "")</f>
        <v>Calving season</v>
      </c>
      <c r="F30" s="15" t="str">
        <f>IF('Input - Pasture Beef'!E168="Yes", "Season after calving","")</f>
        <v>Season after calving</v>
      </c>
      <c r="G30" s="15" t="e">
        <f>IF(E30="Calving season", $J$14, 1)</f>
        <v>#N/A</v>
      </c>
      <c r="H30" s="15" t="e">
        <f>IF(F30="Season after calving", $J$15, 1)</f>
        <v>#N/A</v>
      </c>
      <c r="I30" s="15">
        <v>1</v>
      </c>
      <c r="J30" s="15">
        <v>1</v>
      </c>
      <c r="K30" s="15">
        <v>1</v>
      </c>
      <c r="L30" s="115" t="e">
        <f>(((F22 * $G30) + (F25 * $H30)) + (1 - (F22 + F25)))</f>
        <v>#N/A</v>
      </c>
      <c r="M30" s="115" t="e">
        <f>(((G22 * $G30) + (G25 * $H30)) + (1 - (G22 + G25)))</f>
        <v>#N/A</v>
      </c>
      <c r="N30" s="115" t="e">
        <f>(((H22 * $G30) + (H25 * $H30)) + (1 - (H22 + H25)))</f>
        <v>#N/A</v>
      </c>
      <c r="O30" s="15">
        <v>1</v>
      </c>
      <c r="P30" s="15">
        <v>1</v>
      </c>
      <c r="Q30" s="15">
        <v>1</v>
      </c>
      <c r="R30" s="15">
        <v>1</v>
      </c>
      <c r="S30" s="16" t="str">
        <f>$E$11</f>
        <v>fraction</v>
      </c>
      <c r="W30" s="15" t="str">
        <f>TEXT(EDATE(X_Cell_Site_StartDate,2), "mmmm")</f>
        <v>February</v>
      </c>
      <c r="X30" s="15" t="str" cm="1">
        <f t="array" ref="X30">IFERROR(_xlfn.IFS(SUMPRODUCT(ISNUMBER(SEARCH(TRIM(_xlfn.TEXTSPLIT($W$22,",")),W30))*1)&gt;0,"Calving season",SUMPRODUCT(ISNUMBER(SEARCH(TRIM(_xlfn.TEXTSPLIT($W$23,",")),W30))*1)&gt;0,"Season after calving"), "")</f>
        <v/>
      </c>
      <c r="Y30" s="15" t="str" cm="1">
        <f t="array" ref="Y30">_xlfn.IFS(X30="Calving season", $J$14, X30="Season after calving", $J$15, X30="", "")</f>
        <v/>
      </c>
      <c r="Z30" s="15">
        <v>1</v>
      </c>
      <c r="AA30" s="15">
        <v>1</v>
      </c>
      <c r="AB30" s="15">
        <v>1</v>
      </c>
      <c r="AC30" s="15">
        <f>IFERROR(((X$22 * $Y30) + (1 - X$22)), 1)</f>
        <v>1</v>
      </c>
      <c r="AD30" s="15">
        <f>IFERROR(((Y$22 * $Y30) + (1 - Y$22)), 1)</f>
        <v>1</v>
      </c>
      <c r="AE30" s="15">
        <f>IFERROR(((Z$22 * $Y30) + (1 - Z$22)), 1)</f>
        <v>1</v>
      </c>
      <c r="AF30" s="15">
        <v>1</v>
      </c>
      <c r="AG30" s="15">
        <v>1</v>
      </c>
      <c r="AH30" s="15">
        <v>1</v>
      </c>
      <c r="AI30" s="15">
        <v>1</v>
      </c>
      <c r="AJ30" s="16" t="str">
        <f t="shared" si="0"/>
        <v>fraction</v>
      </c>
    </row>
    <row r="31" spans="1:36" ht="20.100000000000001" customHeight="1" x14ac:dyDescent="0.2">
      <c r="A31" s="5" t="str">
        <f>HYPERLINK("#'4.2.1.3-4 Soil direct N20'!A1", "4.2.1.3-4 Soil direct N2O")</f>
        <v>4.2.1.3-4 Soil direct N2O</v>
      </c>
      <c r="D31" s="15" t="s">
        <v>336</v>
      </c>
      <c r="E31" s="15" t="str">
        <f>IF('Input - Pasture Beef'!E170="Yes", "Calving season", "")</f>
        <v>Calving season</v>
      </c>
      <c r="F31" s="15" t="str">
        <f>IF('Input - Pasture Beef'!E169="Yes", "Season after calving","")</f>
        <v>Season after calving</v>
      </c>
      <c r="G31" s="15" t="e">
        <f>IF(E31="Calving season", $J$14, 1)</f>
        <v>#N/A</v>
      </c>
      <c r="H31" s="15" t="e">
        <f>IF(F31="Season after calving", $J$15, 1)</f>
        <v>#N/A</v>
      </c>
      <c r="I31" s="15">
        <v>1</v>
      </c>
      <c r="J31" s="15">
        <v>1</v>
      </c>
      <c r="K31" s="15">
        <v>1</v>
      </c>
      <c r="L31" s="115" t="e">
        <f>(((F23 * $G31) + (F22 * $H31)) + (1 - (F23 + F22)))</f>
        <v>#N/A</v>
      </c>
      <c r="M31" s="115" t="e">
        <f>(((G23 * $G31) + (G22 * $H31)) + (1 - (G23 + G22)))</f>
        <v>#N/A</v>
      </c>
      <c r="N31" s="115" t="e">
        <f>(((H23 * $G31) + (H22 * $H31)) + (1 - (H23 + H22)))</f>
        <v>#N/A</v>
      </c>
      <c r="O31" s="15">
        <v>1</v>
      </c>
      <c r="P31" s="15">
        <v>1</v>
      </c>
      <c r="Q31" s="15">
        <v>1</v>
      </c>
      <c r="R31" s="15">
        <v>1</v>
      </c>
      <c r="S31" s="16" t="str">
        <f t="shared" ref="S31:S33" si="1">$E$11</f>
        <v>fraction</v>
      </c>
      <c r="W31" s="15" t="str">
        <f>TEXT(EDATE(X_Cell_Site_StartDate,3), "mmmm")</f>
        <v>March</v>
      </c>
      <c r="X31" s="15" t="str" cm="1">
        <f t="array" ref="X31">IFERROR(_xlfn.IFS(SUMPRODUCT(ISNUMBER(SEARCH(TRIM(_xlfn.TEXTSPLIT($W$22,",")),W31))*1)&gt;0,"Calving season",SUMPRODUCT(ISNUMBER(SEARCH(TRIM(_xlfn.TEXTSPLIT($W$23,",")),W31))*1)&gt;0,"Season after calving"), "")</f>
        <v/>
      </c>
      <c r="Y31" s="15" t="str" cm="1">
        <f t="array" ref="Y31">_xlfn.IFS(X31="Calving season", $J$14, X31="Season after calving", $J$15, X31="", "")</f>
        <v/>
      </c>
      <c r="Z31" s="15">
        <v>1</v>
      </c>
      <c r="AA31" s="15">
        <v>1</v>
      </c>
      <c r="AB31" s="15">
        <v>1</v>
      </c>
      <c r="AC31" s="15">
        <f>IFERROR(((X$22 * $Y31) + (1 - X$22)), 1)</f>
        <v>1</v>
      </c>
      <c r="AD31" s="15">
        <f>IFERROR(((Y$22 * $Y31) + (1 - Y$22)), 1)</f>
        <v>1</v>
      </c>
      <c r="AE31" s="15">
        <f>IFERROR(((Z$22 * $Y31) + (1 - Z$22)), 1)</f>
        <v>1</v>
      </c>
      <c r="AF31" s="15">
        <v>1</v>
      </c>
      <c r="AG31" s="15">
        <v>1</v>
      </c>
      <c r="AH31" s="15">
        <v>1</v>
      </c>
      <c r="AI31" s="15">
        <v>1</v>
      </c>
      <c r="AJ31" s="16" t="str">
        <f t="shared" si="0"/>
        <v>fraction</v>
      </c>
    </row>
    <row r="32" spans="1:36" ht="20.100000000000001" customHeight="1" x14ac:dyDescent="0.2">
      <c r="A32" s="5" t="str">
        <f>HYPERLINK("#'4.2.1.5-6 Soil Atmos Dep'!A1", "4.2.1.5-6 Soil atm. deposition")</f>
        <v>4.2.1.5-6 Soil atm. deposition</v>
      </c>
      <c r="D32" s="15" t="s">
        <v>337</v>
      </c>
      <c r="E32" s="15" t="str">
        <f>IF('Input - Pasture Beef'!E171="Yes", "Calving season", "")</f>
        <v/>
      </c>
      <c r="F32" s="15" t="str">
        <f>IF('Input - Pasture Beef'!E170="Yes", "Season after calving","")</f>
        <v>Season after calving</v>
      </c>
      <c r="G32" s="15">
        <f>IF(E32="Calving season", $J$14, 1)</f>
        <v>1</v>
      </c>
      <c r="H32" s="15" t="e">
        <f>IF(F32="Season after calving", $J$15, 1)</f>
        <v>#N/A</v>
      </c>
      <c r="I32" s="15">
        <v>1</v>
      </c>
      <c r="J32" s="15">
        <v>1</v>
      </c>
      <c r="K32" s="15">
        <v>1</v>
      </c>
      <c r="L32" s="115" t="e">
        <f>(((F24 * $G32) + (F23 * $H32)) + (1 - (F24 + F23)))</f>
        <v>#N/A</v>
      </c>
      <c r="M32" s="115" t="e">
        <f>(((G24 * $G32) + (G23 * $H32)) + (1 - (G24 + G23)))</f>
        <v>#N/A</v>
      </c>
      <c r="N32" s="115" t="e">
        <f>(((H24 * $G32) + (H23 * $H32)) + (1 - (H24 + H23)))</f>
        <v>#N/A</v>
      </c>
      <c r="O32" s="15">
        <v>1</v>
      </c>
      <c r="P32" s="15">
        <v>1</v>
      </c>
      <c r="Q32" s="15">
        <v>1</v>
      </c>
      <c r="R32" s="15">
        <v>1</v>
      </c>
      <c r="S32" s="16" t="str">
        <f t="shared" si="1"/>
        <v>fraction</v>
      </c>
      <c r="W32" s="15" t="str">
        <f>TEXT(EDATE(X_Cell_Site_StartDate,4), "mmmm")</f>
        <v>April</v>
      </c>
      <c r="X32" s="15" t="str" cm="1">
        <f t="array" ref="X32">IFERROR(_xlfn.IFS(SUMPRODUCT(ISNUMBER(SEARCH(TRIM(_xlfn.TEXTSPLIT($W$22,",")),W32))*1)&gt;0,"Calving season",SUMPRODUCT(ISNUMBER(SEARCH(TRIM(_xlfn.TEXTSPLIT($W$23,",")),W32))*1)&gt;0,"Season after calving"), "")</f>
        <v/>
      </c>
      <c r="Y32" s="15" t="str" cm="1">
        <f t="array" ref="Y32">_xlfn.IFS(X32="Calving season", $J$14, X32="Season after calving", $J$15, X32="", "")</f>
        <v/>
      </c>
      <c r="Z32" s="15">
        <v>1</v>
      </c>
      <c r="AA32" s="15">
        <v>1</v>
      </c>
      <c r="AB32" s="15">
        <v>1</v>
      </c>
      <c r="AC32" s="15">
        <f>IFERROR(((X$22 * $Y32) + (1 - X$22)), 1)</f>
        <v>1</v>
      </c>
      <c r="AD32" s="15">
        <f>IFERROR(((Y$22 * $Y32) + (1 - Y$22)), 1)</f>
        <v>1</v>
      </c>
      <c r="AE32" s="15">
        <f>IFERROR(((Z$22 * $Y32) + (1 - Z$22)), 1)</f>
        <v>1</v>
      </c>
      <c r="AF32" s="15">
        <v>1</v>
      </c>
      <c r="AG32" s="15">
        <v>1</v>
      </c>
      <c r="AH32" s="15">
        <v>1</v>
      </c>
      <c r="AI32" s="15">
        <v>1</v>
      </c>
      <c r="AJ32" s="16" t="str">
        <f t="shared" si="0"/>
        <v>fraction</v>
      </c>
    </row>
    <row r="33" spans="1:36" ht="20.100000000000001" customHeight="1" x14ac:dyDescent="0.2">
      <c r="A33" s="5" t="str">
        <f>HYPERLINK("#'4.2.1.7-8 Soil leach runoff'!A1", "4.2.1.7-8 Soil leach &amp; runoff")</f>
        <v>4.2.1.7-8 Soil leach &amp; runoff</v>
      </c>
      <c r="D33" s="15" t="s">
        <v>338</v>
      </c>
      <c r="E33" s="15" t="str">
        <f>IF('Input - Pasture Beef'!E168="Yes", "Calving season", "")</f>
        <v>Calving season</v>
      </c>
      <c r="F33" s="15" t="str">
        <f>IF('Input - Pasture Beef'!E171="Yes", "Season after calving","")</f>
        <v/>
      </c>
      <c r="G33" s="15" t="e">
        <f>IF(E33="Calving season", $J$14, 1)</f>
        <v>#N/A</v>
      </c>
      <c r="H33" s="15">
        <f>IF(F33="Season after calving", $J$15, 1)</f>
        <v>1</v>
      </c>
      <c r="I33" s="15">
        <v>1</v>
      </c>
      <c r="J33" s="15">
        <v>1</v>
      </c>
      <c r="K33" s="15">
        <v>1</v>
      </c>
      <c r="L33" s="115" t="e">
        <f>(((F25 * $G33) + (F24 * $H33)) + (1 - (F25 + F24)))</f>
        <v>#N/A</v>
      </c>
      <c r="M33" s="115" t="e">
        <f>(((G25 * $G33) + (G24 * $H33)) + (1 - (G25 + G24)))</f>
        <v>#N/A</v>
      </c>
      <c r="N33" s="115" t="e">
        <f>(((H25 * $G33) + (H24 * $H33)) + (1 - (H25 + H24)))</f>
        <v>#N/A</v>
      </c>
      <c r="O33" s="15">
        <v>1</v>
      </c>
      <c r="P33" s="15">
        <v>1</v>
      </c>
      <c r="Q33" s="15">
        <v>1</v>
      </c>
      <c r="R33" s="15">
        <v>1</v>
      </c>
      <c r="S33" s="16" t="str">
        <f t="shared" si="1"/>
        <v>fraction</v>
      </c>
      <c r="W33" s="15" t="str">
        <f>TEXT(EDATE(X_Cell_Site_StartDate,5), "mmmm")</f>
        <v>May</v>
      </c>
      <c r="X33" s="15" t="str" cm="1">
        <f t="array" ref="X33">IFERROR(_xlfn.IFS(SUMPRODUCT(ISNUMBER(SEARCH(TRIM(_xlfn.TEXTSPLIT($W$22,",")),W33))*1)&gt;0,"Calving season",SUMPRODUCT(ISNUMBER(SEARCH(TRIM(_xlfn.TEXTSPLIT($W$23,",")),W33))*1)&gt;0,"Season after calving"), "")</f>
        <v/>
      </c>
      <c r="Y33" s="15" t="str" cm="1">
        <f t="array" ref="Y33">_xlfn.IFS(X33="Calving season", $J$14, X33="Season after calving", $J$15, X33="", "")</f>
        <v/>
      </c>
      <c r="Z33" s="15">
        <v>1</v>
      </c>
      <c r="AA33" s="15">
        <v>1</v>
      </c>
      <c r="AB33" s="15">
        <v>1</v>
      </c>
      <c r="AC33" s="15">
        <f>IFERROR(((X$22 * $Y33) + (1 - X$22)), 1)</f>
        <v>1</v>
      </c>
      <c r="AD33" s="15">
        <f>IFERROR(((Y$22 * $Y33) + (1 - Y$22)), 1)</f>
        <v>1</v>
      </c>
      <c r="AE33" s="15">
        <f>IFERROR(((Z$22 * $Y33) + (1 - Z$22)), 1)</f>
        <v>1</v>
      </c>
      <c r="AF33" s="15">
        <v>1</v>
      </c>
      <c r="AG33" s="15">
        <v>1</v>
      </c>
      <c r="AH33" s="15">
        <v>1</v>
      </c>
      <c r="AI33" s="15">
        <v>1</v>
      </c>
      <c r="AJ33" s="16" t="str">
        <f t="shared" si="0"/>
        <v>fraction</v>
      </c>
    </row>
    <row r="34" spans="1:36" ht="20.100000000000001" customHeight="1" x14ac:dyDescent="0.2">
      <c r="A34" s="5" t="str">
        <f>HYPERLINK("#'5.1.1.1-2 Inorganic fert N2O'!A1", "5.1.1.1-2 Inorganic fert N2O")</f>
        <v>5.1.1.1-2 Inorganic fert N2O</v>
      </c>
      <c r="W34" s="15" t="str">
        <f>TEXT(EDATE(X_Cell_Site_StartDate,6), "mmmm")</f>
        <v>June</v>
      </c>
      <c r="X34" s="15" t="str" cm="1">
        <f t="array" ref="X34">IFERROR(_xlfn.IFS(SUMPRODUCT(ISNUMBER(SEARCH(TRIM(_xlfn.TEXTSPLIT($W$22,",")),W34))*1)&gt;0,"Calving season",SUMPRODUCT(ISNUMBER(SEARCH(TRIM(_xlfn.TEXTSPLIT($W$23,",")),W34))*1)&gt;0,"Season after calving"), "")</f>
        <v/>
      </c>
      <c r="Y34" s="15" t="str" cm="1">
        <f t="array" ref="Y34">_xlfn.IFS(X34="Calving season", $J$14, X34="Season after calving", $J$15, X34="", "")</f>
        <v/>
      </c>
      <c r="Z34" s="15">
        <v>1</v>
      </c>
      <c r="AA34" s="15">
        <v>1</v>
      </c>
      <c r="AB34" s="15">
        <v>1</v>
      </c>
      <c r="AC34" s="15">
        <f>IFERROR(((X$22 * $Y34) + (1 - X$22)), 1)</f>
        <v>1</v>
      </c>
      <c r="AD34" s="15">
        <f>IFERROR(((Y$22 * $Y34) + (1 - Y$22)), 1)</f>
        <v>1</v>
      </c>
      <c r="AE34" s="15">
        <f>IFERROR(((Z$22 * $Y34) + (1 - Z$22)), 1)</f>
        <v>1</v>
      </c>
      <c r="AF34" s="15">
        <v>1</v>
      </c>
      <c r="AG34" s="15">
        <v>1</v>
      </c>
      <c r="AH34" s="15">
        <v>1</v>
      </c>
      <c r="AI34" s="15">
        <v>1</v>
      </c>
      <c r="AJ34" s="16" t="str">
        <f t="shared" si="0"/>
        <v>fraction</v>
      </c>
    </row>
    <row r="35" spans="1:36" ht="20.100000000000001" customHeight="1" x14ac:dyDescent="0.2">
      <c r="A35" s="5" t="str">
        <f>HYPERLINK("#'5.1.1.3-4 Inorganic fert CO2'!A1", "5.1.1.3-4 Inorganic fert CO2")</f>
        <v>5.1.1.3-4 Inorganic fert CO2</v>
      </c>
      <c r="W35" s="15" t="str">
        <f>TEXT(EDATE(X_Cell_Site_StartDate,7), "mmmm")</f>
        <v>July</v>
      </c>
      <c r="X35" s="15" t="str" cm="1">
        <f t="array" ref="X35">IFERROR(_xlfn.IFS(SUMPRODUCT(ISNUMBER(SEARCH(TRIM(_xlfn.TEXTSPLIT($W$22,",")),W35))*1)&gt;0,"Calving season",SUMPRODUCT(ISNUMBER(SEARCH(TRIM(_xlfn.TEXTSPLIT($W$23,",")),W35))*1)&gt;0,"Season after calving"), "")</f>
        <v/>
      </c>
      <c r="Y35" s="15" t="str" cm="1">
        <f t="array" ref="Y35">_xlfn.IFS(X35="Calving season", $J$14, X35="Season after calving", $J$15, X35="", "")</f>
        <v/>
      </c>
      <c r="Z35" s="15">
        <v>1</v>
      </c>
      <c r="AA35" s="15">
        <v>1</v>
      </c>
      <c r="AB35" s="15">
        <v>1</v>
      </c>
      <c r="AC35" s="15">
        <f>IFERROR(((X$22 * $Y35) + (1 - X$22)), 1)</f>
        <v>1</v>
      </c>
      <c r="AD35" s="15">
        <f>IFERROR(((Y$22 * $Y35) + (1 - Y$22)), 1)</f>
        <v>1</v>
      </c>
      <c r="AE35" s="15">
        <f>IFERROR(((Z$22 * $Y35) + (1 - Z$22)), 1)</f>
        <v>1</v>
      </c>
      <c r="AF35" s="15">
        <v>1</v>
      </c>
      <c r="AG35" s="15">
        <v>1</v>
      </c>
      <c r="AH35" s="15">
        <v>1</v>
      </c>
      <c r="AI35" s="15">
        <v>1</v>
      </c>
      <c r="AJ35" s="16" t="str">
        <f t="shared" si="0"/>
        <v>fraction</v>
      </c>
    </row>
    <row r="36" spans="1:36" ht="20.100000000000001" customHeight="1" x14ac:dyDescent="0.2">
      <c r="A36" s="5" t="str">
        <f>HYPERLINK("#'5.2.1.1-2 Organic Fert N2O'!A1", "5.2.1.1-2 Organic fert N2O")</f>
        <v>5.2.1.1-2 Organic fert N2O</v>
      </c>
      <c r="C36" s="87"/>
      <c r="D36" s="87"/>
      <c r="E36" s="87"/>
      <c r="F36" s="87"/>
      <c r="G36" s="87"/>
      <c r="H36" s="87"/>
      <c r="I36" s="87"/>
      <c r="J36" s="87"/>
      <c r="K36" s="87"/>
      <c r="L36" s="87"/>
      <c r="M36" s="87"/>
      <c r="N36" s="87"/>
      <c r="O36" s="87"/>
      <c r="P36" s="87"/>
      <c r="Q36" s="87"/>
      <c r="R36" s="87"/>
      <c r="S36" s="87"/>
      <c r="T36" s="87"/>
      <c r="W36" s="15" t="str">
        <f>TEXT(EDATE(X_Cell_Site_StartDate,8), "mmmm")</f>
        <v>August</v>
      </c>
      <c r="X36" s="15" t="str" cm="1">
        <f t="array" ref="X36">IFERROR(_xlfn.IFS(SUMPRODUCT(ISNUMBER(SEARCH(TRIM(_xlfn.TEXTSPLIT($W$22,",")),W36))*1)&gt;0,"Calving season",SUMPRODUCT(ISNUMBER(SEARCH(TRIM(_xlfn.TEXTSPLIT($W$23,",")),W36))*1)&gt;0,"Season after calving"), "")</f>
        <v>Calving season</v>
      </c>
      <c r="Y36" s="15" t="e" cm="1">
        <f t="array" ref="Y36">_xlfn.IFS(X36="Calving season", $J$14, X36="Season after calving", $J$15, X36="", "")</f>
        <v>#N/A</v>
      </c>
      <c r="Z36" s="15">
        <v>1</v>
      </c>
      <c r="AA36" s="15">
        <v>1</v>
      </c>
      <c r="AB36" s="15">
        <v>1</v>
      </c>
      <c r="AC36" s="15">
        <f>IFERROR(((X$22 * $Y36) + (1 - X$22)), 1)</f>
        <v>1</v>
      </c>
      <c r="AD36" s="15">
        <f>IFERROR(((Y$22 * $Y36) + (1 - Y$22)), 1)</f>
        <v>1</v>
      </c>
      <c r="AE36" s="15">
        <f>IFERROR(((Z$22 * $Y36) + (1 - Z$22)), 1)</f>
        <v>1</v>
      </c>
      <c r="AF36" s="15">
        <v>1</v>
      </c>
      <c r="AG36" s="15">
        <v>1</v>
      </c>
      <c r="AH36" s="15">
        <v>1</v>
      </c>
      <c r="AI36" s="15">
        <v>1</v>
      </c>
      <c r="AJ36" s="16" t="str">
        <f t="shared" si="0"/>
        <v>fraction</v>
      </c>
    </row>
    <row r="37" spans="1:36" ht="20.100000000000001" customHeight="1" x14ac:dyDescent="0.2">
      <c r="A37" s="5" t="str">
        <f>HYPERLINK("#'5.3.1.1-2 Lime CO2'!A1", "5.3.1.1-2 Lime CO2")</f>
        <v>5.3.1.1-2 Lime CO2</v>
      </c>
      <c r="D37" s="2" t="s">
        <v>1221</v>
      </c>
      <c r="W37" s="15" t="str">
        <f>TEXT(EDATE(X_Cell_Site_StartDate,9), "mmmm")</f>
        <v>September</v>
      </c>
      <c r="X37" s="15" t="str" cm="1">
        <f t="array" ref="X37">IFERROR(_xlfn.IFS(SUMPRODUCT(ISNUMBER(SEARCH(TRIM(_xlfn.TEXTSPLIT($W$22,",")),W37))*1)&gt;0,"Calving season",SUMPRODUCT(ISNUMBER(SEARCH(TRIM(_xlfn.TEXTSPLIT($W$23,",")),W37))*1)&gt;0,"Season after calving"), "")</f>
        <v>Calving season</v>
      </c>
      <c r="Y37" s="15" t="e" cm="1">
        <f t="array" ref="Y37">_xlfn.IFS(X37="Calving season", $J$14, X37="Season after calving", $J$15, X37="", "")</f>
        <v>#N/A</v>
      </c>
      <c r="Z37" s="15">
        <v>1</v>
      </c>
      <c r="AA37" s="15">
        <v>1</v>
      </c>
      <c r="AB37" s="15">
        <v>1</v>
      </c>
      <c r="AC37" s="15">
        <f>IFERROR(((X$22 * $Y37) + (1 - X$22)), 1)</f>
        <v>1</v>
      </c>
      <c r="AD37" s="15">
        <f>IFERROR(((Y$22 * $Y37) + (1 - Y$22)), 1)</f>
        <v>1</v>
      </c>
      <c r="AE37" s="15">
        <f>IFERROR(((Z$22 * $Y37) + (1 - Z$22)), 1)</f>
        <v>1</v>
      </c>
      <c r="AF37" s="15">
        <v>1</v>
      </c>
      <c r="AG37" s="15">
        <v>1</v>
      </c>
      <c r="AH37" s="15">
        <v>1</v>
      </c>
      <c r="AI37" s="15">
        <v>1</v>
      </c>
      <c r="AJ37" s="16" t="str">
        <f t="shared" si="0"/>
        <v>fraction</v>
      </c>
    </row>
    <row r="38" spans="1:36" ht="20.100000000000001" customHeight="1" x14ac:dyDescent="0.2">
      <c r="A38" s="5" t="str">
        <f>HYPERLINK("#'5.4.1.1-4 Atmos deposition'!A1", "5.4.1.1-4 Atmos. deposition")</f>
        <v>5.4.1.1-4 Atmos. deposition</v>
      </c>
      <c r="D38" s="17" t="s">
        <v>1222</v>
      </c>
      <c r="K38" s="1" t="s">
        <v>385</v>
      </c>
      <c r="L38" s="1" t="s">
        <v>386</v>
      </c>
      <c r="M38" s="1" t="s">
        <v>387</v>
      </c>
      <c r="W38" s="15" t="str">
        <f>TEXT(EDATE(X_Cell_Site_StartDate,10), "mmmm")</f>
        <v>October</v>
      </c>
      <c r="X38" s="15" t="str" cm="1">
        <f t="array" ref="X38">IFERROR(_xlfn.IFS(SUMPRODUCT(ISNUMBER(SEARCH(TRIM(_xlfn.TEXTSPLIT($W$22,",")),W38))*1)&gt;0,"Calving season",SUMPRODUCT(ISNUMBER(SEARCH(TRIM(_xlfn.TEXTSPLIT($W$23,",")),W38))*1)&gt;0,"Season after calving"), "")</f>
        <v>Calving season</v>
      </c>
      <c r="Y38" s="15" t="e" cm="1">
        <f t="array" ref="Y38">_xlfn.IFS(X38="Calving season", $J$14, X38="Season after calving", $J$15, X38="", "")</f>
        <v>#N/A</v>
      </c>
      <c r="Z38" s="15">
        <v>1</v>
      </c>
      <c r="AA38" s="15">
        <v>1</v>
      </c>
      <c r="AB38" s="15">
        <v>1</v>
      </c>
      <c r="AC38" s="15">
        <f>IFERROR(((X$22 * $Y38) + (1 - X$22)), 1)</f>
        <v>1</v>
      </c>
      <c r="AD38" s="15">
        <f>IFERROR(((Y$22 * $Y38) + (1 - Y$22)), 1)</f>
        <v>1</v>
      </c>
      <c r="AE38" s="15">
        <f>IFERROR(((Z$22 * $Y38) + (1 - Z$22)), 1)</f>
        <v>1</v>
      </c>
      <c r="AF38" s="15">
        <v>1</v>
      </c>
      <c r="AG38" s="15">
        <v>1</v>
      </c>
      <c r="AH38" s="15">
        <v>1</v>
      </c>
      <c r="AI38" s="15">
        <v>1</v>
      </c>
      <c r="AJ38" s="16" t="str">
        <f t="shared" si="0"/>
        <v>fraction</v>
      </c>
    </row>
    <row r="39" spans="1:36" ht="20.100000000000001" customHeight="1" x14ac:dyDescent="0.2">
      <c r="A39" s="5" t="str">
        <f>HYPERLINK("#'5.5.1.1-2 Leaching and runoff'!A1", "5.5.1.1-2 Leaching &amp; runoff")</f>
        <v>5.5.1.1-2 Leaching &amp; runoff</v>
      </c>
      <c r="D39" s="103"/>
      <c r="E39" s="103"/>
      <c r="W39" s="15" t="str">
        <f>TEXT(EDATE(X_Cell_Site_StartDate,11), "mmmm")</f>
        <v>November</v>
      </c>
      <c r="X39" s="15" t="str" cm="1">
        <f t="array" ref="X39">IFERROR(_xlfn.IFS(SUMPRODUCT(ISNUMBER(SEARCH(TRIM(_xlfn.TEXTSPLIT($W$22,",")),W39))*1)&gt;0,"Calving season",SUMPRODUCT(ISNUMBER(SEARCH(TRIM(_xlfn.TEXTSPLIT($W$23,",")),W39))*1)&gt;0,"Season after calving"), "")</f>
        <v>Season after calving</v>
      </c>
      <c r="Y39" s="15" t="e" cm="1">
        <f t="array" ref="Y39">_xlfn.IFS(X39="Calving season", $J$14, X39="Season after calving", $J$15, X39="", "")</f>
        <v>#N/A</v>
      </c>
      <c r="Z39" s="15">
        <v>1</v>
      </c>
      <c r="AA39" s="15">
        <v>1</v>
      </c>
      <c r="AB39" s="15">
        <v>1</v>
      </c>
      <c r="AC39" s="15">
        <f>IFERROR(((X$22 * $Y39) + (1 - X$22)), 1)</f>
        <v>1</v>
      </c>
      <c r="AD39" s="15">
        <f>IFERROR(((Y$22 * $Y39) + (1 - Y$22)), 1)</f>
        <v>1</v>
      </c>
      <c r="AE39" s="15">
        <f>IFERROR(((Z$22 * $Y39) + (1 - Z$22)), 1)</f>
        <v>1</v>
      </c>
      <c r="AF39" s="15">
        <v>1</v>
      </c>
      <c r="AG39" s="15">
        <v>1</v>
      </c>
      <c r="AH39" s="15">
        <v>1</v>
      </c>
      <c r="AI39" s="15">
        <v>1</v>
      </c>
      <c r="AJ39" s="16" t="str">
        <f t="shared" si="0"/>
        <v>fraction</v>
      </c>
    </row>
    <row r="40" spans="1:36" ht="20.100000000000001" customHeight="1" x14ac:dyDescent="0.2">
      <c r="A40" s="5" t="str">
        <f>HYPERLINK("#'6.2.1.1-2 Pasture residue N2O'!A1", "6.2.1.1-2 Pasture residue N2O")</f>
        <v>6.2.1.1-2 Pasture residue N2O</v>
      </c>
    </row>
    <row r="41" spans="1:36" ht="20.100000000000001" customHeight="1" x14ac:dyDescent="0.2">
      <c r="A41" s="5" t="str">
        <f>HYPERLINK("#'6.3.1.1-2 Leach runoff pasture'!A1", "6.3.1.1-2 Leach &amp; runoff (pasture)")</f>
        <v>6.3.1.1-2 Leach &amp; runoff (pasture)</v>
      </c>
      <c r="W41" s="112" t="s">
        <v>388</v>
      </c>
    </row>
    <row r="42" spans="1:36" ht="20.100000000000001" customHeight="1" x14ac:dyDescent="0.2">
      <c r="A42" s="5" t="str">
        <f>HYPERLINK("#'8.1.1.1-2 Transport fuel'!A1", "8.1.1.1-2 Transport fuel")</f>
        <v>8.1.1.1-2 Transport fuel</v>
      </c>
      <c r="D42" s="77" t="s">
        <v>373</v>
      </c>
      <c r="E42" s="1" t="s">
        <v>1224</v>
      </c>
      <c r="W42" s="113" t="s">
        <v>389</v>
      </c>
    </row>
    <row r="43" spans="1:36" ht="20.100000000000001" customHeight="1" x14ac:dyDescent="0.2">
      <c r="A43" s="5" t="str">
        <f>HYPERLINK("#'8.2.1.1-2 Stationary fuel'!A1", "8.2.1.1-2 Stationary fuel")</f>
        <v>8.2.1.1-2 Stationary fuel</v>
      </c>
      <c r="D43" s="77" t="s">
        <v>121</v>
      </c>
      <c r="E43" s="9" t="s">
        <v>1225</v>
      </c>
      <c r="W43" s="114" t="s">
        <v>75</v>
      </c>
      <c r="X43" s="82" t="s">
        <v>326</v>
      </c>
      <c r="Y43" s="82" t="s">
        <v>184</v>
      </c>
      <c r="Z43" s="82" t="s">
        <v>327</v>
      </c>
      <c r="AA43" s="82" t="s">
        <v>328</v>
      </c>
      <c r="AB43" s="82" t="s">
        <v>329</v>
      </c>
      <c r="AC43" s="82" t="s">
        <v>330</v>
      </c>
      <c r="AD43" s="82" t="s">
        <v>331</v>
      </c>
      <c r="AE43" s="82" t="s">
        <v>332</v>
      </c>
      <c r="AF43" s="82" t="s">
        <v>333</v>
      </c>
      <c r="AG43" s="82" t="s">
        <v>334</v>
      </c>
      <c r="AH43" s="16"/>
    </row>
    <row r="44" spans="1:36" ht="20.100000000000001" customHeight="1" x14ac:dyDescent="0.2">
      <c r="A44" s="5" t="str">
        <f>HYPERLINK("#'10.1.1-2 Solid waste treatment'!A1", "10.1.1.1-2 Solid waste")</f>
        <v>10.1.1.1-2 Solid waste</v>
      </c>
      <c r="W44" s="15" t="str">
        <f>TEXT(X_Cell_Site_StartDate,"mmmm")</f>
        <v>January</v>
      </c>
      <c r="X44" s="15" t="e" cm="1">
        <f t="array" aca="1" ref="X44:AG55" ca="1">OFFSET(X_Table_PastureBeef_Liveweight_Method2, 1,1, 12,10)</f>
        <v>#N/A</v>
      </c>
      <c r="Y44" s="15" t="e">
        <f ca="1"/>
        <v>#N/A</v>
      </c>
      <c r="Z44" s="15" t="e">
        <f ca="1"/>
        <v>#N/A</v>
      </c>
      <c r="AA44" s="15" t="e">
        <f ca="1"/>
        <v>#N/A</v>
      </c>
      <c r="AB44" s="15" t="e">
        <f ca="1"/>
        <v>#N/A</v>
      </c>
      <c r="AC44" s="15" t="e">
        <f ca="1"/>
        <v>#N/A</v>
      </c>
      <c r="AD44" s="15" t="e">
        <f ca="1"/>
        <v>#N/A</v>
      </c>
      <c r="AE44" s="15" t="e">
        <f ca="1"/>
        <v>#N/A</v>
      </c>
      <c r="AF44" s="15" t="e">
        <f ca="1"/>
        <v>#N/A</v>
      </c>
      <c r="AG44" s="15" t="e">
        <f ca="1"/>
        <v>#N/A</v>
      </c>
      <c r="AH44" s="16" t="s">
        <v>343</v>
      </c>
    </row>
    <row r="45" spans="1:36" ht="20.100000000000001" customHeight="1" x14ac:dyDescent="0.2">
      <c r="A45" s="5" t="str">
        <f>HYPERLINK("#'14.1.1-2 Purchased electricity'!A1", "14.1.1-2 Purchased electricity")</f>
        <v>14.1.1-2 Purchased electricity</v>
      </c>
      <c r="D45" s="105" t="s">
        <v>1226</v>
      </c>
      <c r="E45" s="106" t="s">
        <v>1227</v>
      </c>
      <c r="F45" s="108"/>
      <c r="G45" s="105" t="s">
        <v>636</v>
      </c>
      <c r="H45" s="109" t="s">
        <v>1219</v>
      </c>
      <c r="I45" s="111" t="str" cm="1">
        <f t="array" aca="1" ref="I45" ca="1">HYPERLINK(Common_InputFunctions.Utility_SourceHyperlink($D$49), $D$49)</f>
        <v>M1_Table_W_j_k_l</v>
      </c>
      <c r="W45" s="15" t="str">
        <f>TEXT(EDATE(X_Cell_Site_StartDate,1), "mmmm")</f>
        <v>January</v>
      </c>
      <c r="X45" s="15" t="e">
        <f ca="1"/>
        <v>#N/A</v>
      </c>
      <c r="Y45" s="15" t="e">
        <f ca="1"/>
        <v>#N/A</v>
      </c>
      <c r="Z45" s="15" t="e">
        <f ca="1"/>
        <v>#N/A</v>
      </c>
      <c r="AA45" s="15" t="e">
        <f ca="1"/>
        <v>#N/A</v>
      </c>
      <c r="AB45" s="15" t="e">
        <f ca="1"/>
        <v>#N/A</v>
      </c>
      <c r="AC45" s="15" t="e">
        <f ca="1"/>
        <v>#N/A</v>
      </c>
      <c r="AD45" s="15" t="e">
        <f ca="1"/>
        <v>#N/A</v>
      </c>
      <c r="AE45" s="15" t="e">
        <f ca="1"/>
        <v>#N/A</v>
      </c>
      <c r="AF45" s="15" t="e">
        <f ca="1"/>
        <v>#N/A</v>
      </c>
      <c r="AG45" s="15" t="e">
        <f ca="1"/>
        <v>#N/A</v>
      </c>
      <c r="AH45" s="16" t="s">
        <v>343</v>
      </c>
    </row>
    <row r="46" spans="1:36" ht="20.100000000000001" customHeight="1" x14ac:dyDescent="0.2">
      <c r="A46" s="5" t="str">
        <f>HYPERLINK("#'15 Scope 3'!A1", "15 Scope 3")</f>
        <v>15 Scope 3</v>
      </c>
      <c r="D46" s="105" t="s">
        <v>1228</v>
      </c>
      <c r="E46" s="106" t="s">
        <v>1229</v>
      </c>
      <c r="F46" s="108"/>
      <c r="G46" s="105" t="s">
        <v>344</v>
      </c>
      <c r="H46" s="109" t="s">
        <v>1219</v>
      </c>
      <c r="I46" s="111" t="str" cm="1">
        <f t="array" aca="1" ref="I46" ca="1">HYPERLINK(Common_InputFunctions.Utility_SourceHyperlink($D$65), $D$65)</f>
        <v>M1_Table_LWG_j_k_l</v>
      </c>
      <c r="W46" s="15" t="str">
        <f>TEXT(EDATE(X_Cell_Site_StartDate,2), "mmmm")</f>
        <v>February</v>
      </c>
      <c r="X46" s="15" t="e">
        <f ca="1"/>
        <v>#N/A</v>
      </c>
      <c r="Y46" s="15" t="e">
        <f ca="1"/>
        <v>#N/A</v>
      </c>
      <c r="Z46" s="15" t="e">
        <f ca="1"/>
        <v>#N/A</v>
      </c>
      <c r="AA46" s="15" t="e">
        <f ca="1"/>
        <v>#N/A</v>
      </c>
      <c r="AB46" s="15" t="e">
        <f ca="1"/>
        <v>#N/A</v>
      </c>
      <c r="AC46" s="15" t="e">
        <f ca="1"/>
        <v>#N/A</v>
      </c>
      <c r="AD46" s="15" t="e">
        <f ca="1"/>
        <v>#N/A</v>
      </c>
      <c r="AE46" s="15" t="e">
        <f ca="1"/>
        <v>#N/A</v>
      </c>
      <c r="AF46" s="15" t="e">
        <f ca="1"/>
        <v>#N/A</v>
      </c>
      <c r="AG46" s="15" t="e">
        <f ca="1"/>
        <v>#N/A</v>
      </c>
      <c r="AH46" s="16" t="s">
        <v>343</v>
      </c>
    </row>
    <row r="47" spans="1:36" ht="20.100000000000001" customHeight="1" x14ac:dyDescent="0.2">
      <c r="A47" s="5" t="str">
        <f>HYPERLINK("#'Calcs - Manure sent off-site'!A1", "Calcs - Manure sent off-site")</f>
        <v>Calcs - Manure sent off-site</v>
      </c>
      <c r="D47" s="105" t="s">
        <v>1210</v>
      </c>
      <c r="E47" s="106" t="s">
        <v>1230</v>
      </c>
      <c r="F47" s="108"/>
      <c r="G47" s="105" t="s">
        <v>344</v>
      </c>
      <c r="H47" s="110" t="s">
        <v>1231</v>
      </c>
      <c r="I47" s="111" t="str" cm="1">
        <f t="array" aca="1" ref="I47" ca="1">HYPERLINK(Common_InputFunctions.Utility_SourceHyperlink($D$27), $D$27)</f>
        <v>M1_Table_MA_j_k-4-5</v>
      </c>
      <c r="W47" s="15" t="str">
        <f>TEXT(EDATE(X_Cell_Site_StartDate,3), "mmmm")</f>
        <v>March</v>
      </c>
      <c r="X47" s="15" t="e">
        <f ca="1"/>
        <v>#N/A</v>
      </c>
      <c r="Y47" s="15" t="e">
        <f ca="1"/>
        <v>#N/A</v>
      </c>
      <c r="Z47" s="15" t="e">
        <f ca="1"/>
        <v>#N/A</v>
      </c>
      <c r="AA47" s="15" t="e">
        <f ca="1"/>
        <v>#N/A</v>
      </c>
      <c r="AB47" s="15" t="e">
        <f ca="1"/>
        <v>#N/A</v>
      </c>
      <c r="AC47" s="15" t="e">
        <f ca="1"/>
        <v>#N/A</v>
      </c>
      <c r="AD47" s="15" t="e">
        <f ca="1"/>
        <v>#N/A</v>
      </c>
      <c r="AE47" s="15" t="e">
        <f ca="1"/>
        <v>#N/A</v>
      </c>
      <c r="AF47" s="15" t="e">
        <f ca="1"/>
        <v>#N/A</v>
      </c>
      <c r="AG47" s="15" t="e">
        <f ca="1"/>
        <v>#N/A</v>
      </c>
      <c r="AH47" s="16" t="s">
        <v>343</v>
      </c>
    </row>
    <row r="48" spans="1:36" ht="20.100000000000001" customHeight="1" x14ac:dyDescent="0.2">
      <c r="W48" s="15" t="str">
        <f>TEXT(EDATE(X_Cell_Site_StartDate,4), "mmmm")</f>
        <v>April</v>
      </c>
      <c r="X48" s="15" t="e">
        <f ca="1"/>
        <v>#N/A</v>
      </c>
      <c r="Y48" s="15" t="e">
        <f ca="1"/>
        <v>#N/A</v>
      </c>
      <c r="Z48" s="15" t="e">
        <f ca="1"/>
        <v>#N/A</v>
      </c>
      <c r="AA48" s="15" t="e">
        <f ca="1"/>
        <v>#N/A</v>
      </c>
      <c r="AB48" s="15" t="e">
        <f ca="1"/>
        <v>#N/A</v>
      </c>
      <c r="AC48" s="15" t="e">
        <f ca="1"/>
        <v>#N/A</v>
      </c>
      <c r="AD48" s="15" t="e">
        <f ca="1"/>
        <v>#N/A</v>
      </c>
      <c r="AE48" s="15" t="e">
        <f ca="1"/>
        <v>#N/A</v>
      </c>
      <c r="AF48" s="15" t="e">
        <f ca="1"/>
        <v>#N/A</v>
      </c>
      <c r="AG48" s="15" t="e">
        <f ca="1"/>
        <v>#N/A</v>
      </c>
      <c r="AH48" s="16" t="s">
        <v>343</v>
      </c>
    </row>
    <row r="49" spans="1:36" ht="20.100000000000001" customHeight="1" x14ac:dyDescent="0.2">
      <c r="D49" s="112" t="s">
        <v>390</v>
      </c>
      <c r="W49" s="15" t="str">
        <f>TEXT(EDATE(X_Cell_Site_StartDate,5), "mmmm")</f>
        <v>May</v>
      </c>
      <c r="X49" s="15" t="e">
        <f ca="1"/>
        <v>#N/A</v>
      </c>
      <c r="Y49" s="15" t="e">
        <f ca="1"/>
        <v>#N/A</v>
      </c>
      <c r="Z49" s="15" t="e">
        <f ca="1"/>
        <v>#N/A</v>
      </c>
      <c r="AA49" s="15" t="e">
        <f ca="1"/>
        <v>#N/A</v>
      </c>
      <c r="AB49" s="15" t="e">
        <f ca="1"/>
        <v>#N/A</v>
      </c>
      <c r="AC49" s="15" t="e">
        <f ca="1"/>
        <v>#N/A</v>
      </c>
      <c r="AD49" s="15" t="e">
        <f ca="1"/>
        <v>#N/A</v>
      </c>
      <c r="AE49" s="15" t="e">
        <f ca="1"/>
        <v>#N/A</v>
      </c>
      <c r="AF49" s="15" t="e">
        <f ca="1"/>
        <v>#N/A</v>
      </c>
      <c r="AG49" s="15" t="e">
        <f ca="1"/>
        <v>#N/A</v>
      </c>
      <c r="AH49" s="16" t="s">
        <v>343</v>
      </c>
    </row>
    <row r="50" spans="1:36" ht="20.100000000000001" customHeight="1" x14ac:dyDescent="0.2">
      <c r="A50" s="85" t="s">
        <v>1</v>
      </c>
      <c r="D50" s="113" t="s">
        <v>391</v>
      </c>
      <c r="W50" s="15" t="str">
        <f>TEXT(EDATE(X_Cell_Site_StartDate,6), "mmmm")</f>
        <v>June</v>
      </c>
      <c r="X50" s="15" t="e">
        <f ca="1"/>
        <v>#N/A</v>
      </c>
      <c r="Y50" s="15" t="e">
        <f ca="1"/>
        <v>#N/A</v>
      </c>
      <c r="Z50" s="15" t="e">
        <f ca="1"/>
        <v>#N/A</v>
      </c>
      <c r="AA50" s="15" t="e">
        <f ca="1"/>
        <v>#N/A</v>
      </c>
      <c r="AB50" s="15" t="e">
        <f ca="1"/>
        <v>#N/A</v>
      </c>
      <c r="AC50" s="15" t="e">
        <f ca="1"/>
        <v>#N/A</v>
      </c>
      <c r="AD50" s="15" t="e">
        <f ca="1"/>
        <v>#N/A</v>
      </c>
      <c r="AE50" s="15" t="e">
        <f ca="1"/>
        <v>#N/A</v>
      </c>
      <c r="AF50" s="15" t="e">
        <f ca="1"/>
        <v>#N/A</v>
      </c>
      <c r="AG50" s="15" t="e">
        <f ca="1"/>
        <v>#N/A</v>
      </c>
      <c r="AH50" s="16" t="s">
        <v>343</v>
      </c>
    </row>
    <row r="51" spans="1:36" ht="20.100000000000001" customHeight="1" x14ac:dyDescent="0.2">
      <c r="A51" s="5" t="str">
        <f>HYPERLINK("#'Constants - Pasture Beef'!A1", "Constants - Pasture Beef")</f>
        <v>Constants - Pasture Beef</v>
      </c>
      <c r="D51" s="114" t="s">
        <v>76</v>
      </c>
      <c r="E51" s="82" t="s">
        <v>326</v>
      </c>
      <c r="F51" s="82" t="s">
        <v>184</v>
      </c>
      <c r="G51" s="82" t="s">
        <v>327</v>
      </c>
      <c r="H51" s="82" t="s">
        <v>328</v>
      </c>
      <c r="I51" s="82" t="s">
        <v>329</v>
      </c>
      <c r="J51" s="82" t="s">
        <v>330</v>
      </c>
      <c r="K51" s="82" t="s">
        <v>331</v>
      </c>
      <c r="L51" s="82" t="s">
        <v>332</v>
      </c>
      <c r="M51" s="82" t="s">
        <v>333</v>
      </c>
      <c r="N51" s="82" t="s">
        <v>334</v>
      </c>
      <c r="W51" s="15" t="str">
        <f>TEXT(EDATE(X_Cell_Site_StartDate,7), "mmmm")</f>
        <v>July</v>
      </c>
      <c r="X51" s="15" t="e">
        <f ca="1"/>
        <v>#N/A</v>
      </c>
      <c r="Y51" s="15" t="e">
        <f ca="1"/>
        <v>#N/A</v>
      </c>
      <c r="Z51" s="15" t="e">
        <f ca="1"/>
        <v>#N/A</v>
      </c>
      <c r="AA51" s="15" t="e">
        <f ca="1"/>
        <v>#N/A</v>
      </c>
      <c r="AB51" s="15" t="e">
        <f ca="1"/>
        <v>#N/A</v>
      </c>
      <c r="AC51" s="15" t="e">
        <f ca="1"/>
        <v>#N/A</v>
      </c>
      <c r="AD51" s="15" t="e">
        <f ca="1"/>
        <v>#N/A</v>
      </c>
      <c r="AE51" s="15" t="e">
        <f ca="1"/>
        <v>#N/A</v>
      </c>
      <c r="AF51" s="15" t="e">
        <f ca="1"/>
        <v>#N/A</v>
      </c>
      <c r="AG51" s="15" t="e">
        <f ca="1"/>
        <v>#N/A</v>
      </c>
      <c r="AH51" s="16" t="s">
        <v>343</v>
      </c>
      <c r="AI51" s="16"/>
      <c r="AJ51" s="16"/>
    </row>
    <row r="52" spans="1:36" ht="20.100000000000001" customHeight="1" x14ac:dyDescent="0.2">
      <c r="A52" s="5" t="str">
        <f>HYPERLINK("#'Constants - Ag Residue'!A1", "Constants - Ag residue")</f>
        <v>Constants - Ag residue</v>
      </c>
      <c r="D52" s="15" t="str">
        <f>INDEX(X_Table_PastureBeef_Liveweight_Method1,2,1)</f>
        <v>Spring</v>
      </c>
      <c r="E52" s="15" t="e" cm="1">
        <f t="array" aca="1" ref="E52:N55" ca="1">OFFSET(X_Table_PastureBeef_Liveweight_Method1, 1,1, 4,10)</f>
        <v>#N/A</v>
      </c>
      <c r="F52" s="15" t="e">
        <f ca="1"/>
        <v>#N/A</v>
      </c>
      <c r="G52" s="15" t="e">
        <f ca="1"/>
        <v>#N/A</v>
      </c>
      <c r="H52" s="15" t="e">
        <f ca="1"/>
        <v>#N/A</v>
      </c>
      <c r="I52" s="15" t="e">
        <f ca="1"/>
        <v>#N/A</v>
      </c>
      <c r="J52" s="15" t="e">
        <f ca="1"/>
        <v>#N/A</v>
      </c>
      <c r="K52" s="15" t="e">
        <f ca="1"/>
        <v>#N/A</v>
      </c>
      <c r="L52" s="15" t="e">
        <f ca="1"/>
        <v>#N/A</v>
      </c>
      <c r="M52" s="15" t="e">
        <f ca="1"/>
        <v>#N/A</v>
      </c>
      <c r="N52" s="15" t="e">
        <f ca="1"/>
        <v>#N/A</v>
      </c>
      <c r="O52" s="16" t="s">
        <v>343</v>
      </c>
      <c r="P52" s="16"/>
      <c r="Q52" s="16"/>
      <c r="R52" s="16"/>
      <c r="S52" s="16"/>
      <c r="W52" s="15" t="str">
        <f>TEXT(EDATE(X_Cell_Site_StartDate,8), "mmmm")</f>
        <v>August</v>
      </c>
      <c r="X52" s="15" t="e">
        <f ca="1"/>
        <v>#N/A</v>
      </c>
      <c r="Y52" s="15" t="e">
        <f ca="1"/>
        <v>#N/A</v>
      </c>
      <c r="Z52" s="15" t="e">
        <f ca="1"/>
        <v>#N/A</v>
      </c>
      <c r="AA52" s="15" t="e">
        <f ca="1"/>
        <v>#N/A</v>
      </c>
      <c r="AB52" s="15" t="e">
        <f ca="1"/>
        <v>#N/A</v>
      </c>
      <c r="AC52" s="15" t="e">
        <f ca="1"/>
        <v>#N/A</v>
      </c>
      <c r="AD52" s="15" t="e">
        <f ca="1"/>
        <v>#N/A</v>
      </c>
      <c r="AE52" s="15" t="e">
        <f ca="1"/>
        <v>#N/A</v>
      </c>
      <c r="AF52" s="15" t="e">
        <f ca="1"/>
        <v>#N/A</v>
      </c>
      <c r="AG52" s="15" t="e">
        <f ca="1"/>
        <v>#N/A</v>
      </c>
      <c r="AH52" s="16" t="s">
        <v>343</v>
      </c>
      <c r="AI52" s="16"/>
      <c r="AJ52" s="16"/>
    </row>
    <row r="53" spans="1:36" ht="20.100000000000001" customHeight="1" x14ac:dyDescent="0.2">
      <c r="A53" s="5" t="str">
        <f>HYPERLINK("#'Constants - Common Livestock'!A1", "Constants - Common Livestock")</f>
        <v>Constants - Common Livestock</v>
      </c>
      <c r="D53" s="15" t="str">
        <f>INDEX(X_Table_PastureBeef_Liveweight_Method1,3,1)</f>
        <v>Summer</v>
      </c>
      <c r="E53" s="15" t="e">
        <f ca="1"/>
        <v>#N/A</v>
      </c>
      <c r="F53" s="15" t="e">
        <f ca="1"/>
        <v>#N/A</v>
      </c>
      <c r="G53" s="15" t="e">
        <f ca="1"/>
        <v>#N/A</v>
      </c>
      <c r="H53" s="15" t="e">
        <f ca="1"/>
        <v>#N/A</v>
      </c>
      <c r="I53" s="15" t="e">
        <f ca="1"/>
        <v>#N/A</v>
      </c>
      <c r="J53" s="15" t="e">
        <f ca="1"/>
        <v>#N/A</v>
      </c>
      <c r="K53" s="15" t="e">
        <f ca="1"/>
        <v>#N/A</v>
      </c>
      <c r="L53" s="15" t="e">
        <f ca="1"/>
        <v>#N/A</v>
      </c>
      <c r="M53" s="15" t="e">
        <f ca="1"/>
        <v>#N/A</v>
      </c>
      <c r="N53" s="15" t="e">
        <f ca="1"/>
        <v>#N/A</v>
      </c>
      <c r="O53" s="16" t="s">
        <v>343</v>
      </c>
      <c r="P53" s="16"/>
      <c r="Q53" s="16"/>
      <c r="R53" s="16"/>
      <c r="S53" s="16"/>
      <c r="W53" s="15" t="str">
        <f>TEXT(EDATE(X_Cell_Site_StartDate,9), "mmmm")</f>
        <v>September</v>
      </c>
      <c r="X53" s="15" t="e">
        <f ca="1"/>
        <v>#N/A</v>
      </c>
      <c r="Y53" s="15" t="e">
        <f ca="1"/>
        <v>#N/A</v>
      </c>
      <c r="Z53" s="15" t="e">
        <f ca="1"/>
        <v>#N/A</v>
      </c>
      <c r="AA53" s="15" t="e">
        <f ca="1"/>
        <v>#N/A</v>
      </c>
      <c r="AB53" s="15" t="e">
        <f ca="1"/>
        <v>#N/A</v>
      </c>
      <c r="AC53" s="15" t="e">
        <f ca="1"/>
        <v>#N/A</v>
      </c>
      <c r="AD53" s="15" t="e">
        <f ca="1"/>
        <v>#N/A</v>
      </c>
      <c r="AE53" s="15" t="e">
        <f ca="1"/>
        <v>#N/A</v>
      </c>
      <c r="AF53" s="15" t="e">
        <f ca="1"/>
        <v>#N/A</v>
      </c>
      <c r="AG53" s="15" t="e">
        <f ca="1"/>
        <v>#N/A</v>
      </c>
      <c r="AH53" s="16" t="s">
        <v>343</v>
      </c>
      <c r="AI53" s="16"/>
      <c r="AJ53" s="16"/>
    </row>
    <row r="54" spans="1:36" ht="20.100000000000001" customHeight="1" x14ac:dyDescent="0.2">
      <c r="A54" s="5" t="str">
        <f>HYPERLINK("#'Constants - Electricity'!A1", "Constants - Electricity")</f>
        <v>Constants - Electricity</v>
      </c>
      <c r="D54" s="15" t="str">
        <f>INDEX(X_Table_PastureBeef_Liveweight_Method1,4,1)</f>
        <v>Autumn</v>
      </c>
      <c r="E54" s="15" t="e">
        <f ca="1"/>
        <v>#N/A</v>
      </c>
      <c r="F54" s="15" t="e">
        <f ca="1"/>
        <v>#N/A</v>
      </c>
      <c r="G54" s="15" t="e">
        <f ca="1"/>
        <v>#N/A</v>
      </c>
      <c r="H54" s="15" t="e">
        <f ca="1"/>
        <v>#N/A</v>
      </c>
      <c r="I54" s="15" t="e">
        <f ca="1"/>
        <v>#N/A</v>
      </c>
      <c r="J54" s="15" t="e">
        <f ca="1"/>
        <v>#N/A</v>
      </c>
      <c r="K54" s="15" t="e">
        <f ca="1"/>
        <v>#N/A</v>
      </c>
      <c r="L54" s="15" t="e">
        <f ca="1"/>
        <v>#N/A</v>
      </c>
      <c r="M54" s="15" t="e">
        <f ca="1"/>
        <v>#N/A</v>
      </c>
      <c r="N54" s="15" t="e">
        <f ca="1"/>
        <v>#N/A</v>
      </c>
      <c r="O54" s="16" t="s">
        <v>343</v>
      </c>
      <c r="P54" s="16"/>
      <c r="Q54" s="16"/>
      <c r="R54" s="16"/>
      <c r="S54" s="16"/>
      <c r="W54" s="15" t="str">
        <f>TEXT(EDATE(X_Cell_Site_StartDate,10), "mmmm")</f>
        <v>October</v>
      </c>
      <c r="X54" s="15" t="e">
        <f ca="1"/>
        <v>#N/A</v>
      </c>
      <c r="Y54" s="15" t="e">
        <f ca="1"/>
        <v>#N/A</v>
      </c>
      <c r="Z54" s="15" t="e">
        <f ca="1"/>
        <v>#N/A</v>
      </c>
      <c r="AA54" s="15" t="e">
        <f ca="1"/>
        <v>#N/A</v>
      </c>
      <c r="AB54" s="15" t="e">
        <f ca="1"/>
        <v>#N/A</v>
      </c>
      <c r="AC54" s="15" t="e">
        <f ca="1"/>
        <v>#N/A</v>
      </c>
      <c r="AD54" s="15" t="e">
        <f ca="1"/>
        <v>#N/A</v>
      </c>
      <c r="AE54" s="15" t="e">
        <f ca="1"/>
        <v>#N/A</v>
      </c>
      <c r="AF54" s="15" t="e">
        <f ca="1"/>
        <v>#N/A</v>
      </c>
      <c r="AG54" s="15" t="e">
        <f ca="1"/>
        <v>#N/A</v>
      </c>
      <c r="AH54" s="16" t="s">
        <v>343</v>
      </c>
      <c r="AI54" s="16"/>
      <c r="AJ54" s="16"/>
    </row>
    <row r="55" spans="1:36" ht="20.100000000000001" customHeight="1" x14ac:dyDescent="0.2">
      <c r="A55" s="5" t="str">
        <f>HYPERLINK("#'Constants - Fertiliser'!A1", "Constants - Fertiliser")</f>
        <v>Constants - Fertiliser</v>
      </c>
      <c r="D55" s="15" t="str">
        <f>INDEX(X_Table_PastureBeef_Liveweight_Method1,5,1)</f>
        <v>Winter</v>
      </c>
      <c r="E55" s="15" t="e">
        <f ca="1"/>
        <v>#N/A</v>
      </c>
      <c r="F55" s="15" t="e">
        <f ca="1"/>
        <v>#N/A</v>
      </c>
      <c r="G55" s="15" t="e">
        <f ca="1"/>
        <v>#N/A</v>
      </c>
      <c r="H55" s="15" t="e">
        <f ca="1"/>
        <v>#N/A</v>
      </c>
      <c r="I55" s="15" t="e">
        <f ca="1"/>
        <v>#N/A</v>
      </c>
      <c r="J55" s="15" t="e">
        <f ca="1"/>
        <v>#N/A</v>
      </c>
      <c r="K55" s="15" t="e">
        <f ca="1"/>
        <v>#N/A</v>
      </c>
      <c r="L55" s="15" t="e">
        <f ca="1"/>
        <v>#N/A</v>
      </c>
      <c r="M55" s="15" t="e">
        <f ca="1"/>
        <v>#N/A</v>
      </c>
      <c r="N55" s="15" t="e">
        <f ca="1"/>
        <v>#N/A</v>
      </c>
      <c r="O55" s="16" t="s">
        <v>343</v>
      </c>
      <c r="P55" s="16"/>
      <c r="Q55" s="16"/>
      <c r="R55" s="16"/>
      <c r="S55" s="16"/>
      <c r="W55" s="15" t="str">
        <f>TEXT(EDATE(X_Cell_Site_StartDate,11), "mmmm")</f>
        <v>November</v>
      </c>
      <c r="X55" s="15" t="e">
        <f ca="1"/>
        <v>#N/A</v>
      </c>
      <c r="Y55" s="15" t="e">
        <f ca="1"/>
        <v>#N/A</v>
      </c>
      <c r="Z55" s="15" t="e">
        <f ca="1"/>
        <v>#N/A</v>
      </c>
      <c r="AA55" s="15" t="e">
        <f ca="1"/>
        <v>#N/A</v>
      </c>
      <c r="AB55" s="15" t="e">
        <f ca="1"/>
        <v>#N/A</v>
      </c>
      <c r="AC55" s="15" t="e">
        <f ca="1"/>
        <v>#N/A</v>
      </c>
      <c r="AD55" s="15" t="e">
        <f ca="1"/>
        <v>#N/A</v>
      </c>
      <c r="AE55" s="15" t="e">
        <f ca="1"/>
        <v>#N/A</v>
      </c>
      <c r="AF55" s="15" t="e">
        <f ca="1"/>
        <v>#N/A</v>
      </c>
      <c r="AG55" s="15" t="e">
        <f ca="1"/>
        <v>#N/A</v>
      </c>
      <c r="AH55" s="16" t="s">
        <v>343</v>
      </c>
      <c r="AI55" s="16"/>
      <c r="AJ55" s="16"/>
    </row>
    <row r="56" spans="1:36" ht="20.100000000000001" customHeight="1" x14ac:dyDescent="0.2">
      <c r="A56" s="5" t="str">
        <f>HYPERLINK("#'Constants - Fuel'!A1", "Constants - Fuel")</f>
        <v>Constants - Fuel</v>
      </c>
      <c r="AI56" s="16"/>
      <c r="AJ56" s="16"/>
    </row>
    <row r="57" spans="1:36" ht="20.100000000000001" customHeight="1" x14ac:dyDescent="0.2">
      <c r="A57" s="5" t="str">
        <f>HYPERLINK("#'Constants - Scope 3'!A1", "Constants - Scope 3")</f>
        <v>Constants - Scope 3</v>
      </c>
      <c r="W57" s="112" t="s">
        <v>392</v>
      </c>
      <c r="AI57" s="16"/>
      <c r="AJ57" s="16"/>
    </row>
    <row r="58" spans="1:36" ht="20.100000000000001" customHeight="1" x14ac:dyDescent="0.2">
      <c r="A58" s="5" t="str">
        <f>HYPERLINK("#'Constants - Solid Waste'!A1", "Constants - Solid Waste")</f>
        <v>Constants - Solid Waste</v>
      </c>
      <c r="W58" s="113" t="s">
        <v>393</v>
      </c>
      <c r="AI58" s="16"/>
      <c r="AJ58" s="16"/>
    </row>
    <row r="59" spans="1:36" ht="20.100000000000001" customHeight="1" x14ac:dyDescent="0.2">
      <c r="A59" s="5" t="str">
        <f>HYPERLINK("#'Constants - Common'!A1", "Constants - Common")</f>
        <v>Constants - Common</v>
      </c>
      <c r="W59" s="114" t="s">
        <v>75</v>
      </c>
      <c r="X59" s="82" t="s">
        <v>326</v>
      </c>
      <c r="Y59" s="82" t="s">
        <v>184</v>
      </c>
      <c r="Z59" s="82" t="s">
        <v>327</v>
      </c>
      <c r="AA59" s="82" t="s">
        <v>328</v>
      </c>
      <c r="AB59" s="82" t="s">
        <v>329</v>
      </c>
      <c r="AC59" s="82" t="s">
        <v>330</v>
      </c>
      <c r="AD59" s="82" t="s">
        <v>331</v>
      </c>
      <c r="AE59" s="82" t="s">
        <v>332</v>
      </c>
      <c r="AF59" s="82" t="s">
        <v>333</v>
      </c>
      <c r="AG59" s="82" t="s">
        <v>334</v>
      </c>
      <c r="AI59" s="16"/>
      <c r="AJ59" s="16"/>
    </row>
    <row r="60" spans="1:36" ht="20.100000000000001" customHeight="1" x14ac:dyDescent="0.2">
      <c r="A60" s="5" t="str">
        <f>HYPERLINK("#'Acknowledgements'!A1", "Acknowledgements")</f>
        <v>Acknowledgements</v>
      </c>
      <c r="W60" s="15" t="str">
        <f>TEXT(X_Cell_Site_StartDate,"mmmm")</f>
        <v>January</v>
      </c>
      <c r="X60" s="15" t="e" cm="1">
        <f t="array" aca="1" ref="X60:AG71" ca="1">OFFSET(X_Table_PastureBeef_LiveweightGain_Method2, 1,1, 12,10)</f>
        <v>#N/A</v>
      </c>
      <c r="Y60" s="15" t="e">
        <f ca="1"/>
        <v>#N/A</v>
      </c>
      <c r="Z60" s="15" t="e">
        <f ca="1"/>
        <v>#N/A</v>
      </c>
      <c r="AA60" s="15" t="e">
        <f ca="1"/>
        <v>#N/A</v>
      </c>
      <c r="AB60" s="15" t="e">
        <f ca="1"/>
        <v>#N/A</v>
      </c>
      <c r="AC60" s="15" t="e">
        <f ca="1"/>
        <v>#N/A</v>
      </c>
      <c r="AD60" s="15" t="e">
        <f ca="1"/>
        <v>#N/A</v>
      </c>
      <c r="AE60" s="15" t="e">
        <f ca="1"/>
        <v>#N/A</v>
      </c>
      <c r="AF60" s="15" t="e">
        <f ca="1"/>
        <v>#N/A</v>
      </c>
      <c r="AG60" s="15" t="e">
        <f ca="1"/>
        <v>#N/A</v>
      </c>
      <c r="AH60" s="16" t="s">
        <v>344</v>
      </c>
      <c r="AI60" s="16"/>
      <c r="AJ60" s="16"/>
    </row>
    <row r="61" spans="1:36" ht="20.100000000000001" customHeight="1" x14ac:dyDescent="0.2">
      <c r="W61" s="15" t="str">
        <f>TEXT(EDATE(X_Cell_Site_StartDate,1), "mmmm")</f>
        <v>January</v>
      </c>
      <c r="X61" s="15" t="e">
        <f ca="1"/>
        <v>#N/A</v>
      </c>
      <c r="Y61" s="15" t="e">
        <f ca="1"/>
        <v>#N/A</v>
      </c>
      <c r="Z61" s="15" t="e">
        <f ca="1"/>
        <v>#N/A</v>
      </c>
      <c r="AA61" s="15" t="e">
        <f ca="1"/>
        <v>#N/A</v>
      </c>
      <c r="AB61" s="15" t="e">
        <f ca="1"/>
        <v>#N/A</v>
      </c>
      <c r="AC61" s="15" t="e">
        <f ca="1"/>
        <v>#N/A</v>
      </c>
      <c r="AD61" s="15" t="e">
        <f ca="1"/>
        <v>#N/A</v>
      </c>
      <c r="AE61" s="15" t="e">
        <f ca="1"/>
        <v>#N/A</v>
      </c>
      <c r="AF61" s="15" t="e">
        <f ca="1"/>
        <v>#N/A</v>
      </c>
      <c r="AG61" s="15" t="e">
        <f ca="1"/>
        <v>#N/A</v>
      </c>
      <c r="AH61" s="16" t="s">
        <v>344</v>
      </c>
      <c r="AI61" s="16"/>
      <c r="AJ61" s="16"/>
    </row>
    <row r="62" spans="1:36" ht="20.100000000000001" customHeight="1" x14ac:dyDescent="0.2">
      <c r="W62" s="15" t="str">
        <f>TEXT(EDATE(X_Cell_Site_StartDate,2), "mmmm")</f>
        <v>February</v>
      </c>
      <c r="X62" s="15" t="e">
        <f ca="1"/>
        <v>#N/A</v>
      </c>
      <c r="Y62" s="15" t="e">
        <f ca="1"/>
        <v>#N/A</v>
      </c>
      <c r="Z62" s="15" t="e">
        <f ca="1"/>
        <v>#N/A</v>
      </c>
      <c r="AA62" s="15" t="e">
        <f ca="1"/>
        <v>#N/A</v>
      </c>
      <c r="AB62" s="15" t="e">
        <f ca="1"/>
        <v>#N/A</v>
      </c>
      <c r="AC62" s="15" t="e">
        <f ca="1"/>
        <v>#N/A</v>
      </c>
      <c r="AD62" s="15" t="e">
        <f ca="1"/>
        <v>#N/A</v>
      </c>
      <c r="AE62" s="15" t="e">
        <f ca="1"/>
        <v>#N/A</v>
      </c>
      <c r="AF62" s="15" t="e">
        <f ca="1"/>
        <v>#N/A</v>
      </c>
      <c r="AG62" s="15" t="e">
        <f ca="1"/>
        <v>#N/A</v>
      </c>
      <c r="AH62" s="16" t="s">
        <v>344</v>
      </c>
      <c r="AI62" s="16"/>
      <c r="AJ62" s="16"/>
    </row>
    <row r="63" spans="1:36" ht="20.100000000000001" customHeight="1" x14ac:dyDescent="0.2">
      <c r="W63" s="15" t="str">
        <f>TEXT(EDATE(X_Cell_Site_StartDate,3), "mmmm")</f>
        <v>March</v>
      </c>
      <c r="X63" s="15" t="e">
        <f ca="1"/>
        <v>#N/A</v>
      </c>
      <c r="Y63" s="15" t="e">
        <f ca="1"/>
        <v>#N/A</v>
      </c>
      <c r="Z63" s="15" t="e">
        <f ca="1"/>
        <v>#N/A</v>
      </c>
      <c r="AA63" s="15" t="e">
        <f ca="1"/>
        <v>#N/A</v>
      </c>
      <c r="AB63" s="15" t="e">
        <f ca="1"/>
        <v>#N/A</v>
      </c>
      <c r="AC63" s="15" t="e">
        <f ca="1"/>
        <v>#N/A</v>
      </c>
      <c r="AD63" s="15" t="e">
        <f ca="1"/>
        <v>#N/A</v>
      </c>
      <c r="AE63" s="15" t="e">
        <f ca="1"/>
        <v>#N/A</v>
      </c>
      <c r="AF63" s="15" t="e">
        <f ca="1"/>
        <v>#N/A</v>
      </c>
      <c r="AG63" s="15" t="e">
        <f ca="1"/>
        <v>#N/A</v>
      </c>
      <c r="AH63" s="16" t="s">
        <v>344</v>
      </c>
      <c r="AI63" s="16"/>
      <c r="AJ63" s="16"/>
    </row>
    <row r="64" spans="1:36" ht="20.100000000000001" customHeight="1" x14ac:dyDescent="0.2">
      <c r="W64" s="15" t="str">
        <f>TEXT(EDATE(X_Cell_Site_StartDate,4), "mmmm")</f>
        <v>April</v>
      </c>
      <c r="X64" s="15" t="e">
        <f ca="1"/>
        <v>#N/A</v>
      </c>
      <c r="Y64" s="15" t="e">
        <f ca="1"/>
        <v>#N/A</v>
      </c>
      <c r="Z64" s="15" t="e">
        <f ca="1"/>
        <v>#N/A</v>
      </c>
      <c r="AA64" s="15" t="e">
        <f ca="1"/>
        <v>#N/A</v>
      </c>
      <c r="AB64" s="15" t="e">
        <f ca="1"/>
        <v>#N/A</v>
      </c>
      <c r="AC64" s="15" t="e">
        <f ca="1"/>
        <v>#N/A</v>
      </c>
      <c r="AD64" s="15" t="e">
        <f ca="1"/>
        <v>#N/A</v>
      </c>
      <c r="AE64" s="15" t="e">
        <f ca="1"/>
        <v>#N/A</v>
      </c>
      <c r="AF64" s="15" t="e">
        <f ca="1"/>
        <v>#N/A</v>
      </c>
      <c r="AG64" s="15" t="e">
        <f ca="1"/>
        <v>#N/A</v>
      </c>
      <c r="AH64" s="16" t="s">
        <v>344</v>
      </c>
    </row>
    <row r="65" spans="4:36" ht="20.100000000000001" customHeight="1" x14ac:dyDescent="0.2">
      <c r="D65" s="112" t="s">
        <v>394</v>
      </c>
      <c r="W65" s="15" t="str">
        <f>TEXT(EDATE(X_Cell_Site_StartDate,5), "mmmm")</f>
        <v>May</v>
      </c>
      <c r="X65" s="15" t="e">
        <f ca="1"/>
        <v>#N/A</v>
      </c>
      <c r="Y65" s="15" t="e">
        <f ca="1"/>
        <v>#N/A</v>
      </c>
      <c r="Z65" s="15" t="e">
        <f ca="1"/>
        <v>#N/A</v>
      </c>
      <c r="AA65" s="15" t="e">
        <f ca="1"/>
        <v>#N/A</v>
      </c>
      <c r="AB65" s="15" t="e">
        <f ca="1"/>
        <v>#N/A</v>
      </c>
      <c r="AC65" s="15" t="e">
        <f ca="1"/>
        <v>#N/A</v>
      </c>
      <c r="AD65" s="15" t="e">
        <f ca="1"/>
        <v>#N/A</v>
      </c>
      <c r="AE65" s="15" t="e">
        <f ca="1"/>
        <v>#N/A</v>
      </c>
      <c r="AF65" s="15" t="e">
        <f ca="1"/>
        <v>#N/A</v>
      </c>
      <c r="AG65" s="15" t="e">
        <f ca="1"/>
        <v>#N/A</v>
      </c>
      <c r="AH65" s="16" t="s">
        <v>344</v>
      </c>
    </row>
    <row r="66" spans="4:36" ht="20.100000000000001" customHeight="1" x14ac:dyDescent="0.2">
      <c r="D66" s="113" t="s">
        <v>395</v>
      </c>
      <c r="W66" s="15" t="str">
        <f>TEXT(EDATE(X_Cell_Site_StartDate,6), "mmmm")</f>
        <v>June</v>
      </c>
      <c r="X66" s="15" t="e">
        <f ca="1"/>
        <v>#N/A</v>
      </c>
      <c r="Y66" s="15" t="e">
        <f ca="1"/>
        <v>#N/A</v>
      </c>
      <c r="Z66" s="15" t="e">
        <f ca="1"/>
        <v>#N/A</v>
      </c>
      <c r="AA66" s="15" t="e">
        <f ca="1"/>
        <v>#N/A</v>
      </c>
      <c r="AB66" s="15" t="e">
        <f ca="1"/>
        <v>#N/A</v>
      </c>
      <c r="AC66" s="15" t="e">
        <f ca="1"/>
        <v>#N/A</v>
      </c>
      <c r="AD66" s="15" t="e">
        <f ca="1"/>
        <v>#N/A</v>
      </c>
      <c r="AE66" s="15" t="e">
        <f ca="1"/>
        <v>#N/A</v>
      </c>
      <c r="AF66" s="15" t="e">
        <f ca="1"/>
        <v>#N/A</v>
      </c>
      <c r="AG66" s="15" t="e">
        <f ca="1"/>
        <v>#N/A</v>
      </c>
      <c r="AH66" s="16" t="s">
        <v>344</v>
      </c>
    </row>
    <row r="67" spans="4:36" ht="20.100000000000001" customHeight="1" x14ac:dyDescent="0.2">
      <c r="D67" s="114" t="s">
        <v>76</v>
      </c>
      <c r="E67" s="82" t="s">
        <v>326</v>
      </c>
      <c r="F67" s="82" t="s">
        <v>184</v>
      </c>
      <c r="G67" s="82" t="s">
        <v>327</v>
      </c>
      <c r="H67" s="82" t="s">
        <v>328</v>
      </c>
      <c r="I67" s="82" t="s">
        <v>329</v>
      </c>
      <c r="J67" s="82" t="s">
        <v>330</v>
      </c>
      <c r="K67" s="82" t="s">
        <v>331</v>
      </c>
      <c r="L67" s="82" t="s">
        <v>332</v>
      </c>
      <c r="M67" s="82" t="s">
        <v>333</v>
      </c>
      <c r="N67" s="82" t="s">
        <v>334</v>
      </c>
      <c r="W67" s="15" t="str">
        <f>TEXT(EDATE(X_Cell_Site_StartDate,7), "mmmm")</f>
        <v>July</v>
      </c>
      <c r="X67" s="15" t="e">
        <f ca="1"/>
        <v>#N/A</v>
      </c>
      <c r="Y67" s="15" t="e">
        <f ca="1"/>
        <v>#N/A</v>
      </c>
      <c r="Z67" s="15" t="e">
        <f ca="1"/>
        <v>#N/A</v>
      </c>
      <c r="AA67" s="15" t="e">
        <f ca="1"/>
        <v>#N/A</v>
      </c>
      <c r="AB67" s="15" t="e">
        <f ca="1"/>
        <v>#N/A</v>
      </c>
      <c r="AC67" s="15" t="e">
        <f ca="1"/>
        <v>#N/A</v>
      </c>
      <c r="AD67" s="15" t="e">
        <f ca="1"/>
        <v>#N/A</v>
      </c>
      <c r="AE67" s="15" t="e">
        <f ca="1"/>
        <v>#N/A</v>
      </c>
      <c r="AF67" s="15" t="e">
        <f ca="1"/>
        <v>#N/A</v>
      </c>
      <c r="AG67" s="15" t="e">
        <f ca="1"/>
        <v>#N/A</v>
      </c>
      <c r="AH67" s="16" t="s">
        <v>344</v>
      </c>
    </row>
    <row r="68" spans="4:36" ht="20.100000000000001" customHeight="1" x14ac:dyDescent="0.2">
      <c r="D68" s="15" t="str">
        <f>INDEX(X_Table_PastureBeef_LiveweightGain_Method1,2,1)</f>
        <v>Spring</v>
      </c>
      <c r="E68" s="15" t="e" cm="1">
        <f t="array" aca="1" ref="E68:N71" ca="1">OFFSET(X_Table_PastureBeef_LiveweightGain_Method1, 1,1, 4,10)</f>
        <v>#N/A</v>
      </c>
      <c r="F68" s="15" t="e">
        <f ca="1"/>
        <v>#N/A</v>
      </c>
      <c r="G68" s="15" t="e">
        <f ca="1"/>
        <v>#N/A</v>
      </c>
      <c r="H68" s="15" t="e">
        <f ca="1"/>
        <v>#N/A</v>
      </c>
      <c r="I68" s="15" t="e">
        <f ca="1"/>
        <v>#N/A</v>
      </c>
      <c r="J68" s="15" t="e">
        <f ca="1"/>
        <v>#N/A</v>
      </c>
      <c r="K68" s="15" t="e">
        <f ca="1"/>
        <v>#N/A</v>
      </c>
      <c r="L68" s="15" t="e">
        <f ca="1"/>
        <v>#N/A</v>
      </c>
      <c r="M68" s="15" t="e">
        <f ca="1"/>
        <v>#N/A</v>
      </c>
      <c r="N68" s="15" t="e">
        <f ca="1"/>
        <v>#N/A</v>
      </c>
      <c r="O68" s="16" t="s">
        <v>343</v>
      </c>
      <c r="P68" s="16"/>
      <c r="Q68" s="16"/>
      <c r="R68" s="16"/>
      <c r="S68" s="16"/>
      <c r="W68" s="15" t="str">
        <f>TEXT(EDATE(X_Cell_Site_StartDate,8), "mmmm")</f>
        <v>August</v>
      </c>
      <c r="X68" s="15" t="e">
        <f ca="1"/>
        <v>#N/A</v>
      </c>
      <c r="Y68" s="15" t="e">
        <f ca="1"/>
        <v>#N/A</v>
      </c>
      <c r="Z68" s="15" t="e">
        <f ca="1"/>
        <v>#N/A</v>
      </c>
      <c r="AA68" s="15" t="e">
        <f ca="1"/>
        <v>#N/A</v>
      </c>
      <c r="AB68" s="15" t="e">
        <f ca="1"/>
        <v>#N/A</v>
      </c>
      <c r="AC68" s="15" t="e">
        <f ca="1"/>
        <v>#N/A</v>
      </c>
      <c r="AD68" s="15" t="e">
        <f ca="1"/>
        <v>#N/A</v>
      </c>
      <c r="AE68" s="15" t="e">
        <f ca="1"/>
        <v>#N/A</v>
      </c>
      <c r="AF68" s="15" t="e">
        <f ca="1"/>
        <v>#N/A</v>
      </c>
      <c r="AG68" s="15" t="e">
        <f ca="1"/>
        <v>#N/A</v>
      </c>
      <c r="AH68" s="16" t="s">
        <v>344</v>
      </c>
      <c r="AI68" s="16"/>
      <c r="AJ68" s="16"/>
    </row>
    <row r="69" spans="4:36" ht="20.100000000000001" customHeight="1" x14ac:dyDescent="0.2">
      <c r="D69" s="15" t="str">
        <f>INDEX(X_Table_PastureBeef_LiveweightGain_Method1,3,1)</f>
        <v>Summer</v>
      </c>
      <c r="E69" s="15" t="e">
        <f ca="1"/>
        <v>#N/A</v>
      </c>
      <c r="F69" s="15" t="e">
        <f ca="1"/>
        <v>#N/A</v>
      </c>
      <c r="G69" s="15" t="e">
        <f ca="1"/>
        <v>#N/A</v>
      </c>
      <c r="H69" s="15" t="e">
        <f ca="1"/>
        <v>#N/A</v>
      </c>
      <c r="I69" s="15" t="e">
        <f ca="1"/>
        <v>#N/A</v>
      </c>
      <c r="J69" s="15" t="e">
        <f ca="1"/>
        <v>#N/A</v>
      </c>
      <c r="K69" s="15" t="e">
        <f ca="1"/>
        <v>#N/A</v>
      </c>
      <c r="L69" s="15" t="e">
        <f ca="1"/>
        <v>#N/A</v>
      </c>
      <c r="M69" s="15" t="e">
        <f ca="1"/>
        <v>#N/A</v>
      </c>
      <c r="N69" s="15" t="e">
        <f ca="1"/>
        <v>#N/A</v>
      </c>
      <c r="O69" s="16" t="s">
        <v>343</v>
      </c>
      <c r="P69" s="16"/>
      <c r="Q69" s="16"/>
      <c r="R69" s="16"/>
      <c r="S69" s="16"/>
      <c r="W69" s="15" t="str">
        <f>TEXT(EDATE(X_Cell_Site_StartDate,9), "mmmm")</f>
        <v>September</v>
      </c>
      <c r="X69" s="15" t="e">
        <f ca="1"/>
        <v>#N/A</v>
      </c>
      <c r="Y69" s="15" t="e">
        <f ca="1"/>
        <v>#N/A</v>
      </c>
      <c r="Z69" s="15" t="e">
        <f ca="1"/>
        <v>#N/A</v>
      </c>
      <c r="AA69" s="15" t="e">
        <f ca="1"/>
        <v>#N/A</v>
      </c>
      <c r="AB69" s="15" t="e">
        <f ca="1"/>
        <v>#N/A</v>
      </c>
      <c r="AC69" s="15" t="e">
        <f ca="1"/>
        <v>#N/A</v>
      </c>
      <c r="AD69" s="15" t="e">
        <f ca="1"/>
        <v>#N/A</v>
      </c>
      <c r="AE69" s="15" t="e">
        <f ca="1"/>
        <v>#N/A</v>
      </c>
      <c r="AF69" s="15" t="e">
        <f ca="1"/>
        <v>#N/A</v>
      </c>
      <c r="AG69" s="15" t="e">
        <f ca="1"/>
        <v>#N/A</v>
      </c>
      <c r="AH69" s="16" t="s">
        <v>344</v>
      </c>
      <c r="AI69" s="16"/>
      <c r="AJ69" s="16"/>
    </row>
    <row r="70" spans="4:36" ht="20.100000000000001" customHeight="1" x14ac:dyDescent="0.2">
      <c r="D70" s="15" t="str">
        <f>INDEX(X_Table_PastureBeef_LiveweightGain_Method1,4,1)</f>
        <v>Autumn</v>
      </c>
      <c r="E70" s="15" t="e">
        <f ca="1"/>
        <v>#N/A</v>
      </c>
      <c r="F70" s="15" t="e">
        <f ca="1"/>
        <v>#N/A</v>
      </c>
      <c r="G70" s="15" t="e">
        <f ca="1"/>
        <v>#N/A</v>
      </c>
      <c r="H70" s="15" t="e">
        <f ca="1"/>
        <v>#N/A</v>
      </c>
      <c r="I70" s="15" t="e">
        <f ca="1"/>
        <v>#N/A</v>
      </c>
      <c r="J70" s="15" t="e">
        <f ca="1"/>
        <v>#N/A</v>
      </c>
      <c r="K70" s="15" t="e">
        <f ca="1"/>
        <v>#N/A</v>
      </c>
      <c r="L70" s="15" t="e">
        <f ca="1"/>
        <v>#N/A</v>
      </c>
      <c r="M70" s="15" t="e">
        <f ca="1"/>
        <v>#N/A</v>
      </c>
      <c r="N70" s="15" t="e">
        <f ca="1"/>
        <v>#N/A</v>
      </c>
      <c r="O70" s="16" t="s">
        <v>343</v>
      </c>
      <c r="P70" s="16"/>
      <c r="Q70" s="16"/>
      <c r="R70" s="16"/>
      <c r="S70" s="16"/>
      <c r="W70" s="15" t="str">
        <f>TEXT(EDATE(X_Cell_Site_StartDate,10), "mmmm")</f>
        <v>October</v>
      </c>
      <c r="X70" s="15" t="e">
        <f ca="1"/>
        <v>#N/A</v>
      </c>
      <c r="Y70" s="15" t="e">
        <f ca="1"/>
        <v>#N/A</v>
      </c>
      <c r="Z70" s="15" t="e">
        <f ca="1"/>
        <v>#N/A</v>
      </c>
      <c r="AA70" s="15" t="e">
        <f ca="1"/>
        <v>#N/A</v>
      </c>
      <c r="AB70" s="15" t="e">
        <f ca="1"/>
        <v>#N/A</v>
      </c>
      <c r="AC70" s="15" t="e">
        <f ca="1"/>
        <v>#N/A</v>
      </c>
      <c r="AD70" s="15" t="e">
        <f ca="1"/>
        <v>#N/A</v>
      </c>
      <c r="AE70" s="15" t="e">
        <f ca="1"/>
        <v>#N/A</v>
      </c>
      <c r="AF70" s="15" t="e">
        <f ca="1"/>
        <v>#N/A</v>
      </c>
      <c r="AG70" s="15" t="e">
        <f ca="1"/>
        <v>#N/A</v>
      </c>
      <c r="AH70" s="16" t="s">
        <v>344</v>
      </c>
      <c r="AI70" s="16"/>
      <c r="AJ70" s="16"/>
    </row>
    <row r="71" spans="4:36" ht="20.100000000000001" customHeight="1" x14ac:dyDescent="0.2">
      <c r="D71" s="15" t="str">
        <f>INDEX(X_Table_PastureBeef_LiveweightGain_Method1,5,1)</f>
        <v>Winter</v>
      </c>
      <c r="E71" s="15" t="e">
        <f ca="1"/>
        <v>#N/A</v>
      </c>
      <c r="F71" s="15" t="e">
        <f ca="1"/>
        <v>#N/A</v>
      </c>
      <c r="G71" s="15" t="e">
        <f ca="1"/>
        <v>#N/A</v>
      </c>
      <c r="H71" s="15" t="e">
        <f ca="1"/>
        <v>#N/A</v>
      </c>
      <c r="I71" s="15" t="e">
        <f ca="1"/>
        <v>#N/A</v>
      </c>
      <c r="J71" s="15" t="e">
        <f ca="1"/>
        <v>#N/A</v>
      </c>
      <c r="K71" s="15" t="e">
        <f ca="1"/>
        <v>#N/A</v>
      </c>
      <c r="L71" s="15" t="e">
        <f ca="1"/>
        <v>#N/A</v>
      </c>
      <c r="M71" s="15" t="e">
        <f ca="1"/>
        <v>#N/A</v>
      </c>
      <c r="N71" s="15" t="e">
        <f ca="1"/>
        <v>#N/A</v>
      </c>
      <c r="O71" s="16" t="s">
        <v>343</v>
      </c>
      <c r="P71" s="16"/>
      <c r="Q71" s="16"/>
      <c r="R71" s="16"/>
      <c r="S71" s="16"/>
      <c r="W71" s="15" t="str">
        <f>TEXT(EDATE(X_Cell_Site_StartDate,11), "mmmm")</f>
        <v>November</v>
      </c>
      <c r="X71" s="15" t="e">
        <f ca="1"/>
        <v>#N/A</v>
      </c>
      <c r="Y71" s="15" t="e">
        <f ca="1"/>
        <v>#N/A</v>
      </c>
      <c r="Z71" s="15" t="e">
        <f ca="1"/>
        <v>#N/A</v>
      </c>
      <c r="AA71" s="15" t="e">
        <f ca="1"/>
        <v>#N/A</v>
      </c>
      <c r="AB71" s="15" t="e">
        <f ca="1"/>
        <v>#N/A</v>
      </c>
      <c r="AC71" s="15" t="e">
        <f ca="1"/>
        <v>#N/A</v>
      </c>
      <c r="AD71" s="15" t="e">
        <f ca="1"/>
        <v>#N/A</v>
      </c>
      <c r="AE71" s="15" t="e">
        <f ca="1"/>
        <v>#N/A</v>
      </c>
      <c r="AF71" s="15" t="e">
        <f ca="1"/>
        <v>#N/A</v>
      </c>
      <c r="AG71" s="15" t="e">
        <f ca="1"/>
        <v>#N/A</v>
      </c>
      <c r="AH71" s="16" t="s">
        <v>344</v>
      </c>
      <c r="AI71" s="16"/>
      <c r="AJ71" s="16"/>
    </row>
    <row r="72" spans="4:36" ht="20.100000000000001" customHeight="1" x14ac:dyDescent="0.2">
      <c r="AI72" s="16"/>
      <c r="AJ72" s="16"/>
    </row>
    <row r="73" spans="4:36" ht="20.100000000000001" customHeight="1" x14ac:dyDescent="0.2">
      <c r="W73" s="112" t="s">
        <v>396</v>
      </c>
      <c r="AI73" s="16"/>
      <c r="AJ73" s="16"/>
    </row>
    <row r="74" spans="4:36" ht="20.100000000000001" customHeight="1" x14ac:dyDescent="0.2">
      <c r="W74" s="113" t="s">
        <v>397</v>
      </c>
      <c r="AI74" s="16"/>
      <c r="AJ74" s="16"/>
    </row>
    <row r="75" spans="4:36" ht="20.100000000000001" customHeight="1" x14ac:dyDescent="0.2">
      <c r="W75" s="114" t="s">
        <v>75</v>
      </c>
      <c r="X75" s="114" t="s">
        <v>326</v>
      </c>
      <c r="Y75" s="114" t="s">
        <v>184</v>
      </c>
      <c r="Z75" s="114" t="s">
        <v>327</v>
      </c>
      <c r="AA75" s="114" t="s">
        <v>328</v>
      </c>
      <c r="AB75" s="114" t="s">
        <v>329</v>
      </c>
      <c r="AC75" s="114" t="s">
        <v>330</v>
      </c>
      <c r="AD75" s="114" t="s">
        <v>331</v>
      </c>
      <c r="AE75" s="114" t="s">
        <v>332</v>
      </c>
      <c r="AF75" s="114" t="s">
        <v>333</v>
      </c>
      <c r="AG75" s="114" t="s">
        <v>334</v>
      </c>
      <c r="AI75" s="16"/>
      <c r="AJ75" s="16"/>
    </row>
    <row r="76" spans="4:36" ht="20.100000000000001" customHeight="1" x14ac:dyDescent="0.2">
      <c r="W76" s="15" t="str">
        <f>TEXT(X_Cell_Site_StartDate,"mmmm")</f>
        <v>January</v>
      </c>
      <c r="X76" s="15" t="e">
        <f ca="1">((1.185 + 0.00454 * X44 - 0.0000026 * X44 ^ 2 + 0.315 * X60) ^ 2 * Z28)</f>
        <v>#N/A</v>
      </c>
      <c r="Y76" s="15" t="e">
        <f ca="1">((1.185 + 0.00454 * Y44 - 0.0000026 * Y44 ^ 2 + 0.315 * Y60) ^ 2 * AA28)</f>
        <v>#N/A</v>
      </c>
      <c r="Z76" s="15" t="e">
        <f ca="1">((1.185 + 0.00454 * Z44 - 0.0000026 * Z44 ^ 2 + 0.315 * Z60) ^ 2 * AB28)</f>
        <v>#N/A</v>
      </c>
      <c r="AA76" s="15" t="e">
        <f ca="1">((1.185 + 0.00454 * AA44 - 0.0000026 * AA44 ^ 2 + 0.315 * AA60) ^ 2 * AC28)</f>
        <v>#N/A</v>
      </c>
      <c r="AB76" s="15" t="e">
        <f ca="1">((1.185 + 0.00454 * AB44 - 0.0000026 * AB44 ^ 2 + 0.315 * AB60) ^ 2 * AD28)</f>
        <v>#N/A</v>
      </c>
      <c r="AC76" s="15" t="e">
        <f ca="1">((1.185 + 0.00454 * AC44 - 0.0000026 * AC44 ^ 2 + 0.315 * AC60) ^ 2 * AE28)</f>
        <v>#N/A</v>
      </c>
      <c r="AD76" s="15" t="e">
        <f ca="1">((1.185 + 0.00454 * AD44 - 0.0000026 * AD44 ^ 2 + 0.315 * AD60) ^ 2 * AF28)</f>
        <v>#N/A</v>
      </c>
      <c r="AE76" s="15" t="e">
        <f ca="1">((1.185 + 0.00454 * AE44 - 0.0000026 * AE44 ^ 2 + 0.315 * AE60) ^ 2 * AG28)</f>
        <v>#N/A</v>
      </c>
      <c r="AF76" s="15" t="e">
        <f ca="1">((1.185 + 0.00454 * AF44 - 0.0000026 * AF44 ^ 2 + 0.315 * AF60) ^ 2 * AH28)</f>
        <v>#N/A</v>
      </c>
      <c r="AG76" s="15" t="e">
        <f ca="1">((1.185 + 0.00454 * AG44 - 0.0000026 * AG44 ^ 2 + 0.315 * AG60) ^ 2 * AI28)</f>
        <v>#N/A</v>
      </c>
      <c r="AH76" s="16" t="str">
        <f t="shared" ref="AH76:AH87" si="2">$E$43</f>
        <v>kg DM/head/day</v>
      </c>
      <c r="AI76" s="16"/>
      <c r="AJ76" s="16"/>
    </row>
    <row r="77" spans="4:36" ht="20.100000000000001" customHeight="1" x14ac:dyDescent="0.2">
      <c r="W77" s="15" t="str">
        <f>TEXT(EDATE(X_Cell_Site_StartDate,1), "mmmm")</f>
        <v>January</v>
      </c>
      <c r="X77" s="15" t="e">
        <f ca="1">((1.185 + 0.00454 * X45 - 0.0000026 * X45 ^ 2 + 0.315 * X61) ^ 2 * Z29)</f>
        <v>#N/A</v>
      </c>
      <c r="Y77" s="15" t="e">
        <f ca="1">((1.185 + 0.00454 * Y45 - 0.0000026 * Y45 ^ 2 + 0.315 * Y61) ^ 2 * AA29)</f>
        <v>#N/A</v>
      </c>
      <c r="Z77" s="15" t="e">
        <f ca="1">((1.185 + 0.00454 * Z45 - 0.0000026 * Z45 ^ 2 + 0.315 * Z61) ^ 2 * AB29)</f>
        <v>#N/A</v>
      </c>
      <c r="AA77" s="15" t="e">
        <f ca="1">((1.185 + 0.00454 * AA45 - 0.0000026 * AA45 ^ 2 + 0.315 * AA61) ^ 2 * AC29)</f>
        <v>#N/A</v>
      </c>
      <c r="AB77" s="15" t="e">
        <f ca="1">((1.185 + 0.00454 * AB45 - 0.0000026 * AB45 ^ 2 + 0.315 * AB61) ^ 2 * AD29)</f>
        <v>#N/A</v>
      </c>
      <c r="AC77" s="15" t="e">
        <f ca="1">((1.185 + 0.00454 * AC45 - 0.0000026 * AC45 ^ 2 + 0.315 * AC61) ^ 2 * AE29)</f>
        <v>#N/A</v>
      </c>
      <c r="AD77" s="15" t="e">
        <f ca="1">((1.185 + 0.00454 * AD45 - 0.0000026 * AD45 ^ 2 + 0.315 * AD61) ^ 2 * AF29)</f>
        <v>#N/A</v>
      </c>
      <c r="AE77" s="15" t="e">
        <f ca="1">((1.185 + 0.00454 * AE45 - 0.0000026 * AE45 ^ 2 + 0.315 * AE61) ^ 2 * AG29)</f>
        <v>#N/A</v>
      </c>
      <c r="AF77" s="15" t="e">
        <f ca="1">((1.185 + 0.00454 * AF45 - 0.0000026 * AF45 ^ 2 + 0.315 * AF61) ^ 2 * AH29)</f>
        <v>#N/A</v>
      </c>
      <c r="AG77" s="15" t="e">
        <f ca="1">((1.185 + 0.00454 * AG45 - 0.0000026 * AG45 ^ 2 + 0.315 * AG61) ^ 2 * AI29)</f>
        <v>#N/A</v>
      </c>
      <c r="AH77" s="16" t="str">
        <f t="shared" si="2"/>
        <v>kg DM/head/day</v>
      </c>
      <c r="AI77" s="16"/>
      <c r="AJ77" s="16"/>
    </row>
    <row r="78" spans="4:36" ht="20.100000000000001" customHeight="1" x14ac:dyDescent="0.2">
      <c r="W78" s="15" t="str">
        <f>TEXT(EDATE(X_Cell_Site_StartDate,2), "mmmm")</f>
        <v>February</v>
      </c>
      <c r="X78" s="15" t="e">
        <f ca="1">((1.185 + 0.00454 * X46 - 0.0000026 * X46 ^ 2 + 0.315 * X62) ^ 2 * Z30)</f>
        <v>#N/A</v>
      </c>
      <c r="Y78" s="15" t="e">
        <f ca="1">((1.185 + 0.00454 * Y46 - 0.0000026 * Y46 ^ 2 + 0.315 * Y62) ^ 2 * AA30)</f>
        <v>#N/A</v>
      </c>
      <c r="Z78" s="15" t="e">
        <f ca="1">((1.185 + 0.00454 * Z46 - 0.0000026 * Z46 ^ 2 + 0.315 * Z62) ^ 2 * AB30)</f>
        <v>#N/A</v>
      </c>
      <c r="AA78" s="15" t="e">
        <f ca="1">((1.185 + 0.00454 * AA46 - 0.0000026 * AA46 ^ 2 + 0.315 * AA62) ^ 2 * AC30)</f>
        <v>#N/A</v>
      </c>
      <c r="AB78" s="15" t="e">
        <f ca="1">((1.185 + 0.00454 * AB46 - 0.0000026 * AB46 ^ 2 + 0.315 * AB62) ^ 2 * AD30)</f>
        <v>#N/A</v>
      </c>
      <c r="AC78" s="15" t="e">
        <f ca="1">((1.185 + 0.00454 * AC46 - 0.0000026 * AC46 ^ 2 + 0.315 * AC62) ^ 2 * AE30)</f>
        <v>#N/A</v>
      </c>
      <c r="AD78" s="15" t="e">
        <f ca="1">((1.185 + 0.00454 * AD46 - 0.0000026 * AD46 ^ 2 + 0.315 * AD62) ^ 2 * AF30)</f>
        <v>#N/A</v>
      </c>
      <c r="AE78" s="15" t="e">
        <f ca="1">((1.185 + 0.00454 * AE46 - 0.0000026 * AE46 ^ 2 + 0.315 * AE62) ^ 2 * AG30)</f>
        <v>#N/A</v>
      </c>
      <c r="AF78" s="15" t="e">
        <f ca="1">((1.185 + 0.00454 * AF46 - 0.0000026 * AF46 ^ 2 + 0.315 * AF62) ^ 2 * AH30)</f>
        <v>#N/A</v>
      </c>
      <c r="AG78" s="15" t="e">
        <f ca="1">((1.185 + 0.00454 * AG46 - 0.0000026 * AG46 ^ 2 + 0.315 * AG62) ^ 2 * AI30)</f>
        <v>#N/A</v>
      </c>
      <c r="AH78" s="16" t="str">
        <f t="shared" si="2"/>
        <v>kg DM/head/day</v>
      </c>
      <c r="AI78" s="16"/>
      <c r="AJ78" s="16"/>
    </row>
    <row r="79" spans="4:36" ht="20.100000000000001" customHeight="1" x14ac:dyDescent="0.2">
      <c r="W79" s="15" t="str">
        <f>TEXT(EDATE(X_Cell_Site_StartDate,3), "mmmm")</f>
        <v>March</v>
      </c>
      <c r="X79" s="15" t="e">
        <f ca="1">((1.185 + 0.00454 * X47 - 0.0000026 * X47 ^ 2 + 0.315 * X63) ^ 2 * Z31)</f>
        <v>#N/A</v>
      </c>
      <c r="Y79" s="15" t="e">
        <f ca="1">((1.185 + 0.00454 * Y47 - 0.0000026 * Y47 ^ 2 + 0.315 * Y63) ^ 2 * AA31)</f>
        <v>#N/A</v>
      </c>
      <c r="Z79" s="15" t="e">
        <f ca="1">((1.185 + 0.00454 * Z47 - 0.0000026 * Z47 ^ 2 + 0.315 * Z63) ^ 2 * AB31)</f>
        <v>#N/A</v>
      </c>
      <c r="AA79" s="15" t="e">
        <f ca="1">((1.185 + 0.00454 * AA47 - 0.0000026 * AA47 ^ 2 + 0.315 * AA63) ^ 2 * AC31)</f>
        <v>#N/A</v>
      </c>
      <c r="AB79" s="15" t="e">
        <f ca="1">((1.185 + 0.00454 * AB47 - 0.0000026 * AB47 ^ 2 + 0.315 * AB63) ^ 2 * AD31)</f>
        <v>#N/A</v>
      </c>
      <c r="AC79" s="15" t="e">
        <f ca="1">((1.185 + 0.00454 * AC47 - 0.0000026 * AC47 ^ 2 + 0.315 * AC63) ^ 2 * AE31)</f>
        <v>#N/A</v>
      </c>
      <c r="AD79" s="15" t="e">
        <f ca="1">((1.185 + 0.00454 * AD47 - 0.0000026 * AD47 ^ 2 + 0.315 * AD63) ^ 2 * AF31)</f>
        <v>#N/A</v>
      </c>
      <c r="AE79" s="15" t="e">
        <f ca="1">((1.185 + 0.00454 * AE47 - 0.0000026 * AE47 ^ 2 + 0.315 * AE63) ^ 2 * AG31)</f>
        <v>#N/A</v>
      </c>
      <c r="AF79" s="15" t="e">
        <f ca="1">((1.185 + 0.00454 * AF47 - 0.0000026 * AF47 ^ 2 + 0.315 * AF63) ^ 2 * AH31)</f>
        <v>#N/A</v>
      </c>
      <c r="AG79" s="15" t="e">
        <f ca="1">((1.185 + 0.00454 * AG47 - 0.0000026 * AG47 ^ 2 + 0.315 * AG63) ^ 2 * AI31)</f>
        <v>#N/A</v>
      </c>
      <c r="AH79" s="16" t="str">
        <f t="shared" si="2"/>
        <v>kg DM/head/day</v>
      </c>
      <c r="AI79" s="16"/>
      <c r="AJ79" s="16"/>
    </row>
    <row r="80" spans="4:36" ht="20.100000000000001" customHeight="1" x14ac:dyDescent="0.2">
      <c r="W80" s="15" t="str">
        <f>TEXT(EDATE(X_Cell_Site_StartDate,4), "mmmm")</f>
        <v>April</v>
      </c>
      <c r="X80" s="15" t="e">
        <f ca="1">((1.185 + 0.00454 * X48 - 0.0000026 * X48 ^ 2 + 0.315 * X64) ^ 2 * Z32)</f>
        <v>#N/A</v>
      </c>
      <c r="Y80" s="15" t="e">
        <f ca="1">((1.185 + 0.00454 * Y48 - 0.0000026 * Y48 ^ 2 + 0.315 * Y64) ^ 2 * AA32)</f>
        <v>#N/A</v>
      </c>
      <c r="Z80" s="15" t="e">
        <f ca="1">((1.185 + 0.00454 * Z48 - 0.0000026 * Z48 ^ 2 + 0.315 * Z64) ^ 2 * AB32)</f>
        <v>#N/A</v>
      </c>
      <c r="AA80" s="15" t="e">
        <f ca="1">((1.185 + 0.00454 * AA48 - 0.0000026 * AA48 ^ 2 + 0.315 * AA64) ^ 2 * AC32)</f>
        <v>#N/A</v>
      </c>
      <c r="AB80" s="15" t="e">
        <f ca="1">((1.185 + 0.00454 * AB48 - 0.0000026 * AB48 ^ 2 + 0.315 * AB64) ^ 2 * AD32)</f>
        <v>#N/A</v>
      </c>
      <c r="AC80" s="15" t="e">
        <f ca="1">((1.185 + 0.00454 * AC48 - 0.0000026 * AC48 ^ 2 + 0.315 * AC64) ^ 2 * AE32)</f>
        <v>#N/A</v>
      </c>
      <c r="AD80" s="15" t="e">
        <f ca="1">((1.185 + 0.00454 * AD48 - 0.0000026 * AD48 ^ 2 + 0.315 * AD64) ^ 2 * AF32)</f>
        <v>#N/A</v>
      </c>
      <c r="AE80" s="15" t="e">
        <f ca="1">((1.185 + 0.00454 * AE48 - 0.0000026 * AE48 ^ 2 + 0.315 * AE64) ^ 2 * AG32)</f>
        <v>#N/A</v>
      </c>
      <c r="AF80" s="15" t="e">
        <f ca="1">((1.185 + 0.00454 * AF48 - 0.0000026 * AF48 ^ 2 + 0.315 * AF64) ^ 2 * AH32)</f>
        <v>#N/A</v>
      </c>
      <c r="AG80" s="15" t="e">
        <f ca="1">((1.185 + 0.00454 * AG48 - 0.0000026 * AG48 ^ 2 + 0.315 * AG64) ^ 2 * AI32)</f>
        <v>#N/A</v>
      </c>
      <c r="AH80" s="16" t="str">
        <f t="shared" si="2"/>
        <v>kg DM/head/day</v>
      </c>
    </row>
    <row r="81" spans="4:36" ht="20.100000000000001" customHeight="1" x14ac:dyDescent="0.2">
      <c r="D81" s="112" t="s">
        <v>398</v>
      </c>
      <c r="W81" s="15" t="str">
        <f>TEXT(EDATE(X_Cell_Site_StartDate,5), "mmmm")</f>
        <v>May</v>
      </c>
      <c r="X81" s="15" t="e">
        <f ca="1">((1.185 + 0.00454 * X49 - 0.0000026 * X49 ^ 2 + 0.315 * X65) ^ 2 * Z33)</f>
        <v>#N/A</v>
      </c>
      <c r="Y81" s="15" t="e">
        <f ca="1">((1.185 + 0.00454 * Y49 - 0.0000026 * Y49 ^ 2 + 0.315 * Y65) ^ 2 * AA33)</f>
        <v>#N/A</v>
      </c>
      <c r="Z81" s="15" t="e">
        <f ca="1">((1.185 + 0.00454 * Z49 - 0.0000026 * Z49 ^ 2 + 0.315 * Z65) ^ 2 * AB33)</f>
        <v>#N/A</v>
      </c>
      <c r="AA81" s="15" t="e">
        <f ca="1">((1.185 + 0.00454 * AA49 - 0.0000026 * AA49 ^ 2 + 0.315 * AA65) ^ 2 * AC33)</f>
        <v>#N/A</v>
      </c>
      <c r="AB81" s="15" t="e">
        <f ca="1">((1.185 + 0.00454 * AB49 - 0.0000026 * AB49 ^ 2 + 0.315 * AB65) ^ 2 * AD33)</f>
        <v>#N/A</v>
      </c>
      <c r="AC81" s="15" t="e">
        <f ca="1">((1.185 + 0.00454 * AC49 - 0.0000026 * AC49 ^ 2 + 0.315 * AC65) ^ 2 * AE33)</f>
        <v>#N/A</v>
      </c>
      <c r="AD81" s="15" t="e">
        <f ca="1">((1.185 + 0.00454 * AD49 - 0.0000026 * AD49 ^ 2 + 0.315 * AD65) ^ 2 * AF33)</f>
        <v>#N/A</v>
      </c>
      <c r="AE81" s="15" t="e">
        <f ca="1">((1.185 + 0.00454 * AE49 - 0.0000026 * AE49 ^ 2 + 0.315 * AE65) ^ 2 * AG33)</f>
        <v>#N/A</v>
      </c>
      <c r="AF81" s="15" t="e">
        <f ca="1">((1.185 + 0.00454 * AF49 - 0.0000026 * AF49 ^ 2 + 0.315 * AF65) ^ 2 * AH33)</f>
        <v>#N/A</v>
      </c>
      <c r="AG81" s="15" t="e">
        <f ca="1">((1.185 + 0.00454 * AG49 - 0.0000026 * AG49 ^ 2 + 0.315 * AG65) ^ 2 * AI33)</f>
        <v>#N/A</v>
      </c>
      <c r="AH81" s="16" t="str">
        <f t="shared" si="2"/>
        <v>kg DM/head/day</v>
      </c>
    </row>
    <row r="82" spans="4:36" ht="20.100000000000001" customHeight="1" x14ac:dyDescent="0.2">
      <c r="D82" s="113" t="s">
        <v>399</v>
      </c>
      <c r="W82" s="15" t="str">
        <f>TEXT(EDATE(X_Cell_Site_StartDate,6), "mmmm")</f>
        <v>June</v>
      </c>
      <c r="X82" s="15" t="e">
        <f ca="1">((1.185 + 0.00454 * X50 - 0.0000026 * X50 ^ 2 + 0.315 * X66) ^ 2 * Z34)</f>
        <v>#N/A</v>
      </c>
      <c r="Y82" s="15" t="e">
        <f ca="1">((1.185 + 0.00454 * Y50 - 0.0000026 * Y50 ^ 2 + 0.315 * Y66) ^ 2 * AA34)</f>
        <v>#N/A</v>
      </c>
      <c r="Z82" s="15" t="e">
        <f ca="1">((1.185 + 0.00454 * Z50 - 0.0000026 * Z50 ^ 2 + 0.315 * Z66) ^ 2 * AB34)</f>
        <v>#N/A</v>
      </c>
      <c r="AA82" s="15" t="e">
        <f ca="1">((1.185 + 0.00454 * AA50 - 0.0000026 * AA50 ^ 2 + 0.315 * AA66) ^ 2 * AC34)</f>
        <v>#N/A</v>
      </c>
      <c r="AB82" s="15" t="e">
        <f ca="1">((1.185 + 0.00454 * AB50 - 0.0000026 * AB50 ^ 2 + 0.315 * AB66) ^ 2 * AD34)</f>
        <v>#N/A</v>
      </c>
      <c r="AC82" s="15" t="e">
        <f ca="1">((1.185 + 0.00454 * AC50 - 0.0000026 * AC50 ^ 2 + 0.315 * AC66) ^ 2 * AE34)</f>
        <v>#N/A</v>
      </c>
      <c r="AD82" s="15" t="e">
        <f ca="1">((1.185 + 0.00454 * AD50 - 0.0000026 * AD50 ^ 2 + 0.315 * AD66) ^ 2 * AF34)</f>
        <v>#N/A</v>
      </c>
      <c r="AE82" s="15" t="e">
        <f ca="1">((1.185 + 0.00454 * AE50 - 0.0000026 * AE50 ^ 2 + 0.315 * AE66) ^ 2 * AG34)</f>
        <v>#N/A</v>
      </c>
      <c r="AF82" s="15" t="e">
        <f ca="1">((1.185 + 0.00454 * AF50 - 0.0000026 * AF50 ^ 2 + 0.315 * AF66) ^ 2 * AH34)</f>
        <v>#N/A</v>
      </c>
      <c r="AG82" s="15" t="e">
        <f ca="1">((1.185 + 0.00454 * AG50 - 0.0000026 * AG50 ^ 2 + 0.315 * AG66) ^ 2 * AI34)</f>
        <v>#N/A</v>
      </c>
      <c r="AH82" s="16" t="str">
        <f t="shared" si="2"/>
        <v>kg DM/head/day</v>
      </c>
    </row>
    <row r="83" spans="4:36" ht="20.100000000000001" customHeight="1" x14ac:dyDescent="0.2">
      <c r="D83" s="114" t="s">
        <v>76</v>
      </c>
      <c r="E83" s="114" t="s">
        <v>326</v>
      </c>
      <c r="F83" s="114" t="s">
        <v>184</v>
      </c>
      <c r="G83" s="114" t="s">
        <v>327</v>
      </c>
      <c r="H83" s="114" t="s">
        <v>328</v>
      </c>
      <c r="I83" s="114" t="s">
        <v>329</v>
      </c>
      <c r="J83" s="114" t="s">
        <v>330</v>
      </c>
      <c r="K83" s="114" t="s">
        <v>331</v>
      </c>
      <c r="L83" s="114" t="s">
        <v>332</v>
      </c>
      <c r="M83" s="114" t="s">
        <v>333</v>
      </c>
      <c r="N83" s="114" t="s">
        <v>334</v>
      </c>
      <c r="W83" s="15" t="str">
        <f>TEXT(EDATE(X_Cell_Site_StartDate,7), "mmmm")</f>
        <v>July</v>
      </c>
      <c r="X83" s="15" t="e">
        <f ca="1">((1.185 + 0.00454 * X51 - 0.0000026 * X51 ^ 2 + 0.315 * X67) ^ 2 * Z35)</f>
        <v>#N/A</v>
      </c>
      <c r="Y83" s="15" t="e">
        <f ca="1">((1.185 + 0.00454 * Y51 - 0.0000026 * Y51 ^ 2 + 0.315 * Y67) ^ 2 * AA35)</f>
        <v>#N/A</v>
      </c>
      <c r="Z83" s="15" t="e">
        <f ca="1">((1.185 + 0.00454 * Z51 - 0.0000026 * Z51 ^ 2 + 0.315 * Z67) ^ 2 * AB35)</f>
        <v>#N/A</v>
      </c>
      <c r="AA83" s="15" t="e">
        <f ca="1">((1.185 + 0.00454 * AA51 - 0.0000026 * AA51 ^ 2 + 0.315 * AA67) ^ 2 * AC35)</f>
        <v>#N/A</v>
      </c>
      <c r="AB83" s="15" t="e">
        <f ca="1">((1.185 + 0.00454 * AB51 - 0.0000026 * AB51 ^ 2 + 0.315 * AB67) ^ 2 * AD35)</f>
        <v>#N/A</v>
      </c>
      <c r="AC83" s="15" t="e">
        <f ca="1">((1.185 + 0.00454 * AC51 - 0.0000026 * AC51 ^ 2 + 0.315 * AC67) ^ 2 * AE35)</f>
        <v>#N/A</v>
      </c>
      <c r="AD83" s="15" t="e">
        <f ca="1">((1.185 + 0.00454 * AD51 - 0.0000026 * AD51 ^ 2 + 0.315 * AD67) ^ 2 * AF35)</f>
        <v>#N/A</v>
      </c>
      <c r="AE83" s="15" t="e">
        <f ca="1">((1.185 + 0.00454 * AE51 - 0.0000026 * AE51 ^ 2 + 0.315 * AE67) ^ 2 * AG35)</f>
        <v>#N/A</v>
      </c>
      <c r="AF83" s="15" t="e">
        <f ca="1">((1.185 + 0.00454 * AF51 - 0.0000026 * AF51 ^ 2 + 0.315 * AF67) ^ 2 * AH35)</f>
        <v>#N/A</v>
      </c>
      <c r="AG83" s="15" t="e">
        <f ca="1">((1.185 + 0.00454 * AG51 - 0.0000026 * AG51 ^ 2 + 0.315 * AG67) ^ 2 * AI35)</f>
        <v>#N/A</v>
      </c>
      <c r="AH83" s="16" t="str">
        <f t="shared" si="2"/>
        <v>kg DM/head/day</v>
      </c>
    </row>
    <row r="84" spans="4:36" ht="20.100000000000001" customHeight="1" x14ac:dyDescent="0.2">
      <c r="D84" s="15" t="s">
        <v>335</v>
      </c>
      <c r="E84" s="15" t="e">
        <f ca="1">((1.185 + 0.00454 * E52 - 0.0000026 * E52 ^ 2 + 0.315 * E68) ^ 2 * I30)</f>
        <v>#N/A</v>
      </c>
      <c r="F84" s="15" t="e">
        <f ca="1">((1.185 + 0.00454 * F52 - 0.0000026 * F52 ^ 2 + 0.315 * F68) ^ 2 * J30)</f>
        <v>#N/A</v>
      </c>
      <c r="G84" s="15" t="e">
        <f ca="1">((1.185 + 0.00454 * G52 - 0.0000026 * G52 ^ 2 + 0.315 * G68) ^ 2 * K30)</f>
        <v>#N/A</v>
      </c>
      <c r="H84" s="15" t="e">
        <f ca="1">((1.185 + 0.00454 * H52 - 0.0000026 * H52 ^ 2 + 0.315 * H68) ^ 2 * L30)</f>
        <v>#N/A</v>
      </c>
      <c r="I84" s="15" t="e">
        <f ca="1">((1.185 + 0.00454 * I52 - 0.0000026 * I52 ^ 2 + 0.315 * I68) ^ 2 * M30)</f>
        <v>#N/A</v>
      </c>
      <c r="J84" s="15" t="e">
        <f ca="1">((1.185 + 0.00454 * J52 - 0.0000026 * J52 ^ 2 + 0.315 * J68) ^ 2 * N30)</f>
        <v>#N/A</v>
      </c>
      <c r="K84" s="15" t="e">
        <f ca="1">((1.185 + 0.00454 * K52 - 0.0000026 * K52 ^ 2 + 0.315 * K68) ^ 2 * O30)</f>
        <v>#N/A</v>
      </c>
      <c r="L84" s="15" t="e">
        <f ca="1">((1.185 + 0.00454 * L52 - 0.0000026 * L52 ^ 2 + 0.315 * L68) ^ 2 * P30)</f>
        <v>#N/A</v>
      </c>
      <c r="M84" s="15" t="e">
        <f ca="1">((1.185 + 0.00454 * M52 - 0.0000026 * M52 ^ 2 + 0.315 * M68) ^ 2 * Q30)</f>
        <v>#N/A</v>
      </c>
      <c r="N84" s="15" t="e">
        <f ca="1">((1.185 + 0.00454 * N52 - 0.0000026 * N52 ^ 2 + 0.315 * N68) ^ 2 * R30)</f>
        <v>#N/A</v>
      </c>
      <c r="O84" s="16" t="str">
        <f>$E$43</f>
        <v>kg DM/head/day</v>
      </c>
      <c r="P84" s="16"/>
      <c r="Q84" s="16"/>
      <c r="R84" s="16"/>
      <c r="S84" s="16"/>
      <c r="W84" s="15" t="str">
        <f>TEXT(EDATE(X_Cell_Site_StartDate,8), "mmmm")</f>
        <v>August</v>
      </c>
      <c r="X84" s="15" t="e">
        <f ca="1">((1.185 + 0.00454 * X52 - 0.0000026 * X52 ^ 2 + 0.315 * X68) ^ 2 * Z36)</f>
        <v>#N/A</v>
      </c>
      <c r="Y84" s="15" t="e">
        <f ca="1">((1.185 + 0.00454 * Y52 - 0.0000026 * Y52 ^ 2 + 0.315 * Y68) ^ 2 * AA36)</f>
        <v>#N/A</v>
      </c>
      <c r="Z84" s="15" t="e">
        <f ca="1">((1.185 + 0.00454 * Z52 - 0.0000026 * Z52 ^ 2 + 0.315 * Z68) ^ 2 * AB36)</f>
        <v>#N/A</v>
      </c>
      <c r="AA84" s="15" t="e">
        <f ca="1">((1.185 + 0.00454 * AA52 - 0.0000026 * AA52 ^ 2 + 0.315 * AA68) ^ 2 * AC36)</f>
        <v>#N/A</v>
      </c>
      <c r="AB84" s="15" t="e">
        <f ca="1">((1.185 + 0.00454 * AB52 - 0.0000026 * AB52 ^ 2 + 0.315 * AB68) ^ 2 * AD36)</f>
        <v>#N/A</v>
      </c>
      <c r="AC84" s="15" t="e">
        <f ca="1">((1.185 + 0.00454 * AC52 - 0.0000026 * AC52 ^ 2 + 0.315 * AC68) ^ 2 * AE36)</f>
        <v>#N/A</v>
      </c>
      <c r="AD84" s="15" t="e">
        <f ca="1">((1.185 + 0.00454 * AD52 - 0.0000026 * AD52 ^ 2 + 0.315 * AD68) ^ 2 * AF36)</f>
        <v>#N/A</v>
      </c>
      <c r="AE84" s="15" t="e">
        <f ca="1">((1.185 + 0.00454 * AE52 - 0.0000026 * AE52 ^ 2 + 0.315 * AE68) ^ 2 * AG36)</f>
        <v>#N/A</v>
      </c>
      <c r="AF84" s="15" t="e">
        <f ca="1">((1.185 + 0.00454 * AF52 - 0.0000026 * AF52 ^ 2 + 0.315 * AF68) ^ 2 * AH36)</f>
        <v>#N/A</v>
      </c>
      <c r="AG84" s="15" t="e">
        <f ca="1">((1.185 + 0.00454 * AG52 - 0.0000026 * AG52 ^ 2 + 0.315 * AG68) ^ 2 * AI36)</f>
        <v>#N/A</v>
      </c>
      <c r="AH84" s="16" t="str">
        <f t="shared" si="2"/>
        <v>kg DM/head/day</v>
      </c>
      <c r="AI84" s="16"/>
      <c r="AJ84" s="16"/>
    </row>
    <row r="85" spans="4:36" ht="20.100000000000001" customHeight="1" x14ac:dyDescent="0.2">
      <c r="D85" s="15" t="s">
        <v>336</v>
      </c>
      <c r="E85" s="15" t="e">
        <f ca="1">((1.185 + 0.00454 * E53 - 0.0000026 * E53 ^ 2 + 0.315 * E69) ^ 2 * I31)</f>
        <v>#N/A</v>
      </c>
      <c r="F85" s="15" t="e">
        <f ca="1">((1.185 + 0.00454 * F53 - 0.0000026 * F53 ^ 2 + 0.315 * F69) ^ 2 * J31)</f>
        <v>#N/A</v>
      </c>
      <c r="G85" s="15" t="e">
        <f ca="1">((1.185 + 0.00454 * G53 - 0.0000026 * G53 ^ 2 + 0.315 * G69) ^ 2 * K31)</f>
        <v>#N/A</v>
      </c>
      <c r="H85" s="15" t="e">
        <f ca="1">((1.185 + 0.00454 * H53 - 0.0000026 * H53 ^ 2 + 0.315 * H69) ^ 2 * L31)</f>
        <v>#N/A</v>
      </c>
      <c r="I85" s="15" t="e">
        <f ca="1">((1.185 + 0.00454 * I53 - 0.0000026 * I53 ^ 2 + 0.315 * I69) ^ 2 * M31)</f>
        <v>#N/A</v>
      </c>
      <c r="J85" s="15" t="e">
        <f ca="1">((1.185 + 0.00454 * J53 - 0.0000026 * J53 ^ 2 + 0.315 * J69) ^ 2 * N31)</f>
        <v>#N/A</v>
      </c>
      <c r="K85" s="15" t="e">
        <f ca="1">((1.185 + 0.00454 * K53 - 0.0000026 * K53 ^ 2 + 0.315 * K69) ^ 2 * O31)</f>
        <v>#N/A</v>
      </c>
      <c r="L85" s="15" t="e">
        <f ca="1">((1.185 + 0.00454 * L53 - 0.0000026 * L53 ^ 2 + 0.315 * L69) ^ 2 * P31)</f>
        <v>#N/A</v>
      </c>
      <c r="M85" s="15" t="e">
        <f ca="1">((1.185 + 0.00454 * M53 - 0.0000026 * M53 ^ 2 + 0.315 * M69) ^ 2 * Q31)</f>
        <v>#N/A</v>
      </c>
      <c r="N85" s="15" t="e">
        <f ca="1">((1.185 + 0.00454 * N53 - 0.0000026 * N53 ^ 2 + 0.315 * N69) ^ 2 * R31)</f>
        <v>#N/A</v>
      </c>
      <c r="O85" s="16" t="str">
        <f>$E$43</f>
        <v>kg DM/head/day</v>
      </c>
      <c r="P85" s="16"/>
      <c r="Q85" s="16"/>
      <c r="R85" s="16"/>
      <c r="S85" s="16"/>
      <c r="W85" s="15" t="str">
        <f>TEXT(EDATE(X_Cell_Site_StartDate,9), "mmmm")</f>
        <v>September</v>
      </c>
      <c r="X85" s="15" t="e">
        <f ca="1">((1.185 + 0.00454 * X53 - 0.0000026 * X53 ^ 2 + 0.315 * X69) ^ 2 * Z37)</f>
        <v>#N/A</v>
      </c>
      <c r="Y85" s="15" t="e">
        <f ca="1">((1.185 + 0.00454 * Y53 - 0.0000026 * Y53 ^ 2 + 0.315 * Y69) ^ 2 * AA37)</f>
        <v>#N/A</v>
      </c>
      <c r="Z85" s="15" t="e">
        <f ca="1">((1.185 + 0.00454 * Z53 - 0.0000026 * Z53 ^ 2 + 0.315 * Z69) ^ 2 * AB37)</f>
        <v>#N/A</v>
      </c>
      <c r="AA85" s="15" t="e">
        <f ca="1">((1.185 + 0.00454 * AA53 - 0.0000026 * AA53 ^ 2 + 0.315 * AA69) ^ 2 * AC37)</f>
        <v>#N/A</v>
      </c>
      <c r="AB85" s="15" t="e">
        <f ca="1">((1.185 + 0.00454 * AB53 - 0.0000026 * AB53 ^ 2 + 0.315 * AB69) ^ 2 * AD37)</f>
        <v>#N/A</v>
      </c>
      <c r="AC85" s="15" t="e">
        <f ca="1">((1.185 + 0.00454 * AC53 - 0.0000026 * AC53 ^ 2 + 0.315 * AC69) ^ 2 * AE37)</f>
        <v>#N/A</v>
      </c>
      <c r="AD85" s="15" t="e">
        <f ca="1">((1.185 + 0.00454 * AD53 - 0.0000026 * AD53 ^ 2 + 0.315 * AD69) ^ 2 * AF37)</f>
        <v>#N/A</v>
      </c>
      <c r="AE85" s="15" t="e">
        <f ca="1">((1.185 + 0.00454 * AE53 - 0.0000026 * AE53 ^ 2 + 0.315 * AE69) ^ 2 * AG37)</f>
        <v>#N/A</v>
      </c>
      <c r="AF85" s="15" t="e">
        <f ca="1">((1.185 + 0.00454 * AF53 - 0.0000026 * AF53 ^ 2 + 0.315 * AF69) ^ 2 * AH37)</f>
        <v>#N/A</v>
      </c>
      <c r="AG85" s="15" t="e">
        <f ca="1">((1.185 + 0.00454 * AG53 - 0.0000026 * AG53 ^ 2 + 0.315 * AG69) ^ 2 * AI37)</f>
        <v>#N/A</v>
      </c>
      <c r="AH85" s="16" t="str">
        <f t="shared" si="2"/>
        <v>kg DM/head/day</v>
      </c>
      <c r="AI85" s="16"/>
      <c r="AJ85" s="16"/>
    </row>
    <row r="86" spans="4:36" ht="20.100000000000001" customHeight="1" x14ac:dyDescent="0.2">
      <c r="D86" s="15" t="s">
        <v>337</v>
      </c>
      <c r="E86" s="15" t="e">
        <f ca="1">((1.185 + 0.00454 * E54 - 0.0000026 * E54 ^ 2 + 0.315 * E70) ^ 2 * I32)</f>
        <v>#N/A</v>
      </c>
      <c r="F86" s="15" t="e">
        <f ca="1">((1.185 + 0.00454 * F54 - 0.0000026 * F54 ^ 2 + 0.315 * F70) ^ 2 * J32)</f>
        <v>#N/A</v>
      </c>
      <c r="G86" s="15" t="e">
        <f ca="1">((1.185 + 0.00454 * G54 - 0.0000026 * G54 ^ 2 + 0.315 * G70) ^ 2 * K32)</f>
        <v>#N/A</v>
      </c>
      <c r="H86" s="15" t="e">
        <f ca="1">((1.185 + 0.00454 * H54 - 0.0000026 * H54 ^ 2 + 0.315 * H70) ^ 2 * L32)</f>
        <v>#N/A</v>
      </c>
      <c r="I86" s="15" t="e">
        <f ca="1">((1.185 + 0.00454 * I54 - 0.0000026 * I54 ^ 2 + 0.315 * I70) ^ 2 * M32)</f>
        <v>#N/A</v>
      </c>
      <c r="J86" s="15" t="e">
        <f ca="1">((1.185 + 0.00454 * J54 - 0.0000026 * J54 ^ 2 + 0.315 * J70) ^ 2 * N32)</f>
        <v>#N/A</v>
      </c>
      <c r="K86" s="15" t="e">
        <f ca="1">((1.185 + 0.00454 * K54 - 0.0000026 * K54 ^ 2 + 0.315 * K70) ^ 2 * O32)</f>
        <v>#N/A</v>
      </c>
      <c r="L86" s="15" t="e">
        <f ca="1">((1.185 + 0.00454 * L54 - 0.0000026 * L54 ^ 2 + 0.315 * L70) ^ 2 * P32)</f>
        <v>#N/A</v>
      </c>
      <c r="M86" s="15" t="e">
        <f ca="1">((1.185 + 0.00454 * M54 - 0.0000026 * M54 ^ 2 + 0.315 * M70) ^ 2 * Q32)</f>
        <v>#N/A</v>
      </c>
      <c r="N86" s="15" t="e">
        <f ca="1">((1.185 + 0.00454 * N54 - 0.0000026 * N54 ^ 2 + 0.315 * N70) ^ 2 * R32)</f>
        <v>#N/A</v>
      </c>
      <c r="O86" s="16" t="str">
        <f>$E$43</f>
        <v>kg DM/head/day</v>
      </c>
      <c r="P86" s="16"/>
      <c r="Q86" s="16"/>
      <c r="R86" s="16"/>
      <c r="S86" s="16"/>
      <c r="W86" s="15" t="str">
        <f>TEXT(EDATE(X_Cell_Site_StartDate,10), "mmmm")</f>
        <v>October</v>
      </c>
      <c r="X86" s="15" t="e">
        <f ca="1">((1.185 + 0.00454 * X54 - 0.0000026 * X54 ^ 2 + 0.315 * X70) ^ 2 * Z38)</f>
        <v>#N/A</v>
      </c>
      <c r="Y86" s="15" t="e">
        <f ca="1">((1.185 + 0.00454 * Y54 - 0.0000026 * Y54 ^ 2 + 0.315 * Y70) ^ 2 * AA38)</f>
        <v>#N/A</v>
      </c>
      <c r="Z86" s="15" t="e">
        <f ca="1">((1.185 + 0.00454 * Z54 - 0.0000026 * Z54 ^ 2 + 0.315 * Z70) ^ 2 * AB38)</f>
        <v>#N/A</v>
      </c>
      <c r="AA86" s="15" t="e">
        <f ca="1">((1.185 + 0.00454 * AA54 - 0.0000026 * AA54 ^ 2 + 0.315 * AA70) ^ 2 * AC38)</f>
        <v>#N/A</v>
      </c>
      <c r="AB86" s="15" t="e">
        <f ca="1">((1.185 + 0.00454 * AB54 - 0.0000026 * AB54 ^ 2 + 0.315 * AB70) ^ 2 * AD38)</f>
        <v>#N/A</v>
      </c>
      <c r="AC86" s="15" t="e">
        <f ca="1">((1.185 + 0.00454 * AC54 - 0.0000026 * AC54 ^ 2 + 0.315 * AC70) ^ 2 * AE38)</f>
        <v>#N/A</v>
      </c>
      <c r="AD86" s="15" t="e">
        <f ca="1">((1.185 + 0.00454 * AD54 - 0.0000026 * AD54 ^ 2 + 0.315 * AD70) ^ 2 * AF38)</f>
        <v>#N/A</v>
      </c>
      <c r="AE86" s="15" t="e">
        <f ca="1">((1.185 + 0.00454 * AE54 - 0.0000026 * AE54 ^ 2 + 0.315 * AE70) ^ 2 * AG38)</f>
        <v>#N/A</v>
      </c>
      <c r="AF86" s="15" t="e">
        <f ca="1">((1.185 + 0.00454 * AF54 - 0.0000026 * AF54 ^ 2 + 0.315 * AF70) ^ 2 * AH38)</f>
        <v>#N/A</v>
      </c>
      <c r="AG86" s="15" t="e">
        <f ca="1">((1.185 + 0.00454 * AG54 - 0.0000026 * AG54 ^ 2 + 0.315 * AG70) ^ 2 * AI38)</f>
        <v>#N/A</v>
      </c>
      <c r="AH86" s="16" t="str">
        <f t="shared" si="2"/>
        <v>kg DM/head/day</v>
      </c>
      <c r="AI86" s="16"/>
      <c r="AJ86" s="16"/>
    </row>
    <row r="87" spans="4:36" ht="20.100000000000001" customHeight="1" x14ac:dyDescent="0.2">
      <c r="D87" s="15" t="s">
        <v>338</v>
      </c>
      <c r="E87" s="15" t="e">
        <f ca="1">((1.185 + 0.00454 * E55 - 0.0000026 * E55 ^ 2 + 0.315 * E71) ^ 2 * I33)</f>
        <v>#N/A</v>
      </c>
      <c r="F87" s="15" t="e">
        <f ca="1">((1.185 + 0.00454 * F55 - 0.0000026 * F55 ^ 2 + 0.315 * F71) ^ 2 * J33)</f>
        <v>#N/A</v>
      </c>
      <c r="G87" s="15" t="e">
        <f ca="1">((1.185 + 0.00454 * G55 - 0.0000026 * G55 ^ 2 + 0.315 * G71) ^ 2 * K33)</f>
        <v>#N/A</v>
      </c>
      <c r="H87" s="15" t="e">
        <f ca="1">((1.185 + 0.00454 * H55 - 0.0000026 * H55 ^ 2 + 0.315 * H71) ^ 2 * L33)</f>
        <v>#N/A</v>
      </c>
      <c r="I87" s="15" t="e">
        <f ca="1">((1.185 + 0.00454 * I55 - 0.0000026 * I55 ^ 2 + 0.315 * I71) ^ 2 * M33)</f>
        <v>#N/A</v>
      </c>
      <c r="J87" s="15" t="e">
        <f ca="1">((1.185 + 0.00454 * J55 - 0.0000026 * J55 ^ 2 + 0.315 * J71) ^ 2 * N33)</f>
        <v>#N/A</v>
      </c>
      <c r="K87" s="15" t="e">
        <f ca="1">((1.185 + 0.00454 * K55 - 0.0000026 * K55 ^ 2 + 0.315 * K71) ^ 2 * O33)</f>
        <v>#N/A</v>
      </c>
      <c r="L87" s="15" t="e">
        <f ca="1">((1.185 + 0.00454 * L55 - 0.0000026 * L55 ^ 2 + 0.315 * L71) ^ 2 * P33)</f>
        <v>#N/A</v>
      </c>
      <c r="M87" s="15" t="e">
        <f ca="1">((1.185 + 0.00454 * M55 - 0.0000026 * M55 ^ 2 + 0.315 * M71) ^ 2 * Q33)</f>
        <v>#N/A</v>
      </c>
      <c r="N87" s="15" t="e">
        <f ca="1">((1.185 + 0.00454 * N55 - 0.0000026 * N55 ^ 2 + 0.315 * N71) ^ 2 * R33)</f>
        <v>#N/A</v>
      </c>
      <c r="O87" s="16" t="str">
        <f>$E$43</f>
        <v>kg DM/head/day</v>
      </c>
      <c r="P87" s="16"/>
      <c r="Q87" s="16"/>
      <c r="R87" s="16"/>
      <c r="S87" s="16"/>
      <c r="W87" s="15" t="str">
        <f>TEXT(EDATE(X_Cell_Site_StartDate,11), "mmmm")</f>
        <v>November</v>
      </c>
      <c r="X87" s="15" t="e">
        <f ca="1">((1.185 + 0.00454 * X55 - 0.0000026 * X55 ^ 2 + 0.315 * X71) ^ 2 * Z39)</f>
        <v>#N/A</v>
      </c>
      <c r="Y87" s="15" t="e">
        <f ca="1">((1.185 + 0.00454 * Y55 - 0.0000026 * Y55 ^ 2 + 0.315 * Y71) ^ 2 * AA39)</f>
        <v>#N/A</v>
      </c>
      <c r="Z87" s="15" t="e">
        <f ca="1">((1.185 + 0.00454 * Z55 - 0.0000026 * Z55 ^ 2 + 0.315 * Z71) ^ 2 * AB39)</f>
        <v>#N/A</v>
      </c>
      <c r="AA87" s="15" t="e">
        <f ca="1">((1.185 + 0.00454 * AA55 - 0.0000026 * AA55 ^ 2 + 0.315 * AA71) ^ 2 * AC39)</f>
        <v>#N/A</v>
      </c>
      <c r="AB87" s="15" t="e">
        <f ca="1">((1.185 + 0.00454 * AB55 - 0.0000026 * AB55 ^ 2 + 0.315 * AB71) ^ 2 * AD39)</f>
        <v>#N/A</v>
      </c>
      <c r="AC87" s="15" t="e">
        <f ca="1">((1.185 + 0.00454 * AC55 - 0.0000026 * AC55 ^ 2 + 0.315 * AC71) ^ 2 * AE39)</f>
        <v>#N/A</v>
      </c>
      <c r="AD87" s="15" t="e">
        <f ca="1">((1.185 + 0.00454 * AD55 - 0.0000026 * AD55 ^ 2 + 0.315 * AD71) ^ 2 * AF39)</f>
        <v>#N/A</v>
      </c>
      <c r="AE87" s="15" t="e">
        <f ca="1">((1.185 + 0.00454 * AE55 - 0.0000026 * AE55 ^ 2 + 0.315 * AE71) ^ 2 * AG39)</f>
        <v>#N/A</v>
      </c>
      <c r="AF87" s="15" t="e">
        <f ca="1">((1.185 + 0.00454 * AF55 - 0.0000026 * AF55 ^ 2 + 0.315 * AF71) ^ 2 * AH39)</f>
        <v>#N/A</v>
      </c>
      <c r="AG87" s="15" t="e">
        <f ca="1">((1.185 + 0.00454 * AG55 - 0.0000026 * AG55 ^ 2 + 0.315 * AG71) ^ 2 * AI39)</f>
        <v>#N/A</v>
      </c>
      <c r="AH87" s="16" t="str">
        <f t="shared" si="2"/>
        <v>kg DM/head/day</v>
      </c>
      <c r="AI87" s="16"/>
      <c r="AJ87" s="16"/>
    </row>
    <row r="88" spans="4:36" ht="20.100000000000001" customHeight="1" x14ac:dyDescent="0.2">
      <c r="AI88" s="16"/>
      <c r="AJ88" s="16"/>
    </row>
    <row r="89" spans="4:36" ht="20.100000000000001" customHeight="1" x14ac:dyDescent="0.2">
      <c r="AI89" s="16"/>
      <c r="AJ89" s="16"/>
    </row>
    <row r="90" spans="4:36" ht="20.100000000000001" customHeight="1" x14ac:dyDescent="0.2">
      <c r="AI90" s="16"/>
      <c r="AJ90" s="16"/>
    </row>
    <row r="91" spans="4:36" ht="20.100000000000001" customHeight="1" x14ac:dyDescent="0.2">
      <c r="AI91" s="16"/>
      <c r="AJ91" s="16"/>
    </row>
    <row r="92" spans="4:36" ht="20.100000000000001" customHeight="1" x14ac:dyDescent="0.2">
      <c r="AI92" s="16"/>
      <c r="AJ92" s="16"/>
    </row>
    <row r="93" spans="4:36" ht="20.100000000000001" customHeight="1" x14ac:dyDescent="0.2">
      <c r="AI93" s="16"/>
      <c r="AJ93" s="16"/>
    </row>
    <row r="94" spans="4:36" ht="20.100000000000001" customHeight="1" x14ac:dyDescent="0.2">
      <c r="AI94" s="16"/>
      <c r="AJ94" s="16"/>
    </row>
    <row r="95" spans="4:36" ht="20.100000000000001" customHeight="1" x14ac:dyDescent="0.2">
      <c r="AI95" s="16"/>
      <c r="AJ95" s="16"/>
    </row>
    <row r="98" spans="3:37" ht="20.100000000000001" customHeight="1" x14ac:dyDescent="0.2">
      <c r="C98" s="87"/>
      <c r="D98" s="87"/>
      <c r="E98" s="87"/>
      <c r="F98" s="87"/>
      <c r="G98" s="87"/>
      <c r="H98" s="87"/>
      <c r="I98" s="87"/>
      <c r="J98" s="87"/>
      <c r="K98" s="87"/>
      <c r="L98" s="87"/>
      <c r="M98" s="87"/>
      <c r="N98" s="87"/>
      <c r="O98" s="87"/>
      <c r="P98" s="87"/>
      <c r="Q98" s="87"/>
      <c r="R98" s="87"/>
      <c r="S98" s="87"/>
      <c r="T98" s="87"/>
      <c r="V98" s="87"/>
      <c r="W98" s="87"/>
      <c r="X98" s="87"/>
      <c r="Y98" s="87"/>
      <c r="Z98" s="87"/>
      <c r="AA98" s="87"/>
      <c r="AB98" s="87"/>
      <c r="AC98" s="87"/>
      <c r="AD98" s="87"/>
      <c r="AE98" s="87"/>
      <c r="AF98" s="87"/>
      <c r="AG98" s="87"/>
      <c r="AH98" s="87"/>
      <c r="AI98" s="87"/>
      <c r="AJ98" s="87"/>
      <c r="AK98" s="87"/>
    </row>
    <row r="99" spans="3:37" ht="20.100000000000001" customHeight="1" x14ac:dyDescent="0.2">
      <c r="D99" s="2" t="s">
        <v>1247</v>
      </c>
    </row>
    <row r="100" spans="3:37" ht="20.100000000000001" customHeight="1" x14ac:dyDescent="0.2">
      <c r="D100" s="17" t="s">
        <v>1248</v>
      </c>
    </row>
    <row r="101" spans="3:37" ht="20.100000000000001" customHeight="1" x14ac:dyDescent="0.2">
      <c r="D101" s="103"/>
      <c r="E101" s="103"/>
    </row>
    <row r="105" spans="3:37" ht="20.100000000000001" customHeight="1" x14ac:dyDescent="0.2">
      <c r="D105" s="77" t="s">
        <v>373</v>
      </c>
      <c r="E105" s="1" t="s">
        <v>1249</v>
      </c>
    </row>
    <row r="106" spans="3:37" ht="20.100000000000001" customHeight="1" x14ac:dyDescent="0.2">
      <c r="D106" s="77" t="s">
        <v>121</v>
      </c>
      <c r="E106" s="9" t="s">
        <v>344</v>
      </c>
    </row>
    <row r="108" spans="3:37" ht="20.100000000000001" customHeight="1" x14ac:dyDescent="0.2">
      <c r="D108" s="105" t="s">
        <v>1224</v>
      </c>
      <c r="E108" s="106" t="s">
        <v>1250</v>
      </c>
      <c r="F108" s="108"/>
      <c r="G108" s="105" t="s">
        <v>344</v>
      </c>
      <c r="H108" s="110" t="s">
        <v>1237</v>
      </c>
      <c r="I108" s="111" t="str" cm="1">
        <f t="array" aca="1" ref="I108" ca="1">HYPERLINK(Common_InputFunctions.Utility_SourceHyperlink($D$81), $D$81)</f>
        <v>M1_Table_I_j_k_l</v>
      </c>
    </row>
    <row r="109" spans="3:37" ht="20.100000000000001" customHeight="1" x14ac:dyDescent="0.2">
      <c r="D109" s="105" t="s">
        <v>1251</v>
      </c>
      <c r="E109" s="106" t="s">
        <v>1252</v>
      </c>
      <c r="F109" s="108"/>
      <c r="G109" s="105" t="s">
        <v>346</v>
      </c>
      <c r="H109" s="109" t="s">
        <v>1219</v>
      </c>
      <c r="I109" s="111" t="str" cm="1">
        <f t="array" aca="1" ref="I109" ca="1">HYPERLINK(Common_InputFunctions.Utility_SourceHyperlink($D$112), $D$112)</f>
        <v>M1_Table_DMD_j_k_l</v>
      </c>
    </row>
    <row r="110" spans="3:37" ht="20.100000000000001" customHeight="1" x14ac:dyDescent="0.2">
      <c r="D110" s="105" t="s">
        <v>1253</v>
      </c>
      <c r="E110" s="106" t="s">
        <v>1254</v>
      </c>
      <c r="F110" s="108"/>
      <c r="G110" s="105" t="s">
        <v>346</v>
      </c>
      <c r="H110" s="110" t="s">
        <v>1220</v>
      </c>
      <c r="I110" s="105">
        <f>SourceData_PastureBeef_AshContentOfFeedIntake_Data</f>
        <v>0.08</v>
      </c>
    </row>
    <row r="112" spans="3:37" ht="20.100000000000001" customHeight="1" x14ac:dyDescent="0.2">
      <c r="D112" s="112" t="s">
        <v>400</v>
      </c>
      <c r="W112" s="112" t="s">
        <v>401</v>
      </c>
    </row>
    <row r="113" spans="4:36" ht="20.100000000000001" customHeight="1" x14ac:dyDescent="0.2">
      <c r="D113" s="113" t="s">
        <v>402</v>
      </c>
      <c r="W113" s="113" t="s">
        <v>403</v>
      </c>
    </row>
    <row r="114" spans="4:36" ht="20.100000000000001" customHeight="1" x14ac:dyDescent="0.2">
      <c r="D114" s="114" t="s">
        <v>76</v>
      </c>
      <c r="E114" s="82" t="s">
        <v>326</v>
      </c>
      <c r="F114" s="82" t="s">
        <v>184</v>
      </c>
      <c r="G114" s="82" t="s">
        <v>327</v>
      </c>
      <c r="H114" s="82" t="s">
        <v>328</v>
      </c>
      <c r="I114" s="82" t="s">
        <v>329</v>
      </c>
      <c r="J114" s="82" t="s">
        <v>330</v>
      </c>
      <c r="K114" s="82" t="s">
        <v>331</v>
      </c>
      <c r="L114" s="82" t="s">
        <v>332</v>
      </c>
      <c r="M114" s="82" t="s">
        <v>333</v>
      </c>
      <c r="N114" s="82" t="s">
        <v>334</v>
      </c>
      <c r="W114" s="114" t="s">
        <v>75</v>
      </c>
      <c r="X114" s="82" t="s">
        <v>326</v>
      </c>
      <c r="Y114" s="82" t="s">
        <v>184</v>
      </c>
      <c r="Z114" s="82" t="s">
        <v>327</v>
      </c>
      <c r="AA114" s="82" t="s">
        <v>328</v>
      </c>
      <c r="AB114" s="82" t="s">
        <v>329</v>
      </c>
      <c r="AC114" s="82" t="s">
        <v>330</v>
      </c>
      <c r="AD114" s="82" t="s">
        <v>331</v>
      </c>
      <c r="AE114" s="82" t="s">
        <v>332</v>
      </c>
      <c r="AF114" s="82" t="s">
        <v>333</v>
      </c>
      <c r="AG114" s="82" t="s">
        <v>334</v>
      </c>
    </row>
    <row r="115" spans="4:36" ht="20.100000000000001" customHeight="1" x14ac:dyDescent="0.2">
      <c r="D115" s="15" t="s">
        <v>335</v>
      </c>
      <c r="E115" s="15" t="e" cm="1">
        <f t="array" aca="1" ref="E115:N118" ca="1">OFFSET(X_Table_PastureBeef_DryMatterDigestibility_Method1, 1,1, 4,10)</f>
        <v>#N/A</v>
      </c>
      <c r="F115" s="15" t="e">
        <f ca="1"/>
        <v>#N/A</v>
      </c>
      <c r="G115" s="15" t="e">
        <f ca="1"/>
        <v>#N/A</v>
      </c>
      <c r="H115" s="15" t="e">
        <f ca="1"/>
        <v>#N/A</v>
      </c>
      <c r="I115" s="15" t="e">
        <f ca="1"/>
        <v>#N/A</v>
      </c>
      <c r="J115" s="15" t="e">
        <f ca="1"/>
        <v>#N/A</v>
      </c>
      <c r="K115" s="15" t="e">
        <f ca="1"/>
        <v>#N/A</v>
      </c>
      <c r="L115" s="15" t="e">
        <f ca="1"/>
        <v>#N/A</v>
      </c>
      <c r="M115" s="15" t="e">
        <f ca="1"/>
        <v>#N/A</v>
      </c>
      <c r="N115" s="15" t="e">
        <f ca="1"/>
        <v>#N/A</v>
      </c>
      <c r="O115" s="16" t="s">
        <v>346</v>
      </c>
      <c r="P115" s="16"/>
      <c r="Q115" s="16"/>
      <c r="R115" s="16"/>
      <c r="S115" s="16"/>
      <c r="W115" s="15" t="str">
        <f>TEXT(X_Cell_Site_StartDate,"mmmm")</f>
        <v>January</v>
      </c>
      <c r="X115" s="15" t="e" cm="1">
        <f t="array" aca="1" ref="X115:AG126" ca="1">OFFSET(X_Table_PastureBeef_DryMatterDigestibility_Method2, 1,1, 12,10)</f>
        <v>#N/A</v>
      </c>
      <c r="Y115" s="15" t="e">
        <f ca="1"/>
        <v>#N/A</v>
      </c>
      <c r="Z115" s="15" t="e">
        <f ca="1"/>
        <v>#N/A</v>
      </c>
      <c r="AA115" s="15" t="e">
        <f ca="1"/>
        <v>#N/A</v>
      </c>
      <c r="AB115" s="15" t="e">
        <f ca="1"/>
        <v>#N/A</v>
      </c>
      <c r="AC115" s="15" t="e">
        <f ca="1"/>
        <v>#N/A</v>
      </c>
      <c r="AD115" s="15" t="e">
        <f ca="1"/>
        <v>#N/A</v>
      </c>
      <c r="AE115" s="15" t="e">
        <f ca="1"/>
        <v>#N/A</v>
      </c>
      <c r="AF115" s="15" t="e">
        <f ca="1"/>
        <v>#N/A</v>
      </c>
      <c r="AG115" s="15" t="e">
        <f ca="1"/>
        <v>#N/A</v>
      </c>
      <c r="AH115" s="16" t="s">
        <v>346</v>
      </c>
      <c r="AI115" s="16"/>
      <c r="AJ115" s="16"/>
    </row>
    <row r="116" spans="4:36" ht="20.100000000000001" customHeight="1" x14ac:dyDescent="0.2">
      <c r="D116" s="15" t="s">
        <v>336</v>
      </c>
      <c r="E116" s="15" t="e">
        <f ca="1"/>
        <v>#N/A</v>
      </c>
      <c r="F116" s="15" t="e">
        <f ca="1"/>
        <v>#N/A</v>
      </c>
      <c r="G116" s="15" t="e">
        <f ca="1"/>
        <v>#N/A</v>
      </c>
      <c r="H116" s="15" t="e">
        <f ca="1"/>
        <v>#N/A</v>
      </c>
      <c r="I116" s="15" t="e">
        <f ca="1"/>
        <v>#N/A</v>
      </c>
      <c r="J116" s="15" t="e">
        <f ca="1"/>
        <v>#N/A</v>
      </c>
      <c r="K116" s="15" t="e">
        <f ca="1"/>
        <v>#N/A</v>
      </c>
      <c r="L116" s="15" t="e">
        <f ca="1"/>
        <v>#N/A</v>
      </c>
      <c r="M116" s="15" t="e">
        <f ca="1"/>
        <v>#N/A</v>
      </c>
      <c r="N116" s="15" t="e">
        <f ca="1"/>
        <v>#N/A</v>
      </c>
      <c r="O116" s="16" t="s">
        <v>346</v>
      </c>
      <c r="P116" s="16"/>
      <c r="Q116" s="16"/>
      <c r="R116" s="16"/>
      <c r="S116" s="16"/>
      <c r="W116" s="15" t="str">
        <f>TEXT(EDATE(X_Cell_Site_StartDate,1), "mmmm")</f>
        <v>January</v>
      </c>
      <c r="X116" s="15" t="e">
        <f ca="1"/>
        <v>#N/A</v>
      </c>
      <c r="Y116" s="15" t="e">
        <f ca="1"/>
        <v>#N/A</v>
      </c>
      <c r="Z116" s="15" t="e">
        <f ca="1"/>
        <v>#N/A</v>
      </c>
      <c r="AA116" s="15" t="e">
        <f ca="1"/>
        <v>#N/A</v>
      </c>
      <c r="AB116" s="15" t="e">
        <f ca="1"/>
        <v>#N/A</v>
      </c>
      <c r="AC116" s="15" t="e">
        <f ca="1"/>
        <v>#N/A</v>
      </c>
      <c r="AD116" s="15" t="e">
        <f ca="1"/>
        <v>#N/A</v>
      </c>
      <c r="AE116" s="15" t="e">
        <f ca="1"/>
        <v>#N/A</v>
      </c>
      <c r="AF116" s="15" t="e">
        <f ca="1"/>
        <v>#N/A</v>
      </c>
      <c r="AG116" s="15" t="e">
        <f ca="1"/>
        <v>#N/A</v>
      </c>
      <c r="AH116" s="16" t="s">
        <v>346</v>
      </c>
      <c r="AI116" s="16"/>
      <c r="AJ116" s="16"/>
    </row>
    <row r="117" spans="4:36" ht="20.100000000000001" customHeight="1" x14ac:dyDescent="0.2">
      <c r="D117" s="15" t="s">
        <v>337</v>
      </c>
      <c r="E117" s="15" t="e">
        <f ca="1"/>
        <v>#N/A</v>
      </c>
      <c r="F117" s="15" t="e">
        <f ca="1"/>
        <v>#N/A</v>
      </c>
      <c r="G117" s="15" t="e">
        <f ca="1"/>
        <v>#N/A</v>
      </c>
      <c r="H117" s="15" t="e">
        <f ca="1"/>
        <v>#N/A</v>
      </c>
      <c r="I117" s="15" t="e">
        <f ca="1"/>
        <v>#N/A</v>
      </c>
      <c r="J117" s="15" t="e">
        <f ca="1"/>
        <v>#N/A</v>
      </c>
      <c r="K117" s="15" t="e">
        <f ca="1"/>
        <v>#N/A</v>
      </c>
      <c r="L117" s="15" t="e">
        <f ca="1"/>
        <v>#N/A</v>
      </c>
      <c r="M117" s="15" t="e">
        <f ca="1"/>
        <v>#N/A</v>
      </c>
      <c r="N117" s="15" t="e">
        <f ca="1"/>
        <v>#N/A</v>
      </c>
      <c r="O117" s="16" t="s">
        <v>346</v>
      </c>
      <c r="P117" s="16"/>
      <c r="Q117" s="16"/>
      <c r="R117" s="16"/>
      <c r="S117" s="16"/>
      <c r="W117" s="15" t="str">
        <f>TEXT(EDATE(X_Cell_Site_StartDate,2), "mmmm")</f>
        <v>February</v>
      </c>
      <c r="X117" s="15" t="e">
        <f ca="1"/>
        <v>#N/A</v>
      </c>
      <c r="Y117" s="15" t="e">
        <f ca="1"/>
        <v>#N/A</v>
      </c>
      <c r="Z117" s="15" t="e">
        <f ca="1"/>
        <v>#N/A</v>
      </c>
      <c r="AA117" s="15" t="e">
        <f ca="1"/>
        <v>#N/A</v>
      </c>
      <c r="AB117" s="15" t="e">
        <f ca="1"/>
        <v>#N/A</v>
      </c>
      <c r="AC117" s="15" t="e">
        <f ca="1"/>
        <v>#N/A</v>
      </c>
      <c r="AD117" s="15" t="e">
        <f ca="1"/>
        <v>#N/A</v>
      </c>
      <c r="AE117" s="15" t="e">
        <f ca="1"/>
        <v>#N/A</v>
      </c>
      <c r="AF117" s="15" t="e">
        <f ca="1"/>
        <v>#N/A</v>
      </c>
      <c r="AG117" s="15" t="e">
        <f ca="1"/>
        <v>#N/A</v>
      </c>
      <c r="AH117" s="16" t="s">
        <v>346</v>
      </c>
      <c r="AI117" s="16"/>
      <c r="AJ117" s="16"/>
    </row>
    <row r="118" spans="4:36" ht="20.100000000000001" customHeight="1" x14ac:dyDescent="0.2">
      <c r="D118" s="15" t="s">
        <v>338</v>
      </c>
      <c r="E118" s="15" t="e">
        <f ca="1"/>
        <v>#N/A</v>
      </c>
      <c r="F118" s="15" t="e">
        <f ca="1"/>
        <v>#N/A</v>
      </c>
      <c r="G118" s="15" t="e">
        <f ca="1"/>
        <v>#N/A</v>
      </c>
      <c r="H118" s="15" t="e">
        <f ca="1"/>
        <v>#N/A</v>
      </c>
      <c r="I118" s="15" t="e">
        <f ca="1"/>
        <v>#N/A</v>
      </c>
      <c r="J118" s="15" t="e">
        <f ca="1"/>
        <v>#N/A</v>
      </c>
      <c r="K118" s="15" t="e">
        <f ca="1"/>
        <v>#N/A</v>
      </c>
      <c r="L118" s="15" t="e">
        <f ca="1"/>
        <v>#N/A</v>
      </c>
      <c r="M118" s="15" t="e">
        <f ca="1"/>
        <v>#N/A</v>
      </c>
      <c r="N118" s="15" t="e">
        <f ca="1"/>
        <v>#N/A</v>
      </c>
      <c r="O118" s="16" t="s">
        <v>346</v>
      </c>
      <c r="P118" s="16"/>
      <c r="Q118" s="16"/>
      <c r="R118" s="16"/>
      <c r="S118" s="16"/>
      <c r="W118" s="15" t="str">
        <f>TEXT(EDATE(X_Cell_Site_StartDate,3), "mmmm")</f>
        <v>March</v>
      </c>
      <c r="X118" s="15" t="e">
        <f ca="1"/>
        <v>#N/A</v>
      </c>
      <c r="Y118" s="15" t="e">
        <f ca="1"/>
        <v>#N/A</v>
      </c>
      <c r="Z118" s="15" t="e">
        <f ca="1"/>
        <v>#N/A</v>
      </c>
      <c r="AA118" s="15" t="e">
        <f ca="1"/>
        <v>#N/A</v>
      </c>
      <c r="AB118" s="15" t="e">
        <f ca="1"/>
        <v>#N/A</v>
      </c>
      <c r="AC118" s="15" t="e">
        <f ca="1"/>
        <v>#N/A</v>
      </c>
      <c r="AD118" s="15" t="e">
        <f ca="1"/>
        <v>#N/A</v>
      </c>
      <c r="AE118" s="15" t="e">
        <f ca="1"/>
        <v>#N/A</v>
      </c>
      <c r="AF118" s="15" t="e">
        <f ca="1"/>
        <v>#N/A</v>
      </c>
      <c r="AG118" s="15" t="e">
        <f ca="1"/>
        <v>#N/A</v>
      </c>
      <c r="AH118" s="16" t="s">
        <v>346</v>
      </c>
      <c r="AI118" s="16"/>
      <c r="AJ118" s="16"/>
    </row>
    <row r="119" spans="4:36" ht="20.100000000000001" customHeight="1" x14ac:dyDescent="0.2">
      <c r="W119" s="15" t="str">
        <f>TEXT(EDATE(X_Cell_Site_StartDate,4), "mmmm")</f>
        <v>April</v>
      </c>
      <c r="X119" s="15" t="e">
        <f ca="1"/>
        <v>#N/A</v>
      </c>
      <c r="Y119" s="15" t="e">
        <f ca="1"/>
        <v>#N/A</v>
      </c>
      <c r="Z119" s="15" t="e">
        <f ca="1"/>
        <v>#N/A</v>
      </c>
      <c r="AA119" s="15" t="e">
        <f ca="1"/>
        <v>#N/A</v>
      </c>
      <c r="AB119" s="15" t="e">
        <f ca="1"/>
        <v>#N/A</v>
      </c>
      <c r="AC119" s="15" t="e">
        <f ca="1"/>
        <v>#N/A</v>
      </c>
      <c r="AD119" s="15" t="e">
        <f ca="1"/>
        <v>#N/A</v>
      </c>
      <c r="AE119" s="15" t="e">
        <f ca="1"/>
        <v>#N/A</v>
      </c>
      <c r="AF119" s="15" t="e">
        <f ca="1"/>
        <v>#N/A</v>
      </c>
      <c r="AG119" s="15" t="e">
        <f ca="1"/>
        <v>#N/A</v>
      </c>
      <c r="AH119" s="16" t="s">
        <v>346</v>
      </c>
      <c r="AI119" s="16"/>
      <c r="AJ119" s="16"/>
    </row>
    <row r="120" spans="4:36" ht="20.100000000000001" customHeight="1" x14ac:dyDescent="0.2">
      <c r="W120" s="15" t="str">
        <f>TEXT(EDATE(X_Cell_Site_StartDate,5), "mmmm")</f>
        <v>May</v>
      </c>
      <c r="X120" s="15" t="e">
        <f ca="1"/>
        <v>#N/A</v>
      </c>
      <c r="Y120" s="15" t="e">
        <f ca="1"/>
        <v>#N/A</v>
      </c>
      <c r="Z120" s="15" t="e">
        <f ca="1"/>
        <v>#N/A</v>
      </c>
      <c r="AA120" s="15" t="e">
        <f ca="1"/>
        <v>#N/A</v>
      </c>
      <c r="AB120" s="15" t="e">
        <f ca="1"/>
        <v>#N/A</v>
      </c>
      <c r="AC120" s="15" t="e">
        <f ca="1"/>
        <v>#N/A</v>
      </c>
      <c r="AD120" s="15" t="e">
        <f ca="1"/>
        <v>#N/A</v>
      </c>
      <c r="AE120" s="15" t="e">
        <f ca="1"/>
        <v>#N/A</v>
      </c>
      <c r="AF120" s="15" t="e">
        <f ca="1"/>
        <v>#N/A</v>
      </c>
      <c r="AG120" s="15" t="e">
        <f ca="1"/>
        <v>#N/A</v>
      </c>
      <c r="AH120" s="16" t="s">
        <v>346</v>
      </c>
      <c r="AI120" s="16"/>
      <c r="AJ120" s="16"/>
    </row>
    <row r="121" spans="4:36" ht="20.100000000000001" customHeight="1" x14ac:dyDescent="0.2">
      <c r="W121" s="15" t="str">
        <f>TEXT(EDATE(X_Cell_Site_StartDate,6), "mmmm")</f>
        <v>June</v>
      </c>
      <c r="X121" s="15" t="e">
        <f ca="1"/>
        <v>#N/A</v>
      </c>
      <c r="Y121" s="15" t="e">
        <f ca="1"/>
        <v>#N/A</v>
      </c>
      <c r="Z121" s="15" t="e">
        <f ca="1"/>
        <v>#N/A</v>
      </c>
      <c r="AA121" s="15" t="e">
        <f ca="1"/>
        <v>#N/A</v>
      </c>
      <c r="AB121" s="15" t="e">
        <f ca="1"/>
        <v>#N/A</v>
      </c>
      <c r="AC121" s="15" t="e">
        <f ca="1"/>
        <v>#N/A</v>
      </c>
      <c r="AD121" s="15" t="e">
        <f ca="1"/>
        <v>#N/A</v>
      </c>
      <c r="AE121" s="15" t="e">
        <f ca="1"/>
        <v>#N/A</v>
      </c>
      <c r="AF121" s="15" t="e">
        <f ca="1"/>
        <v>#N/A</v>
      </c>
      <c r="AG121" s="15" t="e">
        <f ca="1"/>
        <v>#N/A</v>
      </c>
      <c r="AH121" s="16" t="s">
        <v>346</v>
      </c>
      <c r="AI121" s="16"/>
      <c r="AJ121" s="16"/>
    </row>
    <row r="122" spans="4:36" ht="20.100000000000001" customHeight="1" x14ac:dyDescent="0.2">
      <c r="W122" s="15" t="str">
        <f>TEXT(EDATE(X_Cell_Site_StartDate,7), "mmmm")</f>
        <v>July</v>
      </c>
      <c r="X122" s="15" t="e">
        <f ca="1"/>
        <v>#N/A</v>
      </c>
      <c r="Y122" s="15" t="e">
        <f ca="1"/>
        <v>#N/A</v>
      </c>
      <c r="Z122" s="15" t="e">
        <f ca="1"/>
        <v>#N/A</v>
      </c>
      <c r="AA122" s="15" t="e">
        <f ca="1"/>
        <v>#N/A</v>
      </c>
      <c r="AB122" s="15" t="e">
        <f ca="1"/>
        <v>#N/A</v>
      </c>
      <c r="AC122" s="15" t="e">
        <f ca="1"/>
        <v>#N/A</v>
      </c>
      <c r="AD122" s="15" t="e">
        <f ca="1"/>
        <v>#N/A</v>
      </c>
      <c r="AE122" s="15" t="e">
        <f ca="1"/>
        <v>#N/A</v>
      </c>
      <c r="AF122" s="15" t="e">
        <f ca="1"/>
        <v>#N/A</v>
      </c>
      <c r="AG122" s="15" t="e">
        <f ca="1"/>
        <v>#N/A</v>
      </c>
      <c r="AH122" s="16" t="s">
        <v>346</v>
      </c>
      <c r="AI122" s="16"/>
      <c r="AJ122" s="16"/>
    </row>
    <row r="123" spans="4:36" ht="20.100000000000001" customHeight="1" x14ac:dyDescent="0.2">
      <c r="W123" s="15" t="str">
        <f>TEXT(EDATE(X_Cell_Site_StartDate,8), "mmmm")</f>
        <v>August</v>
      </c>
      <c r="X123" s="15" t="e">
        <f ca="1"/>
        <v>#N/A</v>
      </c>
      <c r="Y123" s="15" t="e">
        <f ca="1"/>
        <v>#N/A</v>
      </c>
      <c r="Z123" s="15" t="e">
        <f ca="1"/>
        <v>#N/A</v>
      </c>
      <c r="AA123" s="15" t="e">
        <f ca="1"/>
        <v>#N/A</v>
      </c>
      <c r="AB123" s="15" t="e">
        <f ca="1"/>
        <v>#N/A</v>
      </c>
      <c r="AC123" s="15" t="e">
        <f ca="1"/>
        <v>#N/A</v>
      </c>
      <c r="AD123" s="15" t="e">
        <f ca="1"/>
        <v>#N/A</v>
      </c>
      <c r="AE123" s="15" t="e">
        <f ca="1"/>
        <v>#N/A</v>
      </c>
      <c r="AF123" s="15" t="e">
        <f ca="1"/>
        <v>#N/A</v>
      </c>
      <c r="AG123" s="15" t="e">
        <f ca="1"/>
        <v>#N/A</v>
      </c>
      <c r="AH123" s="16" t="s">
        <v>346</v>
      </c>
      <c r="AI123" s="16"/>
      <c r="AJ123" s="16"/>
    </row>
    <row r="124" spans="4:36" ht="20.100000000000001" customHeight="1" x14ac:dyDescent="0.2">
      <c r="W124" s="15" t="str">
        <f>TEXT(EDATE(X_Cell_Site_StartDate,9), "mmmm")</f>
        <v>September</v>
      </c>
      <c r="X124" s="15" t="e">
        <f ca="1"/>
        <v>#N/A</v>
      </c>
      <c r="Y124" s="15" t="e">
        <f ca="1"/>
        <v>#N/A</v>
      </c>
      <c r="Z124" s="15" t="e">
        <f ca="1"/>
        <v>#N/A</v>
      </c>
      <c r="AA124" s="15" t="e">
        <f ca="1"/>
        <v>#N/A</v>
      </c>
      <c r="AB124" s="15" t="e">
        <f ca="1"/>
        <v>#N/A</v>
      </c>
      <c r="AC124" s="15" t="e">
        <f ca="1"/>
        <v>#N/A</v>
      </c>
      <c r="AD124" s="15" t="e">
        <f ca="1"/>
        <v>#N/A</v>
      </c>
      <c r="AE124" s="15" t="e">
        <f ca="1"/>
        <v>#N/A</v>
      </c>
      <c r="AF124" s="15" t="e">
        <f ca="1"/>
        <v>#N/A</v>
      </c>
      <c r="AG124" s="15" t="e">
        <f ca="1"/>
        <v>#N/A</v>
      </c>
      <c r="AH124" s="16" t="s">
        <v>346</v>
      </c>
      <c r="AI124" s="16"/>
      <c r="AJ124" s="16"/>
    </row>
    <row r="125" spans="4:36" ht="20.100000000000001" customHeight="1" x14ac:dyDescent="0.2">
      <c r="W125" s="15" t="str">
        <f>TEXT(EDATE(X_Cell_Site_StartDate,10), "mmmm")</f>
        <v>October</v>
      </c>
      <c r="X125" s="15" t="e">
        <f ca="1"/>
        <v>#N/A</v>
      </c>
      <c r="Y125" s="15" t="e">
        <f ca="1"/>
        <v>#N/A</v>
      </c>
      <c r="Z125" s="15" t="e">
        <f ca="1"/>
        <v>#N/A</v>
      </c>
      <c r="AA125" s="15" t="e">
        <f ca="1"/>
        <v>#N/A</v>
      </c>
      <c r="AB125" s="15" t="e">
        <f ca="1"/>
        <v>#N/A</v>
      </c>
      <c r="AC125" s="15" t="e">
        <f ca="1"/>
        <v>#N/A</v>
      </c>
      <c r="AD125" s="15" t="e">
        <f ca="1"/>
        <v>#N/A</v>
      </c>
      <c r="AE125" s="15" t="e">
        <f ca="1"/>
        <v>#N/A</v>
      </c>
      <c r="AF125" s="15" t="e">
        <f ca="1"/>
        <v>#N/A</v>
      </c>
      <c r="AG125" s="15" t="e">
        <f ca="1"/>
        <v>#N/A</v>
      </c>
      <c r="AH125" s="16" t="s">
        <v>346</v>
      </c>
      <c r="AI125" s="16"/>
      <c r="AJ125" s="16"/>
    </row>
    <row r="126" spans="4:36" ht="20.100000000000001" customHeight="1" x14ac:dyDescent="0.2">
      <c r="W126" s="15" t="str">
        <f>TEXT(EDATE(X_Cell_Site_StartDate,11), "mmmm")</f>
        <v>November</v>
      </c>
      <c r="X126" s="15" t="e">
        <f ca="1"/>
        <v>#N/A</v>
      </c>
      <c r="Y126" s="15" t="e">
        <f ca="1"/>
        <v>#N/A</v>
      </c>
      <c r="Z126" s="15" t="e">
        <f ca="1"/>
        <v>#N/A</v>
      </c>
      <c r="AA126" s="15" t="e">
        <f ca="1"/>
        <v>#N/A</v>
      </c>
      <c r="AB126" s="15" t="e">
        <f ca="1"/>
        <v>#N/A</v>
      </c>
      <c r="AC126" s="15" t="e">
        <f ca="1"/>
        <v>#N/A</v>
      </c>
      <c r="AD126" s="15" t="e">
        <f ca="1"/>
        <v>#N/A</v>
      </c>
      <c r="AE126" s="15" t="e">
        <f ca="1"/>
        <v>#N/A</v>
      </c>
      <c r="AF126" s="15" t="e">
        <f ca="1"/>
        <v>#N/A</v>
      </c>
      <c r="AG126" s="15" t="e">
        <f ca="1"/>
        <v>#N/A</v>
      </c>
      <c r="AH126" s="16" t="s">
        <v>346</v>
      </c>
      <c r="AI126" s="16"/>
      <c r="AJ126" s="16"/>
    </row>
    <row r="128" spans="4:36" ht="20.100000000000001" customHeight="1" x14ac:dyDescent="0.2">
      <c r="D128" s="112" t="s">
        <v>404</v>
      </c>
      <c r="W128" s="112" t="s">
        <v>405</v>
      </c>
    </row>
    <row r="129" spans="4:36" ht="20.100000000000001" customHeight="1" x14ac:dyDescent="0.2">
      <c r="D129" s="113" t="s">
        <v>406</v>
      </c>
      <c r="W129" s="113" t="s">
        <v>407</v>
      </c>
    </row>
    <row r="130" spans="4:36" ht="20.100000000000001" customHeight="1" x14ac:dyDescent="0.2">
      <c r="D130" s="114" t="s">
        <v>76</v>
      </c>
      <c r="E130" s="114" t="s">
        <v>326</v>
      </c>
      <c r="F130" s="114" t="s">
        <v>184</v>
      </c>
      <c r="G130" s="114" t="s">
        <v>327</v>
      </c>
      <c r="H130" s="114" t="s">
        <v>328</v>
      </c>
      <c r="I130" s="114" t="s">
        <v>329</v>
      </c>
      <c r="J130" s="114" t="s">
        <v>330</v>
      </c>
      <c r="K130" s="114" t="s">
        <v>331</v>
      </c>
      <c r="L130" s="114" t="s">
        <v>332</v>
      </c>
      <c r="M130" s="114" t="s">
        <v>333</v>
      </c>
      <c r="N130" s="114" t="s">
        <v>334</v>
      </c>
      <c r="W130" s="114" t="s">
        <v>75</v>
      </c>
      <c r="X130" s="114" t="s">
        <v>326</v>
      </c>
      <c r="Y130" s="114" t="s">
        <v>184</v>
      </c>
      <c r="Z130" s="114" t="s">
        <v>327</v>
      </c>
      <c r="AA130" s="114" t="s">
        <v>328</v>
      </c>
      <c r="AB130" s="114" t="s">
        <v>329</v>
      </c>
      <c r="AC130" s="114" t="s">
        <v>330</v>
      </c>
      <c r="AD130" s="114" t="s">
        <v>331</v>
      </c>
      <c r="AE130" s="114" t="s">
        <v>332</v>
      </c>
      <c r="AF130" s="114" t="s">
        <v>333</v>
      </c>
      <c r="AG130" s="114" t="s">
        <v>334</v>
      </c>
    </row>
    <row r="131" spans="4:36" ht="20.100000000000001" customHeight="1" x14ac:dyDescent="0.2">
      <c r="D131" s="15" t="s">
        <v>335</v>
      </c>
      <c r="E131" s="15" t="e">
        <f ca="1">((E84 * (1 - E115) + (0.04 * E84)) * (1 - $I$110))</f>
        <v>#N/A</v>
      </c>
      <c r="F131" s="15" t="e">
        <f ca="1">((F84 * (1 - F115) + (0.04 * F84)) * (1 - $I$110))</f>
        <v>#N/A</v>
      </c>
      <c r="G131" s="15" t="e">
        <f ca="1">((G84 * (1 - G115) + (0.04 * G84)) * (1 - $I$110))</f>
        <v>#N/A</v>
      </c>
      <c r="H131" s="15" t="e">
        <f ca="1">((H84 * (1 - H115) + (0.04 * H84)) * (1 - $I$110))</f>
        <v>#N/A</v>
      </c>
      <c r="I131" s="15" t="e">
        <f ca="1">((I84 * (1 - I115) + (0.04 * I84)) * (1 - $I$110))</f>
        <v>#N/A</v>
      </c>
      <c r="J131" s="15" t="e">
        <f ca="1">((J84 * (1 - J115) + (0.04 * J84)) * (1 - $I$110))</f>
        <v>#N/A</v>
      </c>
      <c r="K131" s="15" t="e">
        <f ca="1">((K84 * (1 - K115) + (0.04 * K84)) * (1 - $I$110))</f>
        <v>#N/A</v>
      </c>
      <c r="L131" s="15" t="e">
        <f ca="1">((L84 * (1 - L115) + (0.04 * L84)) * (1 - $I$110))</f>
        <v>#N/A</v>
      </c>
      <c r="M131" s="15" t="e">
        <f ca="1">((M84 * (1 - M115) + (0.04 * M84)) * (1 - $I$110))</f>
        <v>#N/A</v>
      </c>
      <c r="N131" s="15" t="e">
        <f ca="1">((N84 * (1 - N115) + (0.04 * N84)) * (1 - $I$110))</f>
        <v>#N/A</v>
      </c>
      <c r="O131" s="16" t="str">
        <f>$E$106</f>
        <v>kg/head/day</v>
      </c>
      <c r="P131" s="16"/>
      <c r="Q131" s="16"/>
      <c r="R131" s="16"/>
      <c r="S131" s="16"/>
      <c r="W131" s="15" t="str">
        <f>W115</f>
        <v>January</v>
      </c>
      <c r="X131" s="15" t="e">
        <f ca="1">((X76 * (1 - X115) + (0.04 * X76)) * (1 - $I$110))</f>
        <v>#N/A</v>
      </c>
      <c r="Y131" s="15" t="e">
        <f ca="1">((Y76 * (1 - Y115) + (0.04 * Y76)) * (1 - $I$110))</f>
        <v>#N/A</v>
      </c>
      <c r="Z131" s="15" t="e">
        <f ca="1">((Z76 * (1 - Z115) + (0.04 * Z76)) * (1 - $I$110))</f>
        <v>#N/A</v>
      </c>
      <c r="AA131" s="15" t="e">
        <f ca="1">((AA76 * (1 - AA115) + (0.04 * AA76)) * (1 - $I$110))</f>
        <v>#N/A</v>
      </c>
      <c r="AB131" s="15" t="e">
        <f ca="1">((AB76 * (1 - AB115) + (0.04 * AB76)) * (1 - $I$110))</f>
        <v>#N/A</v>
      </c>
      <c r="AC131" s="15" t="e">
        <f ca="1">((AC76 * (1 - AC115) + (0.04 * AC76)) * (1 - $I$110))</f>
        <v>#N/A</v>
      </c>
      <c r="AD131" s="15" t="e">
        <f ca="1">((AD76 * (1 - AD115) + (0.04 * AD76)) * (1 - $I$110))</f>
        <v>#N/A</v>
      </c>
      <c r="AE131" s="15" t="e">
        <f ca="1">((AE76 * (1 - AE115) + (0.04 * AE76)) * (1 - $I$110))</f>
        <v>#N/A</v>
      </c>
      <c r="AF131" s="15" t="e">
        <f ca="1">((AF76 * (1 - AF115) + (0.04 * AF76)) * (1 - $I$110))</f>
        <v>#N/A</v>
      </c>
      <c r="AG131" s="15" t="e">
        <f ca="1">((AG76 * (1 - AG115) + (0.04 * AG76)) * (1 - $I$110))</f>
        <v>#N/A</v>
      </c>
      <c r="AH131" s="16" t="str">
        <f t="shared" ref="AH131:AH142" si="3">$E$106</f>
        <v>kg/head/day</v>
      </c>
      <c r="AI131" s="16"/>
      <c r="AJ131" s="16"/>
    </row>
    <row r="132" spans="4:36" ht="20.100000000000001" customHeight="1" x14ac:dyDescent="0.2">
      <c r="D132" s="15" t="s">
        <v>336</v>
      </c>
      <c r="E132" s="15" t="e">
        <f ca="1">((E85 * (1 - E116) + (0.04 * E85)) * (1 - $I$110))</f>
        <v>#N/A</v>
      </c>
      <c r="F132" s="15" t="e">
        <f ca="1">((F85 * (1 - F116) + (0.04 * F85)) * (1 - $I$110))</f>
        <v>#N/A</v>
      </c>
      <c r="G132" s="15" t="e">
        <f ca="1">((G85 * (1 - G116) + (0.04 * G85)) * (1 - $I$110))</f>
        <v>#N/A</v>
      </c>
      <c r="H132" s="15" t="e">
        <f ca="1">((H85 * (1 - H116) + (0.04 * H85)) * (1 - $I$110))</f>
        <v>#N/A</v>
      </c>
      <c r="I132" s="15" t="e">
        <f ca="1">((I85 * (1 - I116) + (0.04 * I85)) * (1 - $I$110))</f>
        <v>#N/A</v>
      </c>
      <c r="J132" s="15" t="e">
        <f ca="1">((J85 * (1 - J116) + (0.04 * J85)) * (1 - $I$110))</f>
        <v>#N/A</v>
      </c>
      <c r="K132" s="15" t="e">
        <f ca="1">((K85 * (1 - K116) + (0.04 * K85)) * (1 - $I$110))</f>
        <v>#N/A</v>
      </c>
      <c r="L132" s="15" t="e">
        <f ca="1">((L85 * (1 - L116) + (0.04 * L85)) * (1 - $I$110))</f>
        <v>#N/A</v>
      </c>
      <c r="M132" s="15" t="e">
        <f ca="1">((M85 * (1 - M116) + (0.04 * M85)) * (1 - $I$110))</f>
        <v>#N/A</v>
      </c>
      <c r="N132" s="15" t="e">
        <f ca="1">((N85 * (1 - N116) + (0.04 * N85)) * (1 - $I$110))</f>
        <v>#N/A</v>
      </c>
      <c r="O132" s="16" t="str">
        <f t="shared" ref="O132:O134" si="4">$E$106</f>
        <v>kg/head/day</v>
      </c>
      <c r="P132" s="16"/>
      <c r="Q132" s="16"/>
      <c r="R132" s="16"/>
      <c r="S132" s="16"/>
      <c r="W132" s="15" t="str">
        <f t="shared" ref="W132:W142" si="5">W116</f>
        <v>January</v>
      </c>
      <c r="X132" s="15" t="e">
        <f ca="1">((X77 * (1 - X116) + (0.04 * X77)) * (1 - $I$110))</f>
        <v>#N/A</v>
      </c>
      <c r="Y132" s="15" t="e">
        <f ca="1">((Y77 * (1 - Y116) + (0.04 * Y77)) * (1 - $I$110))</f>
        <v>#N/A</v>
      </c>
      <c r="Z132" s="15" t="e">
        <f ca="1">((Z77 * (1 - Z116) + (0.04 * Z77)) * (1 - $I$110))</f>
        <v>#N/A</v>
      </c>
      <c r="AA132" s="15" t="e">
        <f ca="1">((AA77 * (1 - AA116) + (0.04 * AA77)) * (1 - $I$110))</f>
        <v>#N/A</v>
      </c>
      <c r="AB132" s="15" t="e">
        <f ca="1">((AB77 * (1 - AB116) + (0.04 * AB77)) * (1 - $I$110))</f>
        <v>#N/A</v>
      </c>
      <c r="AC132" s="15" t="e">
        <f ca="1">((AC77 * (1 - AC116) + (0.04 * AC77)) * (1 - $I$110))</f>
        <v>#N/A</v>
      </c>
      <c r="AD132" s="15" t="e">
        <f ca="1">((AD77 * (1 - AD116) + (0.04 * AD77)) * (1 - $I$110))</f>
        <v>#N/A</v>
      </c>
      <c r="AE132" s="15" t="e">
        <f ca="1">((AE77 * (1 - AE116) + (0.04 * AE77)) * (1 - $I$110))</f>
        <v>#N/A</v>
      </c>
      <c r="AF132" s="15" t="e">
        <f ca="1">((AF77 * (1 - AF116) + (0.04 * AF77)) * (1 - $I$110))</f>
        <v>#N/A</v>
      </c>
      <c r="AG132" s="15" t="e">
        <f ca="1">((AG77 * (1 - AG116) + (0.04 * AG77)) * (1 - $I$110))</f>
        <v>#N/A</v>
      </c>
      <c r="AH132" s="16" t="str">
        <f t="shared" si="3"/>
        <v>kg/head/day</v>
      </c>
      <c r="AI132" s="16"/>
      <c r="AJ132" s="16"/>
    </row>
    <row r="133" spans="4:36" ht="20.100000000000001" customHeight="1" x14ac:dyDescent="0.2">
      <c r="D133" s="15" t="s">
        <v>337</v>
      </c>
      <c r="E133" s="15" t="e">
        <f ca="1">((E86 * (1 - E117) + (0.04 * E86)) * (1 - $I$110))</f>
        <v>#N/A</v>
      </c>
      <c r="F133" s="15" t="e">
        <f ca="1">((F86 * (1 - F117) + (0.04 * F86)) * (1 - $I$110))</f>
        <v>#N/A</v>
      </c>
      <c r="G133" s="15" t="e">
        <f ca="1">((G86 * (1 - G117) + (0.04 * G86)) * (1 - $I$110))</f>
        <v>#N/A</v>
      </c>
      <c r="H133" s="15" t="e">
        <f ca="1">((H86 * (1 - H117) + (0.04 * H86)) * (1 - $I$110))</f>
        <v>#N/A</v>
      </c>
      <c r="I133" s="15" t="e">
        <f ca="1">((I86 * (1 - I117) + (0.04 * I86)) * (1 - $I$110))</f>
        <v>#N/A</v>
      </c>
      <c r="J133" s="15" t="e">
        <f ca="1">((J86 * (1 - J117) + (0.04 * J86)) * (1 - $I$110))</f>
        <v>#N/A</v>
      </c>
      <c r="K133" s="15" t="e">
        <f ca="1">((K86 * (1 - K117) + (0.04 * K86)) * (1 - $I$110))</f>
        <v>#N/A</v>
      </c>
      <c r="L133" s="15" t="e">
        <f ca="1">((L86 * (1 - L117) + (0.04 * L86)) * (1 - $I$110))</f>
        <v>#N/A</v>
      </c>
      <c r="M133" s="15" t="e">
        <f ca="1">((M86 * (1 - M117) + (0.04 * M86)) * (1 - $I$110))</f>
        <v>#N/A</v>
      </c>
      <c r="N133" s="15" t="e">
        <f ca="1">((N86 * (1 - N117) + (0.04 * N86)) * (1 - $I$110))</f>
        <v>#N/A</v>
      </c>
      <c r="O133" s="16" t="str">
        <f t="shared" si="4"/>
        <v>kg/head/day</v>
      </c>
      <c r="P133" s="16"/>
      <c r="Q133" s="16"/>
      <c r="R133" s="16"/>
      <c r="S133" s="16"/>
      <c r="W133" s="15" t="str">
        <f t="shared" si="5"/>
        <v>February</v>
      </c>
      <c r="X133" s="15" t="e">
        <f ca="1">((X78 * (1 - X117) + (0.04 * X78)) * (1 - $I$110))</f>
        <v>#N/A</v>
      </c>
      <c r="Y133" s="15" t="e">
        <f ca="1">((Y78 * (1 - Y117) + (0.04 * Y78)) * (1 - $I$110))</f>
        <v>#N/A</v>
      </c>
      <c r="Z133" s="15" t="e">
        <f ca="1">((Z78 * (1 - Z117) + (0.04 * Z78)) * (1 - $I$110))</f>
        <v>#N/A</v>
      </c>
      <c r="AA133" s="15" t="e">
        <f ca="1">((AA78 * (1 - AA117) + (0.04 * AA78)) * (1 - $I$110))</f>
        <v>#N/A</v>
      </c>
      <c r="AB133" s="15" t="e">
        <f ca="1">((AB78 * (1 - AB117) + (0.04 * AB78)) * (1 - $I$110))</f>
        <v>#N/A</v>
      </c>
      <c r="AC133" s="15" t="e">
        <f ca="1">((AC78 * (1 - AC117) + (0.04 * AC78)) * (1 - $I$110))</f>
        <v>#N/A</v>
      </c>
      <c r="AD133" s="15" t="e">
        <f ca="1">((AD78 * (1 - AD117) + (0.04 * AD78)) * (1 - $I$110))</f>
        <v>#N/A</v>
      </c>
      <c r="AE133" s="15" t="e">
        <f ca="1">((AE78 * (1 - AE117) + (0.04 * AE78)) * (1 - $I$110))</f>
        <v>#N/A</v>
      </c>
      <c r="AF133" s="15" t="e">
        <f ca="1">((AF78 * (1 - AF117) + (0.04 * AF78)) * (1 - $I$110))</f>
        <v>#N/A</v>
      </c>
      <c r="AG133" s="15" t="e">
        <f ca="1">((AG78 * (1 - AG117) + (0.04 * AG78)) * (1 - $I$110))</f>
        <v>#N/A</v>
      </c>
      <c r="AH133" s="16" t="str">
        <f t="shared" si="3"/>
        <v>kg/head/day</v>
      </c>
      <c r="AI133" s="16"/>
      <c r="AJ133" s="16"/>
    </row>
    <row r="134" spans="4:36" ht="20.100000000000001" customHeight="1" x14ac:dyDescent="0.2">
      <c r="D134" s="15" t="s">
        <v>338</v>
      </c>
      <c r="E134" s="15" t="e">
        <f ca="1">((E87 * (1 - E118) + (0.04 * E87)) * (1 - $I$110))</f>
        <v>#N/A</v>
      </c>
      <c r="F134" s="15" t="e">
        <f ca="1">((F87 * (1 - F118) + (0.04 * F87)) * (1 - $I$110))</f>
        <v>#N/A</v>
      </c>
      <c r="G134" s="15" t="e">
        <f ca="1">((G87 * (1 - G118) + (0.04 * G87)) * (1 - $I$110))</f>
        <v>#N/A</v>
      </c>
      <c r="H134" s="15" t="e">
        <f ca="1">((H87 * (1 - H118) + (0.04 * H87)) * (1 - $I$110))</f>
        <v>#N/A</v>
      </c>
      <c r="I134" s="15" t="e">
        <f ca="1">((I87 * (1 - I118) + (0.04 * I87)) * (1 - $I$110))</f>
        <v>#N/A</v>
      </c>
      <c r="J134" s="15" t="e">
        <f ca="1">((J87 * (1 - J118) + (0.04 * J87)) * (1 - $I$110))</f>
        <v>#N/A</v>
      </c>
      <c r="K134" s="15" t="e">
        <f ca="1">((K87 * (1 - K118) + (0.04 * K87)) * (1 - $I$110))</f>
        <v>#N/A</v>
      </c>
      <c r="L134" s="15" t="e">
        <f ca="1">((L87 * (1 - L118) + (0.04 * L87)) * (1 - $I$110))</f>
        <v>#N/A</v>
      </c>
      <c r="M134" s="15" t="e">
        <f ca="1">((M87 * (1 - M118) + (0.04 * M87)) * (1 - $I$110))</f>
        <v>#N/A</v>
      </c>
      <c r="N134" s="15" t="e">
        <f ca="1">((N87 * (1 - N118) + (0.04 * N87)) * (1 - $I$110))</f>
        <v>#N/A</v>
      </c>
      <c r="O134" s="16" t="str">
        <f t="shared" si="4"/>
        <v>kg/head/day</v>
      </c>
      <c r="P134" s="16"/>
      <c r="Q134" s="16"/>
      <c r="R134" s="16"/>
      <c r="S134" s="16"/>
      <c r="W134" s="15" t="str">
        <f t="shared" si="5"/>
        <v>March</v>
      </c>
      <c r="X134" s="15" t="e">
        <f ca="1">((X79 * (1 - X118) + (0.04 * X79)) * (1 - $I$110))</f>
        <v>#N/A</v>
      </c>
      <c r="Y134" s="15" t="e">
        <f ca="1">((Y79 * (1 - Y118) + (0.04 * Y79)) * (1 - $I$110))</f>
        <v>#N/A</v>
      </c>
      <c r="Z134" s="15" t="e">
        <f ca="1">((Z79 * (1 - Z118) + (0.04 * Z79)) * (1 - $I$110))</f>
        <v>#N/A</v>
      </c>
      <c r="AA134" s="15" t="e">
        <f ca="1">((AA79 * (1 - AA118) + (0.04 * AA79)) * (1 - $I$110))</f>
        <v>#N/A</v>
      </c>
      <c r="AB134" s="15" t="e">
        <f ca="1">((AB79 * (1 - AB118) + (0.04 * AB79)) * (1 - $I$110))</f>
        <v>#N/A</v>
      </c>
      <c r="AC134" s="15" t="e">
        <f ca="1">((AC79 * (1 - AC118) + (0.04 * AC79)) * (1 - $I$110))</f>
        <v>#N/A</v>
      </c>
      <c r="AD134" s="15" t="e">
        <f ca="1">((AD79 * (1 - AD118) + (0.04 * AD79)) * (1 - $I$110))</f>
        <v>#N/A</v>
      </c>
      <c r="AE134" s="15" t="e">
        <f ca="1">((AE79 * (1 - AE118) + (0.04 * AE79)) * (1 - $I$110))</f>
        <v>#N/A</v>
      </c>
      <c r="AF134" s="15" t="e">
        <f ca="1">((AF79 * (1 - AF118) + (0.04 * AF79)) * (1 - $I$110))</f>
        <v>#N/A</v>
      </c>
      <c r="AG134" s="15" t="e">
        <f ca="1">((AG79 * (1 - AG118) + (0.04 * AG79)) * (1 - $I$110))</f>
        <v>#N/A</v>
      </c>
      <c r="AH134" s="16" t="str">
        <f t="shared" si="3"/>
        <v>kg/head/day</v>
      </c>
      <c r="AI134" s="16"/>
      <c r="AJ134" s="16"/>
    </row>
    <row r="135" spans="4:36" ht="20.100000000000001" customHeight="1" x14ac:dyDescent="0.2">
      <c r="W135" s="15" t="str">
        <f t="shared" si="5"/>
        <v>April</v>
      </c>
      <c r="X135" s="15" t="e">
        <f ca="1">((X80 * (1 - X119) + (0.04 * X80)) * (1 - $I$110))</f>
        <v>#N/A</v>
      </c>
      <c r="Y135" s="15" t="e">
        <f ca="1">((Y80 * (1 - Y119) + (0.04 * Y80)) * (1 - $I$110))</f>
        <v>#N/A</v>
      </c>
      <c r="Z135" s="15" t="e">
        <f ca="1">((Z80 * (1 - Z119) + (0.04 * Z80)) * (1 - $I$110))</f>
        <v>#N/A</v>
      </c>
      <c r="AA135" s="15" t="e">
        <f ca="1">((AA80 * (1 - AA119) + (0.04 * AA80)) * (1 - $I$110))</f>
        <v>#N/A</v>
      </c>
      <c r="AB135" s="15" t="e">
        <f ca="1">((AB80 * (1 - AB119) + (0.04 * AB80)) * (1 - $I$110))</f>
        <v>#N/A</v>
      </c>
      <c r="AC135" s="15" t="e">
        <f ca="1">((AC80 * (1 - AC119) + (0.04 * AC80)) * (1 - $I$110))</f>
        <v>#N/A</v>
      </c>
      <c r="AD135" s="15" t="e">
        <f ca="1">((AD80 * (1 - AD119) + (0.04 * AD80)) * (1 - $I$110))</f>
        <v>#N/A</v>
      </c>
      <c r="AE135" s="15" t="e">
        <f ca="1">((AE80 * (1 - AE119) + (0.04 * AE80)) * (1 - $I$110))</f>
        <v>#N/A</v>
      </c>
      <c r="AF135" s="15" t="e">
        <f ca="1">((AF80 * (1 - AF119) + (0.04 * AF80)) * (1 - $I$110))</f>
        <v>#N/A</v>
      </c>
      <c r="AG135" s="15" t="e">
        <f ca="1">((AG80 * (1 - AG119) + (0.04 * AG80)) * (1 - $I$110))</f>
        <v>#N/A</v>
      </c>
      <c r="AH135" s="16" t="str">
        <f t="shared" si="3"/>
        <v>kg/head/day</v>
      </c>
      <c r="AI135" s="16"/>
      <c r="AJ135" s="16"/>
    </row>
    <row r="136" spans="4:36" ht="20.100000000000001" customHeight="1" x14ac:dyDescent="0.2">
      <c r="W136" s="15" t="str">
        <f t="shared" si="5"/>
        <v>May</v>
      </c>
      <c r="X136" s="15" t="e">
        <f ca="1">((X81 * (1 - X120) + (0.04 * X81)) * (1 - $I$110))</f>
        <v>#N/A</v>
      </c>
      <c r="Y136" s="15" t="e">
        <f ca="1">((Y81 * (1 - Y120) + (0.04 * Y81)) * (1 - $I$110))</f>
        <v>#N/A</v>
      </c>
      <c r="Z136" s="15" t="e">
        <f ca="1">((Z81 * (1 - Z120) + (0.04 * Z81)) * (1 - $I$110))</f>
        <v>#N/A</v>
      </c>
      <c r="AA136" s="15" t="e">
        <f ca="1">((AA81 * (1 - AA120) + (0.04 * AA81)) * (1 - $I$110))</f>
        <v>#N/A</v>
      </c>
      <c r="AB136" s="15" t="e">
        <f ca="1">((AB81 * (1 - AB120) + (0.04 * AB81)) * (1 - $I$110))</f>
        <v>#N/A</v>
      </c>
      <c r="AC136" s="15" t="e">
        <f ca="1">((AC81 * (1 - AC120) + (0.04 * AC81)) * (1 - $I$110))</f>
        <v>#N/A</v>
      </c>
      <c r="AD136" s="15" t="e">
        <f ca="1">((AD81 * (1 - AD120) + (0.04 * AD81)) * (1 - $I$110))</f>
        <v>#N/A</v>
      </c>
      <c r="AE136" s="15" t="e">
        <f ca="1">((AE81 * (1 - AE120) + (0.04 * AE81)) * (1 - $I$110))</f>
        <v>#N/A</v>
      </c>
      <c r="AF136" s="15" t="e">
        <f ca="1">((AF81 * (1 - AF120) + (0.04 * AF81)) * (1 - $I$110))</f>
        <v>#N/A</v>
      </c>
      <c r="AG136" s="15" t="e">
        <f ca="1">((AG81 * (1 - AG120) + (0.04 * AG81)) * (1 - $I$110))</f>
        <v>#N/A</v>
      </c>
      <c r="AH136" s="16" t="str">
        <f t="shared" si="3"/>
        <v>kg/head/day</v>
      </c>
      <c r="AI136" s="16"/>
      <c r="AJ136" s="16"/>
    </row>
    <row r="137" spans="4:36" ht="20.100000000000001" customHeight="1" x14ac:dyDescent="0.2">
      <c r="W137" s="15" t="str">
        <f t="shared" si="5"/>
        <v>June</v>
      </c>
      <c r="X137" s="15" t="e">
        <f ca="1">((X82 * (1 - X121) + (0.04 * X82)) * (1 - $I$110))</f>
        <v>#N/A</v>
      </c>
      <c r="Y137" s="15" t="e">
        <f ca="1">((Y82 * (1 - Y121) + (0.04 * Y82)) * (1 - $I$110))</f>
        <v>#N/A</v>
      </c>
      <c r="Z137" s="15" t="e">
        <f ca="1">((Z82 * (1 - Z121) + (0.04 * Z82)) * (1 - $I$110))</f>
        <v>#N/A</v>
      </c>
      <c r="AA137" s="15" t="e">
        <f ca="1">((AA82 * (1 - AA121) + (0.04 * AA82)) * (1 - $I$110))</f>
        <v>#N/A</v>
      </c>
      <c r="AB137" s="15" t="e">
        <f ca="1">((AB82 * (1 - AB121) + (0.04 * AB82)) * (1 - $I$110))</f>
        <v>#N/A</v>
      </c>
      <c r="AC137" s="15" t="e">
        <f ca="1">((AC82 * (1 - AC121) + (0.04 * AC82)) * (1 - $I$110))</f>
        <v>#N/A</v>
      </c>
      <c r="AD137" s="15" t="e">
        <f ca="1">((AD82 * (1 - AD121) + (0.04 * AD82)) * (1 - $I$110))</f>
        <v>#N/A</v>
      </c>
      <c r="AE137" s="15" t="e">
        <f ca="1">((AE82 * (1 - AE121) + (0.04 * AE82)) * (1 - $I$110))</f>
        <v>#N/A</v>
      </c>
      <c r="AF137" s="15" t="e">
        <f ca="1">((AF82 * (1 - AF121) + (0.04 * AF82)) * (1 - $I$110))</f>
        <v>#N/A</v>
      </c>
      <c r="AG137" s="15" t="e">
        <f ca="1">((AG82 * (1 - AG121) + (0.04 * AG82)) * (1 - $I$110))</f>
        <v>#N/A</v>
      </c>
      <c r="AH137" s="16" t="str">
        <f t="shared" si="3"/>
        <v>kg/head/day</v>
      </c>
      <c r="AI137" s="16"/>
      <c r="AJ137" s="16"/>
    </row>
    <row r="138" spans="4:36" ht="20.100000000000001" customHeight="1" x14ac:dyDescent="0.2">
      <c r="W138" s="15" t="str">
        <f t="shared" si="5"/>
        <v>July</v>
      </c>
      <c r="X138" s="15" t="e">
        <f ca="1">((X83 * (1 - X122) + (0.04 * X83)) * (1 - $I$110))</f>
        <v>#N/A</v>
      </c>
      <c r="Y138" s="15" t="e">
        <f ca="1">((Y83 * (1 - Y122) + (0.04 * Y83)) * (1 - $I$110))</f>
        <v>#N/A</v>
      </c>
      <c r="Z138" s="15" t="e">
        <f ca="1">((Z83 * (1 - Z122) + (0.04 * Z83)) * (1 - $I$110))</f>
        <v>#N/A</v>
      </c>
      <c r="AA138" s="15" t="e">
        <f ca="1">((AA83 * (1 - AA122) + (0.04 * AA83)) * (1 - $I$110))</f>
        <v>#N/A</v>
      </c>
      <c r="AB138" s="15" t="e">
        <f ca="1">((AB83 * (1 - AB122) + (0.04 * AB83)) * (1 - $I$110))</f>
        <v>#N/A</v>
      </c>
      <c r="AC138" s="15" t="e">
        <f ca="1">((AC83 * (1 - AC122) + (0.04 * AC83)) * (1 - $I$110))</f>
        <v>#N/A</v>
      </c>
      <c r="AD138" s="15" t="e">
        <f ca="1">((AD83 * (1 - AD122) + (0.04 * AD83)) * (1 - $I$110))</f>
        <v>#N/A</v>
      </c>
      <c r="AE138" s="15" t="e">
        <f ca="1">((AE83 * (1 - AE122) + (0.04 * AE83)) * (1 - $I$110))</f>
        <v>#N/A</v>
      </c>
      <c r="AF138" s="15" t="e">
        <f ca="1">((AF83 * (1 - AF122) + (0.04 * AF83)) * (1 - $I$110))</f>
        <v>#N/A</v>
      </c>
      <c r="AG138" s="15" t="e">
        <f ca="1">((AG83 * (1 - AG122) + (0.04 * AG83)) * (1 - $I$110))</f>
        <v>#N/A</v>
      </c>
      <c r="AH138" s="16" t="str">
        <f t="shared" si="3"/>
        <v>kg/head/day</v>
      </c>
      <c r="AI138" s="16"/>
      <c r="AJ138" s="16"/>
    </row>
    <row r="139" spans="4:36" ht="20.100000000000001" customHeight="1" x14ac:dyDescent="0.2">
      <c r="W139" s="15" t="str">
        <f t="shared" si="5"/>
        <v>August</v>
      </c>
      <c r="X139" s="15" t="e">
        <f ca="1">((X84 * (1 - X123) + (0.04 * X84)) * (1 - $I$110))</f>
        <v>#N/A</v>
      </c>
      <c r="Y139" s="15" t="e">
        <f ca="1">((Y84 * (1 - Y123) + (0.04 * Y84)) * (1 - $I$110))</f>
        <v>#N/A</v>
      </c>
      <c r="Z139" s="15" t="e">
        <f ca="1">((Z84 * (1 - Z123) + (0.04 * Z84)) * (1 - $I$110))</f>
        <v>#N/A</v>
      </c>
      <c r="AA139" s="15" t="e">
        <f ca="1">((AA84 * (1 - AA123) + (0.04 * AA84)) * (1 - $I$110))</f>
        <v>#N/A</v>
      </c>
      <c r="AB139" s="15" t="e">
        <f ca="1">((AB84 * (1 - AB123) + (0.04 * AB84)) * (1 - $I$110))</f>
        <v>#N/A</v>
      </c>
      <c r="AC139" s="15" t="e">
        <f ca="1">((AC84 * (1 - AC123) + (0.04 * AC84)) * (1 - $I$110))</f>
        <v>#N/A</v>
      </c>
      <c r="AD139" s="15" t="e">
        <f ca="1">((AD84 * (1 - AD123) + (0.04 * AD84)) * (1 - $I$110))</f>
        <v>#N/A</v>
      </c>
      <c r="AE139" s="15" t="e">
        <f ca="1">((AE84 * (1 - AE123) + (0.04 * AE84)) * (1 - $I$110))</f>
        <v>#N/A</v>
      </c>
      <c r="AF139" s="15" t="e">
        <f ca="1">((AF84 * (1 - AF123) + (0.04 * AF84)) * (1 - $I$110))</f>
        <v>#N/A</v>
      </c>
      <c r="AG139" s="15" t="e">
        <f ca="1">((AG84 * (1 - AG123) + (0.04 * AG84)) * (1 - $I$110))</f>
        <v>#N/A</v>
      </c>
      <c r="AH139" s="16" t="str">
        <f t="shared" si="3"/>
        <v>kg/head/day</v>
      </c>
      <c r="AI139" s="16"/>
      <c r="AJ139" s="16"/>
    </row>
    <row r="140" spans="4:36" ht="20.100000000000001" customHeight="1" x14ac:dyDescent="0.2">
      <c r="W140" s="15" t="str">
        <f t="shared" si="5"/>
        <v>September</v>
      </c>
      <c r="X140" s="15" t="e">
        <f ca="1">((X85 * (1 - X124) + (0.04 * X85)) * (1 - $I$110))</f>
        <v>#N/A</v>
      </c>
      <c r="Y140" s="15" t="e">
        <f ca="1">((Y85 * (1 - Y124) + (0.04 * Y85)) * (1 - $I$110))</f>
        <v>#N/A</v>
      </c>
      <c r="Z140" s="15" t="e">
        <f ca="1">((Z85 * (1 - Z124) + (0.04 * Z85)) * (1 - $I$110))</f>
        <v>#N/A</v>
      </c>
      <c r="AA140" s="15" t="e">
        <f ca="1">((AA85 * (1 - AA124) + (0.04 * AA85)) * (1 - $I$110))</f>
        <v>#N/A</v>
      </c>
      <c r="AB140" s="15" t="e">
        <f ca="1">((AB85 * (1 - AB124) + (0.04 * AB85)) * (1 - $I$110))</f>
        <v>#N/A</v>
      </c>
      <c r="AC140" s="15" t="e">
        <f ca="1">((AC85 * (1 - AC124) + (0.04 * AC85)) * (1 - $I$110))</f>
        <v>#N/A</v>
      </c>
      <c r="AD140" s="15" t="e">
        <f ca="1">((AD85 * (1 - AD124) + (0.04 * AD85)) * (1 - $I$110))</f>
        <v>#N/A</v>
      </c>
      <c r="AE140" s="15" t="e">
        <f ca="1">((AE85 * (1 - AE124) + (0.04 * AE85)) * (1 - $I$110))</f>
        <v>#N/A</v>
      </c>
      <c r="AF140" s="15" t="e">
        <f ca="1">((AF85 * (1 - AF124) + (0.04 * AF85)) * (1 - $I$110))</f>
        <v>#N/A</v>
      </c>
      <c r="AG140" s="15" t="e">
        <f ca="1">((AG85 * (1 - AG124) + (0.04 * AG85)) * (1 - $I$110))</f>
        <v>#N/A</v>
      </c>
      <c r="AH140" s="16" t="str">
        <f t="shared" si="3"/>
        <v>kg/head/day</v>
      </c>
      <c r="AI140" s="16"/>
      <c r="AJ140" s="16"/>
    </row>
    <row r="141" spans="4:36" ht="20.100000000000001" customHeight="1" x14ac:dyDescent="0.2">
      <c r="W141" s="15" t="str">
        <f t="shared" si="5"/>
        <v>October</v>
      </c>
      <c r="X141" s="15" t="e">
        <f ca="1">((X86 * (1 - X125) + (0.04 * X86)) * (1 - $I$110))</f>
        <v>#N/A</v>
      </c>
      <c r="Y141" s="15" t="e">
        <f ca="1">((Y86 * (1 - Y125) + (0.04 * Y86)) * (1 - $I$110))</f>
        <v>#N/A</v>
      </c>
      <c r="Z141" s="15" t="e">
        <f ca="1">((Z86 * (1 - Z125) + (0.04 * Z86)) * (1 - $I$110))</f>
        <v>#N/A</v>
      </c>
      <c r="AA141" s="15" t="e">
        <f ca="1">((AA86 * (1 - AA125) + (0.04 * AA86)) * (1 - $I$110))</f>
        <v>#N/A</v>
      </c>
      <c r="AB141" s="15" t="e">
        <f ca="1">((AB86 * (1 - AB125) + (0.04 * AB86)) * (1 - $I$110))</f>
        <v>#N/A</v>
      </c>
      <c r="AC141" s="15" t="e">
        <f ca="1">((AC86 * (1 - AC125) + (0.04 * AC86)) * (1 - $I$110))</f>
        <v>#N/A</v>
      </c>
      <c r="AD141" s="15" t="e">
        <f ca="1">((AD86 * (1 - AD125) + (0.04 * AD86)) * (1 - $I$110))</f>
        <v>#N/A</v>
      </c>
      <c r="AE141" s="15" t="e">
        <f ca="1">((AE86 * (1 - AE125) + (0.04 * AE86)) * (1 - $I$110))</f>
        <v>#N/A</v>
      </c>
      <c r="AF141" s="15" t="e">
        <f ca="1">((AF86 * (1 - AF125) + (0.04 * AF86)) * (1 - $I$110))</f>
        <v>#N/A</v>
      </c>
      <c r="AG141" s="15" t="e">
        <f ca="1">((AG86 * (1 - AG125) + (0.04 * AG86)) * (1 - $I$110))</f>
        <v>#N/A</v>
      </c>
      <c r="AH141" s="16" t="str">
        <f t="shared" si="3"/>
        <v>kg/head/day</v>
      </c>
      <c r="AI141" s="16"/>
      <c r="AJ141" s="16"/>
    </row>
    <row r="142" spans="4:36" ht="20.100000000000001" customHeight="1" x14ac:dyDescent="0.2">
      <c r="W142" s="15" t="str">
        <f t="shared" si="5"/>
        <v>November</v>
      </c>
      <c r="X142" s="15" t="e">
        <f ca="1">((X87 * (1 - X126) + (0.04 * X87)) * (1 - $I$110))</f>
        <v>#N/A</v>
      </c>
      <c r="Y142" s="15" t="e">
        <f ca="1">((Y87 * (1 - Y126) + (0.04 * Y87)) * (1 - $I$110))</f>
        <v>#N/A</v>
      </c>
      <c r="Z142" s="15" t="e">
        <f ca="1">((Z87 * (1 - Z126) + (0.04 * Z87)) * (1 - $I$110))</f>
        <v>#N/A</v>
      </c>
      <c r="AA142" s="15" t="e">
        <f ca="1">((AA87 * (1 - AA126) + (0.04 * AA87)) * (1 - $I$110))</f>
        <v>#N/A</v>
      </c>
      <c r="AB142" s="15" t="e">
        <f ca="1">((AB87 * (1 - AB126) + (0.04 * AB87)) * (1 - $I$110))</f>
        <v>#N/A</v>
      </c>
      <c r="AC142" s="15" t="e">
        <f ca="1">((AC87 * (1 - AC126) + (0.04 * AC87)) * (1 - $I$110))</f>
        <v>#N/A</v>
      </c>
      <c r="AD142" s="15" t="e">
        <f ca="1">((AD87 * (1 - AD126) + (0.04 * AD87)) * (1 - $I$110))</f>
        <v>#N/A</v>
      </c>
      <c r="AE142" s="15" t="e">
        <f ca="1">((AE87 * (1 - AE126) + (0.04 * AE87)) * (1 - $I$110))</f>
        <v>#N/A</v>
      </c>
      <c r="AF142" s="15" t="e">
        <f ca="1">((AF87 * (1 - AF126) + (0.04 * AF87)) * (1 - $I$110))</f>
        <v>#N/A</v>
      </c>
      <c r="AG142" s="15" t="e">
        <f ca="1">((AG87 * (1 - AG126) + (0.04 * AG87)) * (1 - $I$110))</f>
        <v>#N/A</v>
      </c>
      <c r="AH142" s="16" t="str">
        <f t="shared" si="3"/>
        <v>kg/head/day</v>
      </c>
      <c r="AI142" s="16"/>
      <c r="AJ142" s="16"/>
    </row>
    <row r="145" spans="3:37" ht="20.100000000000001" customHeight="1" x14ac:dyDescent="0.2">
      <c r="C145" s="87"/>
      <c r="D145" s="87"/>
      <c r="E145" s="87"/>
      <c r="F145" s="87"/>
      <c r="G145" s="87"/>
      <c r="H145" s="87"/>
      <c r="I145" s="87"/>
      <c r="J145" s="87"/>
      <c r="K145" s="87"/>
      <c r="L145" s="87"/>
      <c r="M145" s="87"/>
      <c r="N145" s="87"/>
      <c r="O145" s="87"/>
      <c r="P145" s="87"/>
      <c r="Q145" s="87"/>
      <c r="R145" s="87"/>
      <c r="S145" s="87"/>
      <c r="T145" s="87"/>
      <c r="V145" s="87"/>
      <c r="W145" s="87"/>
      <c r="X145" s="87"/>
      <c r="Y145" s="87"/>
      <c r="Z145" s="87"/>
      <c r="AA145" s="87"/>
      <c r="AB145" s="87"/>
      <c r="AC145" s="87"/>
      <c r="AD145" s="87"/>
      <c r="AE145" s="87"/>
      <c r="AF145" s="87"/>
      <c r="AG145" s="87"/>
      <c r="AH145" s="87"/>
      <c r="AI145" s="87"/>
      <c r="AJ145" s="87"/>
      <c r="AK145" s="87"/>
    </row>
    <row r="146" spans="3:37" ht="20.100000000000001" customHeight="1" x14ac:dyDescent="0.2">
      <c r="D146" s="2" t="s">
        <v>1255</v>
      </c>
    </row>
    <row r="147" spans="3:37" ht="20.100000000000001" customHeight="1" x14ac:dyDescent="0.2">
      <c r="D147" s="17" t="s">
        <v>1256</v>
      </c>
    </row>
    <row r="148" spans="3:37" ht="20.100000000000001" customHeight="1" x14ac:dyDescent="0.2">
      <c r="D148" s="103"/>
      <c r="E148" s="103"/>
    </row>
    <row r="151" spans="3:37" ht="20.100000000000001" customHeight="1" x14ac:dyDescent="0.2">
      <c r="D151" s="77" t="s">
        <v>373</v>
      </c>
      <c r="E151" s="1" t="s">
        <v>1257</v>
      </c>
    </row>
    <row r="152" spans="3:37" ht="20.100000000000001" customHeight="1" x14ac:dyDescent="0.2">
      <c r="D152" s="77" t="s">
        <v>121</v>
      </c>
      <c r="E152" s="9" t="s">
        <v>1235</v>
      </c>
    </row>
    <row r="154" spans="3:37" ht="20.100000000000001" customHeight="1" x14ac:dyDescent="0.2">
      <c r="D154" s="105" t="s">
        <v>1249</v>
      </c>
      <c r="E154" s="106" t="s">
        <v>1258</v>
      </c>
      <c r="F154" s="108"/>
      <c r="G154" s="105" t="s">
        <v>1270</v>
      </c>
      <c r="H154" s="110" t="s">
        <v>1271</v>
      </c>
      <c r="I154" s="111" t="str" cm="1">
        <f t="array" aca="1" ref="I154" ca="1">HYPERLINK(Common_InputFunctions.Utility_SourceHyperlink($D$128), $D$128)</f>
        <v>M1_Table_VS_j_k_l</v>
      </c>
      <c r="W154" s="105" t="s">
        <v>1249</v>
      </c>
      <c r="X154" s="106" t="s">
        <v>1258</v>
      </c>
      <c r="Y154" s="108"/>
      <c r="Z154" s="105" t="s">
        <v>1270</v>
      </c>
      <c r="AA154" s="110" t="s">
        <v>1271</v>
      </c>
      <c r="AB154" s="111"/>
    </row>
    <row r="155" spans="3:37" ht="20.100000000000001" customHeight="1" x14ac:dyDescent="0.2">
      <c r="D155" s="105" t="s">
        <v>1259</v>
      </c>
      <c r="E155" s="106" t="s">
        <v>1260</v>
      </c>
      <c r="F155" s="108"/>
      <c r="G155" s="105" t="s">
        <v>1272</v>
      </c>
      <c r="H155" s="110" t="s">
        <v>1220</v>
      </c>
      <c r="I155" s="105">
        <f>SourceData_PastureBeef_MethaneEmissionsPotential_Data</f>
        <v>0.19</v>
      </c>
      <c r="W155" s="105" t="s">
        <v>1259</v>
      </c>
      <c r="X155" s="106" t="s">
        <v>1260</v>
      </c>
      <c r="Y155" s="108"/>
      <c r="Z155" s="105" t="s">
        <v>1272</v>
      </c>
      <c r="AA155" s="110" t="s">
        <v>1220</v>
      </c>
      <c r="AB155" s="105"/>
    </row>
    <row r="156" spans="3:37" ht="20.100000000000001" customHeight="1" x14ac:dyDescent="0.2">
      <c r="D156" s="105" t="s">
        <v>1261</v>
      </c>
      <c r="E156" s="106" t="s">
        <v>1262</v>
      </c>
      <c r="F156" s="108"/>
      <c r="G156" s="105" t="s">
        <v>346</v>
      </c>
      <c r="H156" s="109" t="s">
        <v>1219</v>
      </c>
      <c r="I156" s="111" t="str" cm="1">
        <f t="array" aca="1" ref="I156" ca="1">HYPERLINK(Common_InputFunctions.Utility_SourceHyperlink($D$162), $D$162)</f>
        <v>Table_MMS_m</v>
      </c>
      <c r="W156" s="105" t="s">
        <v>1261</v>
      </c>
      <c r="X156" s="106" t="s">
        <v>1262</v>
      </c>
      <c r="Y156" s="108"/>
      <c r="Z156" s="105" t="s">
        <v>346</v>
      </c>
      <c r="AA156" s="109" t="s">
        <v>1219</v>
      </c>
      <c r="AB156" s="111"/>
    </row>
    <row r="157" spans="3:37" ht="20.100000000000001" customHeight="1" x14ac:dyDescent="0.2">
      <c r="D157" s="105" t="s">
        <v>1263</v>
      </c>
      <c r="E157" s="106" t="s">
        <v>1264</v>
      </c>
      <c r="F157" s="108"/>
      <c r="G157" s="105" t="s">
        <v>346</v>
      </c>
      <c r="H157" s="110" t="s">
        <v>1220</v>
      </c>
      <c r="I157" s="111" t="str" cm="1">
        <f t="array" aca="1" ref="I157" ca="1">HYPERLINK(Common_InputFunctions.Utility_SourceHyperlink($D$168), $D$168)</f>
        <v>M1_Table_MCF_i_m</v>
      </c>
      <c r="W157" s="105" t="s">
        <v>1263</v>
      </c>
      <c r="X157" s="106" t="s">
        <v>1264</v>
      </c>
      <c r="Y157" s="108"/>
      <c r="Z157" s="105" t="s">
        <v>346</v>
      </c>
      <c r="AA157" s="110" t="s">
        <v>1220</v>
      </c>
      <c r="AB157" s="111"/>
    </row>
    <row r="158" spans="3:37" ht="20.100000000000001" customHeight="1" x14ac:dyDescent="0.2">
      <c r="D158" s="105" t="s">
        <v>1265</v>
      </c>
      <c r="E158" s="106" t="s">
        <v>1266</v>
      </c>
      <c r="F158" s="108"/>
      <c r="G158" s="105" t="s">
        <v>1273</v>
      </c>
      <c r="H158" s="110" t="s">
        <v>1220</v>
      </c>
      <c r="I158" s="105">
        <f>Common_SourceData_DensityOfMethane_Data</f>
        <v>0.6784</v>
      </c>
      <c r="W158" s="105" t="s">
        <v>1265</v>
      </c>
      <c r="X158" s="106" t="s">
        <v>1266</v>
      </c>
      <c r="Y158" s="108"/>
      <c r="Z158" s="105" t="s">
        <v>1273</v>
      </c>
      <c r="AA158" s="110" t="s">
        <v>1220</v>
      </c>
      <c r="AB158" s="105"/>
    </row>
    <row r="159" spans="3:37" ht="20.100000000000001" customHeight="1" x14ac:dyDescent="0.2">
      <c r="D159" s="105" t="s">
        <v>1267</v>
      </c>
      <c r="E159" s="106" t="s">
        <v>1268</v>
      </c>
      <c r="F159" s="108"/>
      <c r="G159" s="105"/>
      <c r="H159" s="109" t="s">
        <v>1219</v>
      </c>
      <c r="I159" s="105">
        <f>X_Cell_Site_State</f>
        <v>0</v>
      </c>
      <c r="W159" s="105" t="s">
        <v>42</v>
      </c>
      <c r="X159" s="106" t="s">
        <v>1274</v>
      </c>
      <c r="Y159" s="108"/>
      <c r="Z159" s="105" t="s">
        <v>1275</v>
      </c>
      <c r="AA159" s="109" t="s">
        <v>1219</v>
      </c>
      <c r="AB159" s="105">
        <f>X_Cell_Site_AverageTemperature</f>
        <v>0</v>
      </c>
    </row>
    <row r="160" spans="3:37" ht="20.100000000000001" customHeight="1" x14ac:dyDescent="0.2">
      <c r="D160" s="105" t="s">
        <v>1267</v>
      </c>
      <c r="E160" s="106" t="s">
        <v>1269</v>
      </c>
      <c r="F160" s="108"/>
      <c r="G160" s="105"/>
      <c r="H160" s="109" t="s">
        <v>1219</v>
      </c>
      <c r="I160" s="105">
        <f>X_Cell_PastureBeef_ProductionRegion</f>
        <v>0</v>
      </c>
    </row>
    <row r="162" spans="4:34" ht="20.100000000000001" customHeight="1" x14ac:dyDescent="0.2">
      <c r="D162" s="112" t="s">
        <v>408</v>
      </c>
    </row>
    <row r="163" spans="4:34" ht="20.100000000000001" customHeight="1" x14ac:dyDescent="0.2">
      <c r="D163" s="113" t="s">
        <v>409</v>
      </c>
    </row>
    <row r="164" spans="4:34" ht="20.100000000000001" customHeight="1" x14ac:dyDescent="0.2">
      <c r="D164" s="114" t="s">
        <v>410</v>
      </c>
      <c r="E164" s="82" t="s">
        <v>411</v>
      </c>
      <c r="F164" s="16" t="s">
        <v>346</v>
      </c>
    </row>
    <row r="165" spans="4:34" ht="20.100000000000001" customHeight="1" x14ac:dyDescent="0.2">
      <c r="D165" s="15" t="str">
        <f>'Input - Pasture Beef'!$D$152</f>
        <v>Pasture range and paddock</v>
      </c>
      <c r="E165" s="15" t="e">
        <f>X_Cell_PastureBeef_CalculatedMMSPastureRangeAndPaddock</f>
        <v>#VALUE!</v>
      </c>
      <c r="F165" s="16" t="s">
        <v>346</v>
      </c>
    </row>
    <row r="166" spans="4:34" ht="20.100000000000001" customHeight="1" x14ac:dyDescent="0.2">
      <c r="D166" s="15" t="str">
        <f>'Input - Pasture Beef'!$D$153</f>
        <v>Anaerobic lagoon</v>
      </c>
      <c r="E166" s="15" t="e">
        <f>X_Cell_PastureBeef_CalculatedMMSAnaerobicLagoon</f>
        <v>#VALUE!</v>
      </c>
    </row>
    <row r="168" spans="4:34" ht="20.100000000000001" customHeight="1" x14ac:dyDescent="0.2">
      <c r="D168" s="112" t="s">
        <v>412</v>
      </c>
      <c r="W168" s="112" t="s">
        <v>413</v>
      </c>
    </row>
    <row r="169" spans="4:34" ht="20.100000000000001" customHeight="1" x14ac:dyDescent="0.2">
      <c r="D169" s="113" t="s">
        <v>414</v>
      </c>
      <c r="W169" s="113" t="s">
        <v>415</v>
      </c>
    </row>
    <row r="170" spans="4:34" ht="20.100000000000001" customHeight="1" x14ac:dyDescent="0.2">
      <c r="D170" s="114" t="s">
        <v>410</v>
      </c>
      <c r="E170" s="114" t="s">
        <v>416</v>
      </c>
      <c r="W170" s="114" t="s">
        <v>410</v>
      </c>
      <c r="X170" s="114" t="s">
        <v>416</v>
      </c>
    </row>
    <row r="171" spans="4:34" ht="20.100000000000001" customHeight="1" x14ac:dyDescent="0.2">
      <c r="D171" s="15" t="str">
        <f>'Input - Pasture Beef'!$D$152</f>
        <v>Pasture range and paddock</v>
      </c>
      <c r="E171" s="15" t="str">
        <f>Common_InputFunctions.Utility_LookupValueInTableTwoColumns(Common_InputFunctions.Utility_ConvertStateCommonNameToAbbreviation($I$159, Table_AustralianStates[Common Name],Table_AustralianStates[Abbreviation]),$I$160,Table_SourceData_PastureBeef_MethaneConversionFactor[State],Table_SourceData_PastureBeef_MethaneConversionFactor[Region],Table_SourceData_PastureBeef_MethaneConversionFactor[Pasture range and paddock])</f>
        <v/>
      </c>
      <c r="W171" s="15" t="str">
        <f>'Input - Pasture Beef'!$D$152</f>
        <v>Pasture range and paddock</v>
      </c>
      <c r="X171" s="15">
        <f>Common_InputFunctions.Common_GetMCFTemperatureZone($AB$159, W171,Table_SourceData_Common_MCFTemperatureZone[MAT raw],Table_SourceData_Common_MCFTemperatureZone[#Headers],Table_SourceData_Common_MCFTemperatureZone[#Data])</f>
        <v>4.7000000000000002E-3</v>
      </c>
    </row>
    <row r="172" spans="4:34" ht="20.100000000000001" customHeight="1" x14ac:dyDescent="0.2">
      <c r="D172" s="15" t="str">
        <f>'Input - Pasture Beef'!$D$153</f>
        <v>Anaerobic lagoon</v>
      </c>
      <c r="E172" s="15" t="str">
        <f>Common_InputFunctions.Utility_LookupValueInTableTwoColumns(Common_InputFunctions.Utility_ConvertStateCommonNameToAbbreviation($I$159, Table_AustralianStates[Common Name],Table_AustralianStates[Abbreviation]),$I$160,Table_SourceData_PastureBeef_MethaneConversionFactor[State],Table_SourceData_PastureBeef_MethaneConversionFactor[Region],Table_SourceData_PastureBeef_MethaneConversionFactor[Uncovered Anaerobic lagoon])</f>
        <v/>
      </c>
      <c r="W172" s="15" t="str">
        <f>'Input - Pasture Beef'!$D$153</f>
        <v>Anaerobic lagoon</v>
      </c>
      <c r="X172" s="15">
        <f>Common_InputFunctions.Common_GetMCFTemperatureZone($AB$159, W172,Table_SourceData_Common_MCFTemperatureZone[MAT raw],Table_SourceData_Common_MCFTemperatureZone[#Headers],Table_SourceData_Common_MCFTemperatureZone[#Data])</f>
        <v>0.66</v>
      </c>
    </row>
    <row r="174" spans="4:34" ht="20.100000000000001" customHeight="1" x14ac:dyDescent="0.2">
      <c r="D174" s="112" t="s">
        <v>417</v>
      </c>
      <c r="W174" s="112" t="s">
        <v>418</v>
      </c>
    </row>
    <row r="175" spans="4:34" ht="20.100000000000001" customHeight="1" x14ac:dyDescent="0.2">
      <c r="D175" s="113" t="s">
        <v>419</v>
      </c>
      <c r="W175" s="113" t="s">
        <v>420</v>
      </c>
    </row>
    <row r="176" spans="4:34" ht="20.100000000000001" customHeight="1" x14ac:dyDescent="0.2">
      <c r="D176" s="114" t="s">
        <v>410</v>
      </c>
      <c r="E176" s="114" t="s">
        <v>76</v>
      </c>
      <c r="F176" s="114" t="s">
        <v>326</v>
      </c>
      <c r="G176" s="114" t="s">
        <v>184</v>
      </c>
      <c r="H176" s="114" t="s">
        <v>327</v>
      </c>
      <c r="I176" s="114" t="s">
        <v>328</v>
      </c>
      <c r="J176" s="114" t="s">
        <v>329</v>
      </c>
      <c r="K176" s="114" t="s">
        <v>330</v>
      </c>
      <c r="L176" s="114" t="s">
        <v>331</v>
      </c>
      <c r="M176" s="114" t="s">
        <v>332</v>
      </c>
      <c r="N176" s="114" t="s">
        <v>333</v>
      </c>
      <c r="O176" s="114" t="s">
        <v>334</v>
      </c>
      <c r="W176" s="114" t="s">
        <v>410</v>
      </c>
      <c r="X176" s="114" t="s">
        <v>75</v>
      </c>
      <c r="Y176" s="114" t="s">
        <v>326</v>
      </c>
      <c r="Z176" s="114" t="s">
        <v>184</v>
      </c>
      <c r="AA176" s="114" t="s">
        <v>327</v>
      </c>
      <c r="AB176" s="114" t="s">
        <v>328</v>
      </c>
      <c r="AC176" s="114" t="s">
        <v>329</v>
      </c>
      <c r="AD176" s="114" t="s">
        <v>330</v>
      </c>
      <c r="AE176" s="114" t="s">
        <v>331</v>
      </c>
      <c r="AF176" s="114" t="s">
        <v>332</v>
      </c>
      <c r="AG176" s="114" t="s">
        <v>333</v>
      </c>
      <c r="AH176" s="114" t="s">
        <v>334</v>
      </c>
    </row>
    <row r="177" spans="4:36" ht="20.100000000000001" customHeight="1" x14ac:dyDescent="0.2">
      <c r="D177" s="15" t="str">
        <f>'Input - Pasture Beef'!$D$152</f>
        <v>Pasture range and paddock</v>
      </c>
      <c r="E177" s="15" t="s">
        <v>335</v>
      </c>
      <c r="F177" s="15" t="e">
        <f ca="1">(E131 * $I$155 * $E$165 * $E$171 * $I$158)</f>
        <v>#N/A</v>
      </c>
      <c r="G177" s="15" t="e">
        <f ca="1">(F131 * $I$155 * $E$165 * $E$171 * $I$158)</f>
        <v>#N/A</v>
      </c>
      <c r="H177" s="15" t="e">
        <f ca="1">(G131 * $I$155 * $E$165 * $E$171 * $I$158)</f>
        <v>#N/A</v>
      </c>
      <c r="I177" s="15" t="e">
        <f ca="1">(H131 * $I$155 * $E$165 * $E$171 * $I$158)</f>
        <v>#N/A</v>
      </c>
      <c r="J177" s="15" t="e">
        <f ca="1">(I131 * $I$155 * $E$165 * $E$171 * $I$158)</f>
        <v>#N/A</v>
      </c>
      <c r="K177" s="15" t="e">
        <f ca="1">(J131 * $I$155 * $E$165 * $E$171 * $I$158)</f>
        <v>#N/A</v>
      </c>
      <c r="L177" s="15" t="e">
        <f ca="1">(K131 * $I$155 * $E$165 * $E$171 * $I$158)</f>
        <v>#N/A</v>
      </c>
      <c r="M177" s="15" t="e">
        <f ca="1">(L131 * $I$155 * $E$165 * $E$171 * $I$158)</f>
        <v>#N/A</v>
      </c>
      <c r="N177" s="15" t="e">
        <f ca="1">(M131 * $I$155 * $E$165 * $E$171 * $I$158)</f>
        <v>#N/A</v>
      </c>
      <c r="O177" s="15" t="e">
        <f ca="1">(N131 * $I$155 * $E$165 * $E$171 * $I$158)</f>
        <v>#N/A</v>
      </c>
      <c r="P177" s="16" t="str">
        <f t="shared" ref="P177:P184" si="6">$E$152</f>
        <v>kg CH4/head/day</v>
      </c>
      <c r="Q177" s="16"/>
      <c r="R177" s="16"/>
      <c r="S177" s="16"/>
      <c r="W177" s="15" t="str">
        <f>'Input - Pasture Beef'!$D$152</f>
        <v>Pasture range and paddock</v>
      </c>
      <c r="X177" s="15" t="str">
        <f t="shared" ref="X177:X188" si="7">W131</f>
        <v>January</v>
      </c>
      <c r="Y177" s="15" t="e">
        <f ca="1">(X131 * $I$155 * $E$165 * $X$171 * $I$158)</f>
        <v>#N/A</v>
      </c>
      <c r="Z177" s="15" t="e">
        <f ca="1">(Y131 * $I$155 * $E$165 * $X$171 * $I$158)</f>
        <v>#N/A</v>
      </c>
      <c r="AA177" s="15" t="e">
        <f ca="1">(Z131 * $I$155 * $E$165 * $X$171 * $I$158)</f>
        <v>#N/A</v>
      </c>
      <c r="AB177" s="15" t="e">
        <f ca="1">(AA131 * $I$155 * $E$165 * $X$171 * $I$158)</f>
        <v>#N/A</v>
      </c>
      <c r="AC177" s="15" t="e">
        <f ca="1">(AB131 * $I$155 * $E$165 * $X$171 * $I$158)</f>
        <v>#N/A</v>
      </c>
      <c r="AD177" s="15" t="e">
        <f ca="1">(AC131 * $I$155 * $E$165 * $X$171 * $I$158)</f>
        <v>#N/A</v>
      </c>
      <c r="AE177" s="15" t="e">
        <f ca="1">(AD131 * $I$155 * $E$165 * $X$171 * $I$158)</f>
        <v>#N/A</v>
      </c>
      <c r="AF177" s="15" t="e">
        <f ca="1">(AE131 * $I$155 * $E$165 * $X$171 * $I$158)</f>
        <v>#N/A</v>
      </c>
      <c r="AG177" s="15" t="e">
        <f ca="1">(AF131 * $I$155 * $E$165 * $X$171 * $I$158)</f>
        <v>#N/A</v>
      </c>
      <c r="AH177" s="15" t="e">
        <f ca="1">(AG131 * $I$155 * $E$165 * $X$171 * $I$158)</f>
        <v>#N/A</v>
      </c>
      <c r="AI177" s="16" t="str">
        <f t="shared" ref="AI177:AI200" si="8">$E$152</f>
        <v>kg CH4/head/day</v>
      </c>
      <c r="AJ177" s="16"/>
    </row>
    <row r="178" spans="4:36" ht="20.100000000000001" customHeight="1" x14ac:dyDescent="0.2">
      <c r="D178" s="15" t="str">
        <f>'Input - Pasture Beef'!$D$152</f>
        <v>Pasture range and paddock</v>
      </c>
      <c r="E178" s="15" t="s">
        <v>336</v>
      </c>
      <c r="F178" s="15" t="e">
        <f ca="1">(E132 * $I$155 * $E$165 * $E$171 * $I$158)</f>
        <v>#N/A</v>
      </c>
      <c r="G178" s="15" t="e">
        <f ca="1">(F132 * $I$155 * $E$165 * $E$171 * $I$158)</f>
        <v>#N/A</v>
      </c>
      <c r="H178" s="15" t="e">
        <f ca="1">(G132 * $I$155 * $E$165 * $E$171 * $I$158)</f>
        <v>#N/A</v>
      </c>
      <c r="I178" s="15" t="e">
        <f ca="1">(H132 * $I$155 * $E$165 * $E$171 * $I$158)</f>
        <v>#N/A</v>
      </c>
      <c r="J178" s="15" t="e">
        <f ca="1">(I132 * $I$155 * $E$165 * $E$171 * $I$158)</f>
        <v>#N/A</v>
      </c>
      <c r="K178" s="15" t="e">
        <f ca="1">(J132 * $I$155 * $E$165 * $E$171 * $I$158)</f>
        <v>#N/A</v>
      </c>
      <c r="L178" s="15" t="e">
        <f ca="1">(K132 * $I$155 * $E$165 * $E$171 * $I$158)</f>
        <v>#N/A</v>
      </c>
      <c r="M178" s="15" t="e">
        <f ca="1">(L132 * $I$155 * $E$165 * $E$171 * $I$158)</f>
        <v>#N/A</v>
      </c>
      <c r="N178" s="15" t="e">
        <f ca="1">(M132 * $I$155 * $E$165 * $E$171 * $I$158)</f>
        <v>#N/A</v>
      </c>
      <c r="O178" s="15" t="e">
        <f ca="1">(N132 * $I$155 * $E$165 * $E$171 * $I$158)</f>
        <v>#N/A</v>
      </c>
      <c r="P178" s="16" t="str">
        <f t="shared" si="6"/>
        <v>kg CH4/head/day</v>
      </c>
      <c r="Q178" s="16"/>
      <c r="R178" s="16"/>
      <c r="S178" s="16"/>
      <c r="W178" s="15" t="str">
        <f>'Input - Pasture Beef'!$D$152</f>
        <v>Pasture range and paddock</v>
      </c>
      <c r="X178" s="15" t="str">
        <f t="shared" si="7"/>
        <v>January</v>
      </c>
      <c r="Y178" s="15" t="e">
        <f ca="1">(X132 * $I$155 * $E$165 * $X$171 * $I$158)</f>
        <v>#N/A</v>
      </c>
      <c r="Z178" s="15" t="e">
        <f ca="1">(Y132 * $I$155 * $E$165 * $X$171 * $I$158)</f>
        <v>#N/A</v>
      </c>
      <c r="AA178" s="15" t="e">
        <f ca="1">(Z132 * $I$155 * $E$165 * $X$171 * $I$158)</f>
        <v>#N/A</v>
      </c>
      <c r="AB178" s="15" t="e">
        <f ca="1">(AA132 * $I$155 * $E$165 * $X$171 * $I$158)</f>
        <v>#N/A</v>
      </c>
      <c r="AC178" s="15" t="e">
        <f ca="1">(AB132 * $I$155 * $E$165 * $X$171 * $I$158)</f>
        <v>#N/A</v>
      </c>
      <c r="AD178" s="15" t="e">
        <f ca="1">(AC132 * $I$155 * $E$165 * $X$171 * $I$158)</f>
        <v>#N/A</v>
      </c>
      <c r="AE178" s="15" t="e">
        <f ca="1">(AD132 * $I$155 * $E$165 * $X$171 * $I$158)</f>
        <v>#N/A</v>
      </c>
      <c r="AF178" s="15" t="e">
        <f ca="1">(AE132 * $I$155 * $E$165 * $X$171 * $I$158)</f>
        <v>#N/A</v>
      </c>
      <c r="AG178" s="15" t="e">
        <f ca="1">(AF132 * $I$155 * $E$165 * $X$171 * $I$158)</f>
        <v>#N/A</v>
      </c>
      <c r="AH178" s="15" t="e">
        <f ca="1">(AG132 * $I$155 * $E$165 * $X$171 * $I$158)</f>
        <v>#N/A</v>
      </c>
      <c r="AI178" s="16" t="str">
        <f t="shared" si="8"/>
        <v>kg CH4/head/day</v>
      </c>
      <c r="AJ178" s="16"/>
    </row>
    <row r="179" spans="4:36" ht="20.100000000000001" customHeight="1" x14ac:dyDescent="0.2">
      <c r="D179" s="15" t="str">
        <f>'Input - Pasture Beef'!$D$152</f>
        <v>Pasture range and paddock</v>
      </c>
      <c r="E179" s="15" t="s">
        <v>337</v>
      </c>
      <c r="F179" s="15" t="e">
        <f ca="1">(E133 * $I$155 * $E$165 * $E$171 * $I$158)</f>
        <v>#N/A</v>
      </c>
      <c r="G179" s="15" t="e">
        <f ca="1">(F133 * $I$155 * $E$165 * $E$171 * $I$158)</f>
        <v>#N/A</v>
      </c>
      <c r="H179" s="15" t="e">
        <f ca="1">(G133 * $I$155 * $E$165 * $E$171 * $I$158)</f>
        <v>#N/A</v>
      </c>
      <c r="I179" s="15" t="e">
        <f ca="1">(H133 * $I$155 * $E$165 * $E$171 * $I$158)</f>
        <v>#N/A</v>
      </c>
      <c r="J179" s="15" t="e">
        <f ca="1">(I133 * $I$155 * $E$165 * $E$171 * $I$158)</f>
        <v>#N/A</v>
      </c>
      <c r="K179" s="15" t="e">
        <f ca="1">(J133 * $I$155 * $E$165 * $E$171 * $I$158)</f>
        <v>#N/A</v>
      </c>
      <c r="L179" s="15" t="e">
        <f ca="1">(K133 * $I$155 * $E$165 * $E$171 * $I$158)</f>
        <v>#N/A</v>
      </c>
      <c r="M179" s="15" t="e">
        <f ca="1">(L133 * $I$155 * $E$165 * $E$171 * $I$158)</f>
        <v>#N/A</v>
      </c>
      <c r="N179" s="15" t="e">
        <f ca="1">(M133 * $I$155 * $E$165 * $E$171 * $I$158)</f>
        <v>#N/A</v>
      </c>
      <c r="O179" s="15" t="e">
        <f ca="1">(N133 * $I$155 * $E$165 * $E$171 * $I$158)</f>
        <v>#N/A</v>
      </c>
      <c r="P179" s="16" t="str">
        <f t="shared" si="6"/>
        <v>kg CH4/head/day</v>
      </c>
      <c r="Q179" s="16"/>
      <c r="R179" s="16"/>
      <c r="S179" s="16"/>
      <c r="W179" s="15" t="str">
        <f>'Input - Pasture Beef'!$D$152</f>
        <v>Pasture range and paddock</v>
      </c>
      <c r="X179" s="15" t="str">
        <f t="shared" si="7"/>
        <v>February</v>
      </c>
      <c r="Y179" s="15" t="e">
        <f ca="1">(X133 * $I$155 * $E$165 * $X$171 * $I$158)</f>
        <v>#N/A</v>
      </c>
      <c r="Z179" s="15" t="e">
        <f ca="1">(Y133 * $I$155 * $E$165 * $X$171 * $I$158)</f>
        <v>#N/A</v>
      </c>
      <c r="AA179" s="15" t="e">
        <f ca="1">(Z133 * $I$155 * $E$165 * $X$171 * $I$158)</f>
        <v>#N/A</v>
      </c>
      <c r="AB179" s="15" t="e">
        <f ca="1">(AA133 * $I$155 * $E$165 * $X$171 * $I$158)</f>
        <v>#N/A</v>
      </c>
      <c r="AC179" s="15" t="e">
        <f ca="1">(AB133 * $I$155 * $E$165 * $X$171 * $I$158)</f>
        <v>#N/A</v>
      </c>
      <c r="AD179" s="15" t="e">
        <f ca="1">(AC133 * $I$155 * $E$165 * $X$171 * $I$158)</f>
        <v>#N/A</v>
      </c>
      <c r="AE179" s="15" t="e">
        <f ca="1">(AD133 * $I$155 * $E$165 * $X$171 * $I$158)</f>
        <v>#N/A</v>
      </c>
      <c r="AF179" s="15" t="e">
        <f ca="1">(AE133 * $I$155 * $E$165 * $X$171 * $I$158)</f>
        <v>#N/A</v>
      </c>
      <c r="AG179" s="15" t="e">
        <f ca="1">(AF133 * $I$155 * $E$165 * $X$171 * $I$158)</f>
        <v>#N/A</v>
      </c>
      <c r="AH179" s="15" t="e">
        <f ca="1">(AG133 * $I$155 * $E$165 * $X$171 * $I$158)</f>
        <v>#N/A</v>
      </c>
      <c r="AI179" s="16" t="str">
        <f t="shared" si="8"/>
        <v>kg CH4/head/day</v>
      </c>
      <c r="AJ179" s="16"/>
    </row>
    <row r="180" spans="4:36" ht="20.100000000000001" customHeight="1" x14ac:dyDescent="0.2">
      <c r="D180" s="15" t="str">
        <f>'Input - Pasture Beef'!$D$152</f>
        <v>Pasture range and paddock</v>
      </c>
      <c r="E180" s="15" t="s">
        <v>338</v>
      </c>
      <c r="F180" s="15" t="e">
        <f ca="1">(E134 * $I$155 * $E$165 * $E$171 * $I$158)</f>
        <v>#N/A</v>
      </c>
      <c r="G180" s="15" t="e">
        <f ca="1">(F134 * $I$155 * $E$165 * $E$171 * $I$158)</f>
        <v>#N/A</v>
      </c>
      <c r="H180" s="15" t="e">
        <f ca="1">(G134 * $I$155 * $E$165 * $E$171 * $I$158)</f>
        <v>#N/A</v>
      </c>
      <c r="I180" s="15" t="e">
        <f ca="1">(H134 * $I$155 * $E$165 * $E$171 * $I$158)</f>
        <v>#N/A</v>
      </c>
      <c r="J180" s="15" t="e">
        <f ca="1">(I134 * $I$155 * $E$165 * $E$171 * $I$158)</f>
        <v>#N/A</v>
      </c>
      <c r="K180" s="15" t="e">
        <f ca="1">(J134 * $I$155 * $E$165 * $E$171 * $I$158)</f>
        <v>#N/A</v>
      </c>
      <c r="L180" s="15" t="e">
        <f ca="1">(K134 * $I$155 * $E$165 * $E$171 * $I$158)</f>
        <v>#N/A</v>
      </c>
      <c r="M180" s="15" t="e">
        <f ca="1">(L134 * $I$155 * $E$165 * $E$171 * $I$158)</f>
        <v>#N/A</v>
      </c>
      <c r="N180" s="15" t="e">
        <f ca="1">(M134 * $I$155 * $E$165 * $E$171 * $I$158)</f>
        <v>#N/A</v>
      </c>
      <c r="O180" s="15" t="e">
        <f ca="1">(N134 * $I$155 * $E$165 * $E$171 * $I$158)</f>
        <v>#N/A</v>
      </c>
      <c r="P180" s="16" t="str">
        <f t="shared" si="6"/>
        <v>kg CH4/head/day</v>
      </c>
      <c r="Q180" s="16"/>
      <c r="R180" s="16"/>
      <c r="S180" s="16"/>
      <c r="W180" s="15" t="str">
        <f>'Input - Pasture Beef'!$D$152</f>
        <v>Pasture range and paddock</v>
      </c>
      <c r="X180" s="15" t="str">
        <f t="shared" si="7"/>
        <v>March</v>
      </c>
      <c r="Y180" s="15" t="e">
        <f ca="1">(X134 * $I$155 * $E$165 * $X$171 * $I$158)</f>
        <v>#N/A</v>
      </c>
      <c r="Z180" s="15" t="e">
        <f ca="1">(Y134 * $I$155 * $E$165 * $X$171 * $I$158)</f>
        <v>#N/A</v>
      </c>
      <c r="AA180" s="15" t="e">
        <f ca="1">(Z134 * $I$155 * $E$165 * $X$171 * $I$158)</f>
        <v>#N/A</v>
      </c>
      <c r="AB180" s="15" t="e">
        <f ca="1">(AA134 * $I$155 * $E$165 * $X$171 * $I$158)</f>
        <v>#N/A</v>
      </c>
      <c r="AC180" s="15" t="e">
        <f ca="1">(AB134 * $I$155 * $E$165 * $X$171 * $I$158)</f>
        <v>#N/A</v>
      </c>
      <c r="AD180" s="15" t="e">
        <f ca="1">(AC134 * $I$155 * $E$165 * $X$171 * $I$158)</f>
        <v>#N/A</v>
      </c>
      <c r="AE180" s="15" t="e">
        <f ca="1">(AD134 * $I$155 * $E$165 * $X$171 * $I$158)</f>
        <v>#N/A</v>
      </c>
      <c r="AF180" s="15" t="e">
        <f ca="1">(AE134 * $I$155 * $E$165 * $X$171 * $I$158)</f>
        <v>#N/A</v>
      </c>
      <c r="AG180" s="15" t="e">
        <f ca="1">(AF134 * $I$155 * $E$165 * $X$171 * $I$158)</f>
        <v>#N/A</v>
      </c>
      <c r="AH180" s="15" t="e">
        <f ca="1">(AG134 * $I$155 * $E$165 * $X$171 * $I$158)</f>
        <v>#N/A</v>
      </c>
      <c r="AI180" s="16" t="str">
        <f t="shared" si="8"/>
        <v>kg CH4/head/day</v>
      </c>
      <c r="AJ180" s="16"/>
    </row>
    <row r="181" spans="4:36" ht="20.100000000000001" customHeight="1" x14ac:dyDescent="0.2">
      <c r="D181" s="15" t="str">
        <f>'Input - Pasture Beef'!$D$153</f>
        <v>Anaerobic lagoon</v>
      </c>
      <c r="E181" s="15" t="s">
        <v>335</v>
      </c>
      <c r="F181" s="15" t="e">
        <f ca="1">(E131 * $I$155 * $E$166 * $E$172 * $I$158)</f>
        <v>#N/A</v>
      </c>
      <c r="G181" s="15" t="e">
        <f ca="1">(F131 * $I$155 * $E$166 * $E$172 * $I$158)</f>
        <v>#N/A</v>
      </c>
      <c r="H181" s="15" t="e">
        <f ca="1">(G131 * $I$155 * $E$166 * $E$172 * $I$158)</f>
        <v>#N/A</v>
      </c>
      <c r="I181" s="15" t="e">
        <f ca="1">(H131 * $I$155 * $E$166 * $E$172 * $I$158)</f>
        <v>#N/A</v>
      </c>
      <c r="J181" s="15" t="e">
        <f ca="1">(I131 * $I$155 * $E$166 * $E$172 * $I$158)</f>
        <v>#N/A</v>
      </c>
      <c r="K181" s="15" t="e">
        <f ca="1">(J131 * $I$155 * $E$166 * $E$172 * $I$158)</f>
        <v>#N/A</v>
      </c>
      <c r="L181" s="15" t="e">
        <f ca="1">(K131 * $I$155 * $E$166 * $E$172 * $I$158)</f>
        <v>#N/A</v>
      </c>
      <c r="M181" s="15" t="e">
        <f ca="1">(L131 * $I$155 * $E$166 * $E$172 * $I$158)</f>
        <v>#N/A</v>
      </c>
      <c r="N181" s="15" t="e">
        <f ca="1">(M131 * $I$155 * $E$166 * $E$172 * $I$158)</f>
        <v>#N/A</v>
      </c>
      <c r="O181" s="15" t="e">
        <f ca="1">(N131 * $I$155 * $E$166 * $E$172 * $I$158)</f>
        <v>#N/A</v>
      </c>
      <c r="P181" s="16" t="str">
        <f t="shared" si="6"/>
        <v>kg CH4/head/day</v>
      </c>
      <c r="Q181" s="16"/>
      <c r="R181" s="16"/>
      <c r="S181" s="16"/>
      <c r="W181" s="15" t="str">
        <f>'Input - Pasture Beef'!$D$152</f>
        <v>Pasture range and paddock</v>
      </c>
      <c r="X181" s="15" t="str">
        <f t="shared" si="7"/>
        <v>April</v>
      </c>
      <c r="Y181" s="15" t="e">
        <f ca="1">(X135 * $I$155 * $E$165 * $X$171 * $I$158)</f>
        <v>#N/A</v>
      </c>
      <c r="Z181" s="15" t="e">
        <f ca="1">(Y135 * $I$155 * $E$165 * $X$171 * $I$158)</f>
        <v>#N/A</v>
      </c>
      <c r="AA181" s="15" t="e">
        <f ca="1">(Z135 * $I$155 * $E$165 * $X$171 * $I$158)</f>
        <v>#N/A</v>
      </c>
      <c r="AB181" s="15" t="e">
        <f ca="1">(AA135 * $I$155 * $E$165 * $X$171 * $I$158)</f>
        <v>#N/A</v>
      </c>
      <c r="AC181" s="15" t="e">
        <f ca="1">(AB135 * $I$155 * $E$165 * $X$171 * $I$158)</f>
        <v>#N/A</v>
      </c>
      <c r="AD181" s="15" t="e">
        <f ca="1">(AC135 * $I$155 * $E$165 * $X$171 * $I$158)</f>
        <v>#N/A</v>
      </c>
      <c r="AE181" s="15" t="e">
        <f ca="1">(AD135 * $I$155 * $E$165 * $X$171 * $I$158)</f>
        <v>#N/A</v>
      </c>
      <c r="AF181" s="15" t="e">
        <f ca="1">(AE135 * $I$155 * $E$165 * $X$171 * $I$158)</f>
        <v>#N/A</v>
      </c>
      <c r="AG181" s="15" t="e">
        <f ca="1">(AF135 * $I$155 * $E$165 * $X$171 * $I$158)</f>
        <v>#N/A</v>
      </c>
      <c r="AH181" s="15" t="e">
        <f ca="1">(AG135 * $I$155 * $E$165 * $X$171 * $I$158)</f>
        <v>#N/A</v>
      </c>
      <c r="AI181" s="16" t="str">
        <f t="shared" si="8"/>
        <v>kg CH4/head/day</v>
      </c>
      <c r="AJ181" s="16"/>
    </row>
    <row r="182" spans="4:36" ht="20.100000000000001" customHeight="1" x14ac:dyDescent="0.2">
      <c r="D182" s="15" t="str">
        <f>'Input - Pasture Beef'!$D$153</f>
        <v>Anaerobic lagoon</v>
      </c>
      <c r="E182" s="15" t="s">
        <v>336</v>
      </c>
      <c r="F182" s="15" t="e">
        <f ca="1">(E132 * $I$155 * $E$166 * $E$172 * $I$158)</f>
        <v>#N/A</v>
      </c>
      <c r="G182" s="15" t="e">
        <f ca="1">(F132 * $I$155 * $E$166 * $E$172 * $I$158)</f>
        <v>#N/A</v>
      </c>
      <c r="H182" s="15" t="e">
        <f ca="1">(G132 * $I$155 * $E$166 * $E$172 * $I$158)</f>
        <v>#N/A</v>
      </c>
      <c r="I182" s="15" t="e">
        <f ca="1">(H132 * $I$155 * $E$166 * $E$172 * $I$158)</f>
        <v>#N/A</v>
      </c>
      <c r="J182" s="15" t="e">
        <f ca="1">(I132 * $I$155 * $E$166 * $E$172 * $I$158)</f>
        <v>#N/A</v>
      </c>
      <c r="K182" s="15" t="e">
        <f ca="1">(J132 * $I$155 * $E$166 * $E$172 * $I$158)</f>
        <v>#N/A</v>
      </c>
      <c r="L182" s="15" t="e">
        <f ca="1">(K132 * $I$155 * $E$166 * $E$172 * $I$158)</f>
        <v>#N/A</v>
      </c>
      <c r="M182" s="15" t="e">
        <f ca="1">(L132 * $I$155 * $E$166 * $E$172 * $I$158)</f>
        <v>#N/A</v>
      </c>
      <c r="N182" s="15" t="e">
        <f ca="1">(M132 * $I$155 * $E$166 * $E$172 * $I$158)</f>
        <v>#N/A</v>
      </c>
      <c r="O182" s="15" t="e">
        <f ca="1">(N132 * $I$155 * $E$166 * $E$172 * $I$158)</f>
        <v>#N/A</v>
      </c>
      <c r="P182" s="16" t="str">
        <f t="shared" si="6"/>
        <v>kg CH4/head/day</v>
      </c>
      <c r="Q182" s="16"/>
      <c r="R182" s="16"/>
      <c r="S182" s="16"/>
      <c r="W182" s="15" t="str">
        <f>'Input - Pasture Beef'!$D$152</f>
        <v>Pasture range and paddock</v>
      </c>
      <c r="X182" s="15" t="str">
        <f t="shared" si="7"/>
        <v>May</v>
      </c>
      <c r="Y182" s="15" t="e">
        <f ca="1">(X136 * $I$155 * $E$165 * $X$171 * $I$158)</f>
        <v>#N/A</v>
      </c>
      <c r="Z182" s="15" t="e">
        <f ca="1">(Y136 * $I$155 * $E$165 * $X$171 * $I$158)</f>
        <v>#N/A</v>
      </c>
      <c r="AA182" s="15" t="e">
        <f ca="1">(Z136 * $I$155 * $E$165 * $X$171 * $I$158)</f>
        <v>#N/A</v>
      </c>
      <c r="AB182" s="15" t="e">
        <f ca="1">(AA136 * $I$155 * $E$165 * $X$171 * $I$158)</f>
        <v>#N/A</v>
      </c>
      <c r="AC182" s="15" t="e">
        <f ca="1">(AB136 * $I$155 * $E$165 * $X$171 * $I$158)</f>
        <v>#N/A</v>
      </c>
      <c r="AD182" s="15" t="e">
        <f ca="1">(AC136 * $I$155 * $E$165 * $X$171 * $I$158)</f>
        <v>#N/A</v>
      </c>
      <c r="AE182" s="15" t="e">
        <f ca="1">(AD136 * $I$155 * $E$165 * $X$171 * $I$158)</f>
        <v>#N/A</v>
      </c>
      <c r="AF182" s="15" t="e">
        <f ca="1">(AE136 * $I$155 * $E$165 * $X$171 * $I$158)</f>
        <v>#N/A</v>
      </c>
      <c r="AG182" s="15" t="e">
        <f ca="1">(AF136 * $I$155 * $E$165 * $X$171 * $I$158)</f>
        <v>#N/A</v>
      </c>
      <c r="AH182" s="15" t="e">
        <f ca="1">(AG136 * $I$155 * $E$165 * $X$171 * $I$158)</f>
        <v>#N/A</v>
      </c>
      <c r="AI182" s="16" t="str">
        <f t="shared" si="8"/>
        <v>kg CH4/head/day</v>
      </c>
      <c r="AJ182" s="16"/>
    </row>
    <row r="183" spans="4:36" ht="20.100000000000001" customHeight="1" x14ac:dyDescent="0.2">
      <c r="D183" s="15" t="str">
        <f>'Input - Pasture Beef'!$D$153</f>
        <v>Anaerobic lagoon</v>
      </c>
      <c r="E183" s="15" t="s">
        <v>337</v>
      </c>
      <c r="F183" s="15" t="e">
        <f ca="1">(E133 * $I$155 * $E$166 * $E$172 * $I$158)</f>
        <v>#N/A</v>
      </c>
      <c r="G183" s="15" t="e">
        <f ca="1">(F133 * $I$155 * $E$166 * $E$172 * $I$158)</f>
        <v>#N/A</v>
      </c>
      <c r="H183" s="15" t="e">
        <f ca="1">(G133 * $I$155 * $E$166 * $E$172 * $I$158)</f>
        <v>#N/A</v>
      </c>
      <c r="I183" s="15" t="e">
        <f ca="1">(H133 * $I$155 * $E$166 * $E$172 * $I$158)</f>
        <v>#N/A</v>
      </c>
      <c r="J183" s="15" t="e">
        <f ca="1">(I133 * $I$155 * $E$166 * $E$172 * $I$158)</f>
        <v>#N/A</v>
      </c>
      <c r="K183" s="15" t="e">
        <f ca="1">(J133 * $I$155 * $E$166 * $E$172 * $I$158)</f>
        <v>#N/A</v>
      </c>
      <c r="L183" s="15" t="e">
        <f ca="1">(K133 * $I$155 * $E$166 * $E$172 * $I$158)</f>
        <v>#N/A</v>
      </c>
      <c r="M183" s="15" t="e">
        <f ca="1">(L133 * $I$155 * $E$166 * $E$172 * $I$158)</f>
        <v>#N/A</v>
      </c>
      <c r="N183" s="15" t="e">
        <f ca="1">(M133 * $I$155 * $E$166 * $E$172 * $I$158)</f>
        <v>#N/A</v>
      </c>
      <c r="O183" s="15" t="e">
        <f ca="1">(N133 * $I$155 * $E$166 * $E$172 * $I$158)</f>
        <v>#N/A</v>
      </c>
      <c r="P183" s="16" t="str">
        <f t="shared" si="6"/>
        <v>kg CH4/head/day</v>
      </c>
      <c r="Q183" s="16"/>
      <c r="R183" s="16"/>
      <c r="S183" s="16"/>
      <c r="W183" s="15" t="str">
        <f>'Input - Pasture Beef'!$D$152</f>
        <v>Pasture range and paddock</v>
      </c>
      <c r="X183" s="15" t="str">
        <f t="shared" si="7"/>
        <v>June</v>
      </c>
      <c r="Y183" s="15" t="e">
        <f ca="1">(X137 * $I$155 * $E$165 * $X$171 * $I$158)</f>
        <v>#N/A</v>
      </c>
      <c r="Z183" s="15" t="e">
        <f ca="1">(Y137 * $I$155 * $E$165 * $X$171 * $I$158)</f>
        <v>#N/A</v>
      </c>
      <c r="AA183" s="15" t="e">
        <f ca="1">(Z137 * $I$155 * $E$165 * $X$171 * $I$158)</f>
        <v>#N/A</v>
      </c>
      <c r="AB183" s="15" t="e">
        <f ca="1">(AA137 * $I$155 * $E$165 * $X$171 * $I$158)</f>
        <v>#N/A</v>
      </c>
      <c r="AC183" s="15" t="e">
        <f ca="1">(AB137 * $I$155 * $E$165 * $X$171 * $I$158)</f>
        <v>#N/A</v>
      </c>
      <c r="AD183" s="15" t="e">
        <f ca="1">(AC137 * $I$155 * $E$165 * $X$171 * $I$158)</f>
        <v>#N/A</v>
      </c>
      <c r="AE183" s="15" t="e">
        <f ca="1">(AD137 * $I$155 * $E$165 * $X$171 * $I$158)</f>
        <v>#N/A</v>
      </c>
      <c r="AF183" s="15" t="e">
        <f ca="1">(AE137 * $I$155 * $E$165 * $X$171 * $I$158)</f>
        <v>#N/A</v>
      </c>
      <c r="AG183" s="15" t="e">
        <f ca="1">(AF137 * $I$155 * $E$165 * $X$171 * $I$158)</f>
        <v>#N/A</v>
      </c>
      <c r="AH183" s="15" t="e">
        <f ca="1">(AG137 * $I$155 * $E$165 * $X$171 * $I$158)</f>
        <v>#N/A</v>
      </c>
      <c r="AI183" s="16" t="str">
        <f t="shared" si="8"/>
        <v>kg CH4/head/day</v>
      </c>
      <c r="AJ183" s="16"/>
    </row>
    <row r="184" spans="4:36" ht="20.100000000000001" customHeight="1" x14ac:dyDescent="0.2">
      <c r="D184" s="15" t="str">
        <f>'Input - Pasture Beef'!$D$153</f>
        <v>Anaerobic lagoon</v>
      </c>
      <c r="E184" s="15" t="s">
        <v>338</v>
      </c>
      <c r="F184" s="15" t="e">
        <f ca="1">(E134 * $I$155 * $E$166 * $E$172 * $I$158)</f>
        <v>#N/A</v>
      </c>
      <c r="G184" s="15" t="e">
        <f ca="1">(F134 * $I$155 * $E$166 * $E$172 * $I$158)</f>
        <v>#N/A</v>
      </c>
      <c r="H184" s="15" t="e">
        <f ca="1">(G134 * $I$155 * $E$166 * $E$172 * $I$158)</f>
        <v>#N/A</v>
      </c>
      <c r="I184" s="15" t="e">
        <f ca="1">(H134 * $I$155 * $E$166 * $E$172 * $I$158)</f>
        <v>#N/A</v>
      </c>
      <c r="J184" s="15" t="e">
        <f ca="1">(I134 * $I$155 * $E$166 * $E$172 * $I$158)</f>
        <v>#N/A</v>
      </c>
      <c r="K184" s="15" t="e">
        <f ca="1">(J134 * $I$155 * $E$166 * $E$172 * $I$158)</f>
        <v>#N/A</v>
      </c>
      <c r="L184" s="15" t="e">
        <f ca="1">(K134 * $I$155 * $E$166 * $E$172 * $I$158)</f>
        <v>#N/A</v>
      </c>
      <c r="M184" s="15" t="e">
        <f ca="1">(L134 * $I$155 * $E$166 * $E$172 * $I$158)</f>
        <v>#N/A</v>
      </c>
      <c r="N184" s="15" t="e">
        <f ca="1">(M134 * $I$155 * $E$166 * $E$172 * $I$158)</f>
        <v>#N/A</v>
      </c>
      <c r="O184" s="15" t="e">
        <f ca="1">(N134 * $I$155 * $E$166 * $E$172 * $I$158)</f>
        <v>#N/A</v>
      </c>
      <c r="P184" s="16" t="str">
        <f t="shared" si="6"/>
        <v>kg CH4/head/day</v>
      </c>
      <c r="Q184" s="16"/>
      <c r="R184" s="16"/>
      <c r="S184" s="16"/>
      <c r="W184" s="15" t="str">
        <f>'Input - Pasture Beef'!$D$152</f>
        <v>Pasture range and paddock</v>
      </c>
      <c r="X184" s="15" t="str">
        <f t="shared" si="7"/>
        <v>July</v>
      </c>
      <c r="Y184" s="15" t="e">
        <f ca="1">(X138 * $I$155 * $E$165 * $X$171 * $I$158)</f>
        <v>#N/A</v>
      </c>
      <c r="Z184" s="15" t="e">
        <f ca="1">(Y138 * $I$155 * $E$165 * $X$171 * $I$158)</f>
        <v>#N/A</v>
      </c>
      <c r="AA184" s="15" t="e">
        <f ca="1">(Z138 * $I$155 * $E$165 * $X$171 * $I$158)</f>
        <v>#N/A</v>
      </c>
      <c r="AB184" s="15" t="e">
        <f ca="1">(AA138 * $I$155 * $E$165 * $X$171 * $I$158)</f>
        <v>#N/A</v>
      </c>
      <c r="AC184" s="15" t="e">
        <f ca="1">(AB138 * $I$155 * $E$165 * $X$171 * $I$158)</f>
        <v>#N/A</v>
      </c>
      <c r="AD184" s="15" t="e">
        <f ca="1">(AC138 * $I$155 * $E$165 * $X$171 * $I$158)</f>
        <v>#N/A</v>
      </c>
      <c r="AE184" s="15" t="e">
        <f ca="1">(AD138 * $I$155 * $E$165 * $X$171 * $I$158)</f>
        <v>#N/A</v>
      </c>
      <c r="AF184" s="15" t="e">
        <f ca="1">(AE138 * $I$155 * $E$165 * $X$171 * $I$158)</f>
        <v>#N/A</v>
      </c>
      <c r="AG184" s="15" t="e">
        <f ca="1">(AF138 * $I$155 * $E$165 * $X$171 * $I$158)</f>
        <v>#N/A</v>
      </c>
      <c r="AH184" s="15" t="e">
        <f ca="1">(AG138 * $I$155 * $E$165 * $X$171 * $I$158)</f>
        <v>#N/A</v>
      </c>
      <c r="AI184" s="16" t="str">
        <f t="shared" si="8"/>
        <v>kg CH4/head/day</v>
      </c>
      <c r="AJ184" s="16"/>
    </row>
    <row r="185" spans="4:36" ht="20.100000000000001" customHeight="1" x14ac:dyDescent="0.2">
      <c r="W185" s="15" t="str">
        <f>'Input - Pasture Beef'!$D$152</f>
        <v>Pasture range and paddock</v>
      </c>
      <c r="X185" s="15" t="str">
        <f t="shared" si="7"/>
        <v>August</v>
      </c>
      <c r="Y185" s="15" t="e">
        <f ca="1">(X139 * $I$155 * $E$165 * $X$171 * $I$158)</f>
        <v>#N/A</v>
      </c>
      <c r="Z185" s="15" t="e">
        <f ca="1">(Y139 * $I$155 * $E$165 * $X$171 * $I$158)</f>
        <v>#N/A</v>
      </c>
      <c r="AA185" s="15" t="e">
        <f ca="1">(Z139 * $I$155 * $E$165 * $X$171 * $I$158)</f>
        <v>#N/A</v>
      </c>
      <c r="AB185" s="15" t="e">
        <f ca="1">(AA139 * $I$155 * $E$165 * $X$171 * $I$158)</f>
        <v>#N/A</v>
      </c>
      <c r="AC185" s="15" t="e">
        <f ca="1">(AB139 * $I$155 * $E$165 * $X$171 * $I$158)</f>
        <v>#N/A</v>
      </c>
      <c r="AD185" s="15" t="e">
        <f ca="1">(AC139 * $I$155 * $E$165 * $X$171 * $I$158)</f>
        <v>#N/A</v>
      </c>
      <c r="AE185" s="15" t="e">
        <f ca="1">(AD139 * $I$155 * $E$165 * $X$171 * $I$158)</f>
        <v>#N/A</v>
      </c>
      <c r="AF185" s="15" t="e">
        <f ca="1">(AE139 * $I$155 * $E$165 * $X$171 * $I$158)</f>
        <v>#N/A</v>
      </c>
      <c r="AG185" s="15" t="e">
        <f ca="1">(AF139 * $I$155 * $E$165 * $X$171 * $I$158)</f>
        <v>#N/A</v>
      </c>
      <c r="AH185" s="15" t="e">
        <f ca="1">(AG139 * $I$155 * $E$165 * $X$171 * $I$158)</f>
        <v>#N/A</v>
      </c>
      <c r="AI185" s="16" t="str">
        <f t="shared" si="8"/>
        <v>kg CH4/head/day</v>
      </c>
      <c r="AJ185" s="16"/>
    </row>
    <row r="186" spans="4:36" ht="20.100000000000001" customHeight="1" x14ac:dyDescent="0.2">
      <c r="W186" s="15" t="str">
        <f>'Input - Pasture Beef'!$D$152</f>
        <v>Pasture range and paddock</v>
      </c>
      <c r="X186" s="15" t="str">
        <f t="shared" si="7"/>
        <v>September</v>
      </c>
      <c r="Y186" s="15" t="e">
        <f ca="1">(X140 * $I$155 * $E$165 * $X$171 * $I$158)</f>
        <v>#N/A</v>
      </c>
      <c r="Z186" s="15" t="e">
        <f ca="1">(Y140 * $I$155 * $E$165 * $X$171 * $I$158)</f>
        <v>#N/A</v>
      </c>
      <c r="AA186" s="15" t="e">
        <f ca="1">(Z140 * $I$155 * $E$165 * $X$171 * $I$158)</f>
        <v>#N/A</v>
      </c>
      <c r="AB186" s="15" t="e">
        <f ca="1">(AA140 * $I$155 * $E$165 * $X$171 * $I$158)</f>
        <v>#N/A</v>
      </c>
      <c r="AC186" s="15" t="e">
        <f ca="1">(AB140 * $I$155 * $E$165 * $X$171 * $I$158)</f>
        <v>#N/A</v>
      </c>
      <c r="AD186" s="15" t="e">
        <f ca="1">(AC140 * $I$155 * $E$165 * $X$171 * $I$158)</f>
        <v>#N/A</v>
      </c>
      <c r="AE186" s="15" t="e">
        <f ca="1">(AD140 * $I$155 * $E$165 * $X$171 * $I$158)</f>
        <v>#N/A</v>
      </c>
      <c r="AF186" s="15" t="e">
        <f ca="1">(AE140 * $I$155 * $E$165 * $X$171 * $I$158)</f>
        <v>#N/A</v>
      </c>
      <c r="AG186" s="15" t="e">
        <f ca="1">(AF140 * $I$155 * $E$165 * $X$171 * $I$158)</f>
        <v>#N/A</v>
      </c>
      <c r="AH186" s="15" t="e">
        <f ca="1">(AG140 * $I$155 * $E$165 * $X$171 * $I$158)</f>
        <v>#N/A</v>
      </c>
      <c r="AI186" s="16" t="str">
        <f t="shared" si="8"/>
        <v>kg CH4/head/day</v>
      </c>
      <c r="AJ186" s="16"/>
    </row>
    <row r="187" spans="4:36" ht="20.100000000000001" customHeight="1" x14ac:dyDescent="0.2">
      <c r="W187" s="15" t="str">
        <f>'Input - Pasture Beef'!$D$152</f>
        <v>Pasture range and paddock</v>
      </c>
      <c r="X187" s="15" t="str">
        <f t="shared" si="7"/>
        <v>October</v>
      </c>
      <c r="Y187" s="15" t="e">
        <f ca="1">(X141 * $I$155 * $E$165 * $X$171 * $I$158)</f>
        <v>#N/A</v>
      </c>
      <c r="Z187" s="15" t="e">
        <f ca="1">(Y141 * $I$155 * $E$165 * $X$171 * $I$158)</f>
        <v>#N/A</v>
      </c>
      <c r="AA187" s="15" t="e">
        <f ca="1">(Z141 * $I$155 * $E$165 * $X$171 * $I$158)</f>
        <v>#N/A</v>
      </c>
      <c r="AB187" s="15" t="e">
        <f ca="1">(AA141 * $I$155 * $E$165 * $X$171 * $I$158)</f>
        <v>#N/A</v>
      </c>
      <c r="AC187" s="15" t="e">
        <f ca="1">(AB141 * $I$155 * $E$165 * $X$171 * $I$158)</f>
        <v>#N/A</v>
      </c>
      <c r="AD187" s="15" t="e">
        <f ca="1">(AC141 * $I$155 * $E$165 * $X$171 * $I$158)</f>
        <v>#N/A</v>
      </c>
      <c r="AE187" s="15" t="e">
        <f ca="1">(AD141 * $I$155 * $E$165 * $X$171 * $I$158)</f>
        <v>#N/A</v>
      </c>
      <c r="AF187" s="15" t="e">
        <f ca="1">(AE141 * $I$155 * $E$165 * $X$171 * $I$158)</f>
        <v>#N/A</v>
      </c>
      <c r="AG187" s="15" t="e">
        <f ca="1">(AF141 * $I$155 * $E$165 * $X$171 * $I$158)</f>
        <v>#N/A</v>
      </c>
      <c r="AH187" s="15" t="e">
        <f ca="1">(AG141 * $I$155 * $E$165 * $X$171 * $I$158)</f>
        <v>#N/A</v>
      </c>
      <c r="AI187" s="16" t="str">
        <f t="shared" si="8"/>
        <v>kg CH4/head/day</v>
      </c>
      <c r="AJ187" s="16"/>
    </row>
    <row r="188" spans="4:36" ht="20.100000000000001" customHeight="1" x14ac:dyDescent="0.2">
      <c r="W188" s="15" t="str">
        <f>'Input - Pasture Beef'!$D$152</f>
        <v>Pasture range and paddock</v>
      </c>
      <c r="X188" s="15" t="str">
        <f t="shared" si="7"/>
        <v>November</v>
      </c>
      <c r="Y188" s="15" t="e">
        <f ca="1">(X142 * $I$155 * $E$165 * $X$171 * $I$158)</f>
        <v>#N/A</v>
      </c>
      <c r="Z188" s="15" t="e">
        <f ca="1">(Y142 * $I$155 * $E$165 * $X$171 * $I$158)</f>
        <v>#N/A</v>
      </c>
      <c r="AA188" s="15" t="e">
        <f ca="1">(Z142 * $I$155 * $E$165 * $X$171 * $I$158)</f>
        <v>#N/A</v>
      </c>
      <c r="AB188" s="15" t="e">
        <f ca="1">(AA142 * $I$155 * $E$165 * $X$171 * $I$158)</f>
        <v>#N/A</v>
      </c>
      <c r="AC188" s="15" t="e">
        <f ca="1">(AB142 * $I$155 * $E$165 * $X$171 * $I$158)</f>
        <v>#N/A</v>
      </c>
      <c r="AD188" s="15" t="e">
        <f ca="1">(AC142 * $I$155 * $E$165 * $X$171 * $I$158)</f>
        <v>#N/A</v>
      </c>
      <c r="AE188" s="15" t="e">
        <f ca="1">(AD142 * $I$155 * $E$165 * $X$171 * $I$158)</f>
        <v>#N/A</v>
      </c>
      <c r="AF188" s="15" t="e">
        <f ca="1">(AE142 * $I$155 * $E$165 * $X$171 * $I$158)</f>
        <v>#N/A</v>
      </c>
      <c r="AG188" s="15" t="e">
        <f ca="1">(AF142 * $I$155 * $E$165 * $X$171 * $I$158)</f>
        <v>#N/A</v>
      </c>
      <c r="AH188" s="15" t="e">
        <f ca="1">(AG142 * $I$155 * $E$165 * $X$171 * $I$158)</f>
        <v>#N/A</v>
      </c>
      <c r="AI188" s="16" t="str">
        <f t="shared" si="8"/>
        <v>kg CH4/head/day</v>
      </c>
      <c r="AJ188" s="16"/>
    </row>
    <row r="189" spans="4:36" ht="20.100000000000001" customHeight="1" x14ac:dyDescent="0.2">
      <c r="W189" s="15" t="str">
        <f>'Input - Pasture Beef'!$D$153</f>
        <v>Anaerobic lagoon</v>
      </c>
      <c r="X189" s="15" t="str">
        <f>W131</f>
        <v>January</v>
      </c>
      <c r="Y189" s="15" t="e">
        <f ca="1">(X131 * $I$155 * $E$166 * $X$172 * $I$158)</f>
        <v>#N/A</v>
      </c>
      <c r="Z189" s="15" t="e">
        <f ca="1">(Y131 * $I$155 * $E$166 * $X$172 * $I$158)</f>
        <v>#N/A</v>
      </c>
      <c r="AA189" s="15" t="e">
        <f ca="1">(Z131 * $I$155 * $E$166 * $X$172 * $I$158)</f>
        <v>#N/A</v>
      </c>
      <c r="AB189" s="15" t="e">
        <f ca="1">(AA131 * $I$155 * $E$166 * $X$172 * $I$158)</f>
        <v>#N/A</v>
      </c>
      <c r="AC189" s="15" t="e">
        <f ca="1">(AB131 * $I$155 * $E$166 * $X$172 * $I$158)</f>
        <v>#N/A</v>
      </c>
      <c r="AD189" s="15" t="e">
        <f ca="1">(AC131 * $I$155 * $E$166 * $X$172 * $I$158)</f>
        <v>#N/A</v>
      </c>
      <c r="AE189" s="15" t="e">
        <f ca="1">(AD131 * $I$155 * $E$166 * $X$172 * $I$158)</f>
        <v>#N/A</v>
      </c>
      <c r="AF189" s="15" t="e">
        <f ca="1">(AE131 * $I$155 * $E$166 * $X$172 * $I$158)</f>
        <v>#N/A</v>
      </c>
      <c r="AG189" s="15" t="e">
        <f ca="1">(AF131 * $I$155 * $E$166 * $X$172 * $I$158)</f>
        <v>#N/A</v>
      </c>
      <c r="AH189" s="15" t="e">
        <f ca="1">(AG131 * $I$155 * $E$166 * $X$172 * $I$158)</f>
        <v>#N/A</v>
      </c>
      <c r="AI189" s="16" t="str">
        <f t="shared" si="8"/>
        <v>kg CH4/head/day</v>
      </c>
      <c r="AJ189" s="16"/>
    </row>
    <row r="190" spans="4:36" ht="20.100000000000001" customHeight="1" x14ac:dyDescent="0.2">
      <c r="W190" s="15" t="str">
        <f>'Input - Pasture Beef'!$D$153</f>
        <v>Anaerobic lagoon</v>
      </c>
      <c r="X190" s="15" t="str">
        <f t="shared" ref="X190:X200" si="9">W132</f>
        <v>January</v>
      </c>
      <c r="Y190" s="15" t="e">
        <f ca="1">(X132 * $I$155 * $E$166 * $X$172 * $I$158)</f>
        <v>#N/A</v>
      </c>
      <c r="Z190" s="15" t="e">
        <f ca="1">(Y132 * $I$155 * $E$166 * $X$172 * $I$158)</f>
        <v>#N/A</v>
      </c>
      <c r="AA190" s="15" t="e">
        <f ca="1">(Z132 * $I$155 * $E$166 * $X$172 * $I$158)</f>
        <v>#N/A</v>
      </c>
      <c r="AB190" s="15" t="e">
        <f ca="1">(AA132 * $I$155 * $E$166 * $X$172 * $I$158)</f>
        <v>#N/A</v>
      </c>
      <c r="AC190" s="15" t="e">
        <f ca="1">(AB132 * $I$155 * $E$166 * $X$172 * $I$158)</f>
        <v>#N/A</v>
      </c>
      <c r="AD190" s="15" t="e">
        <f ca="1">(AC132 * $I$155 * $E$166 * $X$172 * $I$158)</f>
        <v>#N/A</v>
      </c>
      <c r="AE190" s="15" t="e">
        <f ca="1">(AD132 * $I$155 * $E$166 * $X$172 * $I$158)</f>
        <v>#N/A</v>
      </c>
      <c r="AF190" s="15" t="e">
        <f ca="1">(AE132 * $I$155 * $E$166 * $X$172 * $I$158)</f>
        <v>#N/A</v>
      </c>
      <c r="AG190" s="15" t="e">
        <f ca="1">(AF132 * $I$155 * $E$166 * $X$172 * $I$158)</f>
        <v>#N/A</v>
      </c>
      <c r="AH190" s="15" t="e">
        <f ca="1">(AG132 * $I$155 * $E$166 * $X$172 * $I$158)</f>
        <v>#N/A</v>
      </c>
      <c r="AI190" s="16" t="str">
        <f t="shared" si="8"/>
        <v>kg CH4/head/day</v>
      </c>
      <c r="AJ190" s="16"/>
    </row>
    <row r="191" spans="4:36" ht="20.100000000000001" customHeight="1" x14ac:dyDescent="0.2">
      <c r="W191" s="15" t="str">
        <f>'Input - Pasture Beef'!$D$153</f>
        <v>Anaerobic lagoon</v>
      </c>
      <c r="X191" s="15" t="str">
        <f t="shared" si="9"/>
        <v>February</v>
      </c>
      <c r="Y191" s="15" t="e">
        <f ca="1">(X133 * $I$155 * $E$166 * $X$172 * $I$158)</f>
        <v>#N/A</v>
      </c>
      <c r="Z191" s="15" t="e">
        <f ca="1">(Y133 * $I$155 * $E$166 * $X$172 * $I$158)</f>
        <v>#N/A</v>
      </c>
      <c r="AA191" s="15" t="e">
        <f ca="1">(Z133 * $I$155 * $E$166 * $X$172 * $I$158)</f>
        <v>#N/A</v>
      </c>
      <c r="AB191" s="15" t="e">
        <f ca="1">(AA133 * $I$155 * $E$166 * $X$172 * $I$158)</f>
        <v>#N/A</v>
      </c>
      <c r="AC191" s="15" t="e">
        <f ca="1">(AB133 * $I$155 * $E$166 * $X$172 * $I$158)</f>
        <v>#N/A</v>
      </c>
      <c r="AD191" s="15" t="e">
        <f ca="1">(AC133 * $I$155 * $E$166 * $X$172 * $I$158)</f>
        <v>#N/A</v>
      </c>
      <c r="AE191" s="15" t="e">
        <f ca="1">(AD133 * $I$155 * $E$166 * $X$172 * $I$158)</f>
        <v>#N/A</v>
      </c>
      <c r="AF191" s="15" t="e">
        <f ca="1">(AE133 * $I$155 * $E$166 * $X$172 * $I$158)</f>
        <v>#N/A</v>
      </c>
      <c r="AG191" s="15" t="e">
        <f ca="1">(AF133 * $I$155 * $E$166 * $X$172 * $I$158)</f>
        <v>#N/A</v>
      </c>
      <c r="AH191" s="15" t="e">
        <f ca="1">(AG133 * $I$155 * $E$166 * $X$172 * $I$158)</f>
        <v>#N/A</v>
      </c>
      <c r="AI191" s="16" t="str">
        <f t="shared" si="8"/>
        <v>kg CH4/head/day</v>
      </c>
      <c r="AJ191" s="16"/>
    </row>
    <row r="192" spans="4:36" ht="20.100000000000001" customHeight="1" x14ac:dyDescent="0.2">
      <c r="W192" s="15" t="str">
        <f>'Input - Pasture Beef'!$D$153</f>
        <v>Anaerobic lagoon</v>
      </c>
      <c r="X192" s="15" t="str">
        <f t="shared" si="9"/>
        <v>March</v>
      </c>
      <c r="Y192" s="15" t="e">
        <f ca="1">(X134 * $I$155 * $E$166 * $X$172 * $I$158)</f>
        <v>#N/A</v>
      </c>
      <c r="Z192" s="15" t="e">
        <f ca="1">(Y134 * $I$155 * $E$166 * $X$172 * $I$158)</f>
        <v>#N/A</v>
      </c>
      <c r="AA192" s="15" t="e">
        <f ca="1">(Z134 * $I$155 * $E$166 * $X$172 * $I$158)</f>
        <v>#N/A</v>
      </c>
      <c r="AB192" s="15" t="e">
        <f ca="1">(AA134 * $I$155 * $E$166 * $X$172 * $I$158)</f>
        <v>#N/A</v>
      </c>
      <c r="AC192" s="15" t="e">
        <f ca="1">(AB134 * $I$155 * $E$166 * $X$172 * $I$158)</f>
        <v>#N/A</v>
      </c>
      <c r="AD192" s="15" t="e">
        <f ca="1">(AC134 * $I$155 * $E$166 * $X$172 * $I$158)</f>
        <v>#N/A</v>
      </c>
      <c r="AE192" s="15" t="e">
        <f ca="1">(AD134 * $I$155 * $E$166 * $X$172 * $I$158)</f>
        <v>#N/A</v>
      </c>
      <c r="AF192" s="15" t="e">
        <f ca="1">(AE134 * $I$155 * $E$166 * $X$172 * $I$158)</f>
        <v>#N/A</v>
      </c>
      <c r="AG192" s="15" t="e">
        <f ca="1">(AF134 * $I$155 * $E$166 * $X$172 * $I$158)</f>
        <v>#N/A</v>
      </c>
      <c r="AH192" s="15" t="e">
        <f ca="1">(AG134 * $I$155 * $E$166 * $X$172 * $I$158)</f>
        <v>#N/A</v>
      </c>
      <c r="AI192" s="16" t="str">
        <f t="shared" si="8"/>
        <v>kg CH4/head/day</v>
      </c>
      <c r="AJ192" s="16"/>
    </row>
    <row r="193" spans="3:37" ht="20.100000000000001" customHeight="1" x14ac:dyDescent="0.2">
      <c r="W193" s="15" t="str">
        <f>'Input - Pasture Beef'!$D$153</f>
        <v>Anaerobic lagoon</v>
      </c>
      <c r="X193" s="15" t="str">
        <f t="shared" si="9"/>
        <v>April</v>
      </c>
      <c r="Y193" s="15" t="e">
        <f ca="1">(X135 * $I$155 * $E$166 * $X$172 * $I$158)</f>
        <v>#N/A</v>
      </c>
      <c r="Z193" s="15" t="e">
        <f ca="1">(Y135 * $I$155 * $E$166 * $X$172 * $I$158)</f>
        <v>#N/A</v>
      </c>
      <c r="AA193" s="15" t="e">
        <f ca="1">(Z135 * $I$155 * $E$166 * $X$172 * $I$158)</f>
        <v>#N/A</v>
      </c>
      <c r="AB193" s="15" t="e">
        <f ca="1">(AA135 * $I$155 * $E$166 * $X$172 * $I$158)</f>
        <v>#N/A</v>
      </c>
      <c r="AC193" s="15" t="e">
        <f ca="1">(AB135 * $I$155 * $E$166 * $X$172 * $I$158)</f>
        <v>#N/A</v>
      </c>
      <c r="AD193" s="15" t="e">
        <f ca="1">(AC135 * $I$155 * $E$166 * $X$172 * $I$158)</f>
        <v>#N/A</v>
      </c>
      <c r="AE193" s="15" t="e">
        <f ca="1">(AD135 * $I$155 * $E$166 * $X$172 * $I$158)</f>
        <v>#N/A</v>
      </c>
      <c r="AF193" s="15" t="e">
        <f ca="1">(AE135 * $I$155 * $E$166 * $X$172 * $I$158)</f>
        <v>#N/A</v>
      </c>
      <c r="AG193" s="15" t="e">
        <f ca="1">(AF135 * $I$155 * $E$166 * $X$172 * $I$158)</f>
        <v>#N/A</v>
      </c>
      <c r="AH193" s="15" t="e">
        <f ca="1">(AG135 * $I$155 * $E$166 * $X$172 * $I$158)</f>
        <v>#N/A</v>
      </c>
      <c r="AI193" s="16" t="str">
        <f t="shared" si="8"/>
        <v>kg CH4/head/day</v>
      </c>
      <c r="AJ193" s="16"/>
    </row>
    <row r="194" spans="3:37" ht="20.100000000000001" customHeight="1" x14ac:dyDescent="0.2">
      <c r="W194" s="15" t="str">
        <f>'Input - Pasture Beef'!$D$153</f>
        <v>Anaerobic lagoon</v>
      </c>
      <c r="X194" s="15" t="str">
        <f t="shared" si="9"/>
        <v>May</v>
      </c>
      <c r="Y194" s="15" t="e">
        <f ca="1">(X136 * $I$155 * $E$166 * $X$172 * $I$158)</f>
        <v>#N/A</v>
      </c>
      <c r="Z194" s="15" t="e">
        <f ca="1">(Y136 * $I$155 * $E$166 * $X$172 * $I$158)</f>
        <v>#N/A</v>
      </c>
      <c r="AA194" s="15" t="e">
        <f ca="1">(Z136 * $I$155 * $E$166 * $X$172 * $I$158)</f>
        <v>#N/A</v>
      </c>
      <c r="AB194" s="15" t="e">
        <f ca="1">(AA136 * $I$155 * $E$166 * $X$172 * $I$158)</f>
        <v>#N/A</v>
      </c>
      <c r="AC194" s="15" t="e">
        <f ca="1">(AB136 * $I$155 * $E$166 * $X$172 * $I$158)</f>
        <v>#N/A</v>
      </c>
      <c r="AD194" s="15" t="e">
        <f ca="1">(AC136 * $I$155 * $E$166 * $X$172 * $I$158)</f>
        <v>#N/A</v>
      </c>
      <c r="AE194" s="15" t="e">
        <f ca="1">(AD136 * $I$155 * $E$166 * $X$172 * $I$158)</f>
        <v>#N/A</v>
      </c>
      <c r="AF194" s="15" t="e">
        <f ca="1">(AE136 * $I$155 * $E$166 * $X$172 * $I$158)</f>
        <v>#N/A</v>
      </c>
      <c r="AG194" s="15" t="e">
        <f ca="1">(AF136 * $I$155 * $E$166 * $X$172 * $I$158)</f>
        <v>#N/A</v>
      </c>
      <c r="AH194" s="15" t="e">
        <f ca="1">(AG136 * $I$155 * $E$166 * $X$172 * $I$158)</f>
        <v>#N/A</v>
      </c>
      <c r="AI194" s="16" t="str">
        <f t="shared" si="8"/>
        <v>kg CH4/head/day</v>
      </c>
      <c r="AJ194" s="16"/>
    </row>
    <row r="195" spans="3:37" ht="20.100000000000001" customHeight="1" x14ac:dyDescent="0.2">
      <c r="W195" s="15" t="str">
        <f>'Input - Pasture Beef'!$D$153</f>
        <v>Anaerobic lagoon</v>
      </c>
      <c r="X195" s="15" t="str">
        <f t="shared" si="9"/>
        <v>June</v>
      </c>
      <c r="Y195" s="15" t="e">
        <f ca="1">(X137 * $I$155 * $E$166 * $X$172 * $I$158)</f>
        <v>#N/A</v>
      </c>
      <c r="Z195" s="15" t="e">
        <f ca="1">(Y137 * $I$155 * $E$166 * $X$172 * $I$158)</f>
        <v>#N/A</v>
      </c>
      <c r="AA195" s="15" t="e">
        <f ca="1">(Z137 * $I$155 * $E$166 * $X$172 * $I$158)</f>
        <v>#N/A</v>
      </c>
      <c r="AB195" s="15" t="e">
        <f ca="1">(AA137 * $I$155 * $E$166 * $X$172 * $I$158)</f>
        <v>#N/A</v>
      </c>
      <c r="AC195" s="15" t="e">
        <f ca="1">(AB137 * $I$155 * $E$166 * $X$172 * $I$158)</f>
        <v>#N/A</v>
      </c>
      <c r="AD195" s="15" t="e">
        <f ca="1">(AC137 * $I$155 * $E$166 * $X$172 * $I$158)</f>
        <v>#N/A</v>
      </c>
      <c r="AE195" s="15" t="e">
        <f ca="1">(AD137 * $I$155 * $E$166 * $X$172 * $I$158)</f>
        <v>#N/A</v>
      </c>
      <c r="AF195" s="15" t="e">
        <f ca="1">(AE137 * $I$155 * $E$166 * $X$172 * $I$158)</f>
        <v>#N/A</v>
      </c>
      <c r="AG195" s="15" t="e">
        <f ca="1">(AF137 * $I$155 * $E$166 * $X$172 * $I$158)</f>
        <v>#N/A</v>
      </c>
      <c r="AH195" s="15" t="e">
        <f ca="1">(AG137 * $I$155 * $E$166 * $X$172 * $I$158)</f>
        <v>#N/A</v>
      </c>
      <c r="AI195" s="16" t="str">
        <f t="shared" si="8"/>
        <v>kg CH4/head/day</v>
      </c>
      <c r="AJ195" s="16"/>
    </row>
    <row r="196" spans="3:37" ht="20.100000000000001" customHeight="1" x14ac:dyDescent="0.2">
      <c r="W196" s="15" t="str">
        <f>'Input - Pasture Beef'!$D$153</f>
        <v>Anaerobic lagoon</v>
      </c>
      <c r="X196" s="15" t="str">
        <f t="shared" si="9"/>
        <v>July</v>
      </c>
      <c r="Y196" s="15" t="e">
        <f ca="1">(X138 * $I$155 * $E$166 * $X$172 * $I$158)</f>
        <v>#N/A</v>
      </c>
      <c r="Z196" s="15" t="e">
        <f ca="1">(Y138 * $I$155 * $E$166 * $X$172 * $I$158)</f>
        <v>#N/A</v>
      </c>
      <c r="AA196" s="15" t="e">
        <f ca="1">(Z138 * $I$155 * $E$166 * $X$172 * $I$158)</f>
        <v>#N/A</v>
      </c>
      <c r="AB196" s="15" t="e">
        <f ca="1">(AA138 * $I$155 * $E$166 * $X$172 * $I$158)</f>
        <v>#N/A</v>
      </c>
      <c r="AC196" s="15" t="e">
        <f ca="1">(AB138 * $I$155 * $E$166 * $X$172 * $I$158)</f>
        <v>#N/A</v>
      </c>
      <c r="AD196" s="15" t="e">
        <f ca="1">(AC138 * $I$155 * $E$166 * $X$172 * $I$158)</f>
        <v>#N/A</v>
      </c>
      <c r="AE196" s="15" t="e">
        <f ca="1">(AD138 * $I$155 * $E$166 * $X$172 * $I$158)</f>
        <v>#N/A</v>
      </c>
      <c r="AF196" s="15" t="e">
        <f ca="1">(AE138 * $I$155 * $E$166 * $X$172 * $I$158)</f>
        <v>#N/A</v>
      </c>
      <c r="AG196" s="15" t="e">
        <f ca="1">(AF138 * $I$155 * $E$166 * $X$172 * $I$158)</f>
        <v>#N/A</v>
      </c>
      <c r="AH196" s="15" t="e">
        <f ca="1">(AG138 * $I$155 * $E$166 * $X$172 * $I$158)</f>
        <v>#N/A</v>
      </c>
      <c r="AI196" s="16" t="str">
        <f t="shared" si="8"/>
        <v>kg CH4/head/day</v>
      </c>
      <c r="AJ196" s="16"/>
    </row>
    <row r="197" spans="3:37" ht="20.100000000000001" customHeight="1" x14ac:dyDescent="0.2">
      <c r="W197" s="15" t="str">
        <f>'Input - Pasture Beef'!$D$153</f>
        <v>Anaerobic lagoon</v>
      </c>
      <c r="X197" s="15" t="str">
        <f t="shared" si="9"/>
        <v>August</v>
      </c>
      <c r="Y197" s="15" t="e">
        <f ca="1">(X139 * $I$155 * $E$166 * $X$172 * $I$158)</f>
        <v>#N/A</v>
      </c>
      <c r="Z197" s="15" t="e">
        <f ca="1">(Y139 * $I$155 * $E$166 * $X$172 * $I$158)</f>
        <v>#N/A</v>
      </c>
      <c r="AA197" s="15" t="e">
        <f ca="1">(Z139 * $I$155 * $E$166 * $X$172 * $I$158)</f>
        <v>#N/A</v>
      </c>
      <c r="AB197" s="15" t="e">
        <f ca="1">(AA139 * $I$155 * $E$166 * $X$172 * $I$158)</f>
        <v>#N/A</v>
      </c>
      <c r="AC197" s="15" t="e">
        <f ca="1">(AB139 * $I$155 * $E$166 * $X$172 * $I$158)</f>
        <v>#N/A</v>
      </c>
      <c r="AD197" s="15" t="e">
        <f ca="1">(AC139 * $I$155 * $E$166 * $X$172 * $I$158)</f>
        <v>#N/A</v>
      </c>
      <c r="AE197" s="15" t="e">
        <f ca="1">(AD139 * $I$155 * $E$166 * $X$172 * $I$158)</f>
        <v>#N/A</v>
      </c>
      <c r="AF197" s="15" t="e">
        <f ca="1">(AE139 * $I$155 * $E$166 * $X$172 * $I$158)</f>
        <v>#N/A</v>
      </c>
      <c r="AG197" s="15" t="e">
        <f ca="1">(AF139 * $I$155 * $E$166 * $X$172 * $I$158)</f>
        <v>#N/A</v>
      </c>
      <c r="AH197" s="15" t="e">
        <f ca="1">(AG139 * $I$155 * $E$166 * $X$172 * $I$158)</f>
        <v>#N/A</v>
      </c>
      <c r="AI197" s="16" t="str">
        <f t="shared" si="8"/>
        <v>kg CH4/head/day</v>
      </c>
      <c r="AJ197" s="16"/>
    </row>
    <row r="198" spans="3:37" ht="20.100000000000001" customHeight="1" x14ac:dyDescent="0.2">
      <c r="W198" s="15" t="str">
        <f>'Input - Pasture Beef'!$D$153</f>
        <v>Anaerobic lagoon</v>
      </c>
      <c r="X198" s="15" t="str">
        <f t="shared" si="9"/>
        <v>September</v>
      </c>
      <c r="Y198" s="15" t="e">
        <f ca="1">(X140 * $I$155 * $E$166 * $X$172 * $I$158)</f>
        <v>#N/A</v>
      </c>
      <c r="Z198" s="15" t="e">
        <f ca="1">(Y140 * $I$155 * $E$166 * $X$172 * $I$158)</f>
        <v>#N/A</v>
      </c>
      <c r="AA198" s="15" t="e">
        <f ca="1">(Z140 * $I$155 * $E$166 * $X$172 * $I$158)</f>
        <v>#N/A</v>
      </c>
      <c r="AB198" s="15" t="e">
        <f ca="1">(AA140 * $I$155 * $E$166 * $X$172 * $I$158)</f>
        <v>#N/A</v>
      </c>
      <c r="AC198" s="15" t="e">
        <f ca="1">(AB140 * $I$155 * $E$166 * $X$172 * $I$158)</f>
        <v>#N/A</v>
      </c>
      <c r="AD198" s="15" t="e">
        <f ca="1">(AC140 * $I$155 * $E$166 * $X$172 * $I$158)</f>
        <v>#N/A</v>
      </c>
      <c r="AE198" s="15" t="e">
        <f ca="1">(AD140 * $I$155 * $E$166 * $X$172 * $I$158)</f>
        <v>#N/A</v>
      </c>
      <c r="AF198" s="15" t="e">
        <f ca="1">(AE140 * $I$155 * $E$166 * $X$172 * $I$158)</f>
        <v>#N/A</v>
      </c>
      <c r="AG198" s="15" t="e">
        <f ca="1">(AF140 * $I$155 * $E$166 * $X$172 * $I$158)</f>
        <v>#N/A</v>
      </c>
      <c r="AH198" s="15" t="e">
        <f ca="1">(AG140 * $I$155 * $E$166 * $X$172 * $I$158)</f>
        <v>#N/A</v>
      </c>
      <c r="AI198" s="16" t="str">
        <f t="shared" si="8"/>
        <v>kg CH4/head/day</v>
      </c>
      <c r="AJ198" s="16"/>
    </row>
    <row r="199" spans="3:37" ht="20.100000000000001" customHeight="1" x14ac:dyDescent="0.2">
      <c r="W199" s="15" t="str">
        <f>'Input - Pasture Beef'!$D$153</f>
        <v>Anaerobic lagoon</v>
      </c>
      <c r="X199" s="15" t="str">
        <f t="shared" si="9"/>
        <v>October</v>
      </c>
      <c r="Y199" s="15" t="e">
        <f ca="1">(X141 * $I$155 * $E$166 * $X$172 * $I$158)</f>
        <v>#N/A</v>
      </c>
      <c r="Z199" s="15" t="e">
        <f ca="1">(Y141 * $I$155 * $E$166 * $X$172 * $I$158)</f>
        <v>#N/A</v>
      </c>
      <c r="AA199" s="15" t="e">
        <f ca="1">(Z141 * $I$155 * $E$166 * $X$172 * $I$158)</f>
        <v>#N/A</v>
      </c>
      <c r="AB199" s="15" t="e">
        <f ca="1">(AA141 * $I$155 * $E$166 * $X$172 * $I$158)</f>
        <v>#N/A</v>
      </c>
      <c r="AC199" s="15" t="e">
        <f ca="1">(AB141 * $I$155 * $E$166 * $X$172 * $I$158)</f>
        <v>#N/A</v>
      </c>
      <c r="AD199" s="15" t="e">
        <f ca="1">(AC141 * $I$155 * $E$166 * $X$172 * $I$158)</f>
        <v>#N/A</v>
      </c>
      <c r="AE199" s="15" t="e">
        <f ca="1">(AD141 * $I$155 * $E$166 * $X$172 * $I$158)</f>
        <v>#N/A</v>
      </c>
      <c r="AF199" s="15" t="e">
        <f ca="1">(AE141 * $I$155 * $E$166 * $X$172 * $I$158)</f>
        <v>#N/A</v>
      </c>
      <c r="AG199" s="15" t="e">
        <f ca="1">(AF141 * $I$155 * $E$166 * $X$172 * $I$158)</f>
        <v>#N/A</v>
      </c>
      <c r="AH199" s="15" t="e">
        <f ca="1">(AG141 * $I$155 * $E$166 * $X$172 * $I$158)</f>
        <v>#N/A</v>
      </c>
      <c r="AI199" s="16" t="str">
        <f t="shared" si="8"/>
        <v>kg CH4/head/day</v>
      </c>
      <c r="AJ199" s="16"/>
    </row>
    <row r="200" spans="3:37" ht="20.100000000000001" customHeight="1" x14ac:dyDescent="0.2">
      <c r="W200" s="15" t="str">
        <f>'Input - Pasture Beef'!$D$153</f>
        <v>Anaerobic lagoon</v>
      </c>
      <c r="X200" s="15" t="str">
        <f t="shared" si="9"/>
        <v>November</v>
      </c>
      <c r="Y200" s="15" t="e">
        <f ca="1">(X142 * $I$155 * $E$166 * $X$172 * $I$158)</f>
        <v>#N/A</v>
      </c>
      <c r="Z200" s="15" t="e">
        <f ca="1">(Y142 * $I$155 * $E$166 * $X$172 * $I$158)</f>
        <v>#N/A</v>
      </c>
      <c r="AA200" s="15" t="e">
        <f ca="1">(Z142 * $I$155 * $E$166 * $X$172 * $I$158)</f>
        <v>#N/A</v>
      </c>
      <c r="AB200" s="15" t="e">
        <f ca="1">(AA142 * $I$155 * $E$166 * $X$172 * $I$158)</f>
        <v>#N/A</v>
      </c>
      <c r="AC200" s="15" t="e">
        <f ca="1">(AB142 * $I$155 * $E$166 * $X$172 * $I$158)</f>
        <v>#N/A</v>
      </c>
      <c r="AD200" s="15" t="e">
        <f ca="1">(AC142 * $I$155 * $E$166 * $X$172 * $I$158)</f>
        <v>#N/A</v>
      </c>
      <c r="AE200" s="15" t="e">
        <f ca="1">(AD142 * $I$155 * $E$166 * $X$172 * $I$158)</f>
        <v>#N/A</v>
      </c>
      <c r="AF200" s="15" t="e">
        <f ca="1">(AE142 * $I$155 * $E$166 * $X$172 * $I$158)</f>
        <v>#N/A</v>
      </c>
      <c r="AG200" s="15" t="e">
        <f ca="1">(AF142 * $I$155 * $E$166 * $X$172 * $I$158)</f>
        <v>#N/A</v>
      </c>
      <c r="AH200" s="15" t="e">
        <f ca="1">(AG142 * $I$155 * $E$166 * $X$172 * $I$158)</f>
        <v>#N/A</v>
      </c>
      <c r="AI200" s="16" t="str">
        <f t="shared" si="8"/>
        <v>kg CH4/head/day</v>
      </c>
      <c r="AJ200" s="16"/>
    </row>
    <row r="203" spans="3:37" ht="20.100000000000001" customHeight="1" x14ac:dyDescent="0.2">
      <c r="C203" s="87"/>
      <c r="D203" s="87"/>
      <c r="E203" s="87"/>
      <c r="F203" s="87"/>
      <c r="G203" s="87"/>
      <c r="H203" s="87"/>
      <c r="I203" s="87"/>
      <c r="J203" s="87"/>
      <c r="K203" s="87"/>
      <c r="L203" s="87"/>
      <c r="M203" s="87"/>
      <c r="N203" s="87"/>
      <c r="O203" s="87"/>
      <c r="P203" s="87"/>
      <c r="Q203" s="87"/>
      <c r="R203" s="87"/>
      <c r="S203" s="87"/>
      <c r="T203" s="87"/>
      <c r="V203" s="87"/>
      <c r="W203" s="87"/>
      <c r="X203" s="87"/>
      <c r="Y203" s="87"/>
      <c r="Z203" s="87"/>
      <c r="AA203" s="87"/>
      <c r="AB203" s="87"/>
      <c r="AC203" s="87"/>
      <c r="AD203" s="87"/>
      <c r="AE203" s="87"/>
      <c r="AF203" s="87"/>
      <c r="AG203" s="87"/>
      <c r="AH203" s="87"/>
      <c r="AI203" s="87"/>
      <c r="AJ203" s="87"/>
      <c r="AK203" s="87"/>
    </row>
    <row r="204" spans="3:37" ht="20.100000000000001" customHeight="1" x14ac:dyDescent="0.2">
      <c r="D204" s="2" t="s">
        <v>1276</v>
      </c>
    </row>
    <row r="205" spans="3:37" ht="20.100000000000001" customHeight="1" x14ac:dyDescent="0.2">
      <c r="D205" s="17" t="s">
        <v>1277</v>
      </c>
    </row>
    <row r="206" spans="3:37" ht="20.100000000000001" customHeight="1" x14ac:dyDescent="0.2">
      <c r="D206" s="103"/>
      <c r="E206" s="103"/>
    </row>
    <row r="209" spans="4:34" ht="20.100000000000001" customHeight="1" x14ac:dyDescent="0.2">
      <c r="D209" s="77" t="s">
        <v>373</v>
      </c>
      <c r="E209" s="1" t="s">
        <v>1278</v>
      </c>
    </row>
    <row r="210" spans="4:34" ht="20.100000000000001" customHeight="1" x14ac:dyDescent="0.2">
      <c r="D210" s="77" t="s">
        <v>121</v>
      </c>
      <c r="E210" s="9" t="s">
        <v>5</v>
      </c>
    </row>
    <row r="212" spans="4:34" ht="20.100000000000001" customHeight="1" x14ac:dyDescent="0.2">
      <c r="D212" s="105" t="s">
        <v>1244</v>
      </c>
      <c r="E212" s="106" t="s">
        <v>1245</v>
      </c>
      <c r="F212" s="108"/>
      <c r="G212" s="105" t="s">
        <v>425</v>
      </c>
      <c r="H212" s="109" t="s">
        <v>1219</v>
      </c>
      <c r="I212" s="111" t="str" cm="1">
        <f t="array" aca="1" ref="I212" ca="1">HYPERLINK(Common_InputFunctions.Utility_SourceHyperlink($D$216), $D$216)</f>
        <v>M1_Table_N_j_k_l</v>
      </c>
    </row>
    <row r="213" spans="4:34" ht="20.100000000000001" customHeight="1" x14ac:dyDescent="0.2">
      <c r="D213" s="105" t="s">
        <v>1257</v>
      </c>
      <c r="E213" s="106" t="s">
        <v>1279</v>
      </c>
      <c r="F213" s="108"/>
      <c r="G213" s="105" t="s">
        <v>344</v>
      </c>
      <c r="H213" s="110" t="s">
        <v>1281</v>
      </c>
      <c r="I213" s="111" t="str" cm="1">
        <f t="array" aca="1" ref="I213" ca="1">HYPERLINK(Common_InputFunctions.Utility_SourceHyperlink($D$174), $D$174)</f>
        <v>M1_Table_M_j_k_l_m</v>
      </c>
    </row>
    <row r="214" spans="4:34" ht="20.100000000000001" customHeight="1" x14ac:dyDescent="0.2">
      <c r="D214" s="105" t="s">
        <v>1241</v>
      </c>
      <c r="E214" s="106" t="s">
        <v>1280</v>
      </c>
      <c r="F214" s="108"/>
      <c r="G214" s="105" t="s">
        <v>428</v>
      </c>
      <c r="H214" s="109" t="s">
        <v>1219</v>
      </c>
      <c r="I214" s="111" t="str" cm="1">
        <f t="array" aca="1" ref="I214" ca="1">HYPERLINK(Common_InputFunctions.Utility_SourceHyperlink($D$224), $D$224)</f>
        <v>M1_Table_D_j</v>
      </c>
    </row>
    <row r="216" spans="4:34" ht="20.100000000000001" customHeight="1" x14ac:dyDescent="0.2">
      <c r="D216" s="112" t="s">
        <v>421</v>
      </c>
      <c r="W216" s="112" t="s">
        <v>422</v>
      </c>
    </row>
    <row r="217" spans="4:34" ht="20.100000000000001" customHeight="1" x14ac:dyDescent="0.2">
      <c r="D217" s="113" t="s">
        <v>423</v>
      </c>
      <c r="W217" s="113" t="s">
        <v>424</v>
      </c>
    </row>
    <row r="218" spans="4:34" ht="20.100000000000001" customHeight="1" x14ac:dyDescent="0.2">
      <c r="D218" s="114" t="s">
        <v>76</v>
      </c>
      <c r="E218" s="82" t="s">
        <v>326</v>
      </c>
      <c r="F218" s="82" t="s">
        <v>184</v>
      </c>
      <c r="G218" s="82" t="s">
        <v>327</v>
      </c>
      <c r="H218" s="82" t="s">
        <v>328</v>
      </c>
      <c r="I218" s="82" t="s">
        <v>329</v>
      </c>
      <c r="J218" s="82" t="s">
        <v>330</v>
      </c>
      <c r="K218" s="82" t="s">
        <v>331</v>
      </c>
      <c r="L218" s="82" t="s">
        <v>332</v>
      </c>
      <c r="M218" s="82" t="s">
        <v>333</v>
      </c>
      <c r="N218" s="82" t="s">
        <v>334</v>
      </c>
      <c r="W218" s="114" t="s">
        <v>75</v>
      </c>
      <c r="X218" s="82" t="s">
        <v>326</v>
      </c>
      <c r="Y218" s="82" t="s">
        <v>184</v>
      </c>
      <c r="Z218" s="82" t="s">
        <v>327</v>
      </c>
      <c r="AA218" s="82" t="s">
        <v>328</v>
      </c>
      <c r="AB218" s="82" t="s">
        <v>329</v>
      </c>
      <c r="AC218" s="82" t="s">
        <v>330</v>
      </c>
      <c r="AD218" s="82" t="s">
        <v>331</v>
      </c>
      <c r="AE218" s="82" t="s">
        <v>332</v>
      </c>
      <c r="AF218" s="82" t="s">
        <v>333</v>
      </c>
      <c r="AG218" s="82" t="s">
        <v>334</v>
      </c>
      <c r="AH218" s="16"/>
    </row>
    <row r="219" spans="4:34" ht="20.100000000000001" customHeight="1" x14ac:dyDescent="0.2">
      <c r="D219" s="15" t="s">
        <v>335</v>
      </c>
      <c r="E219" s="15" cm="1">
        <f t="array" aca="1" ref="E219:N222" ca="1">OFFSET(X_Table_PastureBeef_Head_Method1, 1,1, 4,10)</f>
        <v>0</v>
      </c>
      <c r="F219" s="15">
        <f ca="1"/>
        <v>0</v>
      </c>
      <c r="G219" s="15">
        <f ca="1"/>
        <v>0</v>
      </c>
      <c r="H219" s="15">
        <f ca="1"/>
        <v>0</v>
      </c>
      <c r="I219" s="15">
        <f ca="1"/>
        <v>0</v>
      </c>
      <c r="J219" s="15">
        <f ca="1"/>
        <v>0</v>
      </c>
      <c r="K219" s="15">
        <f ca="1"/>
        <v>0</v>
      </c>
      <c r="L219" s="15">
        <f ca="1"/>
        <v>0</v>
      </c>
      <c r="M219" s="15">
        <f ca="1"/>
        <v>0</v>
      </c>
      <c r="N219" s="15">
        <f ca="1"/>
        <v>0</v>
      </c>
      <c r="O219" s="16" t="s">
        <v>425</v>
      </c>
      <c r="W219" s="15" t="str">
        <f>TEXT(X_Cell_Site_StartDate,"mmmm")</f>
        <v>January</v>
      </c>
      <c r="X219" s="15" cm="1">
        <f t="array" aca="1" ref="X219:AG230" ca="1">OFFSET(X_Table_PastureBeef_Head_Method2, 1,1, 12,10)</f>
        <v>0</v>
      </c>
      <c r="Y219" s="15">
        <f ca="1"/>
        <v>0</v>
      </c>
      <c r="Z219" s="15">
        <f ca="1"/>
        <v>0</v>
      </c>
      <c r="AA219" s="15">
        <f ca="1"/>
        <v>0</v>
      </c>
      <c r="AB219" s="15">
        <f ca="1"/>
        <v>0</v>
      </c>
      <c r="AC219" s="15">
        <f ca="1"/>
        <v>0</v>
      </c>
      <c r="AD219" s="15">
        <f ca="1"/>
        <v>0</v>
      </c>
      <c r="AE219" s="15">
        <f ca="1"/>
        <v>0</v>
      </c>
      <c r="AF219" s="15">
        <f ca="1"/>
        <v>0</v>
      </c>
      <c r="AG219" s="15">
        <f ca="1"/>
        <v>0</v>
      </c>
      <c r="AH219" s="16" t="s">
        <v>340</v>
      </c>
    </row>
    <row r="220" spans="4:34" ht="20.100000000000001" customHeight="1" x14ac:dyDescent="0.2">
      <c r="D220" s="15" t="s">
        <v>336</v>
      </c>
      <c r="E220" s="15">
        <f ca="1"/>
        <v>0</v>
      </c>
      <c r="F220" s="15">
        <f ca="1"/>
        <v>0</v>
      </c>
      <c r="G220" s="15">
        <f ca="1"/>
        <v>0</v>
      </c>
      <c r="H220" s="15">
        <f ca="1"/>
        <v>0</v>
      </c>
      <c r="I220" s="15">
        <f ca="1"/>
        <v>0</v>
      </c>
      <c r="J220" s="15">
        <f ca="1"/>
        <v>0</v>
      </c>
      <c r="K220" s="15">
        <f ca="1"/>
        <v>0</v>
      </c>
      <c r="L220" s="15">
        <f ca="1"/>
        <v>0</v>
      </c>
      <c r="M220" s="15">
        <f ca="1"/>
        <v>0</v>
      </c>
      <c r="N220" s="15">
        <f ca="1"/>
        <v>0</v>
      </c>
      <c r="O220" s="16" t="s">
        <v>425</v>
      </c>
      <c r="W220" s="15" t="str">
        <f>TEXT(EDATE(X_Cell_Site_StartDate,1), "mmmm")</f>
        <v>January</v>
      </c>
      <c r="X220" s="15">
        <f ca="1"/>
        <v>0</v>
      </c>
      <c r="Y220" s="15">
        <f ca="1"/>
        <v>0</v>
      </c>
      <c r="Z220" s="15">
        <f ca="1"/>
        <v>0</v>
      </c>
      <c r="AA220" s="15">
        <f ca="1"/>
        <v>0</v>
      </c>
      <c r="AB220" s="15">
        <f ca="1"/>
        <v>0</v>
      </c>
      <c r="AC220" s="15">
        <f ca="1"/>
        <v>0</v>
      </c>
      <c r="AD220" s="15">
        <f ca="1"/>
        <v>0</v>
      </c>
      <c r="AE220" s="15">
        <f ca="1"/>
        <v>0</v>
      </c>
      <c r="AF220" s="15">
        <f ca="1"/>
        <v>0</v>
      </c>
      <c r="AG220" s="15">
        <f ca="1"/>
        <v>0</v>
      </c>
      <c r="AH220" s="16" t="s">
        <v>340</v>
      </c>
    </row>
    <row r="221" spans="4:34" ht="20.100000000000001" customHeight="1" x14ac:dyDescent="0.2">
      <c r="D221" s="15" t="s">
        <v>337</v>
      </c>
      <c r="E221" s="15">
        <f ca="1"/>
        <v>0</v>
      </c>
      <c r="F221" s="15">
        <f ca="1"/>
        <v>0</v>
      </c>
      <c r="G221" s="15">
        <f ca="1"/>
        <v>0</v>
      </c>
      <c r="H221" s="15">
        <f ca="1"/>
        <v>0</v>
      </c>
      <c r="I221" s="15">
        <f ca="1"/>
        <v>0</v>
      </c>
      <c r="J221" s="15">
        <f ca="1"/>
        <v>0</v>
      </c>
      <c r="K221" s="15">
        <f ca="1"/>
        <v>0</v>
      </c>
      <c r="L221" s="15">
        <f ca="1"/>
        <v>0</v>
      </c>
      <c r="M221" s="15">
        <f ca="1"/>
        <v>0</v>
      </c>
      <c r="N221" s="15">
        <f ca="1"/>
        <v>0</v>
      </c>
      <c r="O221" s="16" t="s">
        <v>425</v>
      </c>
      <c r="W221" s="15" t="str">
        <f>TEXT(EDATE(X_Cell_Site_StartDate,2), "mmmm")</f>
        <v>February</v>
      </c>
      <c r="X221" s="15">
        <f ca="1"/>
        <v>0</v>
      </c>
      <c r="Y221" s="15">
        <f ca="1"/>
        <v>0</v>
      </c>
      <c r="Z221" s="15">
        <f ca="1"/>
        <v>0</v>
      </c>
      <c r="AA221" s="15">
        <f ca="1"/>
        <v>0</v>
      </c>
      <c r="AB221" s="15">
        <f ca="1"/>
        <v>0</v>
      </c>
      <c r="AC221" s="15">
        <f ca="1"/>
        <v>0</v>
      </c>
      <c r="AD221" s="15">
        <f ca="1"/>
        <v>0</v>
      </c>
      <c r="AE221" s="15">
        <f ca="1"/>
        <v>0</v>
      </c>
      <c r="AF221" s="15">
        <f ca="1"/>
        <v>0</v>
      </c>
      <c r="AG221" s="15">
        <f ca="1"/>
        <v>0</v>
      </c>
      <c r="AH221" s="16" t="s">
        <v>340</v>
      </c>
    </row>
    <row r="222" spans="4:34" ht="20.100000000000001" customHeight="1" x14ac:dyDescent="0.2">
      <c r="D222" s="15" t="s">
        <v>338</v>
      </c>
      <c r="E222" s="15">
        <f ca="1"/>
        <v>0</v>
      </c>
      <c r="F222" s="15">
        <f ca="1"/>
        <v>0</v>
      </c>
      <c r="G222" s="15">
        <f ca="1"/>
        <v>0</v>
      </c>
      <c r="H222" s="15">
        <f ca="1"/>
        <v>0</v>
      </c>
      <c r="I222" s="15">
        <f ca="1"/>
        <v>0</v>
      </c>
      <c r="J222" s="15">
        <f ca="1"/>
        <v>0</v>
      </c>
      <c r="K222" s="15">
        <f ca="1"/>
        <v>0</v>
      </c>
      <c r="L222" s="15">
        <f ca="1"/>
        <v>0</v>
      </c>
      <c r="M222" s="15">
        <f ca="1"/>
        <v>0</v>
      </c>
      <c r="N222" s="15">
        <f ca="1"/>
        <v>0</v>
      </c>
      <c r="O222" s="16" t="s">
        <v>425</v>
      </c>
      <c r="W222" s="15" t="str">
        <f>TEXT(EDATE(X_Cell_Site_StartDate,3), "mmmm")</f>
        <v>March</v>
      </c>
      <c r="X222" s="15">
        <f ca="1"/>
        <v>0</v>
      </c>
      <c r="Y222" s="15">
        <f ca="1"/>
        <v>0</v>
      </c>
      <c r="Z222" s="15">
        <f ca="1"/>
        <v>0</v>
      </c>
      <c r="AA222" s="15">
        <f ca="1"/>
        <v>0</v>
      </c>
      <c r="AB222" s="15">
        <f ca="1"/>
        <v>0</v>
      </c>
      <c r="AC222" s="15">
        <f ca="1"/>
        <v>0</v>
      </c>
      <c r="AD222" s="15">
        <f ca="1"/>
        <v>0</v>
      </c>
      <c r="AE222" s="15">
        <f ca="1"/>
        <v>0</v>
      </c>
      <c r="AF222" s="15">
        <f ca="1"/>
        <v>0</v>
      </c>
      <c r="AG222" s="15">
        <f ca="1"/>
        <v>0</v>
      </c>
      <c r="AH222" s="16" t="s">
        <v>340</v>
      </c>
    </row>
    <row r="223" spans="4:34" ht="20.100000000000001" customHeight="1" x14ac:dyDescent="0.2">
      <c r="W223" s="15" t="str">
        <f>TEXT(EDATE(X_Cell_Site_StartDate,4), "mmmm")</f>
        <v>April</v>
      </c>
      <c r="X223" s="15">
        <f ca="1"/>
        <v>0</v>
      </c>
      <c r="Y223" s="15">
        <f ca="1"/>
        <v>0</v>
      </c>
      <c r="Z223" s="15">
        <f ca="1"/>
        <v>0</v>
      </c>
      <c r="AA223" s="15">
        <f ca="1"/>
        <v>0</v>
      </c>
      <c r="AB223" s="15">
        <f ca="1"/>
        <v>0</v>
      </c>
      <c r="AC223" s="15">
        <f ca="1"/>
        <v>0</v>
      </c>
      <c r="AD223" s="15">
        <f ca="1"/>
        <v>0</v>
      </c>
      <c r="AE223" s="15">
        <f ca="1"/>
        <v>0</v>
      </c>
      <c r="AF223" s="15">
        <f ca="1"/>
        <v>0</v>
      </c>
      <c r="AG223" s="15">
        <f ca="1"/>
        <v>0</v>
      </c>
      <c r="AH223" s="16" t="s">
        <v>340</v>
      </c>
    </row>
    <row r="224" spans="4:34" ht="20.100000000000001" customHeight="1" x14ac:dyDescent="0.2">
      <c r="D224" s="112" t="s">
        <v>426</v>
      </c>
      <c r="W224" s="15" t="str">
        <f>TEXT(EDATE(X_Cell_Site_StartDate,5), "mmmm")</f>
        <v>May</v>
      </c>
      <c r="X224" s="15">
        <f ca="1"/>
        <v>0</v>
      </c>
      <c r="Y224" s="15">
        <f ca="1"/>
        <v>0</v>
      </c>
      <c r="Z224" s="15">
        <f ca="1"/>
        <v>0</v>
      </c>
      <c r="AA224" s="15">
        <f ca="1"/>
        <v>0</v>
      </c>
      <c r="AB224" s="15">
        <f ca="1"/>
        <v>0</v>
      </c>
      <c r="AC224" s="15">
        <f ca="1"/>
        <v>0</v>
      </c>
      <c r="AD224" s="15">
        <f ca="1"/>
        <v>0</v>
      </c>
      <c r="AE224" s="15">
        <f ca="1"/>
        <v>0</v>
      </c>
      <c r="AF224" s="15">
        <f ca="1"/>
        <v>0</v>
      </c>
      <c r="AG224" s="15">
        <f ca="1"/>
        <v>0</v>
      </c>
      <c r="AH224" s="16" t="s">
        <v>340</v>
      </c>
    </row>
    <row r="225" spans="4:34" ht="20.100000000000001" customHeight="1" x14ac:dyDescent="0.2">
      <c r="D225" s="113" t="s">
        <v>427</v>
      </c>
      <c r="W225" s="15" t="str">
        <f>TEXT(EDATE(X_Cell_Site_StartDate,6), "mmmm")</f>
        <v>June</v>
      </c>
      <c r="X225" s="15">
        <f ca="1"/>
        <v>0</v>
      </c>
      <c r="Y225" s="15">
        <f ca="1"/>
        <v>0</v>
      </c>
      <c r="Z225" s="15">
        <f ca="1"/>
        <v>0</v>
      </c>
      <c r="AA225" s="15">
        <f ca="1"/>
        <v>0</v>
      </c>
      <c r="AB225" s="15">
        <f ca="1"/>
        <v>0</v>
      </c>
      <c r="AC225" s="15">
        <f ca="1"/>
        <v>0</v>
      </c>
      <c r="AD225" s="15">
        <f ca="1"/>
        <v>0</v>
      </c>
      <c r="AE225" s="15">
        <f ca="1"/>
        <v>0</v>
      </c>
      <c r="AF225" s="15">
        <f ca="1"/>
        <v>0</v>
      </c>
      <c r="AG225" s="15">
        <f ca="1"/>
        <v>0</v>
      </c>
      <c r="AH225" s="16" t="s">
        <v>340</v>
      </c>
    </row>
    <row r="226" spans="4:34" ht="20.100000000000001" customHeight="1" x14ac:dyDescent="0.2">
      <c r="D226" s="114" t="s">
        <v>76</v>
      </c>
      <c r="E226" s="82" t="s">
        <v>326</v>
      </c>
      <c r="F226" s="82" t="s">
        <v>184</v>
      </c>
      <c r="G226" s="82" t="s">
        <v>327</v>
      </c>
      <c r="H226" s="82" t="s">
        <v>328</v>
      </c>
      <c r="I226" s="82" t="s">
        <v>329</v>
      </c>
      <c r="J226" s="82" t="s">
        <v>330</v>
      </c>
      <c r="K226" s="82" t="s">
        <v>331</v>
      </c>
      <c r="L226" s="82" t="s">
        <v>332</v>
      </c>
      <c r="M226" s="82" t="s">
        <v>333</v>
      </c>
      <c r="N226" s="82" t="s">
        <v>334</v>
      </c>
      <c r="W226" s="15" t="str">
        <f>TEXT(EDATE(X_Cell_Site_StartDate,7), "mmmm")</f>
        <v>July</v>
      </c>
      <c r="X226" s="15">
        <f ca="1"/>
        <v>0</v>
      </c>
      <c r="Y226" s="15">
        <f ca="1"/>
        <v>0</v>
      </c>
      <c r="Z226" s="15">
        <f ca="1"/>
        <v>0</v>
      </c>
      <c r="AA226" s="15">
        <f ca="1"/>
        <v>0</v>
      </c>
      <c r="AB226" s="15">
        <f ca="1"/>
        <v>0</v>
      </c>
      <c r="AC226" s="15">
        <f ca="1"/>
        <v>0</v>
      </c>
      <c r="AD226" s="15">
        <f ca="1"/>
        <v>0</v>
      </c>
      <c r="AE226" s="15">
        <f ca="1"/>
        <v>0</v>
      </c>
      <c r="AF226" s="15">
        <f ca="1"/>
        <v>0</v>
      </c>
      <c r="AG226" s="15">
        <f ca="1"/>
        <v>0</v>
      </c>
      <c r="AH226" s="16" t="s">
        <v>340</v>
      </c>
    </row>
    <row r="227" spans="4:34" ht="20.100000000000001" customHeight="1" x14ac:dyDescent="0.2">
      <c r="D227" s="15" t="s">
        <v>335</v>
      </c>
      <c r="E227" s="15" cm="1">
        <f t="array" aca="1" ref="E227:N230" ca="1">OFFSET(X_Table_PastureBeef_Duration_Method1, 1,1, 4,10)</f>
        <v>91.25</v>
      </c>
      <c r="F227" s="15">
        <f ca="1"/>
        <v>91.25</v>
      </c>
      <c r="G227" s="15">
        <f ca="1"/>
        <v>91.25</v>
      </c>
      <c r="H227" s="15">
        <f ca="1"/>
        <v>91.25</v>
      </c>
      <c r="I227" s="15">
        <f ca="1"/>
        <v>91.25</v>
      </c>
      <c r="J227" s="15">
        <f ca="1"/>
        <v>91.25</v>
      </c>
      <c r="K227" s="15">
        <f ca="1"/>
        <v>91.25</v>
      </c>
      <c r="L227" s="15">
        <f ca="1"/>
        <v>91.25</v>
      </c>
      <c r="M227" s="15">
        <f ca="1"/>
        <v>91.25</v>
      </c>
      <c r="N227" s="15">
        <f ca="1"/>
        <v>91.25</v>
      </c>
      <c r="O227" s="16" t="s">
        <v>428</v>
      </c>
      <c r="W227" s="15" t="str">
        <f>TEXT(EDATE(X_Cell_Site_StartDate,8), "mmmm")</f>
        <v>August</v>
      </c>
      <c r="X227" s="15">
        <f ca="1"/>
        <v>0</v>
      </c>
      <c r="Y227" s="15">
        <f ca="1"/>
        <v>0</v>
      </c>
      <c r="Z227" s="15">
        <f ca="1"/>
        <v>0</v>
      </c>
      <c r="AA227" s="15">
        <f ca="1"/>
        <v>0</v>
      </c>
      <c r="AB227" s="15">
        <f ca="1"/>
        <v>0</v>
      </c>
      <c r="AC227" s="15">
        <f ca="1"/>
        <v>0</v>
      </c>
      <c r="AD227" s="15">
        <f ca="1"/>
        <v>0</v>
      </c>
      <c r="AE227" s="15">
        <f ca="1"/>
        <v>0</v>
      </c>
      <c r="AF227" s="15">
        <f ca="1"/>
        <v>0</v>
      </c>
      <c r="AG227" s="15">
        <f ca="1"/>
        <v>0</v>
      </c>
      <c r="AH227" s="16" t="s">
        <v>340</v>
      </c>
    </row>
    <row r="228" spans="4:34" ht="20.100000000000001" customHeight="1" x14ac:dyDescent="0.2">
      <c r="D228" s="15" t="s">
        <v>336</v>
      </c>
      <c r="E228" s="15">
        <f ca="1"/>
        <v>91.25</v>
      </c>
      <c r="F228" s="15">
        <f ca="1"/>
        <v>91.25</v>
      </c>
      <c r="G228" s="15">
        <f ca="1"/>
        <v>91.25</v>
      </c>
      <c r="H228" s="15">
        <f ca="1"/>
        <v>91.25</v>
      </c>
      <c r="I228" s="15">
        <f ca="1"/>
        <v>91.25</v>
      </c>
      <c r="J228" s="15">
        <f ca="1"/>
        <v>91.25</v>
      </c>
      <c r="K228" s="15">
        <f ca="1"/>
        <v>91.25</v>
      </c>
      <c r="L228" s="15">
        <f ca="1"/>
        <v>91.25</v>
      </c>
      <c r="M228" s="15">
        <f ca="1"/>
        <v>91.25</v>
      </c>
      <c r="N228" s="15">
        <f ca="1"/>
        <v>91.25</v>
      </c>
      <c r="O228" s="16" t="s">
        <v>428</v>
      </c>
      <c r="W228" s="15" t="str">
        <f>TEXT(EDATE(X_Cell_Site_StartDate,9), "mmmm")</f>
        <v>September</v>
      </c>
      <c r="X228" s="15">
        <f ca="1"/>
        <v>0</v>
      </c>
      <c r="Y228" s="15">
        <f ca="1"/>
        <v>0</v>
      </c>
      <c r="Z228" s="15">
        <f ca="1"/>
        <v>0</v>
      </c>
      <c r="AA228" s="15">
        <f ca="1"/>
        <v>0</v>
      </c>
      <c r="AB228" s="15">
        <f ca="1"/>
        <v>0</v>
      </c>
      <c r="AC228" s="15">
        <f ca="1"/>
        <v>0</v>
      </c>
      <c r="AD228" s="15">
        <f ca="1"/>
        <v>0</v>
      </c>
      <c r="AE228" s="15">
        <f ca="1"/>
        <v>0</v>
      </c>
      <c r="AF228" s="15">
        <f ca="1"/>
        <v>0</v>
      </c>
      <c r="AG228" s="15">
        <f ca="1"/>
        <v>0</v>
      </c>
      <c r="AH228" s="16" t="s">
        <v>340</v>
      </c>
    </row>
    <row r="229" spans="4:34" ht="20.100000000000001" customHeight="1" x14ac:dyDescent="0.2">
      <c r="D229" s="15" t="s">
        <v>337</v>
      </c>
      <c r="E229" s="15">
        <f ca="1"/>
        <v>91.25</v>
      </c>
      <c r="F229" s="15">
        <f ca="1"/>
        <v>91.25</v>
      </c>
      <c r="G229" s="15">
        <f ca="1"/>
        <v>91.25</v>
      </c>
      <c r="H229" s="15">
        <f ca="1"/>
        <v>91.25</v>
      </c>
      <c r="I229" s="15">
        <f ca="1"/>
        <v>91.25</v>
      </c>
      <c r="J229" s="15">
        <f ca="1"/>
        <v>91.25</v>
      </c>
      <c r="K229" s="15">
        <f ca="1"/>
        <v>91.25</v>
      </c>
      <c r="L229" s="15">
        <f ca="1"/>
        <v>91.25</v>
      </c>
      <c r="M229" s="15">
        <f ca="1"/>
        <v>91.25</v>
      </c>
      <c r="N229" s="15">
        <f ca="1"/>
        <v>91.25</v>
      </c>
      <c r="O229" s="16" t="s">
        <v>428</v>
      </c>
      <c r="W229" s="15" t="str">
        <f>TEXT(EDATE(X_Cell_Site_StartDate,10), "mmmm")</f>
        <v>October</v>
      </c>
      <c r="X229" s="15">
        <f ca="1"/>
        <v>0</v>
      </c>
      <c r="Y229" s="15">
        <f ca="1"/>
        <v>0</v>
      </c>
      <c r="Z229" s="15">
        <f ca="1"/>
        <v>0</v>
      </c>
      <c r="AA229" s="15">
        <f ca="1"/>
        <v>0</v>
      </c>
      <c r="AB229" s="15">
        <f ca="1"/>
        <v>0</v>
      </c>
      <c r="AC229" s="15">
        <f ca="1"/>
        <v>0</v>
      </c>
      <c r="AD229" s="15">
        <f ca="1"/>
        <v>0</v>
      </c>
      <c r="AE229" s="15">
        <f ca="1"/>
        <v>0</v>
      </c>
      <c r="AF229" s="15">
        <f ca="1"/>
        <v>0</v>
      </c>
      <c r="AG229" s="15">
        <f ca="1"/>
        <v>0</v>
      </c>
      <c r="AH229" s="16" t="s">
        <v>340</v>
      </c>
    </row>
    <row r="230" spans="4:34" ht="20.100000000000001" customHeight="1" x14ac:dyDescent="0.2">
      <c r="D230" s="15" t="s">
        <v>338</v>
      </c>
      <c r="E230" s="15">
        <f ca="1"/>
        <v>91.25</v>
      </c>
      <c r="F230" s="15">
        <f ca="1"/>
        <v>91.25</v>
      </c>
      <c r="G230" s="15">
        <f ca="1"/>
        <v>91.25</v>
      </c>
      <c r="H230" s="15">
        <f ca="1"/>
        <v>91.25</v>
      </c>
      <c r="I230" s="15">
        <f ca="1"/>
        <v>91.25</v>
      </c>
      <c r="J230" s="15">
        <f ca="1"/>
        <v>91.25</v>
      </c>
      <c r="K230" s="15">
        <f ca="1"/>
        <v>91.25</v>
      </c>
      <c r="L230" s="15">
        <f ca="1"/>
        <v>91.25</v>
      </c>
      <c r="M230" s="15">
        <f ca="1"/>
        <v>91.25</v>
      </c>
      <c r="N230" s="15">
        <f ca="1"/>
        <v>91.25</v>
      </c>
      <c r="O230" s="16" t="s">
        <v>428</v>
      </c>
      <c r="W230" s="15" t="str">
        <f>TEXT(EDATE(X_Cell_Site_StartDate,11), "mmmm")</f>
        <v>November</v>
      </c>
      <c r="X230" s="15">
        <f ca="1"/>
        <v>0</v>
      </c>
      <c r="Y230" s="15">
        <f ca="1"/>
        <v>0</v>
      </c>
      <c r="Z230" s="15">
        <f ca="1"/>
        <v>0</v>
      </c>
      <c r="AA230" s="15">
        <f ca="1"/>
        <v>0</v>
      </c>
      <c r="AB230" s="15">
        <f ca="1"/>
        <v>0</v>
      </c>
      <c r="AC230" s="15">
        <f ca="1"/>
        <v>0</v>
      </c>
      <c r="AD230" s="15">
        <f ca="1"/>
        <v>0</v>
      </c>
      <c r="AE230" s="15">
        <f ca="1"/>
        <v>0</v>
      </c>
      <c r="AF230" s="15">
        <f ca="1"/>
        <v>0</v>
      </c>
      <c r="AG230" s="15">
        <f ca="1"/>
        <v>0</v>
      </c>
      <c r="AH230" s="16" t="s">
        <v>340</v>
      </c>
    </row>
    <row r="232" spans="4:34" ht="20.100000000000001" customHeight="1" x14ac:dyDescent="0.2">
      <c r="D232" s="112" t="s">
        <v>429</v>
      </c>
      <c r="W232" s="112" t="s">
        <v>430</v>
      </c>
    </row>
    <row r="233" spans="4:34" ht="20.100000000000001" customHeight="1" x14ac:dyDescent="0.2">
      <c r="D233" s="113" t="s">
        <v>431</v>
      </c>
      <c r="W233" s="113" t="s">
        <v>432</v>
      </c>
    </row>
    <row r="234" spans="4:34" ht="20.100000000000001" customHeight="1" x14ac:dyDescent="0.2">
      <c r="D234" s="114" t="s">
        <v>410</v>
      </c>
      <c r="E234" s="114" t="s">
        <v>76</v>
      </c>
      <c r="F234" s="114" t="s">
        <v>326</v>
      </c>
      <c r="G234" s="114" t="s">
        <v>184</v>
      </c>
      <c r="H234" s="114" t="s">
        <v>327</v>
      </c>
      <c r="I234" s="114" t="s">
        <v>328</v>
      </c>
      <c r="J234" s="114" t="s">
        <v>329</v>
      </c>
      <c r="K234" s="114" t="s">
        <v>330</v>
      </c>
      <c r="L234" s="114" t="s">
        <v>331</v>
      </c>
      <c r="M234" s="114" t="s">
        <v>332</v>
      </c>
      <c r="N234" s="114" t="s">
        <v>333</v>
      </c>
      <c r="O234" s="114" t="s">
        <v>334</v>
      </c>
      <c r="W234" s="114" t="s">
        <v>75</v>
      </c>
      <c r="X234" s="82" t="s">
        <v>326</v>
      </c>
      <c r="Y234" s="82" t="s">
        <v>184</v>
      </c>
      <c r="Z234" s="82" t="s">
        <v>327</v>
      </c>
      <c r="AA234" s="82" t="s">
        <v>328</v>
      </c>
      <c r="AB234" s="82" t="s">
        <v>329</v>
      </c>
      <c r="AC234" s="82" t="s">
        <v>330</v>
      </c>
      <c r="AD234" s="82" t="s">
        <v>331</v>
      </c>
      <c r="AE234" s="82" t="s">
        <v>332</v>
      </c>
      <c r="AF234" s="82" t="s">
        <v>333</v>
      </c>
      <c r="AG234" s="82" t="s">
        <v>334</v>
      </c>
      <c r="AH234" s="16"/>
    </row>
    <row r="235" spans="4:34" ht="20.100000000000001" customHeight="1" x14ac:dyDescent="0.2">
      <c r="D235" s="15" t="str">
        <f>'Input - Pasture Beef'!$D$152</f>
        <v>Pasture range and paddock</v>
      </c>
      <c r="E235" s="15" t="s">
        <v>335</v>
      </c>
      <c r="F235" s="15" t="e">
        <f ca="1">((E219 * F177 * E227) * 10 ^ -3)</f>
        <v>#N/A</v>
      </c>
      <c r="G235" s="15" t="e">
        <f ca="1">((F219 * G177 * F227) * 10 ^ -3)</f>
        <v>#N/A</v>
      </c>
      <c r="H235" s="15" t="e">
        <f ca="1">((G219 * H177 * G227) * 10 ^ -3)</f>
        <v>#N/A</v>
      </c>
      <c r="I235" s="15" t="e">
        <f ca="1">((H219 * I177 * H227) * 10 ^ -3)</f>
        <v>#N/A</v>
      </c>
      <c r="J235" s="15" t="e">
        <f ca="1">((I219 * J177 * I227) * 10 ^ -3)</f>
        <v>#N/A</v>
      </c>
      <c r="K235" s="15" t="e">
        <f ca="1">((J219 * K177 * J227) * 10 ^ -3)</f>
        <v>#N/A</v>
      </c>
      <c r="L235" s="15" t="e">
        <f ca="1">((K219 * L177 * K227) * 10 ^ -3)</f>
        <v>#N/A</v>
      </c>
      <c r="M235" s="15" t="e">
        <f ca="1">((L219 * M177 * L227) * 10 ^ -3)</f>
        <v>#N/A</v>
      </c>
      <c r="N235" s="15" t="e">
        <f ca="1">((M219 * N177 * M227) * 10 ^ -3)</f>
        <v>#N/A</v>
      </c>
      <c r="O235" s="15" t="e">
        <f ca="1">((N219 * O177 * N227) * 10 ^ -3)</f>
        <v>#N/A</v>
      </c>
      <c r="P235" s="16" t="str">
        <f>$E$210</f>
        <v>t CH4</v>
      </c>
      <c r="Q235" s="16"/>
      <c r="R235" s="16"/>
      <c r="S235" s="16"/>
      <c r="W235" s="15" t="str">
        <f>TEXT(X_Cell_Site_StartDate,"mmmm")</f>
        <v>January</v>
      </c>
      <c r="X235" s="15" cm="1">
        <f t="array" aca="1" ref="X235:AG246" ca="1">OFFSET(X_Table_PastureBeef_Duration_Method2, 1,1, 12,10)</f>
        <v>31</v>
      </c>
      <c r="Y235" s="15">
        <f ca="1"/>
        <v>31</v>
      </c>
      <c r="Z235" s="15">
        <f ca="1"/>
        <v>31</v>
      </c>
      <c r="AA235" s="15">
        <f ca="1"/>
        <v>31</v>
      </c>
      <c r="AB235" s="15">
        <f ca="1"/>
        <v>31</v>
      </c>
      <c r="AC235" s="15">
        <f ca="1"/>
        <v>31</v>
      </c>
      <c r="AD235" s="15">
        <f ca="1"/>
        <v>31</v>
      </c>
      <c r="AE235" s="15">
        <f ca="1"/>
        <v>31</v>
      </c>
      <c r="AF235" s="15">
        <f ca="1"/>
        <v>31</v>
      </c>
      <c r="AG235" s="15">
        <f ca="1"/>
        <v>31</v>
      </c>
      <c r="AH235" s="16" t="s">
        <v>428</v>
      </c>
    </row>
    <row r="236" spans="4:34" ht="20.100000000000001" customHeight="1" x14ac:dyDescent="0.2">
      <c r="D236" s="15" t="str">
        <f>'Input - Pasture Beef'!$D$152</f>
        <v>Pasture range and paddock</v>
      </c>
      <c r="E236" s="15" t="s">
        <v>336</v>
      </c>
      <c r="F236" s="15" t="e">
        <f ca="1">((E220 * F178 * E228) * 10 ^ -3)</f>
        <v>#N/A</v>
      </c>
      <c r="G236" s="15" t="e">
        <f ca="1">((F220 * G178 * F228) * 10 ^ -3)</f>
        <v>#N/A</v>
      </c>
      <c r="H236" s="15" t="e">
        <f ca="1">((G220 * H178 * G228) * 10 ^ -3)</f>
        <v>#N/A</v>
      </c>
      <c r="I236" s="15" t="e">
        <f ca="1">((H220 * I178 * H228) * 10 ^ -3)</f>
        <v>#N/A</v>
      </c>
      <c r="J236" s="15" t="e">
        <f ca="1">((I220 * J178 * I228) * 10 ^ -3)</f>
        <v>#N/A</v>
      </c>
      <c r="K236" s="15" t="e">
        <f ca="1">((J220 * K178 * J228) * 10 ^ -3)</f>
        <v>#N/A</v>
      </c>
      <c r="L236" s="15" t="e">
        <f ca="1">((K220 * L178 * K228) * 10 ^ -3)</f>
        <v>#N/A</v>
      </c>
      <c r="M236" s="15" t="e">
        <f ca="1">((L220 * M178 * L228) * 10 ^ -3)</f>
        <v>#N/A</v>
      </c>
      <c r="N236" s="15" t="e">
        <f ca="1">((M220 * N178 * M228) * 10 ^ -3)</f>
        <v>#N/A</v>
      </c>
      <c r="O236" s="15" t="e">
        <f ca="1">((N220 * O178 * N228) * 10 ^ -3)</f>
        <v>#N/A</v>
      </c>
      <c r="P236" s="16" t="str">
        <f t="shared" ref="P236:P242" si="10">$E$210</f>
        <v>t CH4</v>
      </c>
      <c r="Q236" s="16"/>
      <c r="R236" s="16"/>
      <c r="S236" s="16"/>
      <c r="W236" s="15" t="str">
        <f>TEXT(EDATE(X_Cell_Site_StartDate,1), "mmmm")</f>
        <v>January</v>
      </c>
      <c r="X236" s="15">
        <f ca="1"/>
        <v>31</v>
      </c>
      <c r="Y236" s="15">
        <f ca="1"/>
        <v>31</v>
      </c>
      <c r="Z236" s="15">
        <f ca="1"/>
        <v>31</v>
      </c>
      <c r="AA236" s="15">
        <f ca="1"/>
        <v>31</v>
      </c>
      <c r="AB236" s="15">
        <f ca="1"/>
        <v>31</v>
      </c>
      <c r="AC236" s="15">
        <f ca="1"/>
        <v>31</v>
      </c>
      <c r="AD236" s="15">
        <f ca="1"/>
        <v>31</v>
      </c>
      <c r="AE236" s="15">
        <f ca="1"/>
        <v>31</v>
      </c>
      <c r="AF236" s="15">
        <f ca="1"/>
        <v>31</v>
      </c>
      <c r="AG236" s="15">
        <f ca="1"/>
        <v>31</v>
      </c>
      <c r="AH236" s="16" t="s">
        <v>428</v>
      </c>
    </row>
    <row r="237" spans="4:34" ht="20.100000000000001" customHeight="1" x14ac:dyDescent="0.2">
      <c r="D237" s="15" t="str">
        <f>'Input - Pasture Beef'!$D$152</f>
        <v>Pasture range and paddock</v>
      </c>
      <c r="E237" s="15" t="s">
        <v>337</v>
      </c>
      <c r="F237" s="15" t="e">
        <f ca="1">((E221 * F179 * E229) * 10 ^ -3)</f>
        <v>#N/A</v>
      </c>
      <c r="G237" s="15" t="e">
        <f ca="1">((F221 * G179 * F229) * 10 ^ -3)</f>
        <v>#N/A</v>
      </c>
      <c r="H237" s="15" t="e">
        <f ca="1">((G221 * H179 * G229) * 10 ^ -3)</f>
        <v>#N/A</v>
      </c>
      <c r="I237" s="15" t="e">
        <f ca="1">((H221 * I179 * H229) * 10 ^ -3)</f>
        <v>#N/A</v>
      </c>
      <c r="J237" s="15" t="e">
        <f ca="1">((I221 * J179 * I229) * 10 ^ -3)</f>
        <v>#N/A</v>
      </c>
      <c r="K237" s="15" t="e">
        <f ca="1">((J221 * K179 * J229) * 10 ^ -3)</f>
        <v>#N/A</v>
      </c>
      <c r="L237" s="15" t="e">
        <f ca="1">((K221 * L179 * K229) * 10 ^ -3)</f>
        <v>#N/A</v>
      </c>
      <c r="M237" s="15" t="e">
        <f ca="1">((L221 * M179 * L229) * 10 ^ -3)</f>
        <v>#N/A</v>
      </c>
      <c r="N237" s="15" t="e">
        <f ca="1">((M221 * N179 * M229) * 10 ^ -3)</f>
        <v>#N/A</v>
      </c>
      <c r="O237" s="15" t="e">
        <f ca="1">((N221 * O179 * N229) * 10 ^ -3)</f>
        <v>#N/A</v>
      </c>
      <c r="P237" s="16" t="str">
        <f t="shared" si="10"/>
        <v>t CH4</v>
      </c>
      <c r="Q237" s="16"/>
      <c r="R237" s="16"/>
      <c r="S237" s="16"/>
      <c r="W237" s="15" t="str">
        <f>TEXT(EDATE(X_Cell_Site_StartDate,2), "mmmm")</f>
        <v>February</v>
      </c>
      <c r="X237" s="15">
        <f ca="1"/>
        <v>28</v>
      </c>
      <c r="Y237" s="15">
        <f ca="1"/>
        <v>28</v>
      </c>
      <c r="Z237" s="15">
        <f ca="1"/>
        <v>28</v>
      </c>
      <c r="AA237" s="15">
        <f ca="1"/>
        <v>28</v>
      </c>
      <c r="AB237" s="15">
        <f ca="1"/>
        <v>28</v>
      </c>
      <c r="AC237" s="15">
        <f ca="1"/>
        <v>28</v>
      </c>
      <c r="AD237" s="15">
        <f ca="1"/>
        <v>28</v>
      </c>
      <c r="AE237" s="15">
        <f ca="1"/>
        <v>28</v>
      </c>
      <c r="AF237" s="15">
        <f ca="1"/>
        <v>28</v>
      </c>
      <c r="AG237" s="15">
        <f ca="1"/>
        <v>28</v>
      </c>
      <c r="AH237" s="16" t="s">
        <v>428</v>
      </c>
    </row>
    <row r="238" spans="4:34" ht="20.100000000000001" customHeight="1" x14ac:dyDescent="0.2">
      <c r="D238" s="15" t="str">
        <f>'Input - Pasture Beef'!$D$152</f>
        <v>Pasture range and paddock</v>
      </c>
      <c r="E238" s="15" t="s">
        <v>338</v>
      </c>
      <c r="F238" s="15" t="e">
        <f ca="1">((E222 * F180 * E230) * 10 ^ -3)</f>
        <v>#N/A</v>
      </c>
      <c r="G238" s="15" t="e">
        <f ca="1">((F222 * G180 * F230) * 10 ^ -3)</f>
        <v>#N/A</v>
      </c>
      <c r="H238" s="15" t="e">
        <f ca="1">((G222 * H180 * G230) * 10 ^ -3)</f>
        <v>#N/A</v>
      </c>
      <c r="I238" s="15" t="e">
        <f ca="1">((H222 * I180 * H230) * 10 ^ -3)</f>
        <v>#N/A</v>
      </c>
      <c r="J238" s="15" t="e">
        <f ca="1">((I222 * J180 * I230) * 10 ^ -3)</f>
        <v>#N/A</v>
      </c>
      <c r="K238" s="15" t="e">
        <f ca="1">((J222 * K180 * J230) * 10 ^ -3)</f>
        <v>#N/A</v>
      </c>
      <c r="L238" s="15" t="e">
        <f ca="1">((K222 * L180 * K230) * 10 ^ -3)</f>
        <v>#N/A</v>
      </c>
      <c r="M238" s="15" t="e">
        <f ca="1">((L222 * M180 * L230) * 10 ^ -3)</f>
        <v>#N/A</v>
      </c>
      <c r="N238" s="15" t="e">
        <f ca="1">((M222 * N180 * M230) * 10 ^ -3)</f>
        <v>#N/A</v>
      </c>
      <c r="O238" s="15" t="e">
        <f ca="1">((N222 * O180 * N230) * 10 ^ -3)</f>
        <v>#N/A</v>
      </c>
      <c r="P238" s="16" t="str">
        <f t="shared" si="10"/>
        <v>t CH4</v>
      </c>
      <c r="Q238" s="16"/>
      <c r="R238" s="16"/>
      <c r="S238" s="16"/>
      <c r="W238" s="15" t="str">
        <f>TEXT(EDATE(X_Cell_Site_StartDate,3), "mmmm")</f>
        <v>March</v>
      </c>
      <c r="X238" s="15">
        <f ca="1"/>
        <v>31</v>
      </c>
      <c r="Y238" s="15">
        <f ca="1"/>
        <v>31</v>
      </c>
      <c r="Z238" s="15">
        <f ca="1"/>
        <v>31</v>
      </c>
      <c r="AA238" s="15">
        <f ca="1"/>
        <v>31</v>
      </c>
      <c r="AB238" s="15">
        <f ca="1"/>
        <v>31</v>
      </c>
      <c r="AC238" s="15">
        <f ca="1"/>
        <v>31</v>
      </c>
      <c r="AD238" s="15">
        <f ca="1"/>
        <v>31</v>
      </c>
      <c r="AE238" s="15">
        <f ca="1"/>
        <v>31</v>
      </c>
      <c r="AF238" s="15">
        <f ca="1"/>
        <v>31</v>
      </c>
      <c r="AG238" s="15">
        <f ca="1"/>
        <v>31</v>
      </c>
      <c r="AH238" s="16" t="s">
        <v>428</v>
      </c>
    </row>
    <row r="239" spans="4:34" ht="20.100000000000001" customHeight="1" x14ac:dyDescent="0.2">
      <c r="D239" s="15" t="str">
        <f>'Input - Pasture Beef'!$D$153</f>
        <v>Anaerobic lagoon</v>
      </c>
      <c r="E239" s="15" t="s">
        <v>335</v>
      </c>
      <c r="F239" s="15" t="e">
        <f ca="1">((E219 * F181 * E227) * 10 ^ -3)</f>
        <v>#N/A</v>
      </c>
      <c r="G239" s="15" t="e">
        <f ca="1">((F219 * G181 * F227) * 10 ^ -3)</f>
        <v>#N/A</v>
      </c>
      <c r="H239" s="15" t="e">
        <f ca="1">((G219 * H181 * G227) * 10 ^ -3)</f>
        <v>#N/A</v>
      </c>
      <c r="I239" s="15" t="e">
        <f ca="1">((H219 * I181 * H227) * 10 ^ -3)</f>
        <v>#N/A</v>
      </c>
      <c r="J239" s="15" t="e">
        <f ca="1">((I219 * J181 * I227) * 10 ^ -3)</f>
        <v>#N/A</v>
      </c>
      <c r="K239" s="15" t="e">
        <f ca="1">((J219 * K181 * J227) * 10 ^ -3)</f>
        <v>#N/A</v>
      </c>
      <c r="L239" s="15" t="e">
        <f ca="1">((K219 * L181 * K227) * 10 ^ -3)</f>
        <v>#N/A</v>
      </c>
      <c r="M239" s="15" t="e">
        <f ca="1">((L219 * M181 * L227) * 10 ^ -3)</f>
        <v>#N/A</v>
      </c>
      <c r="N239" s="15" t="e">
        <f ca="1">((M219 * N181 * M227) * 10 ^ -3)</f>
        <v>#N/A</v>
      </c>
      <c r="O239" s="15" t="e">
        <f ca="1">((N219 * O181 * N227) * 10 ^ -3)</f>
        <v>#N/A</v>
      </c>
      <c r="P239" s="16" t="str">
        <f t="shared" si="10"/>
        <v>t CH4</v>
      </c>
      <c r="Q239" s="16"/>
      <c r="R239" s="16"/>
      <c r="S239" s="16"/>
      <c r="W239" s="15" t="str">
        <f>TEXT(EDATE(X_Cell_Site_StartDate,4), "mmmm")</f>
        <v>April</v>
      </c>
      <c r="X239" s="15">
        <f ca="1"/>
        <v>30</v>
      </c>
      <c r="Y239" s="15">
        <f ca="1"/>
        <v>30</v>
      </c>
      <c r="Z239" s="15">
        <f ca="1"/>
        <v>30</v>
      </c>
      <c r="AA239" s="15">
        <f ca="1"/>
        <v>30</v>
      </c>
      <c r="AB239" s="15">
        <f ca="1"/>
        <v>30</v>
      </c>
      <c r="AC239" s="15">
        <f ca="1"/>
        <v>30</v>
      </c>
      <c r="AD239" s="15">
        <f ca="1"/>
        <v>30</v>
      </c>
      <c r="AE239" s="15">
        <f ca="1"/>
        <v>30</v>
      </c>
      <c r="AF239" s="15">
        <f ca="1"/>
        <v>30</v>
      </c>
      <c r="AG239" s="15">
        <f ca="1"/>
        <v>30</v>
      </c>
      <c r="AH239" s="16" t="s">
        <v>428</v>
      </c>
    </row>
    <row r="240" spans="4:34" ht="20.100000000000001" customHeight="1" x14ac:dyDescent="0.2">
      <c r="D240" s="15" t="str">
        <f>'Input - Pasture Beef'!$D$153</f>
        <v>Anaerobic lagoon</v>
      </c>
      <c r="E240" s="15" t="s">
        <v>336</v>
      </c>
      <c r="F240" s="15" t="e">
        <f ca="1">((E220 * F182 * E228) * 10 ^ -3)</f>
        <v>#N/A</v>
      </c>
      <c r="G240" s="15" t="e">
        <f ca="1">((F220 * G182 * F228) * 10 ^ -3)</f>
        <v>#N/A</v>
      </c>
      <c r="H240" s="15" t="e">
        <f ca="1">((G220 * H182 * G228) * 10 ^ -3)</f>
        <v>#N/A</v>
      </c>
      <c r="I240" s="15" t="e">
        <f ca="1">((H220 * I182 * H228) * 10 ^ -3)</f>
        <v>#N/A</v>
      </c>
      <c r="J240" s="15" t="e">
        <f ca="1">((I220 * J182 * I228) * 10 ^ -3)</f>
        <v>#N/A</v>
      </c>
      <c r="K240" s="15" t="e">
        <f ca="1">((J220 * K182 * J228) * 10 ^ -3)</f>
        <v>#N/A</v>
      </c>
      <c r="L240" s="15" t="e">
        <f ca="1">((K220 * L182 * K228) * 10 ^ -3)</f>
        <v>#N/A</v>
      </c>
      <c r="M240" s="15" t="e">
        <f ca="1">((L220 * M182 * L228) * 10 ^ -3)</f>
        <v>#N/A</v>
      </c>
      <c r="N240" s="15" t="e">
        <f ca="1">((M220 * N182 * M228) * 10 ^ -3)</f>
        <v>#N/A</v>
      </c>
      <c r="O240" s="15" t="e">
        <f ca="1">((N220 * O182 * N228) * 10 ^ -3)</f>
        <v>#N/A</v>
      </c>
      <c r="P240" s="16" t="str">
        <f t="shared" si="10"/>
        <v>t CH4</v>
      </c>
      <c r="Q240" s="16"/>
      <c r="R240" s="16"/>
      <c r="S240" s="16"/>
      <c r="W240" s="15" t="str">
        <f>TEXT(EDATE(X_Cell_Site_StartDate,5), "mmmm")</f>
        <v>May</v>
      </c>
      <c r="X240" s="15">
        <f ca="1"/>
        <v>31</v>
      </c>
      <c r="Y240" s="15">
        <f ca="1"/>
        <v>31</v>
      </c>
      <c r="Z240" s="15">
        <f ca="1"/>
        <v>31</v>
      </c>
      <c r="AA240" s="15">
        <f ca="1"/>
        <v>31</v>
      </c>
      <c r="AB240" s="15">
        <f ca="1"/>
        <v>31</v>
      </c>
      <c r="AC240" s="15">
        <f ca="1"/>
        <v>31</v>
      </c>
      <c r="AD240" s="15">
        <f ca="1"/>
        <v>31</v>
      </c>
      <c r="AE240" s="15">
        <f ca="1"/>
        <v>31</v>
      </c>
      <c r="AF240" s="15">
        <f ca="1"/>
        <v>31</v>
      </c>
      <c r="AG240" s="15">
        <f ca="1"/>
        <v>31</v>
      </c>
      <c r="AH240" s="16" t="s">
        <v>428</v>
      </c>
    </row>
    <row r="241" spans="4:36" ht="20.100000000000001" customHeight="1" x14ac:dyDescent="0.2">
      <c r="D241" s="15" t="str">
        <f>'Input - Pasture Beef'!$D$153</f>
        <v>Anaerobic lagoon</v>
      </c>
      <c r="E241" s="15" t="s">
        <v>337</v>
      </c>
      <c r="F241" s="15" t="e">
        <f ca="1">((E221 * F183 * E229) * 10 ^ -3)</f>
        <v>#N/A</v>
      </c>
      <c r="G241" s="15" t="e">
        <f ca="1">((F221 * G183 * F229) * 10 ^ -3)</f>
        <v>#N/A</v>
      </c>
      <c r="H241" s="15" t="e">
        <f ca="1">((G221 * H183 * G229) * 10 ^ -3)</f>
        <v>#N/A</v>
      </c>
      <c r="I241" s="15" t="e">
        <f ca="1">((H221 * I183 * H229) * 10 ^ -3)</f>
        <v>#N/A</v>
      </c>
      <c r="J241" s="15" t="e">
        <f ca="1">((I221 * J183 * I229) * 10 ^ -3)</f>
        <v>#N/A</v>
      </c>
      <c r="K241" s="15" t="e">
        <f ca="1">((J221 * K183 * J229) * 10 ^ -3)</f>
        <v>#N/A</v>
      </c>
      <c r="L241" s="15" t="e">
        <f ca="1">((K221 * L183 * K229) * 10 ^ -3)</f>
        <v>#N/A</v>
      </c>
      <c r="M241" s="15" t="e">
        <f ca="1">((L221 * M183 * L229) * 10 ^ -3)</f>
        <v>#N/A</v>
      </c>
      <c r="N241" s="15" t="e">
        <f ca="1">((M221 * N183 * M229) * 10 ^ -3)</f>
        <v>#N/A</v>
      </c>
      <c r="O241" s="15" t="e">
        <f ca="1">((N221 * O183 * N229) * 10 ^ -3)</f>
        <v>#N/A</v>
      </c>
      <c r="P241" s="16" t="str">
        <f t="shared" si="10"/>
        <v>t CH4</v>
      </c>
      <c r="Q241" s="16"/>
      <c r="R241" s="16"/>
      <c r="S241" s="16"/>
      <c r="W241" s="15" t="str">
        <f>TEXT(EDATE(X_Cell_Site_StartDate,6), "mmmm")</f>
        <v>June</v>
      </c>
      <c r="X241" s="15">
        <f ca="1"/>
        <v>30</v>
      </c>
      <c r="Y241" s="15">
        <f ca="1"/>
        <v>30</v>
      </c>
      <c r="Z241" s="15">
        <f ca="1"/>
        <v>30</v>
      </c>
      <c r="AA241" s="15">
        <f ca="1"/>
        <v>30</v>
      </c>
      <c r="AB241" s="15">
        <f ca="1"/>
        <v>30</v>
      </c>
      <c r="AC241" s="15">
        <f ca="1"/>
        <v>30</v>
      </c>
      <c r="AD241" s="15">
        <f ca="1"/>
        <v>30</v>
      </c>
      <c r="AE241" s="15">
        <f ca="1"/>
        <v>30</v>
      </c>
      <c r="AF241" s="15">
        <f ca="1"/>
        <v>30</v>
      </c>
      <c r="AG241" s="15">
        <f ca="1"/>
        <v>30</v>
      </c>
      <c r="AH241" s="16" t="s">
        <v>428</v>
      </c>
    </row>
    <row r="242" spans="4:36" ht="20.100000000000001" customHeight="1" x14ac:dyDescent="0.2">
      <c r="D242" s="15" t="str">
        <f>'Input - Pasture Beef'!$D$153</f>
        <v>Anaerobic lagoon</v>
      </c>
      <c r="E242" s="15" t="s">
        <v>338</v>
      </c>
      <c r="F242" s="15" t="e">
        <f ca="1">((E222 * F184 * E230) * 10 ^ -3)</f>
        <v>#N/A</v>
      </c>
      <c r="G242" s="15" t="e">
        <f ca="1">((F222 * G184 * F230) * 10 ^ -3)</f>
        <v>#N/A</v>
      </c>
      <c r="H242" s="15" t="e">
        <f ca="1">((G222 * H184 * G230) * 10 ^ -3)</f>
        <v>#N/A</v>
      </c>
      <c r="I242" s="15" t="e">
        <f ca="1">((H222 * I184 * H230) * 10 ^ -3)</f>
        <v>#N/A</v>
      </c>
      <c r="J242" s="15" t="e">
        <f ca="1">((I222 * J184 * I230) * 10 ^ -3)</f>
        <v>#N/A</v>
      </c>
      <c r="K242" s="15" t="e">
        <f ca="1">((J222 * K184 * J230) * 10 ^ -3)</f>
        <v>#N/A</v>
      </c>
      <c r="L242" s="15" t="e">
        <f ca="1">((K222 * L184 * K230) * 10 ^ -3)</f>
        <v>#N/A</v>
      </c>
      <c r="M242" s="15" t="e">
        <f ca="1">((L222 * M184 * L230) * 10 ^ -3)</f>
        <v>#N/A</v>
      </c>
      <c r="N242" s="15" t="e">
        <f ca="1">((M222 * N184 * M230) * 10 ^ -3)</f>
        <v>#N/A</v>
      </c>
      <c r="O242" s="15" t="e">
        <f ca="1">((N222 * O184 * N230) * 10 ^ -3)</f>
        <v>#N/A</v>
      </c>
      <c r="P242" s="16" t="str">
        <f t="shared" si="10"/>
        <v>t CH4</v>
      </c>
      <c r="Q242" s="16"/>
      <c r="R242" s="16"/>
      <c r="S242" s="16"/>
      <c r="W242" s="15" t="str">
        <f>TEXT(EDATE(X_Cell_Site_StartDate,7), "mmmm")</f>
        <v>July</v>
      </c>
      <c r="X242" s="15">
        <f ca="1"/>
        <v>31</v>
      </c>
      <c r="Y242" s="15">
        <f ca="1"/>
        <v>31</v>
      </c>
      <c r="Z242" s="15">
        <f ca="1"/>
        <v>31</v>
      </c>
      <c r="AA242" s="15">
        <f ca="1"/>
        <v>31</v>
      </c>
      <c r="AB242" s="15">
        <f ca="1"/>
        <v>31</v>
      </c>
      <c r="AC242" s="15">
        <f ca="1"/>
        <v>31</v>
      </c>
      <c r="AD242" s="15">
        <f ca="1"/>
        <v>31</v>
      </c>
      <c r="AE242" s="15">
        <f ca="1"/>
        <v>31</v>
      </c>
      <c r="AF242" s="15">
        <f ca="1"/>
        <v>31</v>
      </c>
      <c r="AG242" s="15">
        <f ca="1"/>
        <v>31</v>
      </c>
      <c r="AH242" s="16" t="s">
        <v>428</v>
      </c>
    </row>
    <row r="243" spans="4:36" ht="20.100000000000001" customHeight="1" x14ac:dyDescent="0.2">
      <c r="W243" s="15" t="str">
        <f>TEXT(EDATE(X_Cell_Site_StartDate,8), "mmmm")</f>
        <v>August</v>
      </c>
      <c r="X243" s="15">
        <f ca="1"/>
        <v>31</v>
      </c>
      <c r="Y243" s="15">
        <f ca="1"/>
        <v>31</v>
      </c>
      <c r="Z243" s="15">
        <f ca="1"/>
        <v>31</v>
      </c>
      <c r="AA243" s="15">
        <f ca="1"/>
        <v>31</v>
      </c>
      <c r="AB243" s="15">
        <f ca="1"/>
        <v>31</v>
      </c>
      <c r="AC243" s="15">
        <f ca="1"/>
        <v>31</v>
      </c>
      <c r="AD243" s="15">
        <f ca="1"/>
        <v>31</v>
      </c>
      <c r="AE243" s="15">
        <f ca="1"/>
        <v>31</v>
      </c>
      <c r="AF243" s="15">
        <f ca="1"/>
        <v>31</v>
      </c>
      <c r="AG243" s="15">
        <f ca="1"/>
        <v>31</v>
      </c>
      <c r="AH243" s="16" t="s">
        <v>428</v>
      </c>
    </row>
    <row r="244" spans="4:36" ht="20.100000000000001" customHeight="1" x14ac:dyDescent="0.2">
      <c r="D244" s="90" t="s">
        <v>433</v>
      </c>
      <c r="E244" s="91" t="e">
        <f ca="1">SUM(F235:O242)</f>
        <v>#N/A</v>
      </c>
      <c r="F244" s="95" t="str">
        <f>E210</f>
        <v>t CH4</v>
      </c>
      <c r="W244" s="15" t="str">
        <f>TEXT(EDATE(X_Cell_Site_StartDate,9), "mmmm")</f>
        <v>September</v>
      </c>
      <c r="X244" s="15">
        <f ca="1"/>
        <v>30</v>
      </c>
      <c r="Y244" s="15">
        <f ca="1"/>
        <v>30</v>
      </c>
      <c r="Z244" s="15">
        <f ca="1"/>
        <v>30</v>
      </c>
      <c r="AA244" s="15">
        <f ca="1"/>
        <v>30</v>
      </c>
      <c r="AB244" s="15">
        <f ca="1"/>
        <v>30</v>
      </c>
      <c r="AC244" s="15">
        <f ca="1"/>
        <v>30</v>
      </c>
      <c r="AD244" s="15">
        <f ca="1"/>
        <v>30</v>
      </c>
      <c r="AE244" s="15">
        <f ca="1"/>
        <v>30</v>
      </c>
      <c r="AF244" s="15">
        <f ca="1"/>
        <v>30</v>
      </c>
      <c r="AG244" s="15">
        <f ca="1"/>
        <v>30</v>
      </c>
      <c r="AH244" s="16" t="s">
        <v>428</v>
      </c>
    </row>
    <row r="245" spans="4:36" ht="20.100000000000001" customHeight="1" x14ac:dyDescent="0.2">
      <c r="W245" s="15" t="str">
        <f>TEXT(EDATE(X_Cell_Site_StartDate,10), "mmmm")</f>
        <v>October</v>
      </c>
      <c r="X245" s="15">
        <f ca="1"/>
        <v>31</v>
      </c>
      <c r="Y245" s="15">
        <f ca="1"/>
        <v>31</v>
      </c>
      <c r="Z245" s="15">
        <f ca="1"/>
        <v>31</v>
      </c>
      <c r="AA245" s="15">
        <f ca="1"/>
        <v>31</v>
      </c>
      <c r="AB245" s="15">
        <f ca="1"/>
        <v>31</v>
      </c>
      <c r="AC245" s="15">
        <f ca="1"/>
        <v>31</v>
      </c>
      <c r="AD245" s="15">
        <f ca="1"/>
        <v>31</v>
      </c>
      <c r="AE245" s="15">
        <f ca="1"/>
        <v>31</v>
      </c>
      <c r="AF245" s="15">
        <f ca="1"/>
        <v>31</v>
      </c>
      <c r="AG245" s="15">
        <f ca="1"/>
        <v>31</v>
      </c>
      <c r="AH245" s="16" t="s">
        <v>428</v>
      </c>
    </row>
    <row r="246" spans="4:36" ht="20.100000000000001" customHeight="1" x14ac:dyDescent="0.2">
      <c r="D246" s="116" t="str" cm="1">
        <f t="array" ref="D246:E247">Common_Equations.Common_ConvertCH4ToCO2e_Arguments()</f>
        <v>ECH4</v>
      </c>
      <c r="E246" s="117" t="str">
        <v>Methane emissions (t CH4)</v>
      </c>
      <c r="F246" s="118"/>
      <c r="G246" s="15" t="e">
        <f ca="1">VEERG_4_2_1_1__1_TotalAnnualMethaneProductionFromManureManagement_Result_Method1</f>
        <v>#N/A</v>
      </c>
      <c r="W246" s="15" t="str">
        <f>TEXT(EDATE(X_Cell_Site_StartDate,11), "mmmm")</f>
        <v>November</v>
      </c>
      <c r="X246" s="15">
        <f ca="1"/>
        <v>30</v>
      </c>
      <c r="Y246" s="15">
        <f ca="1"/>
        <v>30</v>
      </c>
      <c r="Z246" s="15">
        <f ca="1"/>
        <v>30</v>
      </c>
      <c r="AA246" s="15">
        <f ca="1"/>
        <v>30</v>
      </c>
      <c r="AB246" s="15">
        <f ca="1"/>
        <v>30</v>
      </c>
      <c r="AC246" s="15">
        <f ca="1"/>
        <v>30</v>
      </c>
      <c r="AD246" s="15">
        <f ca="1"/>
        <v>30</v>
      </c>
      <c r="AE246" s="15">
        <f ca="1"/>
        <v>30</v>
      </c>
      <c r="AF246" s="15">
        <f ca="1"/>
        <v>30</v>
      </c>
      <c r="AG246" s="15">
        <f ca="1"/>
        <v>30</v>
      </c>
      <c r="AH246" s="16" t="s">
        <v>428</v>
      </c>
    </row>
    <row r="247" spans="4:36" ht="20.100000000000001" customHeight="1" x14ac:dyDescent="0.2">
      <c r="D247" s="116" t="str">
        <v>GWPCH4</v>
      </c>
      <c r="E247" s="117" t="str">
        <v>Global warming potential for methane (t CO2-e / t CH4)</v>
      </c>
      <c r="F247" s="118"/>
      <c r="G247" s="15">
        <f>Common_InputFunctions.Utility_LookupValueInTableNumber("CH4",Table_GWPData[Gas],Table_GWPData[CO2-e factor])</f>
        <v>28</v>
      </c>
    </row>
    <row r="248" spans="4:36" ht="20.100000000000001" customHeight="1" x14ac:dyDescent="0.2">
      <c r="W248" s="112" t="s">
        <v>434</v>
      </c>
    </row>
    <row r="249" spans="4:36" ht="20.100000000000001" customHeight="1" x14ac:dyDescent="0.2">
      <c r="D249" s="87" t="s">
        <v>435</v>
      </c>
      <c r="E249" s="87" t="e" cm="1">
        <f t="array" aca="1" ref="E249" ca="1">Common_Equations.Common_ConvertN2OToCO2e(G246,G247)</f>
        <v>#N/A</v>
      </c>
      <c r="F249" s="94" t="str" cm="1">
        <f t="array" ref="F249">Common_Equations.Common_ConvertN2OToCO2e_Unit()</f>
        <v>t CO2e</v>
      </c>
      <c r="W249" s="113" t="s">
        <v>436</v>
      </c>
    </row>
    <row r="250" spans="4:36" ht="20.100000000000001" customHeight="1" x14ac:dyDescent="0.2">
      <c r="W250" s="114" t="s">
        <v>410</v>
      </c>
      <c r="X250" s="114" t="s">
        <v>75</v>
      </c>
      <c r="Y250" s="114" t="s">
        <v>326</v>
      </c>
      <c r="Z250" s="114" t="s">
        <v>184</v>
      </c>
      <c r="AA250" s="114" t="s">
        <v>327</v>
      </c>
      <c r="AB250" s="114" t="s">
        <v>328</v>
      </c>
      <c r="AC250" s="114" t="s">
        <v>329</v>
      </c>
      <c r="AD250" s="114" t="s">
        <v>330</v>
      </c>
      <c r="AE250" s="114" t="s">
        <v>331</v>
      </c>
      <c r="AF250" s="114" t="s">
        <v>332</v>
      </c>
      <c r="AG250" s="114" t="s">
        <v>333</v>
      </c>
      <c r="AH250" s="114" t="s">
        <v>334</v>
      </c>
    </row>
    <row r="251" spans="4:36" ht="20.100000000000001" customHeight="1" x14ac:dyDescent="0.2">
      <c r="W251" s="15" t="str">
        <f>'Input - Pasture Beef'!$D$152</f>
        <v>Pasture range and paddock</v>
      </c>
      <c r="X251" s="15" t="str">
        <f>W235</f>
        <v>January</v>
      </c>
      <c r="Y251" s="15" t="e">
        <f ca="1">((X219 * Y177 * X235) * 10 ^ -3)</f>
        <v>#N/A</v>
      </c>
      <c r="Z251" s="15" t="e">
        <f ca="1">((Y219 * Z177 * Y235) * 10 ^ -3)</f>
        <v>#N/A</v>
      </c>
      <c r="AA251" s="15" t="e">
        <f ca="1">((Z219 * AA177 * Z235) * 10 ^ -3)</f>
        <v>#N/A</v>
      </c>
      <c r="AB251" s="15" t="e">
        <f ca="1">((AA219 * AB177 * AA235) * 10 ^ -3)</f>
        <v>#N/A</v>
      </c>
      <c r="AC251" s="15" t="e">
        <f ca="1">((AB219 * AC177 * AB235) * 10 ^ -3)</f>
        <v>#N/A</v>
      </c>
      <c r="AD251" s="15" t="e">
        <f ca="1">((AC219 * AD177 * AC235) * 10 ^ -3)</f>
        <v>#N/A</v>
      </c>
      <c r="AE251" s="15" t="e">
        <f ca="1">((AD219 * AE177 * AD235) * 10 ^ -3)</f>
        <v>#N/A</v>
      </c>
      <c r="AF251" s="15" t="e">
        <f ca="1">((AE219 * AF177 * AE235) * 10 ^ -3)</f>
        <v>#N/A</v>
      </c>
      <c r="AG251" s="15" t="e">
        <f ca="1">((AF219 * AG177 * AF235) * 10 ^ -3)</f>
        <v>#N/A</v>
      </c>
      <c r="AH251" s="15" t="e">
        <f ca="1">((AG219 * AH177 * AG235) * 10 ^ -3)</f>
        <v>#N/A</v>
      </c>
      <c r="AI251" s="16" t="str">
        <f t="shared" ref="AI251:AI274" si="11">$E$210</f>
        <v>t CH4</v>
      </c>
      <c r="AJ251" s="16"/>
    </row>
    <row r="252" spans="4:36" ht="20.100000000000001" customHeight="1" x14ac:dyDescent="0.2">
      <c r="W252" s="15" t="str">
        <f>'Input - Pasture Beef'!$D$152</f>
        <v>Pasture range and paddock</v>
      </c>
      <c r="X252" s="15" t="str">
        <f t="shared" ref="X252:X262" si="12">W236</f>
        <v>January</v>
      </c>
      <c r="Y252" s="15" t="e">
        <f ca="1">((X220 * Y178 * X236) * 10 ^ -3)</f>
        <v>#N/A</v>
      </c>
      <c r="Z252" s="15" t="e">
        <f ca="1">((Y220 * Z178 * Y236) * 10 ^ -3)</f>
        <v>#N/A</v>
      </c>
      <c r="AA252" s="15" t="e">
        <f ca="1">((Z220 * AA178 * Z236) * 10 ^ -3)</f>
        <v>#N/A</v>
      </c>
      <c r="AB252" s="15" t="e">
        <f ca="1">((AA220 * AB178 * AA236) * 10 ^ -3)</f>
        <v>#N/A</v>
      </c>
      <c r="AC252" s="15" t="e">
        <f ca="1">((AB220 * AC178 * AB236) * 10 ^ -3)</f>
        <v>#N/A</v>
      </c>
      <c r="AD252" s="15" t="e">
        <f ca="1">((AC220 * AD178 * AC236) * 10 ^ -3)</f>
        <v>#N/A</v>
      </c>
      <c r="AE252" s="15" t="e">
        <f ca="1">((AD220 * AE178 * AD236) * 10 ^ -3)</f>
        <v>#N/A</v>
      </c>
      <c r="AF252" s="15" t="e">
        <f ca="1">((AE220 * AF178 * AE236) * 10 ^ -3)</f>
        <v>#N/A</v>
      </c>
      <c r="AG252" s="15" t="e">
        <f ca="1">((AF220 * AG178 * AF236) * 10 ^ -3)</f>
        <v>#N/A</v>
      </c>
      <c r="AH252" s="15" t="e">
        <f ca="1">((AG220 * AH178 * AG236) * 10 ^ -3)</f>
        <v>#N/A</v>
      </c>
      <c r="AI252" s="16" t="str">
        <f t="shared" si="11"/>
        <v>t CH4</v>
      </c>
      <c r="AJ252" s="16"/>
    </row>
    <row r="253" spans="4:36" ht="20.100000000000001" customHeight="1" x14ac:dyDescent="0.2">
      <c r="W253" s="15" t="str">
        <f>'Input - Pasture Beef'!$D$152</f>
        <v>Pasture range and paddock</v>
      </c>
      <c r="X253" s="15" t="str">
        <f t="shared" si="12"/>
        <v>February</v>
      </c>
      <c r="Y253" s="15" t="e">
        <f ca="1">((X221 * Y179 * X237) * 10 ^ -3)</f>
        <v>#N/A</v>
      </c>
      <c r="Z253" s="15" t="e">
        <f ca="1">((Y221 * Z179 * Y237) * 10 ^ -3)</f>
        <v>#N/A</v>
      </c>
      <c r="AA253" s="15" t="e">
        <f ca="1">((Z221 * AA179 * Z237) * 10 ^ -3)</f>
        <v>#N/A</v>
      </c>
      <c r="AB253" s="15" t="e">
        <f ca="1">((AA221 * AB179 * AA237) * 10 ^ -3)</f>
        <v>#N/A</v>
      </c>
      <c r="AC253" s="15" t="e">
        <f ca="1">((AB221 * AC179 * AB237) * 10 ^ -3)</f>
        <v>#N/A</v>
      </c>
      <c r="AD253" s="15" t="e">
        <f ca="1">((AC221 * AD179 * AC237) * 10 ^ -3)</f>
        <v>#N/A</v>
      </c>
      <c r="AE253" s="15" t="e">
        <f ca="1">((AD221 * AE179 * AD237) * 10 ^ -3)</f>
        <v>#N/A</v>
      </c>
      <c r="AF253" s="15" t="e">
        <f ca="1">((AE221 * AF179 * AE237) * 10 ^ -3)</f>
        <v>#N/A</v>
      </c>
      <c r="AG253" s="15" t="e">
        <f ca="1">((AF221 * AG179 * AF237) * 10 ^ -3)</f>
        <v>#N/A</v>
      </c>
      <c r="AH253" s="15" t="e">
        <f ca="1">((AG221 * AH179 * AG237) * 10 ^ -3)</f>
        <v>#N/A</v>
      </c>
      <c r="AI253" s="16" t="str">
        <f t="shared" si="11"/>
        <v>t CH4</v>
      </c>
      <c r="AJ253" s="16"/>
    </row>
    <row r="254" spans="4:36" ht="20.100000000000001" customHeight="1" x14ac:dyDescent="0.2">
      <c r="W254" s="15" t="str">
        <f>'Input - Pasture Beef'!$D$152</f>
        <v>Pasture range and paddock</v>
      </c>
      <c r="X254" s="15" t="str">
        <f t="shared" si="12"/>
        <v>March</v>
      </c>
      <c r="Y254" s="15" t="e">
        <f ca="1">((X222 * Y180 * X238) * 10 ^ -3)</f>
        <v>#N/A</v>
      </c>
      <c r="Z254" s="15" t="e">
        <f ca="1">((Y222 * Z180 * Y238) * 10 ^ -3)</f>
        <v>#N/A</v>
      </c>
      <c r="AA254" s="15" t="e">
        <f ca="1">((Z222 * AA180 * Z238) * 10 ^ -3)</f>
        <v>#N/A</v>
      </c>
      <c r="AB254" s="15" t="e">
        <f ca="1">((AA222 * AB180 * AA238) * 10 ^ -3)</f>
        <v>#N/A</v>
      </c>
      <c r="AC254" s="15" t="e">
        <f ca="1">((AB222 * AC180 * AB238) * 10 ^ -3)</f>
        <v>#N/A</v>
      </c>
      <c r="AD254" s="15" t="e">
        <f ca="1">((AC222 * AD180 * AC238) * 10 ^ -3)</f>
        <v>#N/A</v>
      </c>
      <c r="AE254" s="15" t="e">
        <f ca="1">((AD222 * AE180 * AD238) * 10 ^ -3)</f>
        <v>#N/A</v>
      </c>
      <c r="AF254" s="15" t="e">
        <f ca="1">((AE222 * AF180 * AE238) * 10 ^ -3)</f>
        <v>#N/A</v>
      </c>
      <c r="AG254" s="15" t="e">
        <f ca="1">((AF222 * AG180 * AF238) * 10 ^ -3)</f>
        <v>#N/A</v>
      </c>
      <c r="AH254" s="15" t="e">
        <f ca="1">((AG222 * AH180 * AG238) * 10 ^ -3)</f>
        <v>#N/A</v>
      </c>
      <c r="AI254" s="16" t="str">
        <f t="shared" si="11"/>
        <v>t CH4</v>
      </c>
      <c r="AJ254" s="16"/>
    </row>
    <row r="255" spans="4:36" ht="20.100000000000001" customHeight="1" x14ac:dyDescent="0.2">
      <c r="W255" s="15" t="str">
        <f>'Input - Pasture Beef'!$D$152</f>
        <v>Pasture range and paddock</v>
      </c>
      <c r="X255" s="15" t="str">
        <f t="shared" si="12"/>
        <v>April</v>
      </c>
      <c r="Y255" s="15" t="e">
        <f ca="1">((X223 * Y181 * X239) * 10 ^ -3)</f>
        <v>#N/A</v>
      </c>
      <c r="Z255" s="15" t="e">
        <f ca="1">((Y223 * Z181 * Y239) * 10 ^ -3)</f>
        <v>#N/A</v>
      </c>
      <c r="AA255" s="15" t="e">
        <f ca="1">((Z223 * AA181 * Z239) * 10 ^ -3)</f>
        <v>#N/A</v>
      </c>
      <c r="AB255" s="15" t="e">
        <f ca="1">((AA223 * AB181 * AA239) * 10 ^ -3)</f>
        <v>#N/A</v>
      </c>
      <c r="AC255" s="15" t="e">
        <f ca="1">((AB223 * AC181 * AB239) * 10 ^ -3)</f>
        <v>#N/A</v>
      </c>
      <c r="AD255" s="15" t="e">
        <f ca="1">((AC223 * AD181 * AC239) * 10 ^ -3)</f>
        <v>#N/A</v>
      </c>
      <c r="AE255" s="15" t="e">
        <f ca="1">((AD223 * AE181 * AD239) * 10 ^ -3)</f>
        <v>#N/A</v>
      </c>
      <c r="AF255" s="15" t="e">
        <f ca="1">((AE223 * AF181 * AE239) * 10 ^ -3)</f>
        <v>#N/A</v>
      </c>
      <c r="AG255" s="15" t="e">
        <f ca="1">((AF223 * AG181 * AF239) * 10 ^ -3)</f>
        <v>#N/A</v>
      </c>
      <c r="AH255" s="15" t="e">
        <f ca="1">((AG223 * AH181 * AG239) * 10 ^ -3)</f>
        <v>#N/A</v>
      </c>
      <c r="AI255" s="16" t="str">
        <f t="shared" si="11"/>
        <v>t CH4</v>
      </c>
      <c r="AJ255" s="16"/>
    </row>
    <row r="256" spans="4:36" ht="20.100000000000001" customHeight="1" x14ac:dyDescent="0.2">
      <c r="W256" s="15" t="str">
        <f>'Input - Pasture Beef'!$D$152</f>
        <v>Pasture range and paddock</v>
      </c>
      <c r="X256" s="15" t="str">
        <f t="shared" si="12"/>
        <v>May</v>
      </c>
      <c r="Y256" s="15" t="e">
        <f ca="1">((X224 * Y182 * X240) * 10 ^ -3)</f>
        <v>#N/A</v>
      </c>
      <c r="Z256" s="15" t="e">
        <f ca="1">((Y224 * Z182 * Y240) * 10 ^ -3)</f>
        <v>#N/A</v>
      </c>
      <c r="AA256" s="15" t="e">
        <f ca="1">((Z224 * AA182 * Z240) * 10 ^ -3)</f>
        <v>#N/A</v>
      </c>
      <c r="AB256" s="15" t="e">
        <f ca="1">((AA224 * AB182 * AA240) * 10 ^ -3)</f>
        <v>#N/A</v>
      </c>
      <c r="AC256" s="15" t="e">
        <f ca="1">((AB224 * AC182 * AB240) * 10 ^ -3)</f>
        <v>#N/A</v>
      </c>
      <c r="AD256" s="15" t="e">
        <f ca="1">((AC224 * AD182 * AC240) * 10 ^ -3)</f>
        <v>#N/A</v>
      </c>
      <c r="AE256" s="15" t="e">
        <f ca="1">((AD224 * AE182 * AD240) * 10 ^ -3)</f>
        <v>#N/A</v>
      </c>
      <c r="AF256" s="15" t="e">
        <f ca="1">((AE224 * AF182 * AE240) * 10 ^ -3)</f>
        <v>#N/A</v>
      </c>
      <c r="AG256" s="15" t="e">
        <f ca="1">((AF224 * AG182 * AF240) * 10 ^ -3)</f>
        <v>#N/A</v>
      </c>
      <c r="AH256" s="15" t="e">
        <f ca="1">((AG224 * AH182 * AG240) * 10 ^ -3)</f>
        <v>#N/A</v>
      </c>
      <c r="AI256" s="16" t="str">
        <f t="shared" si="11"/>
        <v>t CH4</v>
      </c>
      <c r="AJ256" s="16"/>
    </row>
    <row r="257" spans="23:36" ht="20.100000000000001" customHeight="1" x14ac:dyDescent="0.2">
      <c r="W257" s="15" t="str">
        <f>'Input - Pasture Beef'!$D$152</f>
        <v>Pasture range and paddock</v>
      </c>
      <c r="X257" s="15" t="str">
        <f t="shared" si="12"/>
        <v>June</v>
      </c>
      <c r="Y257" s="15" t="e">
        <f ca="1">((X225 * Y183 * X241) * 10 ^ -3)</f>
        <v>#N/A</v>
      </c>
      <c r="Z257" s="15" t="e">
        <f ca="1">((Y225 * Z183 * Y241) * 10 ^ -3)</f>
        <v>#N/A</v>
      </c>
      <c r="AA257" s="15" t="e">
        <f ca="1">((Z225 * AA183 * Z241) * 10 ^ -3)</f>
        <v>#N/A</v>
      </c>
      <c r="AB257" s="15" t="e">
        <f ca="1">((AA225 * AB183 * AA241) * 10 ^ -3)</f>
        <v>#N/A</v>
      </c>
      <c r="AC257" s="15" t="e">
        <f ca="1">((AB225 * AC183 * AB241) * 10 ^ -3)</f>
        <v>#N/A</v>
      </c>
      <c r="AD257" s="15" t="e">
        <f ca="1">((AC225 * AD183 * AC241) * 10 ^ -3)</f>
        <v>#N/A</v>
      </c>
      <c r="AE257" s="15" t="e">
        <f ca="1">((AD225 * AE183 * AD241) * 10 ^ -3)</f>
        <v>#N/A</v>
      </c>
      <c r="AF257" s="15" t="e">
        <f ca="1">((AE225 * AF183 * AE241) * 10 ^ -3)</f>
        <v>#N/A</v>
      </c>
      <c r="AG257" s="15" t="e">
        <f ca="1">((AF225 * AG183 * AF241) * 10 ^ -3)</f>
        <v>#N/A</v>
      </c>
      <c r="AH257" s="15" t="e">
        <f ca="1">((AG225 * AH183 * AG241) * 10 ^ -3)</f>
        <v>#N/A</v>
      </c>
      <c r="AI257" s="16" t="str">
        <f t="shared" si="11"/>
        <v>t CH4</v>
      </c>
      <c r="AJ257" s="16"/>
    </row>
    <row r="258" spans="23:36" ht="20.100000000000001" customHeight="1" x14ac:dyDescent="0.2">
      <c r="W258" s="15" t="str">
        <f>'Input - Pasture Beef'!$D$152</f>
        <v>Pasture range and paddock</v>
      </c>
      <c r="X258" s="15" t="str">
        <f t="shared" si="12"/>
        <v>July</v>
      </c>
      <c r="Y258" s="15" t="e">
        <f ca="1">((X226 * Y184 * X242) * 10 ^ -3)</f>
        <v>#N/A</v>
      </c>
      <c r="Z258" s="15" t="e">
        <f ca="1">((Y226 * Z184 * Y242) * 10 ^ -3)</f>
        <v>#N/A</v>
      </c>
      <c r="AA258" s="15" t="e">
        <f ca="1">((Z226 * AA184 * Z242) * 10 ^ -3)</f>
        <v>#N/A</v>
      </c>
      <c r="AB258" s="15" t="e">
        <f ca="1">((AA226 * AB184 * AA242) * 10 ^ -3)</f>
        <v>#N/A</v>
      </c>
      <c r="AC258" s="15" t="e">
        <f ca="1">((AB226 * AC184 * AB242) * 10 ^ -3)</f>
        <v>#N/A</v>
      </c>
      <c r="AD258" s="15" t="e">
        <f ca="1">((AC226 * AD184 * AC242) * 10 ^ -3)</f>
        <v>#N/A</v>
      </c>
      <c r="AE258" s="15" t="e">
        <f ca="1">((AD226 * AE184 * AD242) * 10 ^ -3)</f>
        <v>#N/A</v>
      </c>
      <c r="AF258" s="15" t="e">
        <f ca="1">((AE226 * AF184 * AE242) * 10 ^ -3)</f>
        <v>#N/A</v>
      </c>
      <c r="AG258" s="15" t="e">
        <f ca="1">((AF226 * AG184 * AF242) * 10 ^ -3)</f>
        <v>#N/A</v>
      </c>
      <c r="AH258" s="15" t="e">
        <f ca="1">((AG226 * AH184 * AG242) * 10 ^ -3)</f>
        <v>#N/A</v>
      </c>
      <c r="AI258" s="16" t="str">
        <f t="shared" si="11"/>
        <v>t CH4</v>
      </c>
      <c r="AJ258" s="16"/>
    </row>
    <row r="259" spans="23:36" ht="20.100000000000001" customHeight="1" x14ac:dyDescent="0.2">
      <c r="W259" s="15" t="str">
        <f>'Input - Pasture Beef'!$D$152</f>
        <v>Pasture range and paddock</v>
      </c>
      <c r="X259" s="15" t="str">
        <f t="shared" si="12"/>
        <v>August</v>
      </c>
      <c r="Y259" s="15" t="e">
        <f ca="1">((X227 * Y185 * X243) * 10 ^ -3)</f>
        <v>#N/A</v>
      </c>
      <c r="Z259" s="15" t="e">
        <f ca="1">((Y227 * Z185 * Y243) * 10 ^ -3)</f>
        <v>#N/A</v>
      </c>
      <c r="AA259" s="15" t="e">
        <f ca="1">((Z227 * AA185 * Z243) * 10 ^ -3)</f>
        <v>#N/A</v>
      </c>
      <c r="AB259" s="15" t="e">
        <f ca="1">((AA227 * AB185 * AA243) * 10 ^ -3)</f>
        <v>#N/A</v>
      </c>
      <c r="AC259" s="15" t="e">
        <f ca="1">((AB227 * AC185 * AB243) * 10 ^ -3)</f>
        <v>#N/A</v>
      </c>
      <c r="AD259" s="15" t="e">
        <f ca="1">((AC227 * AD185 * AC243) * 10 ^ -3)</f>
        <v>#N/A</v>
      </c>
      <c r="AE259" s="15" t="e">
        <f ca="1">((AD227 * AE185 * AD243) * 10 ^ -3)</f>
        <v>#N/A</v>
      </c>
      <c r="AF259" s="15" t="e">
        <f ca="1">((AE227 * AF185 * AE243) * 10 ^ -3)</f>
        <v>#N/A</v>
      </c>
      <c r="AG259" s="15" t="e">
        <f ca="1">((AF227 * AG185 * AF243) * 10 ^ -3)</f>
        <v>#N/A</v>
      </c>
      <c r="AH259" s="15" t="e">
        <f ca="1">((AG227 * AH185 * AG243) * 10 ^ -3)</f>
        <v>#N/A</v>
      </c>
      <c r="AI259" s="16" t="str">
        <f t="shared" si="11"/>
        <v>t CH4</v>
      </c>
      <c r="AJ259" s="16"/>
    </row>
    <row r="260" spans="23:36" ht="20.100000000000001" customHeight="1" x14ac:dyDescent="0.2">
      <c r="W260" s="15" t="str">
        <f>'Input - Pasture Beef'!$D$152</f>
        <v>Pasture range and paddock</v>
      </c>
      <c r="X260" s="15" t="str">
        <f t="shared" si="12"/>
        <v>September</v>
      </c>
      <c r="Y260" s="15" t="e">
        <f ca="1">((X228 * Y186 * X244) * 10 ^ -3)</f>
        <v>#N/A</v>
      </c>
      <c r="Z260" s="15" t="e">
        <f ca="1">((Y228 * Z186 * Y244) * 10 ^ -3)</f>
        <v>#N/A</v>
      </c>
      <c r="AA260" s="15" t="e">
        <f ca="1">((Z228 * AA186 * Z244) * 10 ^ -3)</f>
        <v>#N/A</v>
      </c>
      <c r="AB260" s="15" t="e">
        <f ca="1">((AA228 * AB186 * AA244) * 10 ^ -3)</f>
        <v>#N/A</v>
      </c>
      <c r="AC260" s="15" t="e">
        <f ca="1">((AB228 * AC186 * AB244) * 10 ^ -3)</f>
        <v>#N/A</v>
      </c>
      <c r="AD260" s="15" t="e">
        <f ca="1">((AC228 * AD186 * AC244) * 10 ^ -3)</f>
        <v>#N/A</v>
      </c>
      <c r="AE260" s="15" t="e">
        <f ca="1">((AD228 * AE186 * AD244) * 10 ^ -3)</f>
        <v>#N/A</v>
      </c>
      <c r="AF260" s="15" t="e">
        <f ca="1">((AE228 * AF186 * AE244) * 10 ^ -3)</f>
        <v>#N/A</v>
      </c>
      <c r="AG260" s="15" t="e">
        <f ca="1">((AF228 * AG186 * AF244) * 10 ^ -3)</f>
        <v>#N/A</v>
      </c>
      <c r="AH260" s="15" t="e">
        <f ca="1">((AG228 * AH186 * AG244) * 10 ^ -3)</f>
        <v>#N/A</v>
      </c>
      <c r="AI260" s="16" t="str">
        <f t="shared" si="11"/>
        <v>t CH4</v>
      </c>
      <c r="AJ260" s="16"/>
    </row>
    <row r="261" spans="23:36" ht="20.100000000000001" customHeight="1" x14ac:dyDescent="0.2">
      <c r="W261" s="15" t="str">
        <f>'Input - Pasture Beef'!$D$152</f>
        <v>Pasture range and paddock</v>
      </c>
      <c r="X261" s="15" t="str">
        <f t="shared" si="12"/>
        <v>October</v>
      </c>
      <c r="Y261" s="15" t="e">
        <f ca="1">((X229 * Y187 * X245) * 10 ^ -3)</f>
        <v>#N/A</v>
      </c>
      <c r="Z261" s="15" t="e">
        <f ca="1">((Y229 * Z187 * Y245) * 10 ^ -3)</f>
        <v>#N/A</v>
      </c>
      <c r="AA261" s="15" t="e">
        <f ca="1">((Z229 * AA187 * Z245) * 10 ^ -3)</f>
        <v>#N/A</v>
      </c>
      <c r="AB261" s="15" t="e">
        <f ca="1">((AA229 * AB187 * AA245) * 10 ^ -3)</f>
        <v>#N/A</v>
      </c>
      <c r="AC261" s="15" t="e">
        <f ca="1">((AB229 * AC187 * AB245) * 10 ^ -3)</f>
        <v>#N/A</v>
      </c>
      <c r="AD261" s="15" t="e">
        <f ca="1">((AC229 * AD187 * AC245) * 10 ^ -3)</f>
        <v>#N/A</v>
      </c>
      <c r="AE261" s="15" t="e">
        <f ca="1">((AD229 * AE187 * AD245) * 10 ^ -3)</f>
        <v>#N/A</v>
      </c>
      <c r="AF261" s="15" t="e">
        <f ca="1">((AE229 * AF187 * AE245) * 10 ^ -3)</f>
        <v>#N/A</v>
      </c>
      <c r="AG261" s="15" t="e">
        <f ca="1">((AF229 * AG187 * AF245) * 10 ^ -3)</f>
        <v>#N/A</v>
      </c>
      <c r="AH261" s="15" t="e">
        <f ca="1">((AG229 * AH187 * AG245) * 10 ^ -3)</f>
        <v>#N/A</v>
      </c>
      <c r="AI261" s="16" t="str">
        <f t="shared" si="11"/>
        <v>t CH4</v>
      </c>
      <c r="AJ261" s="16"/>
    </row>
    <row r="262" spans="23:36" ht="20.100000000000001" customHeight="1" x14ac:dyDescent="0.2">
      <c r="W262" s="15" t="str">
        <f>'Input - Pasture Beef'!$D$152</f>
        <v>Pasture range and paddock</v>
      </c>
      <c r="X262" s="15" t="str">
        <f t="shared" si="12"/>
        <v>November</v>
      </c>
      <c r="Y262" s="15" t="e">
        <f ca="1">((X230 * Y188 * X246) * 10 ^ -3)</f>
        <v>#N/A</v>
      </c>
      <c r="Z262" s="15" t="e">
        <f ca="1">((Y230 * Z188 * Y246) * 10 ^ -3)</f>
        <v>#N/A</v>
      </c>
      <c r="AA262" s="15" t="e">
        <f ca="1">((Z230 * AA188 * Z246) * 10 ^ -3)</f>
        <v>#N/A</v>
      </c>
      <c r="AB262" s="15" t="e">
        <f ca="1">((AA230 * AB188 * AA246) * 10 ^ -3)</f>
        <v>#N/A</v>
      </c>
      <c r="AC262" s="15" t="e">
        <f ca="1">((AB230 * AC188 * AB246) * 10 ^ -3)</f>
        <v>#N/A</v>
      </c>
      <c r="AD262" s="15" t="e">
        <f ca="1">((AC230 * AD188 * AC246) * 10 ^ -3)</f>
        <v>#N/A</v>
      </c>
      <c r="AE262" s="15" t="e">
        <f ca="1">((AD230 * AE188 * AD246) * 10 ^ -3)</f>
        <v>#N/A</v>
      </c>
      <c r="AF262" s="15" t="e">
        <f ca="1">((AE230 * AF188 * AE246) * 10 ^ -3)</f>
        <v>#N/A</v>
      </c>
      <c r="AG262" s="15" t="e">
        <f ca="1">((AF230 * AG188 * AF246) * 10 ^ -3)</f>
        <v>#N/A</v>
      </c>
      <c r="AH262" s="15" t="e">
        <f ca="1">((AG230 * AH188 * AG246) * 10 ^ -3)</f>
        <v>#N/A</v>
      </c>
      <c r="AI262" s="16" t="str">
        <f t="shared" si="11"/>
        <v>t CH4</v>
      </c>
      <c r="AJ262" s="16"/>
    </row>
    <row r="263" spans="23:36" ht="20.100000000000001" customHeight="1" x14ac:dyDescent="0.2">
      <c r="W263" s="15" t="str">
        <f>'Input - Pasture Beef'!$D$153</f>
        <v>Anaerobic lagoon</v>
      </c>
      <c r="X263" s="15" t="str">
        <f>W235</f>
        <v>January</v>
      </c>
      <c r="Y263" s="15" t="e">
        <f ca="1">((X219 * Y189 * X235) * 10 ^ -3)</f>
        <v>#N/A</v>
      </c>
      <c r="Z263" s="15" t="e">
        <f ca="1">((Y219 * Z189 * Y235) * 10 ^ -3)</f>
        <v>#N/A</v>
      </c>
      <c r="AA263" s="15" t="e">
        <f ca="1">((Z219 * AA189 * Z235) * 10 ^ -3)</f>
        <v>#N/A</v>
      </c>
      <c r="AB263" s="15" t="e">
        <f ca="1">((AA219 * AB189 * AA235) * 10 ^ -3)</f>
        <v>#N/A</v>
      </c>
      <c r="AC263" s="15" t="e">
        <f ca="1">((AB219 * AC189 * AB235) * 10 ^ -3)</f>
        <v>#N/A</v>
      </c>
      <c r="AD263" s="15" t="e">
        <f ca="1">((AC219 * AD189 * AC235) * 10 ^ -3)</f>
        <v>#N/A</v>
      </c>
      <c r="AE263" s="15" t="e">
        <f ca="1">((AD219 * AE189 * AD235) * 10 ^ -3)</f>
        <v>#N/A</v>
      </c>
      <c r="AF263" s="15" t="e">
        <f ca="1">((AE219 * AF189 * AE235) * 10 ^ -3)</f>
        <v>#N/A</v>
      </c>
      <c r="AG263" s="15" t="e">
        <f ca="1">((AF219 * AG189 * AF235) * 10 ^ -3)</f>
        <v>#N/A</v>
      </c>
      <c r="AH263" s="15" t="e">
        <f ca="1">((AG219 * AH189 * AG235) * 10 ^ -3)</f>
        <v>#N/A</v>
      </c>
      <c r="AI263" s="16" t="str">
        <f t="shared" si="11"/>
        <v>t CH4</v>
      </c>
      <c r="AJ263" s="16"/>
    </row>
    <row r="264" spans="23:36" ht="20.100000000000001" customHeight="1" x14ac:dyDescent="0.2">
      <c r="W264" s="15" t="str">
        <f>'Input - Pasture Beef'!$D$153</f>
        <v>Anaerobic lagoon</v>
      </c>
      <c r="X264" s="15" t="str">
        <f t="shared" ref="X264:X274" si="13">W236</f>
        <v>January</v>
      </c>
      <c r="Y264" s="15" t="e">
        <f ca="1">((X220 * Y190 * X236) * 10 ^ -3)</f>
        <v>#N/A</v>
      </c>
      <c r="Z264" s="15" t="e">
        <f ca="1">((Y220 * Z190 * Y236) * 10 ^ -3)</f>
        <v>#N/A</v>
      </c>
      <c r="AA264" s="15" t="e">
        <f ca="1">((Z220 * AA190 * Z236) * 10 ^ -3)</f>
        <v>#N/A</v>
      </c>
      <c r="AB264" s="15" t="e">
        <f ca="1">((AA220 * AB190 * AA236) * 10 ^ -3)</f>
        <v>#N/A</v>
      </c>
      <c r="AC264" s="15" t="e">
        <f ca="1">((AB220 * AC190 * AB236) * 10 ^ -3)</f>
        <v>#N/A</v>
      </c>
      <c r="AD264" s="15" t="e">
        <f ca="1">((AC220 * AD190 * AC236) * 10 ^ -3)</f>
        <v>#N/A</v>
      </c>
      <c r="AE264" s="15" t="e">
        <f ca="1">((AD220 * AE190 * AD236) * 10 ^ -3)</f>
        <v>#N/A</v>
      </c>
      <c r="AF264" s="15" t="e">
        <f ca="1">((AE220 * AF190 * AE236) * 10 ^ -3)</f>
        <v>#N/A</v>
      </c>
      <c r="AG264" s="15" t="e">
        <f ca="1">((AF220 * AG190 * AF236) * 10 ^ -3)</f>
        <v>#N/A</v>
      </c>
      <c r="AH264" s="15" t="e">
        <f ca="1">((AG220 * AH190 * AG236) * 10 ^ -3)</f>
        <v>#N/A</v>
      </c>
      <c r="AI264" s="16" t="str">
        <f t="shared" si="11"/>
        <v>t CH4</v>
      </c>
      <c r="AJ264" s="16"/>
    </row>
    <row r="265" spans="23:36" ht="20.100000000000001" customHeight="1" x14ac:dyDescent="0.2">
      <c r="W265" s="15" t="str">
        <f>'Input - Pasture Beef'!$D$153</f>
        <v>Anaerobic lagoon</v>
      </c>
      <c r="X265" s="15" t="str">
        <f t="shared" si="13"/>
        <v>February</v>
      </c>
      <c r="Y265" s="15" t="e">
        <f ca="1">((X221 * Y191 * X237) * 10 ^ -3)</f>
        <v>#N/A</v>
      </c>
      <c r="Z265" s="15" t="e">
        <f ca="1">((Y221 * Z191 * Y237) * 10 ^ -3)</f>
        <v>#N/A</v>
      </c>
      <c r="AA265" s="15" t="e">
        <f ca="1">((Z221 * AA191 * Z237) * 10 ^ -3)</f>
        <v>#N/A</v>
      </c>
      <c r="AB265" s="15" t="e">
        <f ca="1">((AA221 * AB191 * AA237) * 10 ^ -3)</f>
        <v>#N/A</v>
      </c>
      <c r="AC265" s="15" t="e">
        <f ca="1">((AB221 * AC191 * AB237) * 10 ^ -3)</f>
        <v>#N/A</v>
      </c>
      <c r="AD265" s="15" t="e">
        <f ca="1">((AC221 * AD191 * AC237) * 10 ^ -3)</f>
        <v>#N/A</v>
      </c>
      <c r="AE265" s="15" t="e">
        <f ca="1">((AD221 * AE191 * AD237) * 10 ^ -3)</f>
        <v>#N/A</v>
      </c>
      <c r="AF265" s="15" t="e">
        <f ca="1">((AE221 * AF191 * AE237) * 10 ^ -3)</f>
        <v>#N/A</v>
      </c>
      <c r="AG265" s="15" t="e">
        <f ca="1">((AF221 * AG191 * AF237) * 10 ^ -3)</f>
        <v>#N/A</v>
      </c>
      <c r="AH265" s="15" t="e">
        <f ca="1">((AG221 * AH191 * AG237) * 10 ^ -3)</f>
        <v>#N/A</v>
      </c>
      <c r="AI265" s="16" t="str">
        <f t="shared" si="11"/>
        <v>t CH4</v>
      </c>
      <c r="AJ265" s="16"/>
    </row>
    <row r="266" spans="23:36" ht="20.100000000000001" customHeight="1" x14ac:dyDescent="0.2">
      <c r="W266" s="15" t="str">
        <f>'Input - Pasture Beef'!$D$153</f>
        <v>Anaerobic lagoon</v>
      </c>
      <c r="X266" s="15" t="str">
        <f t="shared" si="13"/>
        <v>March</v>
      </c>
      <c r="Y266" s="15" t="e">
        <f ca="1">((X222 * Y192 * X238) * 10 ^ -3)</f>
        <v>#N/A</v>
      </c>
      <c r="Z266" s="15" t="e">
        <f ca="1">((Y222 * Z192 * Y238) * 10 ^ -3)</f>
        <v>#N/A</v>
      </c>
      <c r="AA266" s="15" t="e">
        <f ca="1">((Z222 * AA192 * Z238) * 10 ^ -3)</f>
        <v>#N/A</v>
      </c>
      <c r="AB266" s="15" t="e">
        <f ca="1">((AA222 * AB192 * AA238) * 10 ^ -3)</f>
        <v>#N/A</v>
      </c>
      <c r="AC266" s="15" t="e">
        <f ca="1">((AB222 * AC192 * AB238) * 10 ^ -3)</f>
        <v>#N/A</v>
      </c>
      <c r="AD266" s="15" t="e">
        <f ca="1">((AC222 * AD192 * AC238) * 10 ^ -3)</f>
        <v>#N/A</v>
      </c>
      <c r="AE266" s="15" t="e">
        <f ca="1">((AD222 * AE192 * AD238) * 10 ^ -3)</f>
        <v>#N/A</v>
      </c>
      <c r="AF266" s="15" t="e">
        <f ca="1">((AE222 * AF192 * AE238) * 10 ^ -3)</f>
        <v>#N/A</v>
      </c>
      <c r="AG266" s="15" t="e">
        <f ca="1">((AF222 * AG192 * AF238) * 10 ^ -3)</f>
        <v>#N/A</v>
      </c>
      <c r="AH266" s="15" t="e">
        <f ca="1">((AG222 * AH192 * AG238) * 10 ^ -3)</f>
        <v>#N/A</v>
      </c>
      <c r="AI266" s="16" t="str">
        <f t="shared" si="11"/>
        <v>t CH4</v>
      </c>
      <c r="AJ266" s="16"/>
    </row>
    <row r="267" spans="23:36" ht="20.100000000000001" customHeight="1" x14ac:dyDescent="0.2">
      <c r="W267" s="15" t="str">
        <f>'Input - Pasture Beef'!$D$153</f>
        <v>Anaerobic lagoon</v>
      </c>
      <c r="X267" s="15" t="str">
        <f t="shared" si="13"/>
        <v>April</v>
      </c>
      <c r="Y267" s="15" t="e">
        <f ca="1">((X223 * Y193 * X239) * 10 ^ -3)</f>
        <v>#N/A</v>
      </c>
      <c r="Z267" s="15" t="e">
        <f ca="1">((Y223 * Z193 * Y239) * 10 ^ -3)</f>
        <v>#N/A</v>
      </c>
      <c r="AA267" s="15" t="e">
        <f ca="1">((Z223 * AA193 * Z239) * 10 ^ -3)</f>
        <v>#N/A</v>
      </c>
      <c r="AB267" s="15" t="e">
        <f ca="1">((AA223 * AB193 * AA239) * 10 ^ -3)</f>
        <v>#N/A</v>
      </c>
      <c r="AC267" s="15" t="e">
        <f ca="1">((AB223 * AC193 * AB239) * 10 ^ -3)</f>
        <v>#N/A</v>
      </c>
      <c r="AD267" s="15" t="e">
        <f ca="1">((AC223 * AD193 * AC239) * 10 ^ -3)</f>
        <v>#N/A</v>
      </c>
      <c r="AE267" s="15" t="e">
        <f ca="1">((AD223 * AE193 * AD239) * 10 ^ -3)</f>
        <v>#N/A</v>
      </c>
      <c r="AF267" s="15" t="e">
        <f ca="1">((AE223 * AF193 * AE239) * 10 ^ -3)</f>
        <v>#N/A</v>
      </c>
      <c r="AG267" s="15" t="e">
        <f ca="1">((AF223 * AG193 * AF239) * 10 ^ -3)</f>
        <v>#N/A</v>
      </c>
      <c r="AH267" s="15" t="e">
        <f ca="1">((AG223 * AH193 * AG239) * 10 ^ -3)</f>
        <v>#N/A</v>
      </c>
      <c r="AI267" s="16" t="str">
        <f t="shared" si="11"/>
        <v>t CH4</v>
      </c>
      <c r="AJ267" s="16"/>
    </row>
    <row r="268" spans="23:36" ht="20.100000000000001" customHeight="1" x14ac:dyDescent="0.2">
      <c r="W268" s="15" t="str">
        <f>'Input - Pasture Beef'!$D$153</f>
        <v>Anaerobic lagoon</v>
      </c>
      <c r="X268" s="15" t="str">
        <f t="shared" si="13"/>
        <v>May</v>
      </c>
      <c r="Y268" s="15" t="e">
        <f ca="1">((X224 * Y194 * X240) * 10 ^ -3)</f>
        <v>#N/A</v>
      </c>
      <c r="Z268" s="15" t="e">
        <f ca="1">((Y224 * Z194 * Y240) * 10 ^ -3)</f>
        <v>#N/A</v>
      </c>
      <c r="AA268" s="15" t="e">
        <f ca="1">((Z224 * AA194 * Z240) * 10 ^ -3)</f>
        <v>#N/A</v>
      </c>
      <c r="AB268" s="15" t="e">
        <f ca="1">((AA224 * AB194 * AA240) * 10 ^ -3)</f>
        <v>#N/A</v>
      </c>
      <c r="AC268" s="15" t="e">
        <f ca="1">((AB224 * AC194 * AB240) * 10 ^ -3)</f>
        <v>#N/A</v>
      </c>
      <c r="AD268" s="15" t="e">
        <f ca="1">((AC224 * AD194 * AC240) * 10 ^ -3)</f>
        <v>#N/A</v>
      </c>
      <c r="AE268" s="15" t="e">
        <f ca="1">((AD224 * AE194 * AD240) * 10 ^ -3)</f>
        <v>#N/A</v>
      </c>
      <c r="AF268" s="15" t="e">
        <f ca="1">((AE224 * AF194 * AE240) * 10 ^ -3)</f>
        <v>#N/A</v>
      </c>
      <c r="AG268" s="15" t="e">
        <f ca="1">((AF224 * AG194 * AF240) * 10 ^ -3)</f>
        <v>#N/A</v>
      </c>
      <c r="AH268" s="15" t="e">
        <f ca="1">((AG224 * AH194 * AG240) * 10 ^ -3)</f>
        <v>#N/A</v>
      </c>
      <c r="AI268" s="16" t="str">
        <f t="shared" si="11"/>
        <v>t CH4</v>
      </c>
      <c r="AJ268" s="16"/>
    </row>
    <row r="269" spans="23:36" ht="20.100000000000001" customHeight="1" x14ac:dyDescent="0.2">
      <c r="W269" s="15" t="str">
        <f>'Input - Pasture Beef'!$D$153</f>
        <v>Anaerobic lagoon</v>
      </c>
      <c r="X269" s="15" t="str">
        <f t="shared" si="13"/>
        <v>June</v>
      </c>
      <c r="Y269" s="15" t="e">
        <f ca="1">((X225 * Y195 * X241) * 10 ^ -3)</f>
        <v>#N/A</v>
      </c>
      <c r="Z269" s="15" t="e">
        <f ca="1">((Y225 * Z195 * Y241) * 10 ^ -3)</f>
        <v>#N/A</v>
      </c>
      <c r="AA269" s="15" t="e">
        <f ca="1">((Z225 * AA195 * Z241) * 10 ^ -3)</f>
        <v>#N/A</v>
      </c>
      <c r="AB269" s="15" t="e">
        <f ca="1">((AA225 * AB195 * AA241) * 10 ^ -3)</f>
        <v>#N/A</v>
      </c>
      <c r="AC269" s="15" t="e">
        <f ca="1">((AB225 * AC195 * AB241) * 10 ^ -3)</f>
        <v>#N/A</v>
      </c>
      <c r="AD269" s="15" t="e">
        <f ca="1">((AC225 * AD195 * AC241) * 10 ^ -3)</f>
        <v>#N/A</v>
      </c>
      <c r="AE269" s="15" t="e">
        <f ca="1">((AD225 * AE195 * AD241) * 10 ^ -3)</f>
        <v>#N/A</v>
      </c>
      <c r="AF269" s="15" t="e">
        <f ca="1">((AE225 * AF195 * AE241) * 10 ^ -3)</f>
        <v>#N/A</v>
      </c>
      <c r="AG269" s="15" t="e">
        <f ca="1">((AF225 * AG195 * AF241) * 10 ^ -3)</f>
        <v>#N/A</v>
      </c>
      <c r="AH269" s="15" t="e">
        <f ca="1">((AG225 * AH195 * AG241) * 10 ^ -3)</f>
        <v>#N/A</v>
      </c>
      <c r="AI269" s="16" t="str">
        <f t="shared" si="11"/>
        <v>t CH4</v>
      </c>
      <c r="AJ269" s="16"/>
    </row>
    <row r="270" spans="23:36" ht="20.100000000000001" customHeight="1" x14ac:dyDescent="0.2">
      <c r="W270" s="15" t="str">
        <f>'Input - Pasture Beef'!$D$153</f>
        <v>Anaerobic lagoon</v>
      </c>
      <c r="X270" s="15" t="str">
        <f t="shared" si="13"/>
        <v>July</v>
      </c>
      <c r="Y270" s="15" t="e">
        <f ca="1">((X226 * Y196 * X242) * 10 ^ -3)</f>
        <v>#N/A</v>
      </c>
      <c r="Z270" s="15" t="e">
        <f ca="1">((Y226 * Z196 * Y242) * 10 ^ -3)</f>
        <v>#N/A</v>
      </c>
      <c r="AA270" s="15" t="e">
        <f ca="1">((Z226 * AA196 * Z242) * 10 ^ -3)</f>
        <v>#N/A</v>
      </c>
      <c r="AB270" s="15" t="e">
        <f ca="1">((AA226 * AB196 * AA242) * 10 ^ -3)</f>
        <v>#N/A</v>
      </c>
      <c r="AC270" s="15" t="e">
        <f ca="1">((AB226 * AC196 * AB242) * 10 ^ -3)</f>
        <v>#N/A</v>
      </c>
      <c r="AD270" s="15" t="e">
        <f ca="1">((AC226 * AD196 * AC242) * 10 ^ -3)</f>
        <v>#N/A</v>
      </c>
      <c r="AE270" s="15" t="e">
        <f ca="1">((AD226 * AE196 * AD242) * 10 ^ -3)</f>
        <v>#N/A</v>
      </c>
      <c r="AF270" s="15" t="e">
        <f ca="1">((AE226 * AF196 * AE242) * 10 ^ -3)</f>
        <v>#N/A</v>
      </c>
      <c r="AG270" s="15" t="e">
        <f ca="1">((AF226 * AG196 * AF242) * 10 ^ -3)</f>
        <v>#N/A</v>
      </c>
      <c r="AH270" s="15" t="e">
        <f ca="1">((AG226 * AH196 * AG242) * 10 ^ -3)</f>
        <v>#N/A</v>
      </c>
      <c r="AI270" s="16" t="str">
        <f t="shared" si="11"/>
        <v>t CH4</v>
      </c>
      <c r="AJ270" s="16"/>
    </row>
    <row r="271" spans="23:36" ht="20.100000000000001" customHeight="1" x14ac:dyDescent="0.2">
      <c r="W271" s="15" t="str">
        <f>'Input - Pasture Beef'!$D$153</f>
        <v>Anaerobic lagoon</v>
      </c>
      <c r="X271" s="15" t="str">
        <f t="shared" si="13"/>
        <v>August</v>
      </c>
      <c r="Y271" s="15" t="e">
        <f ca="1">((X227 * Y197 * X243) * 10 ^ -3)</f>
        <v>#N/A</v>
      </c>
      <c r="Z271" s="15" t="e">
        <f ca="1">((Y227 * Z197 * Y243) * 10 ^ -3)</f>
        <v>#N/A</v>
      </c>
      <c r="AA271" s="15" t="e">
        <f ca="1">((Z227 * AA197 * Z243) * 10 ^ -3)</f>
        <v>#N/A</v>
      </c>
      <c r="AB271" s="15" t="e">
        <f ca="1">((AA227 * AB197 * AA243) * 10 ^ -3)</f>
        <v>#N/A</v>
      </c>
      <c r="AC271" s="15" t="e">
        <f ca="1">((AB227 * AC197 * AB243) * 10 ^ -3)</f>
        <v>#N/A</v>
      </c>
      <c r="AD271" s="15" t="e">
        <f ca="1">((AC227 * AD197 * AC243) * 10 ^ -3)</f>
        <v>#N/A</v>
      </c>
      <c r="AE271" s="15" t="e">
        <f ca="1">((AD227 * AE197 * AD243) * 10 ^ -3)</f>
        <v>#N/A</v>
      </c>
      <c r="AF271" s="15" t="e">
        <f ca="1">((AE227 * AF197 * AE243) * 10 ^ -3)</f>
        <v>#N/A</v>
      </c>
      <c r="AG271" s="15" t="e">
        <f ca="1">((AF227 * AG197 * AF243) * 10 ^ -3)</f>
        <v>#N/A</v>
      </c>
      <c r="AH271" s="15" t="e">
        <f ca="1">((AG227 * AH197 * AG243) * 10 ^ -3)</f>
        <v>#N/A</v>
      </c>
      <c r="AI271" s="16" t="str">
        <f t="shared" si="11"/>
        <v>t CH4</v>
      </c>
      <c r="AJ271" s="16"/>
    </row>
    <row r="272" spans="23:36" ht="20.100000000000001" customHeight="1" x14ac:dyDescent="0.2">
      <c r="W272" s="15" t="str">
        <f>'Input - Pasture Beef'!$D$153</f>
        <v>Anaerobic lagoon</v>
      </c>
      <c r="X272" s="15" t="str">
        <f t="shared" si="13"/>
        <v>September</v>
      </c>
      <c r="Y272" s="15" t="e">
        <f ca="1">((X228 * Y198 * X244) * 10 ^ -3)</f>
        <v>#N/A</v>
      </c>
      <c r="Z272" s="15" t="e">
        <f ca="1">((Y228 * Z198 * Y244) * 10 ^ -3)</f>
        <v>#N/A</v>
      </c>
      <c r="AA272" s="15" t="e">
        <f ca="1">((Z228 * AA198 * Z244) * 10 ^ -3)</f>
        <v>#N/A</v>
      </c>
      <c r="AB272" s="15" t="e">
        <f ca="1">((AA228 * AB198 * AA244) * 10 ^ -3)</f>
        <v>#N/A</v>
      </c>
      <c r="AC272" s="15" t="e">
        <f ca="1">((AB228 * AC198 * AB244) * 10 ^ -3)</f>
        <v>#N/A</v>
      </c>
      <c r="AD272" s="15" t="e">
        <f ca="1">((AC228 * AD198 * AC244) * 10 ^ -3)</f>
        <v>#N/A</v>
      </c>
      <c r="AE272" s="15" t="e">
        <f ca="1">((AD228 * AE198 * AD244) * 10 ^ -3)</f>
        <v>#N/A</v>
      </c>
      <c r="AF272" s="15" t="e">
        <f ca="1">((AE228 * AF198 * AE244) * 10 ^ -3)</f>
        <v>#N/A</v>
      </c>
      <c r="AG272" s="15" t="e">
        <f ca="1">((AF228 * AG198 * AF244) * 10 ^ -3)</f>
        <v>#N/A</v>
      </c>
      <c r="AH272" s="15" t="e">
        <f ca="1">((AG228 * AH198 * AG244) * 10 ^ -3)</f>
        <v>#N/A</v>
      </c>
      <c r="AI272" s="16" t="str">
        <f t="shared" si="11"/>
        <v>t CH4</v>
      </c>
      <c r="AJ272" s="16"/>
    </row>
    <row r="273" spans="23:36" ht="20.100000000000001" customHeight="1" x14ac:dyDescent="0.2">
      <c r="W273" s="15" t="str">
        <f>'Input - Pasture Beef'!$D$153</f>
        <v>Anaerobic lagoon</v>
      </c>
      <c r="X273" s="15" t="str">
        <f t="shared" si="13"/>
        <v>October</v>
      </c>
      <c r="Y273" s="15" t="e">
        <f ca="1">((X229 * Y199 * X245) * 10 ^ -3)</f>
        <v>#N/A</v>
      </c>
      <c r="Z273" s="15" t="e">
        <f ca="1">((Y229 * Z199 * Y245) * 10 ^ -3)</f>
        <v>#N/A</v>
      </c>
      <c r="AA273" s="15" t="e">
        <f ca="1">((Z229 * AA199 * Z245) * 10 ^ -3)</f>
        <v>#N/A</v>
      </c>
      <c r="AB273" s="15" t="e">
        <f ca="1">((AA229 * AB199 * AA245) * 10 ^ -3)</f>
        <v>#N/A</v>
      </c>
      <c r="AC273" s="15" t="e">
        <f ca="1">((AB229 * AC199 * AB245) * 10 ^ -3)</f>
        <v>#N/A</v>
      </c>
      <c r="AD273" s="15" t="e">
        <f ca="1">((AC229 * AD199 * AC245) * 10 ^ -3)</f>
        <v>#N/A</v>
      </c>
      <c r="AE273" s="15" t="e">
        <f ca="1">((AD229 * AE199 * AD245) * 10 ^ -3)</f>
        <v>#N/A</v>
      </c>
      <c r="AF273" s="15" t="e">
        <f ca="1">((AE229 * AF199 * AE245) * 10 ^ -3)</f>
        <v>#N/A</v>
      </c>
      <c r="AG273" s="15" t="e">
        <f ca="1">((AF229 * AG199 * AF245) * 10 ^ -3)</f>
        <v>#N/A</v>
      </c>
      <c r="AH273" s="15" t="e">
        <f ca="1">((AG229 * AH199 * AG245) * 10 ^ -3)</f>
        <v>#N/A</v>
      </c>
      <c r="AI273" s="16" t="str">
        <f t="shared" si="11"/>
        <v>t CH4</v>
      </c>
      <c r="AJ273" s="16"/>
    </row>
    <row r="274" spans="23:36" ht="20.100000000000001" customHeight="1" x14ac:dyDescent="0.2">
      <c r="W274" s="15" t="str">
        <f>'Input - Pasture Beef'!$D$153</f>
        <v>Anaerobic lagoon</v>
      </c>
      <c r="X274" s="15" t="str">
        <f t="shared" si="13"/>
        <v>November</v>
      </c>
      <c r="Y274" s="15" t="e">
        <f ca="1">((X230 * Y200 * X246) * 10 ^ -3)</f>
        <v>#N/A</v>
      </c>
      <c r="Z274" s="15" t="e">
        <f ca="1">((Y230 * Z200 * Y246) * 10 ^ -3)</f>
        <v>#N/A</v>
      </c>
      <c r="AA274" s="15" t="e">
        <f ca="1">((Z230 * AA200 * Z246) * 10 ^ -3)</f>
        <v>#N/A</v>
      </c>
      <c r="AB274" s="15" t="e">
        <f ca="1">((AA230 * AB200 * AA246) * 10 ^ -3)</f>
        <v>#N/A</v>
      </c>
      <c r="AC274" s="15" t="e">
        <f ca="1">((AB230 * AC200 * AB246) * 10 ^ -3)</f>
        <v>#N/A</v>
      </c>
      <c r="AD274" s="15" t="e">
        <f ca="1">((AC230 * AD200 * AC246) * 10 ^ -3)</f>
        <v>#N/A</v>
      </c>
      <c r="AE274" s="15" t="e">
        <f ca="1">((AD230 * AE200 * AD246) * 10 ^ -3)</f>
        <v>#N/A</v>
      </c>
      <c r="AF274" s="15" t="e">
        <f ca="1">((AE230 * AF200 * AE246) * 10 ^ -3)</f>
        <v>#N/A</v>
      </c>
      <c r="AG274" s="15" t="e">
        <f ca="1">((AF230 * AG200 * AF246) * 10 ^ -3)</f>
        <v>#N/A</v>
      </c>
      <c r="AH274" s="15" t="e">
        <f ca="1">((AG230 * AH200 * AG246) * 10 ^ -3)</f>
        <v>#N/A</v>
      </c>
      <c r="AI274" s="16" t="str">
        <f t="shared" si="11"/>
        <v>t CH4</v>
      </c>
      <c r="AJ274" s="16"/>
    </row>
    <row r="276" spans="23:36" ht="20.100000000000001" customHeight="1" x14ac:dyDescent="0.2">
      <c r="W276" s="90" t="s">
        <v>433</v>
      </c>
      <c r="X276" s="91" t="e">
        <f ca="1">SUM(Y251:AH274)</f>
        <v>#N/A</v>
      </c>
      <c r="Y276" s="95">
        <f ca="1">X242</f>
        <v>31</v>
      </c>
    </row>
    <row r="278" spans="23:36" ht="20.100000000000001" customHeight="1" x14ac:dyDescent="0.2">
      <c r="W278" s="116" t="str" cm="1">
        <f t="array" ref="W278:X279">Common_Equations.Common_ConvertCH4ToCO2e_Arguments()</f>
        <v>ECH4</v>
      </c>
      <c r="X278" s="117" t="str">
        <v>Methane emissions (t CH4)</v>
      </c>
      <c r="Y278" s="118"/>
      <c r="Z278" s="15" t="e">
        <f ca="1">VEERG_4_2_1_1__1_TotalAnnualMethaneProductionFromManureManagement_Result_Method2</f>
        <v>#N/A</v>
      </c>
    </row>
    <row r="279" spans="23:36" ht="20.100000000000001" customHeight="1" x14ac:dyDescent="0.2">
      <c r="W279" s="116" t="str">
        <v>GWPCH4</v>
      </c>
      <c r="X279" s="117" t="str">
        <v>Global warming potential for methane (t CO2-e / t CH4)</v>
      </c>
      <c r="Y279" s="118"/>
      <c r="Z279" s="15">
        <f>Common_InputFunctions.Utility_LookupValueInTableNumber("CH4",Table_GWPData[Gas],Table_GWPData[CO2-e factor])</f>
        <v>28</v>
      </c>
    </row>
    <row r="281" spans="23:36" ht="20.100000000000001" customHeight="1" x14ac:dyDescent="0.2">
      <c r="W281" s="87" t="s">
        <v>435</v>
      </c>
      <c r="X281" s="87" t="e" cm="1">
        <f t="array" aca="1" ref="X281" ca="1">Common_Equations.Common_ConvertN2OToCO2e(Z278,Z279)</f>
        <v>#N/A</v>
      </c>
      <c r="Y281" s="94" t="str" cm="1">
        <f t="array" ref="Y281">Common_Equations.Common_ConvertN2OToCO2e_Unit()</f>
        <v>t CO2e</v>
      </c>
    </row>
  </sheetData>
  <dataValidations count="1">
    <dataValidation operator="equal" allowBlank="1" showInputMessage="1" showErrorMessage="1" sqref="Y167:AC167 E255 D154:G154 G166:J166 E121:J121 F122:J126 X206 E203 E258 X203 E141:J141 Y143:AC144 E206 F135:F136 F142:J144 F167:J167 F172:J173 X166:AC166 Y172:AC173 W154:Z154" xr:uid="{1CA7F163-99E1-4FD4-99A7-5B1D89A96BA7}"/>
  </dataValidations>
  <pageMargins left="0.7" right="0.7" top="0.75" bottom="0.75" header="0.3" footer="0.3"/>
  <pageSetup paperSize="9" orientation="portrait" r:id="rId1"/>
  <drawing r:id="rId2"/>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5CC81-1F2E-4DF3-8C0F-C2406FE85A6D}">
  <sheetPr>
    <tabColor rgb="FF008000"/>
  </sheetPr>
  <dimension ref="A1:AI272"/>
  <sheetViews>
    <sheetView showGridLines="0" zoomScaleNormal="100" workbookViewId="0">
      <pane xSplit="1" topLeftCell="B1" activePane="topRight" state="frozen"/>
      <selection pane="topRight" activeCell="A59" sqref="A59"/>
    </sheetView>
  </sheetViews>
  <sheetFormatPr defaultRowHeight="20.100000000000001" customHeight="1" x14ac:dyDescent="0.2"/>
  <cols>
    <col min="1" max="1" width="36.7109375" customWidth="1"/>
    <col min="2" max="2" width="4.7109375" customWidth="1"/>
    <col min="3" max="3" width="4.7109375" style="1" customWidth="1"/>
    <col min="4" max="17" width="30.7109375" style="1" customWidth="1"/>
    <col min="18" max="18" width="4.7109375" style="1" customWidth="1"/>
    <col min="19" max="19" width="4.7109375" customWidth="1"/>
    <col min="20" max="20" width="4.7109375" style="1" customWidth="1"/>
    <col min="21" max="34" width="30.7109375" style="1" customWidth="1"/>
    <col min="35" max="35" width="4.7109375" style="1" customWidth="1"/>
  </cols>
  <sheetData>
    <row r="1" spans="1:35" s="21" customFormat="1" ht="30" customHeight="1" x14ac:dyDescent="0.35">
      <c r="A1" s="10" t="e" vm="1">
        <v>#VALUE!</v>
      </c>
      <c r="C1" s="21" t="s">
        <v>437</v>
      </c>
    </row>
    <row r="2" spans="1:35" s="3" customFormat="1" ht="20.100000000000001" customHeight="1" x14ac:dyDescent="0.2">
      <c r="A2"/>
    </row>
    <row r="3" spans="1:35" ht="20.100000000000001" customHeight="1" x14ac:dyDescent="0.2">
      <c r="A3" s="5" t="str">
        <f>HYPERLINK("#'Home'!A1", "Home")</f>
        <v>Home</v>
      </c>
      <c r="C3" s="23"/>
      <c r="D3" s="23" t="s">
        <v>136</v>
      </c>
      <c r="E3" s="23"/>
      <c r="F3" s="23"/>
      <c r="G3" s="23"/>
      <c r="H3" s="23"/>
      <c r="I3" s="23"/>
      <c r="J3" s="23"/>
      <c r="K3" s="23"/>
      <c r="L3" s="23"/>
      <c r="M3" s="23"/>
      <c r="N3" s="23"/>
      <c r="O3" s="23"/>
      <c r="P3" s="23"/>
      <c r="Q3" s="23"/>
      <c r="R3" s="23"/>
      <c r="T3" s="23"/>
      <c r="U3" s="23" t="s">
        <v>137</v>
      </c>
      <c r="V3" s="23"/>
      <c r="W3" s="23"/>
      <c r="X3" s="23"/>
      <c r="Y3" s="23"/>
      <c r="Z3" s="23"/>
      <c r="AA3" s="23"/>
      <c r="AB3" s="23"/>
      <c r="AC3" s="23"/>
      <c r="AD3" s="23"/>
      <c r="AE3" s="23"/>
      <c r="AF3" s="23"/>
      <c r="AG3" s="23"/>
      <c r="AH3" s="23"/>
      <c r="AI3" s="23"/>
    </row>
    <row r="4" spans="1:35" ht="20.100000000000001" customHeight="1" x14ac:dyDescent="0.2">
      <c r="A4" s="5" t="str">
        <f>HYPERLINK("#'Results - Activity period'!A1", "Results - Activity period")</f>
        <v>Results - Activity period</v>
      </c>
    </row>
    <row r="5" spans="1:35" ht="20.100000000000001" customHeight="1" x14ac:dyDescent="0.2">
      <c r="A5" s="5" t="str">
        <f>HYPERLINK("#'Results - Product EI'!A1", "Results - Product Emissions Intensity")</f>
        <v>Results - Product Emissions Intensity</v>
      </c>
      <c r="D5" s="2" t="s">
        <v>1282</v>
      </c>
    </row>
    <row r="6" spans="1:35" ht="20.100000000000001" customHeight="1" x14ac:dyDescent="0.2">
      <c r="D6" s="17" t="s">
        <v>1283</v>
      </c>
    </row>
    <row r="7" spans="1:35" ht="20.100000000000001" customHeight="1" x14ac:dyDescent="0.2">
      <c r="D7" s="103"/>
      <c r="E7" s="103"/>
    </row>
    <row r="8" spans="1:35" ht="20.100000000000001" customHeight="1" x14ac:dyDescent="0.2">
      <c r="A8" s="7" t="s">
        <v>0</v>
      </c>
    </row>
    <row r="9" spans="1:35" ht="20.100000000000001" customHeight="1" x14ac:dyDescent="0.2">
      <c r="A9" s="5" t="str">
        <f>HYPERLINK("#'Input - Enterprise'!A1", "Enterprise")</f>
        <v>Enterprise</v>
      </c>
    </row>
    <row r="10" spans="1:35" ht="20.100000000000001" customHeight="1" x14ac:dyDescent="0.2">
      <c r="A10" s="5" t="str">
        <f>HYPERLINK("#'Input - Site'!A1", "Site")</f>
        <v>Site</v>
      </c>
      <c r="D10" s="77" t="s">
        <v>373</v>
      </c>
      <c r="E10" s="1" t="s">
        <v>1284</v>
      </c>
    </row>
    <row r="11" spans="1:35" ht="20.100000000000001" customHeight="1" x14ac:dyDescent="0.2">
      <c r="A11" s="5" t="str">
        <f>HYPERLINK("#'Input - Pasture Beef'!A1", "Pasture Beef")</f>
        <v>Pasture Beef</v>
      </c>
      <c r="D11" s="77" t="s">
        <v>121</v>
      </c>
      <c r="E11" s="9" t="s">
        <v>1285</v>
      </c>
    </row>
    <row r="12" spans="1:35" ht="20.100000000000001" customHeight="1" x14ac:dyDescent="0.2">
      <c r="A12" s="5" t="str">
        <f>HYPERLINK("#'Input - Livestock sales'!A1", "Livestock sales")</f>
        <v>Livestock sales</v>
      </c>
    </row>
    <row r="13" spans="1:35" ht="20.100000000000001" customHeight="1" x14ac:dyDescent="0.2">
      <c r="A13" s="5" t="str">
        <f>HYPERLINK("#'Input - Beef cattle purchases'!A1", "Beef cattle purchases")</f>
        <v>Beef cattle purchases</v>
      </c>
      <c r="D13" s="105" t="s">
        <v>1226</v>
      </c>
      <c r="E13" s="105" t="s">
        <v>1227</v>
      </c>
      <c r="F13" s="105" t="s">
        <v>636</v>
      </c>
      <c r="G13" s="109" t="s">
        <v>1219</v>
      </c>
      <c r="H13" s="111" t="str" cm="1">
        <f t="array" aca="1" ref="H13" ca="1">HYPERLINK(Common_InputFunctions.Utility_SourceHyperlink(D17), D17)</f>
        <v>M1_Table_W_j_k_l</v>
      </c>
    </row>
    <row r="14" spans="1:35" ht="20.100000000000001" customHeight="1" x14ac:dyDescent="0.2">
      <c r="A14" s="5" t="str">
        <f>HYPERLINK("#'Input - Pasture'!A1", "Pasture")</f>
        <v>Pasture</v>
      </c>
      <c r="D14" s="105" t="s">
        <v>1286</v>
      </c>
      <c r="E14" s="105" t="s">
        <v>1287</v>
      </c>
      <c r="F14" s="105" t="s">
        <v>636</v>
      </c>
      <c r="G14" s="110" t="s">
        <v>1220</v>
      </c>
      <c r="H14" s="111" t="str" cm="1">
        <f t="array" aca="1" ref="H14" ca="1">HYPERLINK(Common_InputFunctions.Utility_SourceHyperlink(D25), D25)</f>
        <v>Table_SRW_k</v>
      </c>
    </row>
    <row r="15" spans="1:35" ht="20.100000000000001" customHeight="1" x14ac:dyDescent="0.2">
      <c r="A15" s="5" t="str">
        <f>HYPERLINK("#'Input - Fert Prod System'!A1", "Fert Prod System")</f>
        <v>Fert Prod System</v>
      </c>
      <c r="D15" s="105" t="s">
        <v>1267</v>
      </c>
      <c r="E15" s="105" t="s">
        <v>1268</v>
      </c>
      <c r="F15" s="105"/>
      <c r="G15" s="109" t="s">
        <v>1219</v>
      </c>
      <c r="H15" s="105">
        <f>X_Cell_Site_State</f>
        <v>0</v>
      </c>
    </row>
    <row r="16" spans="1:35" ht="20.100000000000001" customHeight="1" x14ac:dyDescent="0.2">
      <c r="A16" s="5" t="str">
        <f>HYPERLINK("#'Input - Fertiliser'!A1", "Fertiliser")</f>
        <v>Fertiliser</v>
      </c>
    </row>
    <row r="17" spans="1:34" ht="20.100000000000001" customHeight="1" x14ac:dyDescent="0.2">
      <c r="A17" s="5" t="str">
        <f>HYPERLINK("#'Input - Fuel'!A1", "Fuel")</f>
        <v>Fuel</v>
      </c>
      <c r="D17" s="112" t="s">
        <v>390</v>
      </c>
      <c r="U17" s="112" t="s">
        <v>438</v>
      </c>
    </row>
    <row r="18" spans="1:34" ht="20.100000000000001" customHeight="1" x14ac:dyDescent="0.2">
      <c r="A18" s="5" t="str">
        <f>HYPERLINK("#'Input - Electricity'!A1", "Electricity")</f>
        <v>Electricity</v>
      </c>
      <c r="D18" s="113" t="s">
        <v>391</v>
      </c>
      <c r="U18" s="113" t="s">
        <v>389</v>
      </c>
    </row>
    <row r="19" spans="1:34" ht="20.100000000000001" customHeight="1" x14ac:dyDescent="0.2">
      <c r="A19" s="5" t="str">
        <f>HYPERLINK("#'Input - Common farm inputs'!A1", "Common farm inputs")</f>
        <v>Common farm inputs</v>
      </c>
      <c r="D19" s="114" t="s">
        <v>76</v>
      </c>
      <c r="E19" s="82" t="s">
        <v>326</v>
      </c>
      <c r="F19" s="82" t="s">
        <v>184</v>
      </c>
      <c r="G19" s="82" t="s">
        <v>327</v>
      </c>
      <c r="H19" s="82" t="s">
        <v>328</v>
      </c>
      <c r="I19" s="82" t="s">
        <v>329</v>
      </c>
      <c r="J19" s="82" t="s">
        <v>330</v>
      </c>
      <c r="K19" s="82" t="s">
        <v>331</v>
      </c>
      <c r="L19" s="82" t="s">
        <v>332</v>
      </c>
      <c r="M19" s="82" t="s">
        <v>333</v>
      </c>
      <c r="N19" s="82" t="s">
        <v>334</v>
      </c>
      <c r="U19" s="114" t="s">
        <v>75</v>
      </c>
      <c r="V19" s="82" t="s">
        <v>326</v>
      </c>
      <c r="W19" s="82" t="s">
        <v>184</v>
      </c>
      <c r="X19" s="82" t="s">
        <v>327</v>
      </c>
      <c r="Y19" s="82" t="s">
        <v>328</v>
      </c>
      <c r="Z19" s="82" t="s">
        <v>329</v>
      </c>
      <c r="AA19" s="82" t="s">
        <v>330</v>
      </c>
      <c r="AB19" s="82" t="s">
        <v>331</v>
      </c>
      <c r="AC19" s="82" t="s">
        <v>332</v>
      </c>
      <c r="AD19" s="82" t="s">
        <v>333</v>
      </c>
      <c r="AE19" s="82" t="s">
        <v>334</v>
      </c>
      <c r="AF19" s="16"/>
      <c r="AG19" s="16"/>
      <c r="AH19" s="16"/>
    </row>
    <row r="20" spans="1:34" ht="20.100000000000001" customHeight="1" x14ac:dyDescent="0.2">
      <c r="A20" s="5" t="str">
        <f>HYPERLINK("#'Input - Crop pasture farm input'!A1", "Crop pasture farm input")</f>
        <v>Crop pasture farm input</v>
      </c>
      <c r="D20" s="15" t="str">
        <f>INDEX(X_Table_PastureBeef_Liveweight_Method1,2,1)</f>
        <v>Spring</v>
      </c>
      <c r="E20" s="15" t="e" cm="1">
        <f t="array" aca="1" ref="E20:N23" ca="1">OFFSET(X_Table_PastureBeef_Liveweight_Method1, 1,1, 4,10)</f>
        <v>#N/A</v>
      </c>
      <c r="F20" s="15" t="e">
        <f ca="1"/>
        <v>#N/A</v>
      </c>
      <c r="G20" s="15" t="e">
        <f ca="1"/>
        <v>#N/A</v>
      </c>
      <c r="H20" s="15" t="e">
        <f ca="1"/>
        <v>#N/A</v>
      </c>
      <c r="I20" s="15" t="e">
        <f ca="1"/>
        <v>#N/A</v>
      </c>
      <c r="J20" s="15" t="e">
        <f ca="1"/>
        <v>#N/A</v>
      </c>
      <c r="K20" s="15" t="e">
        <f ca="1"/>
        <v>#N/A</v>
      </c>
      <c r="L20" s="15" t="e">
        <f ca="1"/>
        <v>#N/A</v>
      </c>
      <c r="M20" s="15" t="e">
        <f ca="1"/>
        <v>#N/A</v>
      </c>
      <c r="N20" s="15" t="e">
        <f ca="1"/>
        <v>#N/A</v>
      </c>
      <c r="O20" s="16" t="s">
        <v>343</v>
      </c>
      <c r="U20" s="15" t="str">
        <f>TEXT(X_Cell_Site_StartDate,"mmmm")</f>
        <v>January</v>
      </c>
      <c r="V20" s="15" t="e" cm="1">
        <f t="array" aca="1" ref="V20:AE31" ca="1">OFFSET(X_Table_PastureBeef_Liveweight_Method2, 1,1, 12,10)</f>
        <v>#N/A</v>
      </c>
      <c r="W20" s="15" t="e">
        <f ca="1"/>
        <v>#N/A</v>
      </c>
      <c r="X20" s="15" t="e">
        <f ca="1"/>
        <v>#N/A</v>
      </c>
      <c r="Y20" s="15" t="e">
        <f ca="1"/>
        <v>#N/A</v>
      </c>
      <c r="Z20" s="15" t="e">
        <f ca="1"/>
        <v>#N/A</v>
      </c>
      <c r="AA20" s="15" t="e">
        <f ca="1"/>
        <v>#N/A</v>
      </c>
      <c r="AB20" s="15" t="e">
        <f ca="1"/>
        <v>#N/A</v>
      </c>
      <c r="AC20" s="15" t="e">
        <f ca="1"/>
        <v>#N/A</v>
      </c>
      <c r="AD20" s="15" t="e">
        <f ca="1"/>
        <v>#N/A</v>
      </c>
      <c r="AE20" s="15" t="e">
        <f ca="1"/>
        <v>#N/A</v>
      </c>
      <c r="AF20" s="16" t="s">
        <v>343</v>
      </c>
      <c r="AG20" s="16"/>
      <c r="AH20" s="16"/>
    </row>
    <row r="21" spans="1:34" ht="20.100000000000001" customHeight="1" x14ac:dyDescent="0.2">
      <c r="A21" s="5" t="str">
        <f>HYPERLINK("#'Input - Livestock farm Inputs'!A1", "Livestock farm Inputs")</f>
        <v>Livestock farm Inputs</v>
      </c>
      <c r="D21" s="15" t="str">
        <f>INDEX(X_Table_PastureBeef_Liveweight_Method1,3,1)</f>
        <v>Summer</v>
      </c>
      <c r="E21" s="15" t="e">
        <f ca="1"/>
        <v>#N/A</v>
      </c>
      <c r="F21" s="15" t="e">
        <f ca="1"/>
        <v>#N/A</v>
      </c>
      <c r="G21" s="15" t="e">
        <f ca="1"/>
        <v>#N/A</v>
      </c>
      <c r="H21" s="15" t="e">
        <f ca="1"/>
        <v>#N/A</v>
      </c>
      <c r="I21" s="15" t="e">
        <f ca="1"/>
        <v>#N/A</v>
      </c>
      <c r="J21" s="15" t="e">
        <f ca="1"/>
        <v>#N/A</v>
      </c>
      <c r="K21" s="15" t="e">
        <f ca="1"/>
        <v>#N/A</v>
      </c>
      <c r="L21" s="15" t="e">
        <f ca="1"/>
        <v>#N/A</v>
      </c>
      <c r="M21" s="15" t="e">
        <f ca="1"/>
        <v>#N/A</v>
      </c>
      <c r="N21" s="15" t="e">
        <f ca="1"/>
        <v>#N/A</v>
      </c>
      <c r="O21" s="16" t="s">
        <v>343</v>
      </c>
      <c r="U21" s="15" t="str">
        <f>TEXT(EDATE(X_Cell_Site_StartDate,1), "mmmm")</f>
        <v>January</v>
      </c>
      <c r="V21" s="15" t="e">
        <f ca="1"/>
        <v>#N/A</v>
      </c>
      <c r="W21" s="15" t="e">
        <f ca="1"/>
        <v>#N/A</v>
      </c>
      <c r="X21" s="15" t="e">
        <f ca="1"/>
        <v>#N/A</v>
      </c>
      <c r="Y21" s="15" t="e">
        <f ca="1"/>
        <v>#N/A</v>
      </c>
      <c r="Z21" s="15" t="e">
        <f ca="1"/>
        <v>#N/A</v>
      </c>
      <c r="AA21" s="15" t="e">
        <f ca="1"/>
        <v>#N/A</v>
      </c>
      <c r="AB21" s="15" t="e">
        <f ca="1"/>
        <v>#N/A</v>
      </c>
      <c r="AC21" s="15" t="e">
        <f ca="1"/>
        <v>#N/A</v>
      </c>
      <c r="AD21" s="15" t="e">
        <f ca="1"/>
        <v>#N/A</v>
      </c>
      <c r="AE21" s="15" t="e">
        <f ca="1"/>
        <v>#N/A</v>
      </c>
      <c r="AF21" s="16" t="s">
        <v>343</v>
      </c>
      <c r="AG21" s="16"/>
      <c r="AH21" s="16"/>
    </row>
    <row r="22" spans="1:34" ht="20.100000000000001" customHeight="1" x14ac:dyDescent="0.2">
      <c r="A22" s="5" t="str">
        <f>HYPERLINK("#'Input - Freight'!A1", "Freight")</f>
        <v>Freight</v>
      </c>
      <c r="D22" s="15" t="str">
        <f>INDEX(X_Table_PastureBeef_Liveweight_Method1,4,1)</f>
        <v>Autumn</v>
      </c>
      <c r="E22" s="15" t="e">
        <f ca="1"/>
        <v>#N/A</v>
      </c>
      <c r="F22" s="15" t="e">
        <f ca="1"/>
        <v>#N/A</v>
      </c>
      <c r="G22" s="15" t="e">
        <f ca="1"/>
        <v>#N/A</v>
      </c>
      <c r="H22" s="15" t="e">
        <f ca="1"/>
        <v>#N/A</v>
      </c>
      <c r="I22" s="15" t="e">
        <f ca="1"/>
        <v>#N/A</v>
      </c>
      <c r="J22" s="15" t="e">
        <f ca="1"/>
        <v>#N/A</v>
      </c>
      <c r="K22" s="15" t="e">
        <f ca="1"/>
        <v>#N/A</v>
      </c>
      <c r="L22" s="15" t="e">
        <f ca="1"/>
        <v>#N/A</v>
      </c>
      <c r="M22" s="15" t="e">
        <f ca="1"/>
        <v>#N/A</v>
      </c>
      <c r="N22" s="15" t="e">
        <f ca="1"/>
        <v>#N/A</v>
      </c>
      <c r="O22" s="16" t="s">
        <v>343</v>
      </c>
      <c r="U22" s="15" t="str">
        <f>TEXT(EDATE(X_Cell_Site_StartDate,2), "mmmm")</f>
        <v>February</v>
      </c>
      <c r="V22" s="15" t="e">
        <f ca="1"/>
        <v>#N/A</v>
      </c>
      <c r="W22" s="15" t="e">
        <f ca="1"/>
        <v>#N/A</v>
      </c>
      <c r="X22" s="15" t="e">
        <f ca="1"/>
        <v>#N/A</v>
      </c>
      <c r="Y22" s="15" t="e">
        <f ca="1"/>
        <v>#N/A</v>
      </c>
      <c r="Z22" s="15" t="e">
        <f ca="1"/>
        <v>#N/A</v>
      </c>
      <c r="AA22" s="15" t="e">
        <f ca="1"/>
        <v>#N/A</v>
      </c>
      <c r="AB22" s="15" t="e">
        <f ca="1"/>
        <v>#N/A</v>
      </c>
      <c r="AC22" s="15" t="e">
        <f ca="1"/>
        <v>#N/A</v>
      </c>
      <c r="AD22" s="15" t="e">
        <f ca="1"/>
        <v>#N/A</v>
      </c>
      <c r="AE22" s="15" t="e">
        <f ca="1"/>
        <v>#N/A</v>
      </c>
      <c r="AF22" s="16" t="s">
        <v>343</v>
      </c>
      <c r="AG22" s="16"/>
      <c r="AH22" s="16"/>
    </row>
    <row r="23" spans="1:34" ht="20.100000000000001" customHeight="1" x14ac:dyDescent="0.2">
      <c r="A23" s="5" t="str">
        <f>HYPERLINK("#'Input - Solid waste'!A1", "Solid waste")</f>
        <v>Solid waste</v>
      </c>
      <c r="D23" s="15" t="str">
        <f>INDEX(X_Table_PastureBeef_Liveweight_Method1,5,1)</f>
        <v>Winter</v>
      </c>
      <c r="E23" s="15" t="e">
        <f ca="1"/>
        <v>#N/A</v>
      </c>
      <c r="F23" s="15" t="e">
        <f ca="1"/>
        <v>#N/A</v>
      </c>
      <c r="G23" s="15" t="e">
        <f ca="1"/>
        <v>#N/A</v>
      </c>
      <c r="H23" s="15" t="e">
        <f ca="1"/>
        <v>#N/A</v>
      </c>
      <c r="I23" s="15" t="e">
        <f ca="1"/>
        <v>#N/A</v>
      </c>
      <c r="J23" s="15" t="e">
        <f ca="1"/>
        <v>#N/A</v>
      </c>
      <c r="K23" s="15" t="e">
        <f ca="1"/>
        <v>#N/A</v>
      </c>
      <c r="L23" s="15" t="e">
        <f ca="1"/>
        <v>#N/A</v>
      </c>
      <c r="M23" s="15" t="e">
        <f ca="1"/>
        <v>#N/A</v>
      </c>
      <c r="N23" s="15" t="e">
        <f ca="1"/>
        <v>#N/A</v>
      </c>
      <c r="O23" s="16" t="s">
        <v>343</v>
      </c>
      <c r="U23" s="15" t="str">
        <f>TEXT(EDATE(X_Cell_Site_StartDate,3), "mmmm")</f>
        <v>March</v>
      </c>
      <c r="V23" s="15" t="e">
        <f ca="1"/>
        <v>#N/A</v>
      </c>
      <c r="W23" s="15" t="e">
        <f ca="1"/>
        <v>#N/A</v>
      </c>
      <c r="X23" s="15" t="e">
        <f ca="1"/>
        <v>#N/A</v>
      </c>
      <c r="Y23" s="15" t="e">
        <f ca="1"/>
        <v>#N/A</v>
      </c>
      <c r="Z23" s="15" t="e">
        <f ca="1"/>
        <v>#N/A</v>
      </c>
      <c r="AA23" s="15" t="e">
        <f ca="1"/>
        <v>#N/A</v>
      </c>
      <c r="AB23" s="15" t="e">
        <f ca="1"/>
        <v>#N/A</v>
      </c>
      <c r="AC23" s="15" t="e">
        <f ca="1"/>
        <v>#N/A</v>
      </c>
      <c r="AD23" s="15" t="e">
        <f ca="1"/>
        <v>#N/A</v>
      </c>
      <c r="AE23" s="15" t="e">
        <f ca="1"/>
        <v>#N/A</v>
      </c>
      <c r="AF23" s="16" t="s">
        <v>343</v>
      </c>
      <c r="AG23" s="16"/>
      <c r="AH23" s="16"/>
    </row>
    <row r="24" spans="1:34" ht="20.100000000000001" customHeight="1" x14ac:dyDescent="0.2">
      <c r="A24" s="5" t="str">
        <f>HYPERLINK("#'Input - Manure sent off-site'!A1", "Manure sent off-site")</f>
        <v>Manure sent off-site</v>
      </c>
      <c r="U24" s="15" t="str">
        <f>TEXT(EDATE(X_Cell_Site_StartDate,4), "mmmm")</f>
        <v>April</v>
      </c>
      <c r="V24" s="15" t="e">
        <f ca="1"/>
        <v>#N/A</v>
      </c>
      <c r="W24" s="15" t="e">
        <f ca="1"/>
        <v>#N/A</v>
      </c>
      <c r="X24" s="15" t="e">
        <f ca="1"/>
        <v>#N/A</v>
      </c>
      <c r="Y24" s="15" t="e">
        <f ca="1"/>
        <v>#N/A</v>
      </c>
      <c r="Z24" s="15" t="e">
        <f ca="1"/>
        <v>#N/A</v>
      </c>
      <c r="AA24" s="15" t="e">
        <f ca="1"/>
        <v>#N/A</v>
      </c>
      <c r="AB24" s="15" t="e">
        <f ca="1"/>
        <v>#N/A</v>
      </c>
      <c r="AC24" s="15" t="e">
        <f ca="1"/>
        <v>#N/A</v>
      </c>
      <c r="AD24" s="15" t="e">
        <f ca="1"/>
        <v>#N/A</v>
      </c>
      <c r="AE24" s="15" t="e">
        <f ca="1"/>
        <v>#N/A</v>
      </c>
      <c r="AF24" s="16" t="s">
        <v>343</v>
      </c>
      <c r="AG24" s="16"/>
      <c r="AH24" s="16"/>
    </row>
    <row r="25" spans="1:34" ht="20.100000000000001" customHeight="1" x14ac:dyDescent="0.2">
      <c r="A25" s="5" t="str">
        <f>HYPERLINK("#'Input - Data quality'!A1", "Data quality")</f>
        <v>Data quality</v>
      </c>
      <c r="D25" s="112" t="s">
        <v>439</v>
      </c>
      <c r="U25" s="15" t="str">
        <f>TEXT(EDATE(X_Cell_Site_StartDate,5), "mmmm")</f>
        <v>May</v>
      </c>
      <c r="V25" s="15" t="e">
        <f ca="1"/>
        <v>#N/A</v>
      </c>
      <c r="W25" s="15" t="e">
        <f ca="1"/>
        <v>#N/A</v>
      </c>
      <c r="X25" s="15" t="e">
        <f ca="1"/>
        <v>#N/A</v>
      </c>
      <c r="Y25" s="15" t="e">
        <f ca="1"/>
        <v>#N/A</v>
      </c>
      <c r="Z25" s="15" t="e">
        <f ca="1"/>
        <v>#N/A</v>
      </c>
      <c r="AA25" s="15" t="e">
        <f ca="1"/>
        <v>#N/A</v>
      </c>
      <c r="AB25" s="15" t="e">
        <f ca="1"/>
        <v>#N/A</v>
      </c>
      <c r="AC25" s="15" t="e">
        <f ca="1"/>
        <v>#N/A</v>
      </c>
      <c r="AD25" s="15" t="e">
        <f ca="1"/>
        <v>#N/A</v>
      </c>
      <c r="AE25" s="15" t="e">
        <f ca="1"/>
        <v>#N/A</v>
      </c>
      <c r="AF25" s="16" t="s">
        <v>343</v>
      </c>
      <c r="AG25" s="16"/>
      <c r="AH25" s="16"/>
    </row>
    <row r="26" spans="1:34" ht="20.100000000000001" customHeight="1" x14ac:dyDescent="0.2">
      <c r="D26" s="113" t="s">
        <v>440</v>
      </c>
      <c r="U26" s="15" t="str">
        <f>TEXT(EDATE(X_Cell_Site_StartDate,6), "mmmm")</f>
        <v>June</v>
      </c>
      <c r="V26" s="15" t="e">
        <f ca="1"/>
        <v>#N/A</v>
      </c>
      <c r="W26" s="15" t="e">
        <f ca="1"/>
        <v>#N/A</v>
      </c>
      <c r="X26" s="15" t="e">
        <f ca="1"/>
        <v>#N/A</v>
      </c>
      <c r="Y26" s="15" t="e">
        <f ca="1"/>
        <v>#N/A</v>
      </c>
      <c r="Z26" s="15" t="e">
        <f ca="1"/>
        <v>#N/A</v>
      </c>
      <c r="AA26" s="15" t="e">
        <f ca="1"/>
        <v>#N/A</v>
      </c>
      <c r="AB26" s="15" t="e">
        <f ca="1"/>
        <v>#N/A</v>
      </c>
      <c r="AC26" s="15" t="e">
        <f ca="1"/>
        <v>#N/A</v>
      </c>
      <c r="AD26" s="15" t="e">
        <f ca="1"/>
        <v>#N/A</v>
      </c>
      <c r="AE26" s="15" t="e">
        <f ca="1"/>
        <v>#N/A</v>
      </c>
      <c r="AF26" s="16" t="s">
        <v>343</v>
      </c>
      <c r="AG26" s="16"/>
      <c r="AH26" s="16"/>
    </row>
    <row r="27" spans="1:34" ht="20.100000000000001" customHeight="1" x14ac:dyDescent="0.2">
      <c r="D27" s="114" t="s">
        <v>326</v>
      </c>
      <c r="E27" s="114" t="s">
        <v>184</v>
      </c>
      <c r="F27" s="114" t="s">
        <v>327</v>
      </c>
      <c r="G27" s="114" t="s">
        <v>328</v>
      </c>
      <c r="H27" s="114" t="s">
        <v>329</v>
      </c>
      <c r="I27" s="114" t="s">
        <v>330</v>
      </c>
      <c r="J27" s="114" t="s">
        <v>331</v>
      </c>
      <c r="K27" s="114" t="s">
        <v>332</v>
      </c>
      <c r="L27" s="114" t="s">
        <v>333</v>
      </c>
      <c r="M27" s="114" t="s">
        <v>334</v>
      </c>
      <c r="U27" s="15" t="str">
        <f>TEXT(EDATE(X_Cell_Site_StartDate,7), "mmmm")</f>
        <v>July</v>
      </c>
      <c r="V27" s="15" t="e">
        <f ca="1"/>
        <v>#N/A</v>
      </c>
      <c r="W27" s="15" t="e">
        <f ca="1"/>
        <v>#N/A</v>
      </c>
      <c r="X27" s="15" t="e">
        <f ca="1"/>
        <v>#N/A</v>
      </c>
      <c r="Y27" s="15" t="e">
        <f ca="1"/>
        <v>#N/A</v>
      </c>
      <c r="Z27" s="15" t="e">
        <f ca="1"/>
        <v>#N/A</v>
      </c>
      <c r="AA27" s="15" t="e">
        <f ca="1"/>
        <v>#N/A</v>
      </c>
      <c r="AB27" s="15" t="e">
        <f ca="1"/>
        <v>#N/A</v>
      </c>
      <c r="AC27" s="15" t="e">
        <f ca="1"/>
        <v>#N/A</v>
      </c>
      <c r="AD27" s="15" t="e">
        <f ca="1"/>
        <v>#N/A</v>
      </c>
      <c r="AE27" s="15" t="e">
        <f ca="1"/>
        <v>#N/A</v>
      </c>
      <c r="AF27" s="16" t="s">
        <v>343</v>
      </c>
      <c r="AG27" s="16"/>
      <c r="AH27" s="16"/>
    </row>
    <row r="28" spans="1:34" ht="20.100000000000001" customHeight="1" x14ac:dyDescent="0.2">
      <c r="A28" s="6" t="s">
        <v>2</v>
      </c>
      <c r="D28" s="15" t="str">
        <f>Common_InputFunctions.Utility_LookupValueInTableOneColumnAndHeader(Common_InputFunctions.Utility_ConvertStateCommonNameToAbbreviation($H$15,Table_AustralianStates[Common Name],Table_AustralianStates[Abbreviation]),D27,Table_SourceData_PastureBeef_StandardReferenceWeightsExpanded[State abbreviation],Table_SourceData_PastureBeef_StandardReferenceWeightsExpanded[#Headers],Table_SourceData_PastureBeef_StandardReferenceWeightsExpanded[#Data])</f>
        <v/>
      </c>
      <c r="E28" s="15" t="str">
        <f>Common_InputFunctions.Utility_LookupValueInTableOneColumnAndHeader(Common_InputFunctions.Utility_ConvertStateCommonNameToAbbreviation($H$15,Table_AustralianStates[Common Name],Table_AustralianStates[Abbreviation]),E27,Table_SourceData_PastureBeef_StandardReferenceWeightsExpanded[State abbreviation],Table_SourceData_PastureBeef_StandardReferenceWeightsExpanded[#Headers],Table_SourceData_PastureBeef_StandardReferenceWeightsExpanded[#Data])</f>
        <v/>
      </c>
      <c r="F28" s="15" t="str">
        <f>Common_InputFunctions.Utility_LookupValueInTableOneColumnAndHeader(Common_InputFunctions.Utility_ConvertStateCommonNameToAbbreviation($H$15,Table_AustralianStates[Common Name],Table_AustralianStates[Abbreviation]),F27,Table_SourceData_PastureBeef_StandardReferenceWeightsExpanded[State abbreviation],Table_SourceData_PastureBeef_StandardReferenceWeightsExpanded[#Headers],Table_SourceData_PastureBeef_StandardReferenceWeightsExpanded[#Data])</f>
        <v/>
      </c>
      <c r="G28" s="15" t="str">
        <f>Common_InputFunctions.Utility_LookupValueInTableOneColumnAndHeader(Common_InputFunctions.Utility_ConvertStateCommonNameToAbbreviation($H$15,Table_AustralianStates[Common Name],Table_AustralianStates[Abbreviation]),G27,Table_SourceData_PastureBeef_StandardReferenceWeightsExpanded[State abbreviation],Table_SourceData_PastureBeef_StandardReferenceWeightsExpanded[#Headers],Table_SourceData_PastureBeef_StandardReferenceWeightsExpanded[#Data])</f>
        <v/>
      </c>
      <c r="H28" s="15" t="str">
        <f>Common_InputFunctions.Utility_LookupValueInTableOneColumnAndHeader(Common_InputFunctions.Utility_ConvertStateCommonNameToAbbreviation($H$15,Table_AustralianStates[Common Name],Table_AustralianStates[Abbreviation]),H27,Table_SourceData_PastureBeef_StandardReferenceWeightsExpanded[State abbreviation],Table_SourceData_PastureBeef_StandardReferenceWeightsExpanded[#Headers],Table_SourceData_PastureBeef_StandardReferenceWeightsExpanded[#Data])</f>
        <v/>
      </c>
      <c r="I28" s="15" t="str">
        <f>Common_InputFunctions.Utility_LookupValueInTableOneColumnAndHeader(Common_InputFunctions.Utility_ConvertStateCommonNameToAbbreviation($H$15,Table_AustralianStates[Common Name],Table_AustralianStates[Abbreviation]),I27,Table_SourceData_PastureBeef_StandardReferenceWeightsExpanded[State abbreviation],Table_SourceData_PastureBeef_StandardReferenceWeightsExpanded[#Headers],Table_SourceData_PastureBeef_StandardReferenceWeightsExpanded[#Data])</f>
        <v/>
      </c>
      <c r="J28" s="15" t="str">
        <f>Common_InputFunctions.Utility_LookupValueInTableOneColumnAndHeader(Common_InputFunctions.Utility_ConvertStateCommonNameToAbbreviation($H$15,Table_AustralianStates[Common Name],Table_AustralianStates[Abbreviation]),J27,Table_SourceData_PastureBeef_StandardReferenceWeightsExpanded[State abbreviation],Table_SourceData_PastureBeef_StandardReferenceWeightsExpanded[#Headers],Table_SourceData_PastureBeef_StandardReferenceWeightsExpanded[#Data])</f>
        <v/>
      </c>
      <c r="K28" s="15" t="str">
        <f>Common_InputFunctions.Utility_LookupValueInTableOneColumnAndHeader(Common_InputFunctions.Utility_ConvertStateCommonNameToAbbreviation($H$15,Table_AustralianStates[Common Name],Table_AustralianStates[Abbreviation]),K27,Table_SourceData_PastureBeef_StandardReferenceWeightsExpanded[State abbreviation],Table_SourceData_PastureBeef_StandardReferenceWeightsExpanded[#Headers],Table_SourceData_PastureBeef_StandardReferenceWeightsExpanded[#Data])</f>
        <v/>
      </c>
      <c r="L28" s="15" t="str">
        <f>Common_InputFunctions.Utility_LookupValueInTableOneColumnAndHeader(Common_InputFunctions.Utility_ConvertStateCommonNameToAbbreviation($H$15,Table_AustralianStates[Common Name],Table_AustralianStates[Abbreviation]),L27,Table_SourceData_PastureBeef_StandardReferenceWeightsExpanded[State abbreviation],Table_SourceData_PastureBeef_StandardReferenceWeightsExpanded[#Headers],Table_SourceData_PastureBeef_StandardReferenceWeightsExpanded[#Data])</f>
        <v/>
      </c>
      <c r="M28" s="15" t="str">
        <f>Common_InputFunctions.Utility_LookupValueInTableOneColumnAndHeader(Common_InputFunctions.Utility_ConvertStateCommonNameToAbbreviation($H$15,Table_AustralianStates[Common Name],Table_AustralianStates[Abbreviation]),M27,Table_SourceData_PastureBeef_StandardReferenceWeightsExpanded[State abbreviation],Table_SourceData_PastureBeef_StandardReferenceWeightsExpanded[#Headers],Table_SourceData_PastureBeef_StandardReferenceWeightsExpanded[#Data])</f>
        <v/>
      </c>
      <c r="N28" s="16" t="s">
        <v>343</v>
      </c>
      <c r="U28" s="15" t="str">
        <f>TEXT(EDATE(X_Cell_Site_StartDate,8), "mmmm")</f>
        <v>August</v>
      </c>
      <c r="V28" s="15" t="e">
        <f ca="1"/>
        <v>#N/A</v>
      </c>
      <c r="W28" s="15" t="e">
        <f ca="1"/>
        <v>#N/A</v>
      </c>
      <c r="X28" s="15" t="e">
        <f ca="1"/>
        <v>#N/A</v>
      </c>
      <c r="Y28" s="15" t="e">
        <f ca="1"/>
        <v>#N/A</v>
      </c>
      <c r="Z28" s="15" t="e">
        <f ca="1"/>
        <v>#N/A</v>
      </c>
      <c r="AA28" s="15" t="e">
        <f ca="1"/>
        <v>#N/A</v>
      </c>
      <c r="AB28" s="15" t="e">
        <f ca="1"/>
        <v>#N/A</v>
      </c>
      <c r="AC28" s="15" t="e">
        <f ca="1"/>
        <v>#N/A</v>
      </c>
      <c r="AD28" s="15" t="e">
        <f ca="1"/>
        <v>#N/A</v>
      </c>
      <c r="AE28" s="15" t="e">
        <f ca="1"/>
        <v>#N/A</v>
      </c>
      <c r="AF28" s="16" t="s">
        <v>343</v>
      </c>
      <c r="AG28" s="16"/>
      <c r="AH28" s="16"/>
    </row>
    <row r="29" spans="1:34" ht="20.100000000000001" customHeight="1" x14ac:dyDescent="0.2">
      <c r="A29" s="5" t="str">
        <f>HYPERLINK("#'3.2.1.1-2 Enteric Methane'!A1", "3.2.1.1-2 Enteric Methane")</f>
        <v>3.2.1.1-2 Enteric Methane</v>
      </c>
      <c r="U29" s="15" t="str">
        <f>TEXT(EDATE(X_Cell_Site_StartDate,9), "mmmm")</f>
        <v>September</v>
      </c>
      <c r="V29" s="15" t="e">
        <f ca="1"/>
        <v>#N/A</v>
      </c>
      <c r="W29" s="15" t="e">
        <f ca="1"/>
        <v>#N/A</v>
      </c>
      <c r="X29" s="15" t="e">
        <f ca="1"/>
        <v>#N/A</v>
      </c>
      <c r="Y29" s="15" t="e">
        <f ca="1"/>
        <v>#N/A</v>
      </c>
      <c r="Z29" s="15" t="e">
        <f ca="1"/>
        <v>#N/A</v>
      </c>
      <c r="AA29" s="15" t="e">
        <f ca="1"/>
        <v>#N/A</v>
      </c>
      <c r="AB29" s="15" t="e">
        <f ca="1"/>
        <v>#N/A</v>
      </c>
      <c r="AC29" s="15" t="e">
        <f ca="1"/>
        <v>#N/A</v>
      </c>
      <c r="AD29" s="15" t="e">
        <f ca="1"/>
        <v>#N/A</v>
      </c>
      <c r="AE29" s="15" t="e">
        <f ca="1"/>
        <v>#N/A</v>
      </c>
      <c r="AF29" s="16" t="s">
        <v>343</v>
      </c>
      <c r="AG29" s="16"/>
      <c r="AH29" s="16"/>
    </row>
    <row r="30" spans="1:34" ht="20.100000000000001" customHeight="1" x14ac:dyDescent="0.2">
      <c r="A30" s="5" t="str">
        <f>HYPERLINK("#'4.2.1.1-2 Methane'!A1", "4.2.1.1-2 Manure methane")</f>
        <v>4.2.1.1-2 Manure methane</v>
      </c>
      <c r="D30" s="112" t="s">
        <v>441</v>
      </c>
      <c r="U30" s="15" t="str">
        <f>TEXT(EDATE(X_Cell_Site_StartDate,10), "mmmm")</f>
        <v>October</v>
      </c>
      <c r="V30" s="15" t="e">
        <f ca="1"/>
        <v>#N/A</v>
      </c>
      <c r="W30" s="15" t="e">
        <f ca="1"/>
        <v>#N/A</v>
      </c>
      <c r="X30" s="15" t="e">
        <f ca="1"/>
        <v>#N/A</v>
      </c>
      <c r="Y30" s="15" t="e">
        <f ca="1"/>
        <v>#N/A</v>
      </c>
      <c r="Z30" s="15" t="e">
        <f ca="1"/>
        <v>#N/A</v>
      </c>
      <c r="AA30" s="15" t="e">
        <f ca="1"/>
        <v>#N/A</v>
      </c>
      <c r="AB30" s="15" t="e">
        <f ca="1"/>
        <v>#N/A</v>
      </c>
      <c r="AC30" s="15" t="e">
        <f ca="1"/>
        <v>#N/A</v>
      </c>
      <c r="AD30" s="15" t="e">
        <f ca="1"/>
        <v>#N/A</v>
      </c>
      <c r="AE30" s="15" t="e">
        <f ca="1"/>
        <v>#N/A</v>
      </c>
      <c r="AF30" s="16" t="s">
        <v>343</v>
      </c>
      <c r="AG30" s="16"/>
      <c r="AH30" s="16"/>
    </row>
    <row r="31" spans="1:34" ht="20.100000000000001" customHeight="1" x14ac:dyDescent="0.2">
      <c r="A31" s="104" t="str">
        <f>HYPERLINK("#'4.2.1.3-4 Soil direct N20'!A1", "4.2.1.3-4 Soil direct N2O")</f>
        <v>4.2.1.3-4 Soil direct N2O</v>
      </c>
      <c r="D31" s="113" t="s">
        <v>442</v>
      </c>
      <c r="U31" s="15" t="str">
        <f>TEXT(EDATE(X_Cell_Site_StartDate,11), "mmmm")</f>
        <v>November</v>
      </c>
      <c r="V31" s="15" t="e">
        <f ca="1"/>
        <v>#N/A</v>
      </c>
      <c r="W31" s="15" t="e">
        <f ca="1"/>
        <v>#N/A</v>
      </c>
      <c r="X31" s="15" t="e">
        <f ca="1"/>
        <v>#N/A</v>
      </c>
      <c r="Y31" s="15" t="e">
        <f ca="1"/>
        <v>#N/A</v>
      </c>
      <c r="Z31" s="15" t="e">
        <f ca="1"/>
        <v>#N/A</v>
      </c>
      <c r="AA31" s="15" t="e">
        <f ca="1"/>
        <v>#N/A</v>
      </c>
      <c r="AB31" s="15" t="e">
        <f ca="1"/>
        <v>#N/A</v>
      </c>
      <c r="AC31" s="15" t="e">
        <f ca="1"/>
        <v>#N/A</v>
      </c>
      <c r="AD31" s="15" t="e">
        <f ca="1"/>
        <v>#N/A</v>
      </c>
      <c r="AE31" s="15" t="e">
        <f ca="1"/>
        <v>#N/A</v>
      </c>
      <c r="AF31" s="16" t="s">
        <v>343</v>
      </c>
      <c r="AG31" s="16"/>
      <c r="AH31" s="16"/>
    </row>
    <row r="32" spans="1:34" ht="20.100000000000001" customHeight="1" x14ac:dyDescent="0.2">
      <c r="A32" s="5" t="str">
        <f>HYPERLINK("#'4.2.1.5-6 Soil Atmos Dep'!A1", "4.2.1.5-6 Soil atm. deposition")</f>
        <v>4.2.1.5-6 Soil atm. deposition</v>
      </c>
      <c r="D32" s="114" t="s">
        <v>76</v>
      </c>
      <c r="E32" s="114" t="s">
        <v>326</v>
      </c>
      <c r="F32" s="114" t="s">
        <v>184</v>
      </c>
      <c r="G32" s="114" t="s">
        <v>327</v>
      </c>
      <c r="H32" s="114" t="s">
        <v>328</v>
      </c>
      <c r="I32" s="114" t="s">
        <v>329</v>
      </c>
      <c r="J32" s="114" t="s">
        <v>330</v>
      </c>
      <c r="K32" s="114" t="s">
        <v>331</v>
      </c>
      <c r="L32" s="114" t="s">
        <v>332</v>
      </c>
      <c r="M32" s="114" t="s">
        <v>333</v>
      </c>
      <c r="N32" s="114" t="s">
        <v>334</v>
      </c>
    </row>
    <row r="33" spans="1:34" ht="20.100000000000001" customHeight="1" x14ac:dyDescent="0.2">
      <c r="A33" s="5" t="str">
        <f>HYPERLINK("#'4.2.1.7-8 Soil leach runoff'!A1", "4.2.1.7-8 Soil leach &amp; runoff")</f>
        <v>4.2.1.7-8 Soil leach &amp; runoff</v>
      </c>
      <c r="D33" s="15" t="str">
        <f>INDEX(X_Table_PastureBeef_Liveweight_Method1,2,1)</f>
        <v>Spring</v>
      </c>
      <c r="E33" s="15" t="e">
        <f ca="1">(E20 / D$28)</f>
        <v>#N/A</v>
      </c>
      <c r="F33" s="15" t="e">
        <f ca="1">(F20 / E$28)</f>
        <v>#N/A</v>
      </c>
      <c r="G33" s="15" t="e">
        <f ca="1">(G20 / F$28)</f>
        <v>#N/A</v>
      </c>
      <c r="H33" s="15" t="e">
        <f ca="1">(H20 / G$28)</f>
        <v>#N/A</v>
      </c>
      <c r="I33" s="15" t="e">
        <f ca="1">(I20 / H$28)</f>
        <v>#N/A</v>
      </c>
      <c r="J33" s="15" t="e">
        <f ca="1">(J20 / I$28)</f>
        <v>#N/A</v>
      </c>
      <c r="K33" s="15" t="e">
        <f ca="1">(K20 / J$28)</f>
        <v>#N/A</v>
      </c>
      <c r="L33" s="15" t="e">
        <f ca="1">(L20 / K$28)</f>
        <v>#N/A</v>
      </c>
      <c r="M33" s="15" t="e">
        <f ca="1">(M20 / L$28)</f>
        <v>#N/A</v>
      </c>
      <c r="N33" s="15" t="e">
        <f ca="1">(N20 / M$28)</f>
        <v>#N/A</v>
      </c>
      <c r="O33" s="16" t="str">
        <f>$E$11</f>
        <v>ratio</v>
      </c>
      <c r="U33" s="112" t="s">
        <v>443</v>
      </c>
    </row>
    <row r="34" spans="1:34" ht="20.100000000000001" customHeight="1" x14ac:dyDescent="0.2">
      <c r="A34" s="5" t="str">
        <f>HYPERLINK("#'5.1.1.1-2 Inorganic fert N2O'!A1", "5.1.1.1-2 Inorganic fert N2O")</f>
        <v>5.1.1.1-2 Inorganic fert N2O</v>
      </c>
      <c r="D34" s="15" t="str">
        <f>INDEX(X_Table_PastureBeef_Liveweight_Method1,3,1)</f>
        <v>Summer</v>
      </c>
      <c r="E34" s="15" t="e">
        <f ca="1">(E21 / D$28)</f>
        <v>#N/A</v>
      </c>
      <c r="F34" s="15" t="e">
        <f ca="1">(F21 / E$28)</f>
        <v>#N/A</v>
      </c>
      <c r="G34" s="15" t="e">
        <f ca="1">(G21 / F$28)</f>
        <v>#N/A</v>
      </c>
      <c r="H34" s="15" t="e">
        <f ca="1">(H21 / G$28)</f>
        <v>#N/A</v>
      </c>
      <c r="I34" s="15" t="e">
        <f ca="1">(I21 / H$28)</f>
        <v>#N/A</v>
      </c>
      <c r="J34" s="15" t="e">
        <f ca="1">(J21 / I$28)</f>
        <v>#N/A</v>
      </c>
      <c r="K34" s="15" t="e">
        <f ca="1">(K21 / J$28)</f>
        <v>#N/A</v>
      </c>
      <c r="L34" s="15" t="e">
        <f ca="1">(L21 / K$28)</f>
        <v>#N/A</v>
      </c>
      <c r="M34" s="15" t="e">
        <f ca="1">(M21 / L$28)</f>
        <v>#N/A</v>
      </c>
      <c r="N34" s="15" t="e">
        <f ca="1">(N21 / M$28)</f>
        <v>#N/A</v>
      </c>
      <c r="O34" s="16" t="str">
        <f t="shared" ref="O34:O36" si="0">$E$11</f>
        <v>ratio</v>
      </c>
      <c r="U34" s="113" t="s">
        <v>444</v>
      </c>
    </row>
    <row r="35" spans="1:34" ht="20.100000000000001" customHeight="1" x14ac:dyDescent="0.2">
      <c r="A35" s="5" t="str">
        <f>HYPERLINK("#'5.1.1.3-4 Inorganic fert CO2'!A1", "5.1.1.3-4 Inorganic fert CO2")</f>
        <v>5.1.1.3-4 Inorganic fert CO2</v>
      </c>
      <c r="D35" s="15" t="str">
        <f>INDEX(X_Table_PastureBeef_Liveweight_Method1,4,1)</f>
        <v>Autumn</v>
      </c>
      <c r="E35" s="15" t="e">
        <f ca="1">(E22 / D$28)</f>
        <v>#N/A</v>
      </c>
      <c r="F35" s="15" t="e">
        <f ca="1">(F22 / E$28)</f>
        <v>#N/A</v>
      </c>
      <c r="G35" s="15" t="e">
        <f ca="1">(G22 / F$28)</f>
        <v>#N/A</v>
      </c>
      <c r="H35" s="15" t="e">
        <f ca="1">(H22 / G$28)</f>
        <v>#N/A</v>
      </c>
      <c r="I35" s="15" t="e">
        <f ca="1">(I22 / H$28)</f>
        <v>#N/A</v>
      </c>
      <c r="J35" s="15" t="e">
        <f ca="1">(J22 / I$28)</f>
        <v>#N/A</v>
      </c>
      <c r="K35" s="15" t="e">
        <f ca="1">(K22 / J$28)</f>
        <v>#N/A</v>
      </c>
      <c r="L35" s="15" t="e">
        <f ca="1">(L22 / K$28)</f>
        <v>#N/A</v>
      </c>
      <c r="M35" s="15" t="e">
        <f ca="1">(M22 / L$28)</f>
        <v>#N/A</v>
      </c>
      <c r="N35" s="15" t="e">
        <f ca="1">(N22 / M$28)</f>
        <v>#N/A</v>
      </c>
      <c r="O35" s="16" t="str">
        <f t="shared" si="0"/>
        <v>ratio</v>
      </c>
      <c r="U35" s="114" t="s">
        <v>75</v>
      </c>
      <c r="V35" s="114" t="s">
        <v>326</v>
      </c>
      <c r="W35" s="114" t="s">
        <v>184</v>
      </c>
      <c r="X35" s="114" t="s">
        <v>327</v>
      </c>
      <c r="Y35" s="114" t="s">
        <v>328</v>
      </c>
      <c r="Z35" s="114" t="s">
        <v>329</v>
      </c>
      <c r="AA35" s="114" t="s">
        <v>330</v>
      </c>
      <c r="AB35" s="114" t="s">
        <v>331</v>
      </c>
      <c r="AC35" s="114" t="s">
        <v>332</v>
      </c>
      <c r="AD35" s="114" t="s">
        <v>333</v>
      </c>
      <c r="AE35" s="114" t="s">
        <v>334</v>
      </c>
      <c r="AF35" s="16"/>
      <c r="AG35" s="16"/>
      <c r="AH35" s="16"/>
    </row>
    <row r="36" spans="1:34" ht="20.100000000000001" customHeight="1" x14ac:dyDescent="0.2">
      <c r="A36" s="5" t="str">
        <f>HYPERLINK("#'5.2.1.1-2 Organic Fert N2O'!A1", "5.2.1.1-2 Organic fert N2O")</f>
        <v>5.2.1.1-2 Organic fert N2O</v>
      </c>
      <c r="D36" s="15" t="str">
        <f>INDEX(X_Table_PastureBeef_Liveweight_Method1,5,1)</f>
        <v>Winter</v>
      </c>
      <c r="E36" s="15" t="e">
        <f ca="1">(E23 / D$28)</f>
        <v>#N/A</v>
      </c>
      <c r="F36" s="15" t="e">
        <f ca="1">(F23 / E$28)</f>
        <v>#N/A</v>
      </c>
      <c r="G36" s="15" t="e">
        <f ca="1">(G23 / F$28)</f>
        <v>#N/A</v>
      </c>
      <c r="H36" s="15" t="e">
        <f ca="1">(H23 / G$28)</f>
        <v>#N/A</v>
      </c>
      <c r="I36" s="15" t="e">
        <f ca="1">(I23 / H$28)</f>
        <v>#N/A</v>
      </c>
      <c r="J36" s="15" t="e">
        <f ca="1">(J23 / I$28)</f>
        <v>#N/A</v>
      </c>
      <c r="K36" s="15" t="e">
        <f ca="1">(K23 / J$28)</f>
        <v>#N/A</v>
      </c>
      <c r="L36" s="15" t="e">
        <f ca="1">(L23 / K$28)</f>
        <v>#N/A</v>
      </c>
      <c r="M36" s="15" t="e">
        <f ca="1">(M23 / L$28)</f>
        <v>#N/A</v>
      </c>
      <c r="N36" s="15" t="e">
        <f ca="1">(N23 / M$28)</f>
        <v>#N/A</v>
      </c>
      <c r="O36" s="16" t="str">
        <f t="shared" si="0"/>
        <v>ratio</v>
      </c>
      <c r="U36" s="15" t="str">
        <f>TEXT(X_Cell_Site_StartDate,"mmmm")</f>
        <v>January</v>
      </c>
      <c r="V36" s="15" t="e">
        <f ca="1">(V20 / D$28)</f>
        <v>#N/A</v>
      </c>
      <c r="W36" s="15" t="e">
        <f ca="1">(W20 / E$28)</f>
        <v>#N/A</v>
      </c>
      <c r="X36" s="15" t="e">
        <f ca="1">(X20 / F$28)</f>
        <v>#N/A</v>
      </c>
      <c r="Y36" s="15" t="e">
        <f ca="1">(Y20 / G$28)</f>
        <v>#N/A</v>
      </c>
      <c r="Z36" s="15" t="e">
        <f ca="1">(Z20 / H$28)</f>
        <v>#N/A</v>
      </c>
      <c r="AA36" s="15" t="e">
        <f ca="1">(AA20 / I$28)</f>
        <v>#N/A</v>
      </c>
      <c r="AB36" s="15" t="e">
        <f ca="1">(AB20 / J$28)</f>
        <v>#N/A</v>
      </c>
      <c r="AC36" s="15" t="e">
        <f ca="1">(AC20 / K$28)</f>
        <v>#N/A</v>
      </c>
      <c r="AD36" s="15" t="e">
        <f ca="1">(AD20 / L$28)</f>
        <v>#N/A</v>
      </c>
      <c r="AE36" s="15" t="e">
        <f ca="1">(AE20 / M$28)</f>
        <v>#N/A</v>
      </c>
      <c r="AF36" s="16" t="str">
        <f t="shared" ref="AF36:AF47" si="1">$E$11</f>
        <v>ratio</v>
      </c>
      <c r="AG36" s="16"/>
      <c r="AH36" s="16"/>
    </row>
    <row r="37" spans="1:34" ht="20.100000000000001" customHeight="1" x14ac:dyDescent="0.2">
      <c r="A37" s="5" t="str">
        <f>HYPERLINK("#'5.3.1.1-2 Lime CO2'!A1", "5.3.1.1-2 Lime CO2")</f>
        <v>5.3.1.1-2 Lime CO2</v>
      </c>
      <c r="U37" s="15" t="str">
        <f>TEXT(EDATE(X_Cell_Site_StartDate,1), "mmmm")</f>
        <v>January</v>
      </c>
      <c r="V37" s="15" t="e">
        <f ca="1">(V21 / D$28)</f>
        <v>#N/A</v>
      </c>
      <c r="W37" s="15" t="e">
        <f ca="1">(W21 / E$28)</f>
        <v>#N/A</v>
      </c>
      <c r="X37" s="15" t="e">
        <f ca="1">(X21 / F$28)</f>
        <v>#N/A</v>
      </c>
      <c r="Y37" s="15" t="e">
        <f ca="1">(Y21 / G$28)</f>
        <v>#N/A</v>
      </c>
      <c r="Z37" s="15" t="e">
        <f ca="1">(Z21 / H$28)</f>
        <v>#N/A</v>
      </c>
      <c r="AA37" s="15" t="e">
        <f ca="1">(AA21 / I$28)</f>
        <v>#N/A</v>
      </c>
      <c r="AB37" s="15" t="e">
        <f ca="1">(AB21 / J$28)</f>
        <v>#N/A</v>
      </c>
      <c r="AC37" s="15" t="e">
        <f ca="1">(AC21 / K$28)</f>
        <v>#N/A</v>
      </c>
      <c r="AD37" s="15" t="e">
        <f ca="1">(AD21 / L$28)</f>
        <v>#N/A</v>
      </c>
      <c r="AE37" s="15" t="e">
        <f ca="1">(AE21 / M$28)</f>
        <v>#N/A</v>
      </c>
      <c r="AF37" s="16" t="str">
        <f t="shared" si="1"/>
        <v>ratio</v>
      </c>
      <c r="AG37" s="16"/>
      <c r="AH37" s="16"/>
    </row>
    <row r="38" spans="1:34" ht="20.100000000000001" customHeight="1" x14ac:dyDescent="0.2">
      <c r="A38" s="5" t="str">
        <f>HYPERLINK("#'5.4.1.1-4 Atmos deposition'!A1", "5.4.1.1-4 Atmos. deposition")</f>
        <v>5.4.1.1-4 Atmos. deposition</v>
      </c>
      <c r="U38" s="15" t="str">
        <f>TEXT(EDATE(X_Cell_Site_StartDate,2), "mmmm")</f>
        <v>February</v>
      </c>
      <c r="V38" s="15" t="e">
        <f ca="1">(V22 / D$28)</f>
        <v>#N/A</v>
      </c>
      <c r="W38" s="15" t="e">
        <f ca="1">(W22 / E$28)</f>
        <v>#N/A</v>
      </c>
      <c r="X38" s="15" t="e">
        <f ca="1">(X22 / F$28)</f>
        <v>#N/A</v>
      </c>
      <c r="Y38" s="15" t="e">
        <f ca="1">(Y22 / G$28)</f>
        <v>#N/A</v>
      </c>
      <c r="Z38" s="15" t="e">
        <f ca="1">(Z22 / H$28)</f>
        <v>#N/A</v>
      </c>
      <c r="AA38" s="15" t="e">
        <f ca="1">(AA22 / I$28)</f>
        <v>#N/A</v>
      </c>
      <c r="AB38" s="15" t="e">
        <f ca="1">(AB22 / J$28)</f>
        <v>#N/A</v>
      </c>
      <c r="AC38" s="15" t="e">
        <f ca="1">(AC22 / K$28)</f>
        <v>#N/A</v>
      </c>
      <c r="AD38" s="15" t="e">
        <f ca="1">(AD22 / L$28)</f>
        <v>#N/A</v>
      </c>
      <c r="AE38" s="15" t="e">
        <f ca="1">(AE22 / M$28)</f>
        <v>#N/A</v>
      </c>
      <c r="AF38" s="16" t="str">
        <f t="shared" si="1"/>
        <v>ratio</v>
      </c>
      <c r="AG38" s="16"/>
      <c r="AH38" s="16"/>
    </row>
    <row r="39" spans="1:34" ht="20.100000000000001" customHeight="1" x14ac:dyDescent="0.2">
      <c r="A39" s="5" t="str">
        <f>HYPERLINK("#'5.5.1.1-2 Leaching and runoff'!A1", "5.5.1.1-2 Leaching &amp; runoff")</f>
        <v>5.5.1.1-2 Leaching &amp; runoff</v>
      </c>
      <c r="C39" s="87"/>
      <c r="D39" s="87"/>
      <c r="E39" s="87"/>
      <c r="F39" s="87"/>
      <c r="G39" s="87"/>
      <c r="H39" s="87"/>
      <c r="I39" s="87"/>
      <c r="J39" s="87"/>
      <c r="K39" s="87"/>
      <c r="L39" s="87"/>
      <c r="M39" s="87"/>
      <c r="N39" s="87"/>
      <c r="O39" s="87"/>
      <c r="P39" s="87"/>
      <c r="Q39" s="87"/>
      <c r="R39" s="87"/>
      <c r="U39" s="15" t="str">
        <f>TEXT(EDATE(X_Cell_Site_StartDate,3), "mmmm")</f>
        <v>March</v>
      </c>
      <c r="V39" s="15" t="e">
        <f ca="1">(V23 / D$28)</f>
        <v>#N/A</v>
      </c>
      <c r="W39" s="15" t="e">
        <f ca="1">(W23 / E$28)</f>
        <v>#N/A</v>
      </c>
      <c r="X39" s="15" t="e">
        <f ca="1">(X23 / F$28)</f>
        <v>#N/A</v>
      </c>
      <c r="Y39" s="15" t="e">
        <f ca="1">(Y23 / G$28)</f>
        <v>#N/A</v>
      </c>
      <c r="Z39" s="15" t="e">
        <f ca="1">(Z23 / H$28)</f>
        <v>#N/A</v>
      </c>
      <c r="AA39" s="15" t="e">
        <f ca="1">(AA23 / I$28)</f>
        <v>#N/A</v>
      </c>
      <c r="AB39" s="15" t="e">
        <f ca="1">(AB23 / J$28)</f>
        <v>#N/A</v>
      </c>
      <c r="AC39" s="15" t="e">
        <f ca="1">(AC23 / K$28)</f>
        <v>#N/A</v>
      </c>
      <c r="AD39" s="15" t="e">
        <f ca="1">(AD23 / L$28)</f>
        <v>#N/A</v>
      </c>
      <c r="AE39" s="15" t="e">
        <f ca="1">(AE23 / M$28)</f>
        <v>#N/A</v>
      </c>
      <c r="AF39" s="16" t="str">
        <f t="shared" si="1"/>
        <v>ratio</v>
      </c>
      <c r="AG39" s="16"/>
      <c r="AH39" s="16"/>
    </row>
    <row r="40" spans="1:34" ht="20.100000000000001" customHeight="1" x14ac:dyDescent="0.2">
      <c r="A40" s="5" t="str">
        <f>HYPERLINK("#'6.2.1.1-2 Pasture residue N2O'!A1", "6.2.1.1-2 Pasture residue N2O")</f>
        <v>6.2.1.1-2 Pasture residue N2O</v>
      </c>
      <c r="D40" s="2" t="s">
        <v>1288</v>
      </c>
      <c r="U40" s="15" t="str">
        <f>TEXT(EDATE(X_Cell_Site_StartDate,4), "mmmm")</f>
        <v>April</v>
      </c>
      <c r="V40" s="15" t="e">
        <f ca="1">(V24 / D$28)</f>
        <v>#N/A</v>
      </c>
      <c r="W40" s="15" t="e">
        <f ca="1">(W24 / E$28)</f>
        <v>#N/A</v>
      </c>
      <c r="X40" s="15" t="e">
        <f ca="1">(X24 / F$28)</f>
        <v>#N/A</v>
      </c>
      <c r="Y40" s="15" t="e">
        <f ca="1">(Y24 / G$28)</f>
        <v>#N/A</v>
      </c>
      <c r="Z40" s="15" t="e">
        <f ca="1">(Z24 / H$28)</f>
        <v>#N/A</v>
      </c>
      <c r="AA40" s="15" t="e">
        <f ca="1">(AA24 / I$28)</f>
        <v>#N/A</v>
      </c>
      <c r="AB40" s="15" t="e">
        <f ca="1">(AB24 / J$28)</f>
        <v>#N/A</v>
      </c>
      <c r="AC40" s="15" t="e">
        <f ca="1">(AC24 / K$28)</f>
        <v>#N/A</v>
      </c>
      <c r="AD40" s="15" t="e">
        <f ca="1">(AD24 / L$28)</f>
        <v>#N/A</v>
      </c>
      <c r="AE40" s="15" t="e">
        <f ca="1">(AE24 / M$28)</f>
        <v>#N/A</v>
      </c>
      <c r="AF40" s="16" t="str">
        <f t="shared" si="1"/>
        <v>ratio</v>
      </c>
      <c r="AG40" s="16"/>
      <c r="AH40" s="16"/>
    </row>
    <row r="41" spans="1:34" ht="20.100000000000001" customHeight="1" x14ac:dyDescent="0.2">
      <c r="A41" s="5" t="str">
        <f>HYPERLINK("#'6.3.1.1-2 Leach runoff pasture'!A1", "6.3.1.1-2 Leach &amp; runoff (pasture)")</f>
        <v>6.3.1.1-2 Leach &amp; runoff (pasture)</v>
      </c>
      <c r="D41" s="17" t="s">
        <v>1289</v>
      </c>
      <c r="U41" s="15" t="str">
        <f>TEXT(EDATE(X_Cell_Site_StartDate,5), "mmmm")</f>
        <v>May</v>
      </c>
      <c r="V41" s="15" t="e">
        <f ca="1">(V25 / D$28)</f>
        <v>#N/A</v>
      </c>
      <c r="W41" s="15" t="e">
        <f ca="1">(W25 / E$28)</f>
        <v>#N/A</v>
      </c>
      <c r="X41" s="15" t="e">
        <f ca="1">(X25 / F$28)</f>
        <v>#N/A</v>
      </c>
      <c r="Y41" s="15" t="e">
        <f ca="1">(Y25 / G$28)</f>
        <v>#N/A</v>
      </c>
      <c r="Z41" s="15" t="e">
        <f ca="1">(Z25 / H$28)</f>
        <v>#N/A</v>
      </c>
      <c r="AA41" s="15" t="e">
        <f ca="1">(AA25 / I$28)</f>
        <v>#N/A</v>
      </c>
      <c r="AB41" s="15" t="e">
        <f ca="1">(AB25 / J$28)</f>
        <v>#N/A</v>
      </c>
      <c r="AC41" s="15" t="e">
        <f ca="1">(AC25 / K$28)</f>
        <v>#N/A</v>
      </c>
      <c r="AD41" s="15" t="e">
        <f ca="1">(AD25 / L$28)</f>
        <v>#N/A</v>
      </c>
      <c r="AE41" s="15" t="e">
        <f ca="1">(AE25 / M$28)</f>
        <v>#N/A</v>
      </c>
      <c r="AF41" s="16" t="str">
        <f t="shared" si="1"/>
        <v>ratio</v>
      </c>
      <c r="AG41" s="16"/>
      <c r="AH41" s="16"/>
    </row>
    <row r="42" spans="1:34" ht="20.100000000000001" customHeight="1" x14ac:dyDescent="0.2">
      <c r="A42" s="5" t="str">
        <f>HYPERLINK("#'8.1.1.1-2 Transport fuel'!A1", "8.1.1.1-2 Transport fuel")</f>
        <v>8.1.1.1-2 Transport fuel</v>
      </c>
      <c r="D42" s="103"/>
      <c r="E42" s="103"/>
      <c r="U42" s="15" t="str">
        <f>TEXT(EDATE(X_Cell_Site_StartDate,6), "mmmm")</f>
        <v>June</v>
      </c>
      <c r="V42" s="15" t="e">
        <f ca="1">(V26 / D$28)</f>
        <v>#N/A</v>
      </c>
      <c r="W42" s="15" t="e">
        <f ca="1">(W26 / E$28)</f>
        <v>#N/A</v>
      </c>
      <c r="X42" s="15" t="e">
        <f ca="1">(X26 / F$28)</f>
        <v>#N/A</v>
      </c>
      <c r="Y42" s="15" t="e">
        <f ca="1">(Y26 / G$28)</f>
        <v>#N/A</v>
      </c>
      <c r="Z42" s="15" t="e">
        <f ca="1">(Z26 / H$28)</f>
        <v>#N/A</v>
      </c>
      <c r="AA42" s="15" t="e">
        <f ca="1">(AA26 / I$28)</f>
        <v>#N/A</v>
      </c>
      <c r="AB42" s="15" t="e">
        <f ca="1">(AB26 / J$28)</f>
        <v>#N/A</v>
      </c>
      <c r="AC42" s="15" t="e">
        <f ca="1">(AC26 / K$28)</f>
        <v>#N/A</v>
      </c>
      <c r="AD42" s="15" t="e">
        <f ca="1">(AD26 / L$28)</f>
        <v>#N/A</v>
      </c>
      <c r="AE42" s="15" t="e">
        <f ca="1">(AE26 / M$28)</f>
        <v>#N/A</v>
      </c>
      <c r="AF42" s="16" t="str">
        <f t="shared" si="1"/>
        <v>ratio</v>
      </c>
      <c r="AG42" s="16"/>
      <c r="AH42" s="16"/>
    </row>
    <row r="43" spans="1:34" ht="20.100000000000001" customHeight="1" x14ac:dyDescent="0.2">
      <c r="A43" s="5" t="str">
        <f>HYPERLINK("#'8.2.1.1-2 Stationary fuel'!A1", "8.2.1.1-2 Stationary fuel")</f>
        <v>8.2.1.1-2 Stationary fuel</v>
      </c>
      <c r="U43" s="15" t="str">
        <f>TEXT(EDATE(X_Cell_Site_StartDate,7), "mmmm")</f>
        <v>July</v>
      </c>
      <c r="V43" s="15" t="e">
        <f ca="1">(V27 / D$28)</f>
        <v>#N/A</v>
      </c>
      <c r="W43" s="15" t="e">
        <f ca="1">(W27 / E$28)</f>
        <v>#N/A</v>
      </c>
      <c r="X43" s="15" t="e">
        <f ca="1">(X27 / F$28)</f>
        <v>#N/A</v>
      </c>
      <c r="Y43" s="15" t="e">
        <f ca="1">(Y27 / G$28)</f>
        <v>#N/A</v>
      </c>
      <c r="Z43" s="15" t="e">
        <f ca="1">(Z27 / H$28)</f>
        <v>#N/A</v>
      </c>
      <c r="AA43" s="15" t="e">
        <f ca="1">(AA27 / I$28)</f>
        <v>#N/A</v>
      </c>
      <c r="AB43" s="15" t="e">
        <f ca="1">(AB27 / J$28)</f>
        <v>#N/A</v>
      </c>
      <c r="AC43" s="15" t="e">
        <f ca="1">(AC27 / K$28)</f>
        <v>#N/A</v>
      </c>
      <c r="AD43" s="15" t="e">
        <f ca="1">(AD27 / L$28)</f>
        <v>#N/A</v>
      </c>
      <c r="AE43" s="15" t="e">
        <f ca="1">(AE27 / M$28)</f>
        <v>#N/A</v>
      </c>
      <c r="AF43" s="16" t="str">
        <f t="shared" si="1"/>
        <v>ratio</v>
      </c>
      <c r="AG43" s="16"/>
      <c r="AH43" s="16"/>
    </row>
    <row r="44" spans="1:34" ht="20.100000000000001" customHeight="1" x14ac:dyDescent="0.2">
      <c r="A44" s="5" t="str">
        <f>HYPERLINK("#'10.1.1-2 Solid waste treatment'!A1", "10.1.1.1-2 Solid waste")</f>
        <v>10.1.1.1-2 Solid waste</v>
      </c>
      <c r="U44" s="15" t="str">
        <f>TEXT(EDATE(X_Cell_Site_StartDate,8), "mmmm")</f>
        <v>August</v>
      </c>
      <c r="V44" s="15" t="e">
        <f ca="1">(V28 / D$28)</f>
        <v>#N/A</v>
      </c>
      <c r="W44" s="15" t="e">
        <f ca="1">(W28 / E$28)</f>
        <v>#N/A</v>
      </c>
      <c r="X44" s="15" t="e">
        <f ca="1">(X28 / F$28)</f>
        <v>#N/A</v>
      </c>
      <c r="Y44" s="15" t="e">
        <f ca="1">(Y28 / G$28)</f>
        <v>#N/A</v>
      </c>
      <c r="Z44" s="15" t="e">
        <f ca="1">(Z28 / H$28)</f>
        <v>#N/A</v>
      </c>
      <c r="AA44" s="15" t="e">
        <f ca="1">(AA28 / I$28)</f>
        <v>#N/A</v>
      </c>
      <c r="AB44" s="15" t="e">
        <f ca="1">(AB28 / J$28)</f>
        <v>#N/A</v>
      </c>
      <c r="AC44" s="15" t="e">
        <f ca="1">(AC28 / K$28)</f>
        <v>#N/A</v>
      </c>
      <c r="AD44" s="15" t="e">
        <f ca="1">(AD28 / L$28)</f>
        <v>#N/A</v>
      </c>
      <c r="AE44" s="15" t="e">
        <f ca="1">(AE28 / M$28)</f>
        <v>#N/A</v>
      </c>
      <c r="AF44" s="16" t="str">
        <f t="shared" si="1"/>
        <v>ratio</v>
      </c>
      <c r="AG44" s="16"/>
      <c r="AH44" s="16"/>
    </row>
    <row r="45" spans="1:34" ht="20.100000000000001" customHeight="1" x14ac:dyDescent="0.2">
      <c r="A45" s="5" t="str">
        <f>HYPERLINK("#'14.1.1-2 Purchased electricity'!A1", "14.1.1-2 Purchased electricity")</f>
        <v>14.1.1-2 Purchased electricity</v>
      </c>
      <c r="D45" s="77" t="s">
        <v>373</v>
      </c>
      <c r="E45" s="1" t="s">
        <v>1290</v>
      </c>
      <c r="U45" s="15" t="str">
        <f>TEXT(EDATE(X_Cell_Site_StartDate,9), "mmmm")</f>
        <v>September</v>
      </c>
      <c r="V45" s="15" t="e">
        <f ca="1">(V29 / D$28)</f>
        <v>#N/A</v>
      </c>
      <c r="W45" s="15" t="e">
        <f ca="1">(W29 / E$28)</f>
        <v>#N/A</v>
      </c>
      <c r="X45" s="15" t="e">
        <f ca="1">(X29 / F$28)</f>
        <v>#N/A</v>
      </c>
      <c r="Y45" s="15" t="e">
        <f ca="1">(Y29 / G$28)</f>
        <v>#N/A</v>
      </c>
      <c r="Z45" s="15" t="e">
        <f ca="1">(Z29 / H$28)</f>
        <v>#N/A</v>
      </c>
      <c r="AA45" s="15" t="e">
        <f ca="1">(AA29 / I$28)</f>
        <v>#N/A</v>
      </c>
      <c r="AB45" s="15" t="e">
        <f ca="1">(AB29 / J$28)</f>
        <v>#N/A</v>
      </c>
      <c r="AC45" s="15" t="e">
        <f ca="1">(AC29 / K$28)</f>
        <v>#N/A</v>
      </c>
      <c r="AD45" s="15" t="e">
        <f ca="1">(AD29 / L$28)</f>
        <v>#N/A</v>
      </c>
      <c r="AE45" s="15" t="e">
        <f ca="1">(AE29 / M$28)</f>
        <v>#N/A</v>
      </c>
      <c r="AF45" s="16" t="str">
        <f t="shared" si="1"/>
        <v>ratio</v>
      </c>
      <c r="AG45" s="16"/>
      <c r="AH45" s="16"/>
    </row>
    <row r="46" spans="1:34" ht="20.100000000000001" customHeight="1" x14ac:dyDescent="0.2">
      <c r="A46" s="5" t="str">
        <f>HYPERLINK("#'15 Scope 3'!A1", "15 Scope 3")</f>
        <v>15 Scope 3</v>
      </c>
      <c r="D46" s="77" t="s">
        <v>121</v>
      </c>
      <c r="E46" s="9" t="s">
        <v>1285</v>
      </c>
      <c r="U46" s="15" t="str">
        <f>TEXT(EDATE(X_Cell_Site_StartDate,10), "mmmm")</f>
        <v>October</v>
      </c>
      <c r="V46" s="15" t="e">
        <f ca="1">(V30 / D$28)</f>
        <v>#N/A</v>
      </c>
      <c r="W46" s="15" t="e">
        <f ca="1">(W30 / E$28)</f>
        <v>#N/A</v>
      </c>
      <c r="X46" s="15" t="e">
        <f ca="1">(X30 / F$28)</f>
        <v>#N/A</v>
      </c>
      <c r="Y46" s="15" t="e">
        <f ca="1">(Y30 / G$28)</f>
        <v>#N/A</v>
      </c>
      <c r="Z46" s="15" t="e">
        <f ca="1">(Z30 / H$28)</f>
        <v>#N/A</v>
      </c>
      <c r="AA46" s="15" t="e">
        <f ca="1">(AA30 / I$28)</f>
        <v>#N/A</v>
      </c>
      <c r="AB46" s="15" t="e">
        <f ca="1">(AB30 / J$28)</f>
        <v>#N/A</v>
      </c>
      <c r="AC46" s="15" t="e">
        <f ca="1">(AC30 / K$28)</f>
        <v>#N/A</v>
      </c>
      <c r="AD46" s="15" t="e">
        <f ca="1">(AD30 / L$28)</f>
        <v>#N/A</v>
      </c>
      <c r="AE46" s="15" t="e">
        <f ca="1">(AE30 / M$28)</f>
        <v>#N/A</v>
      </c>
      <c r="AF46" s="16" t="str">
        <f t="shared" si="1"/>
        <v>ratio</v>
      </c>
      <c r="AG46" s="16"/>
      <c r="AH46" s="16"/>
    </row>
    <row r="47" spans="1:34" ht="20.100000000000001" customHeight="1" x14ac:dyDescent="0.2">
      <c r="A47" s="5" t="str">
        <f>HYPERLINK("#'Calcs - Manure sent off-site'!A1", "Calcs - Manure sent off-site")</f>
        <v>Calcs - Manure sent off-site</v>
      </c>
      <c r="U47" s="15" t="str">
        <f>TEXT(EDATE(X_Cell_Site_StartDate,11), "mmmm")</f>
        <v>November</v>
      </c>
      <c r="V47" s="15" t="e">
        <f ca="1">(V31 / D$28)</f>
        <v>#N/A</v>
      </c>
      <c r="W47" s="15" t="e">
        <f ca="1">(W31 / E$28)</f>
        <v>#N/A</v>
      </c>
      <c r="X47" s="15" t="e">
        <f ca="1">(X31 / F$28)</f>
        <v>#N/A</v>
      </c>
      <c r="Y47" s="15" t="e">
        <f ca="1">(Y31 / G$28)</f>
        <v>#N/A</v>
      </c>
      <c r="Z47" s="15" t="e">
        <f ca="1">(Z31 / H$28)</f>
        <v>#N/A</v>
      </c>
      <c r="AA47" s="15" t="e">
        <f ca="1">(AA31 / I$28)</f>
        <v>#N/A</v>
      </c>
      <c r="AB47" s="15" t="e">
        <f ca="1">(AB31 / J$28)</f>
        <v>#N/A</v>
      </c>
      <c r="AC47" s="15" t="e">
        <f ca="1">(AC31 / K$28)</f>
        <v>#N/A</v>
      </c>
      <c r="AD47" s="15" t="e">
        <f ca="1">(AD31 / L$28)</f>
        <v>#N/A</v>
      </c>
      <c r="AE47" s="15" t="e">
        <f ca="1">(AE31 / M$28)</f>
        <v>#N/A</v>
      </c>
      <c r="AF47" s="16" t="str">
        <f t="shared" si="1"/>
        <v>ratio</v>
      </c>
      <c r="AG47" s="16"/>
      <c r="AH47" s="16"/>
    </row>
    <row r="48" spans="1:34" ht="20.100000000000001" customHeight="1" x14ac:dyDescent="0.2">
      <c r="D48" s="105" t="s">
        <v>1224</v>
      </c>
      <c r="E48" s="106" t="s">
        <v>1291</v>
      </c>
      <c r="F48" s="108"/>
      <c r="G48" s="105" t="s">
        <v>1225</v>
      </c>
      <c r="H48" s="110" t="s">
        <v>1293</v>
      </c>
      <c r="I48" s="111" t="str" cm="1">
        <f t="array" aca="1" ref="I48" ca="1">HYPERLINK(Common_InputFunctions.Utility_SourceHyperlink($D$51), $D$51)</f>
        <v>M1_Table_I_j_k_l</v>
      </c>
    </row>
    <row r="49" spans="1:35" ht="20.100000000000001" customHeight="1" x14ac:dyDescent="0.2">
      <c r="D49" s="105" t="s">
        <v>1226</v>
      </c>
      <c r="E49" s="106" t="s">
        <v>1292</v>
      </c>
      <c r="F49" s="108"/>
      <c r="G49" s="105" t="s">
        <v>343</v>
      </c>
      <c r="H49" s="109" t="s">
        <v>1219</v>
      </c>
      <c r="I49" s="111" t="str" cm="1">
        <f t="array" aca="1" ref="I49" ca="1">HYPERLINK(Common_InputFunctions.Utility_SourceHyperlink($D$17), $D$17)</f>
        <v>M1_Table_W_j_k_l</v>
      </c>
    </row>
    <row r="50" spans="1:35" ht="20.100000000000001" customHeight="1" x14ac:dyDescent="0.2">
      <c r="A50" s="85" t="s">
        <v>1</v>
      </c>
      <c r="T50" s="87"/>
      <c r="U50" s="87"/>
      <c r="V50" s="87"/>
      <c r="W50" s="87"/>
      <c r="X50" s="87"/>
      <c r="Y50" s="87"/>
      <c r="Z50" s="87"/>
      <c r="AA50" s="87"/>
      <c r="AB50" s="87"/>
      <c r="AC50" s="87"/>
      <c r="AD50" s="87"/>
      <c r="AE50" s="87"/>
      <c r="AF50" s="87"/>
      <c r="AG50" s="87"/>
      <c r="AH50" s="87"/>
      <c r="AI50" s="87"/>
    </row>
    <row r="51" spans="1:35" ht="20.100000000000001" customHeight="1" x14ac:dyDescent="0.2">
      <c r="A51" s="5" t="str">
        <f>HYPERLINK("#'Constants - Pasture Beef'!A1", "Constants - Pasture Beef")</f>
        <v>Constants - Pasture Beef</v>
      </c>
      <c r="D51" s="112" t="s">
        <v>398</v>
      </c>
      <c r="U51" s="2" t="s">
        <v>1288</v>
      </c>
    </row>
    <row r="52" spans="1:35" ht="20.100000000000001" customHeight="1" x14ac:dyDescent="0.2">
      <c r="A52" s="5" t="str">
        <f>HYPERLINK("#'Constants - Ag Residue'!A1", "Constants - Ag residue")</f>
        <v>Constants - Ag residue</v>
      </c>
      <c r="D52" s="113" t="s">
        <v>399</v>
      </c>
    </row>
    <row r="53" spans="1:35" ht="20.100000000000001" customHeight="1" x14ac:dyDescent="0.2">
      <c r="A53" s="5" t="str">
        <f>HYPERLINK("#'Constants - Common Livestock'!A1", "Constants - Common Livestock")</f>
        <v>Constants - Common Livestock</v>
      </c>
      <c r="D53" s="114" t="s">
        <v>76</v>
      </c>
      <c r="E53" s="114" t="s">
        <v>326</v>
      </c>
      <c r="F53" s="114" t="s">
        <v>184</v>
      </c>
      <c r="G53" s="114" t="s">
        <v>327</v>
      </c>
      <c r="H53" s="114" t="s">
        <v>328</v>
      </c>
      <c r="I53" s="114" t="s">
        <v>329</v>
      </c>
      <c r="J53" s="114" t="s">
        <v>330</v>
      </c>
      <c r="K53" s="114" t="s">
        <v>331</v>
      </c>
      <c r="L53" s="114" t="s">
        <v>332</v>
      </c>
      <c r="M53" s="114" t="s">
        <v>333</v>
      </c>
      <c r="N53" s="114" t="s">
        <v>334</v>
      </c>
      <c r="U53" s="112" t="s">
        <v>396</v>
      </c>
    </row>
    <row r="54" spans="1:35" ht="20.100000000000001" customHeight="1" x14ac:dyDescent="0.2">
      <c r="A54" s="5" t="str">
        <f>HYPERLINK("#'Constants - Electricity'!A1", "Constants - Electricity")</f>
        <v>Constants - Electricity</v>
      </c>
      <c r="D54" s="15" t="s">
        <v>335</v>
      </c>
      <c r="E54" s="15" t="e">
        <f ca="1">INDEX(M1_Table_I_j_k_l,2,2)</f>
        <v>#N/A</v>
      </c>
      <c r="F54" s="15" t="e">
        <f ca="1">INDEX(M1_Table_I_j_k_l,2,3)</f>
        <v>#N/A</v>
      </c>
      <c r="G54" s="15" t="e">
        <f ca="1">INDEX(M1_Table_I_j_k_l,2,4)</f>
        <v>#N/A</v>
      </c>
      <c r="H54" s="15" t="e">
        <f ca="1">INDEX(M1_Table_I_j_k_l,2,5)</f>
        <v>#N/A</v>
      </c>
      <c r="I54" s="15" t="e">
        <f ca="1">INDEX(M1_Table_I_j_k_l,2,6)</f>
        <v>#N/A</v>
      </c>
      <c r="J54" s="15" t="e">
        <f ca="1">INDEX(M1_Table_I_j_k_l,2,7)</f>
        <v>#N/A</v>
      </c>
      <c r="K54" s="15" t="e">
        <f ca="1">INDEX(M1_Table_I_j_k_l,2,8)</f>
        <v>#N/A</v>
      </c>
      <c r="L54" s="15" t="e">
        <f ca="1">INDEX(M1_Table_I_j_k_l,2,9)</f>
        <v>#N/A</v>
      </c>
      <c r="M54" s="15" t="e">
        <f ca="1">INDEX(M1_Table_I_j_k_l,2,10)</f>
        <v>#N/A</v>
      </c>
      <c r="N54" s="15" t="e">
        <f ca="1">INDEX(M1_Table_I_j_k_l,2,11)</f>
        <v>#N/A</v>
      </c>
      <c r="O54" s="16" t="str">
        <f>'4.2.1.1-2 Methane'!O84</f>
        <v>kg DM/head/day</v>
      </c>
      <c r="U54" s="113" t="s">
        <v>397</v>
      </c>
    </row>
    <row r="55" spans="1:35" ht="20.100000000000001" customHeight="1" x14ac:dyDescent="0.2">
      <c r="A55" s="5" t="str">
        <f>HYPERLINK("#'Constants - Fertiliser'!A1", "Constants - Fertiliser")</f>
        <v>Constants - Fertiliser</v>
      </c>
      <c r="D55" s="15" t="s">
        <v>336</v>
      </c>
      <c r="E55" s="15" t="e">
        <f ca="1">INDEX(M1_Table_I_j_k_l,3,2)</f>
        <v>#N/A</v>
      </c>
      <c r="F55" s="15" t="e">
        <f ca="1">INDEX(M1_Table_I_j_k_l,3,3)</f>
        <v>#N/A</v>
      </c>
      <c r="G55" s="15" t="e">
        <f ca="1">INDEX(M1_Table_I_j_k_l,3,4)</f>
        <v>#N/A</v>
      </c>
      <c r="H55" s="15" t="e">
        <f ca="1">INDEX(M1_Table_I_j_k_l,3,5)</f>
        <v>#N/A</v>
      </c>
      <c r="I55" s="15" t="e">
        <f ca="1">INDEX(M1_Table_I_j_k_l,3,6)</f>
        <v>#N/A</v>
      </c>
      <c r="J55" s="15" t="e">
        <f ca="1">INDEX(M1_Table_I_j_k_l,3,7)</f>
        <v>#N/A</v>
      </c>
      <c r="K55" s="15" t="e">
        <f ca="1">INDEX(M1_Table_I_j_k_l,3,8)</f>
        <v>#N/A</v>
      </c>
      <c r="L55" s="15" t="e">
        <f ca="1">INDEX(M1_Table_I_j_k_l,3,9)</f>
        <v>#N/A</v>
      </c>
      <c r="M55" s="15" t="e">
        <f ca="1">INDEX(M1_Table_I_j_k_l,3,10)</f>
        <v>#N/A</v>
      </c>
      <c r="N55" s="15" t="e">
        <f ca="1">INDEX(M1_Table_I_j_k_l,3,11)</f>
        <v>#N/A</v>
      </c>
      <c r="O55" s="16" t="str">
        <f>'4.2.1.1-2 Methane'!O85</f>
        <v>kg DM/head/day</v>
      </c>
      <c r="U55" s="114" t="s">
        <v>75</v>
      </c>
      <c r="V55" s="114" t="s">
        <v>326</v>
      </c>
      <c r="W55" s="114" t="s">
        <v>184</v>
      </c>
      <c r="X55" s="114" t="s">
        <v>327</v>
      </c>
      <c r="Y55" s="114" t="s">
        <v>328</v>
      </c>
      <c r="Z55" s="114" t="s">
        <v>329</v>
      </c>
      <c r="AA55" s="114" t="s">
        <v>330</v>
      </c>
      <c r="AB55" s="114" t="s">
        <v>331</v>
      </c>
      <c r="AC55" s="114" t="s">
        <v>332</v>
      </c>
      <c r="AD55" s="114" t="s">
        <v>333</v>
      </c>
      <c r="AE55" s="114" t="s">
        <v>334</v>
      </c>
    </row>
    <row r="56" spans="1:35" ht="20.100000000000001" customHeight="1" x14ac:dyDescent="0.2">
      <c r="A56" s="5" t="str">
        <f>HYPERLINK("#'Constants - Fuel'!A1", "Constants - Fuel")</f>
        <v>Constants - Fuel</v>
      </c>
      <c r="D56" s="15" t="s">
        <v>337</v>
      </c>
      <c r="E56" s="15" t="e">
        <f ca="1">INDEX(M1_Table_I_j_k_l,4,2)</f>
        <v>#N/A</v>
      </c>
      <c r="F56" s="15" t="e">
        <f ca="1">INDEX(M1_Table_I_j_k_l,4,3)</f>
        <v>#N/A</v>
      </c>
      <c r="G56" s="15" t="e">
        <f ca="1">INDEX(M1_Table_I_j_k_l,4,4)</f>
        <v>#N/A</v>
      </c>
      <c r="H56" s="15" t="e">
        <f ca="1">INDEX(M1_Table_I_j_k_l,4,5)</f>
        <v>#N/A</v>
      </c>
      <c r="I56" s="15" t="e">
        <f ca="1">INDEX(M1_Table_I_j_k_l,4,6)</f>
        <v>#N/A</v>
      </c>
      <c r="J56" s="15" t="e">
        <f ca="1">INDEX(M1_Table_I_j_k_l,4,7)</f>
        <v>#N/A</v>
      </c>
      <c r="K56" s="15" t="e">
        <f ca="1">INDEX(M1_Table_I_j_k_l,4,8)</f>
        <v>#N/A</v>
      </c>
      <c r="L56" s="15" t="e">
        <f ca="1">INDEX(M1_Table_I_j_k_l,4,9)</f>
        <v>#N/A</v>
      </c>
      <c r="M56" s="15" t="e">
        <f ca="1">INDEX(M1_Table_I_j_k_l,4,10)</f>
        <v>#N/A</v>
      </c>
      <c r="N56" s="15" t="e">
        <f ca="1">INDEX(M1_Table_I_j_k_l,4,11)</f>
        <v>#N/A</v>
      </c>
      <c r="O56" s="16" t="str">
        <f>'4.2.1.1-2 Methane'!O86</f>
        <v>kg DM/head/day</v>
      </c>
      <c r="U56" s="15" t="str">
        <f>TEXT(X_Cell_Site_StartDate,"mmmm")</f>
        <v>January</v>
      </c>
      <c r="V56" s="15" t="e">
        <f ca="1">INDEX(M2_Table_I_j_k_l,2,2)</f>
        <v>#N/A</v>
      </c>
      <c r="W56" s="15" t="e">
        <f ca="1">INDEX(M2_Table_I_j_k_l,2,3)</f>
        <v>#N/A</v>
      </c>
      <c r="X56" s="15" t="e">
        <f ca="1">INDEX(M2_Table_I_j_k_l,2,4)</f>
        <v>#N/A</v>
      </c>
      <c r="Y56" s="15" t="e">
        <f ca="1">INDEX(M2_Table_I_j_k_l,2,5)</f>
        <v>#N/A</v>
      </c>
      <c r="Z56" s="15" t="e">
        <f ca="1">INDEX(M2_Table_I_j_k_l,2,6)</f>
        <v>#N/A</v>
      </c>
      <c r="AA56" s="15" t="e">
        <f ca="1">INDEX(M2_Table_I_j_k_l,2,7)</f>
        <v>#N/A</v>
      </c>
      <c r="AB56" s="15" t="e">
        <f ca="1">INDEX(M2_Table_I_j_k_l,2,8)</f>
        <v>#N/A</v>
      </c>
      <c r="AC56" s="15" t="e">
        <f ca="1">INDEX(M2_Table_I_j_k_l,2,9)</f>
        <v>#N/A</v>
      </c>
      <c r="AD56" s="15" t="e">
        <f ca="1">INDEX(M2_Table_I_j_k_l,2,10)</f>
        <v>#N/A</v>
      </c>
      <c r="AE56" s="15" t="e">
        <f ca="1">INDEX(M2_Table_I_j_k_l,2,11)</f>
        <v>#N/A</v>
      </c>
      <c r="AF56" s="16" t="str">
        <f>'4.2.1.1-2 Methane'!AH76</f>
        <v>kg DM/head/day</v>
      </c>
      <c r="AG56" s="16"/>
      <c r="AH56" s="16"/>
    </row>
    <row r="57" spans="1:35" ht="20.100000000000001" customHeight="1" x14ac:dyDescent="0.2">
      <c r="A57" s="5" t="str">
        <f>HYPERLINK("#'Constants - Scope 3'!A1", "Constants - Scope 3")</f>
        <v>Constants - Scope 3</v>
      </c>
      <c r="D57" s="15" t="s">
        <v>338</v>
      </c>
      <c r="E57" s="15" t="e">
        <f ca="1">INDEX(M1_Table_I_j_k_l,5,2)</f>
        <v>#N/A</v>
      </c>
      <c r="F57" s="15" t="e">
        <f ca="1">INDEX(M1_Table_I_j_k_l,5,3)</f>
        <v>#N/A</v>
      </c>
      <c r="G57" s="15" t="e">
        <f ca="1">INDEX(M1_Table_I_j_k_l,5,4)</f>
        <v>#N/A</v>
      </c>
      <c r="H57" s="15" t="e">
        <f ca="1">INDEX(M1_Table_I_j_k_l,5,5)</f>
        <v>#N/A</v>
      </c>
      <c r="I57" s="15" t="e">
        <f ca="1">INDEX(M1_Table_I_j_k_l,5,6)</f>
        <v>#N/A</v>
      </c>
      <c r="J57" s="15" t="e">
        <f ca="1">INDEX(M1_Table_I_j_k_l,5,7)</f>
        <v>#N/A</v>
      </c>
      <c r="K57" s="15" t="e">
        <f ca="1">INDEX(M1_Table_I_j_k_l,5,8)</f>
        <v>#N/A</v>
      </c>
      <c r="L57" s="15" t="e">
        <f ca="1">INDEX(M1_Table_I_j_k_l,5,9)</f>
        <v>#N/A</v>
      </c>
      <c r="M57" s="15" t="e">
        <f ca="1">INDEX(M1_Table_I_j_k_l,5,10)</f>
        <v>#N/A</v>
      </c>
      <c r="N57" s="15" t="e">
        <f ca="1">INDEX(M1_Table_I_j_k_l,5,11)</f>
        <v>#N/A</v>
      </c>
      <c r="O57" s="16" t="str">
        <f>'4.2.1.1-2 Methane'!O87</f>
        <v>kg DM/head/day</v>
      </c>
      <c r="U57" s="15" t="str">
        <f>TEXT(EDATE(X_Cell_Site_StartDate,1), "mmmm")</f>
        <v>January</v>
      </c>
      <c r="V57" s="15" t="e">
        <f ca="1">INDEX(M2_Table_I_j_k_l,3,2)</f>
        <v>#N/A</v>
      </c>
      <c r="W57" s="15" t="e">
        <f ca="1">INDEX(M2_Table_I_j_k_l,3,3)</f>
        <v>#N/A</v>
      </c>
      <c r="X57" s="15" t="e">
        <f ca="1">INDEX(M2_Table_I_j_k_l,3,4)</f>
        <v>#N/A</v>
      </c>
      <c r="Y57" s="15" t="e">
        <f ca="1">INDEX(M2_Table_I_j_k_l,3,5)</f>
        <v>#N/A</v>
      </c>
      <c r="Z57" s="15" t="e">
        <f ca="1">INDEX(M2_Table_I_j_k_l,3,6)</f>
        <v>#N/A</v>
      </c>
      <c r="AA57" s="15" t="e">
        <f ca="1">INDEX(M2_Table_I_j_k_l,3,7)</f>
        <v>#N/A</v>
      </c>
      <c r="AB57" s="15" t="e">
        <f ca="1">INDEX(M2_Table_I_j_k_l,3,8)</f>
        <v>#N/A</v>
      </c>
      <c r="AC57" s="15" t="e">
        <f ca="1">INDEX(M2_Table_I_j_k_l,3,9)</f>
        <v>#N/A</v>
      </c>
      <c r="AD57" s="15" t="e">
        <f ca="1">INDEX(M2_Table_I_j_k_l,3,10)</f>
        <v>#N/A</v>
      </c>
      <c r="AE57" s="15" t="e">
        <f ca="1">INDEX(M2_Table_I_j_k_l,3,11)</f>
        <v>#N/A</v>
      </c>
      <c r="AF57" s="16" t="str">
        <f>'4.2.1.1-2 Methane'!AH77</f>
        <v>kg DM/head/day</v>
      </c>
      <c r="AG57" s="16"/>
      <c r="AH57" s="16"/>
    </row>
    <row r="58" spans="1:35" ht="20.100000000000001" customHeight="1" x14ac:dyDescent="0.2">
      <c r="A58" s="5" t="str">
        <f>HYPERLINK("#'Constants - Solid Waste'!A1", "Constants - Solid Waste")</f>
        <v>Constants - Solid Waste</v>
      </c>
      <c r="U58" s="15" t="str">
        <f>TEXT(EDATE(X_Cell_Site_StartDate,2), "mmmm")</f>
        <v>February</v>
      </c>
      <c r="V58" s="15" t="e">
        <f ca="1">INDEX(M2_Table_I_j_k_l,4,2)</f>
        <v>#N/A</v>
      </c>
      <c r="W58" s="15" t="e">
        <f ca="1">INDEX(M2_Table_I_j_k_l,4,3)</f>
        <v>#N/A</v>
      </c>
      <c r="X58" s="15" t="e">
        <f ca="1">INDEX(M2_Table_I_j_k_l,4,4)</f>
        <v>#N/A</v>
      </c>
      <c r="Y58" s="15" t="e">
        <f ca="1">INDEX(M2_Table_I_j_k_l,4,5)</f>
        <v>#N/A</v>
      </c>
      <c r="Z58" s="15" t="e">
        <f ca="1">INDEX(M2_Table_I_j_k_l,4,6)</f>
        <v>#N/A</v>
      </c>
      <c r="AA58" s="15" t="e">
        <f ca="1">INDEX(M2_Table_I_j_k_l,4,7)</f>
        <v>#N/A</v>
      </c>
      <c r="AB58" s="15" t="e">
        <f ca="1">INDEX(M2_Table_I_j_k_l,4,8)</f>
        <v>#N/A</v>
      </c>
      <c r="AC58" s="15" t="e">
        <f ca="1">INDEX(M2_Table_I_j_k_l,4,9)</f>
        <v>#N/A</v>
      </c>
      <c r="AD58" s="15" t="e">
        <f ca="1">INDEX(M2_Table_I_j_k_l,4,10)</f>
        <v>#N/A</v>
      </c>
      <c r="AE58" s="15" t="e">
        <f ca="1">INDEX(M2_Table_I_j_k_l,4,11)</f>
        <v>#N/A</v>
      </c>
      <c r="AF58" s="16" t="str">
        <f>'4.2.1.1-2 Methane'!AH78</f>
        <v>kg DM/head/day</v>
      </c>
      <c r="AG58" s="16"/>
      <c r="AH58" s="16"/>
    </row>
    <row r="59" spans="1:35" ht="20.100000000000001" customHeight="1" x14ac:dyDescent="0.2">
      <c r="A59" s="5" t="str">
        <f>HYPERLINK("#'Constants - Common'!A1", "Constants - Common")</f>
        <v>Constants - Common</v>
      </c>
      <c r="D59" s="112" t="s">
        <v>445</v>
      </c>
      <c r="U59" s="15" t="str">
        <f>TEXT(EDATE(X_Cell_Site_StartDate,3), "mmmm")</f>
        <v>March</v>
      </c>
      <c r="V59" s="15" t="e">
        <f ca="1">INDEX(M2_Table_I_j_k_l,5,2)</f>
        <v>#N/A</v>
      </c>
      <c r="W59" s="15" t="e">
        <f ca="1">INDEX(M2_Table_I_j_k_l,5,3)</f>
        <v>#N/A</v>
      </c>
      <c r="X59" s="15" t="e">
        <f ca="1">INDEX(M2_Table_I_j_k_l,5,4)</f>
        <v>#N/A</v>
      </c>
      <c r="Y59" s="15" t="e">
        <f ca="1">INDEX(M2_Table_I_j_k_l,5,5)</f>
        <v>#N/A</v>
      </c>
      <c r="Z59" s="15" t="e">
        <f ca="1">INDEX(M2_Table_I_j_k_l,5,6)</f>
        <v>#N/A</v>
      </c>
      <c r="AA59" s="15" t="e">
        <f ca="1">INDEX(M2_Table_I_j_k_l,5,7)</f>
        <v>#N/A</v>
      </c>
      <c r="AB59" s="15" t="e">
        <f ca="1">INDEX(M2_Table_I_j_k_l,5,8)</f>
        <v>#N/A</v>
      </c>
      <c r="AC59" s="15" t="e">
        <f ca="1">INDEX(M2_Table_I_j_k_l,5,9)</f>
        <v>#N/A</v>
      </c>
      <c r="AD59" s="15" t="e">
        <f ca="1">INDEX(M2_Table_I_j_k_l,5,10)</f>
        <v>#N/A</v>
      </c>
      <c r="AE59" s="15" t="e">
        <f ca="1">INDEX(M2_Table_I_j_k_l,5,11)</f>
        <v>#N/A</v>
      </c>
      <c r="AF59" s="16" t="str">
        <f>'4.2.1.1-2 Methane'!AH79</f>
        <v>kg DM/head/day</v>
      </c>
      <c r="AG59" s="16"/>
      <c r="AH59" s="16"/>
    </row>
    <row r="60" spans="1:35" ht="20.100000000000001" customHeight="1" x14ac:dyDescent="0.2">
      <c r="A60" s="5" t="str">
        <f>HYPERLINK("#'Acknowledgements'!A1", "Acknowledgements")</f>
        <v>Acknowledgements</v>
      </c>
      <c r="D60" s="113" t="s">
        <v>446</v>
      </c>
      <c r="U60" s="15" t="str">
        <f>TEXT(EDATE(X_Cell_Site_StartDate,4), "mmmm")</f>
        <v>April</v>
      </c>
      <c r="V60" s="15" t="e">
        <f ca="1">INDEX(M2_Table_I_j_k_l,6,2)</f>
        <v>#N/A</v>
      </c>
      <c r="W60" s="15" t="e">
        <f ca="1">INDEX(M2_Table_I_j_k_l,6,3)</f>
        <v>#N/A</v>
      </c>
      <c r="X60" s="15" t="e">
        <f ca="1">INDEX(M2_Table_I_j_k_l,6,4)</f>
        <v>#N/A</v>
      </c>
      <c r="Y60" s="15" t="e">
        <f ca="1">INDEX(M2_Table_I_j_k_l,6,5)</f>
        <v>#N/A</v>
      </c>
      <c r="Z60" s="15" t="e">
        <f ca="1">INDEX(M2_Table_I_j_k_l,6,6)</f>
        <v>#N/A</v>
      </c>
      <c r="AA60" s="15" t="e">
        <f ca="1">INDEX(M2_Table_I_j_k_l,6,7)</f>
        <v>#N/A</v>
      </c>
      <c r="AB60" s="15" t="e">
        <f ca="1">INDEX(M2_Table_I_j_k_l,6,8)</f>
        <v>#N/A</v>
      </c>
      <c r="AC60" s="15" t="e">
        <f ca="1">INDEX(M2_Table_I_j_k_l,6,9)</f>
        <v>#N/A</v>
      </c>
      <c r="AD60" s="15" t="e">
        <f ca="1">INDEX(M2_Table_I_j_k_l,6,10)</f>
        <v>#N/A</v>
      </c>
      <c r="AE60" s="15" t="e">
        <f ca="1">INDEX(M2_Table_I_j_k_l,6,11)</f>
        <v>#N/A</v>
      </c>
      <c r="AF60" s="16" t="str">
        <f>'4.2.1.1-2 Methane'!AH80</f>
        <v>kg DM/head/day</v>
      </c>
      <c r="AG60" s="16"/>
      <c r="AH60" s="16"/>
    </row>
    <row r="61" spans="1:35" ht="20.100000000000001" customHeight="1" x14ac:dyDescent="0.2">
      <c r="D61" s="114" t="s">
        <v>76</v>
      </c>
      <c r="E61" s="114" t="s">
        <v>326</v>
      </c>
      <c r="F61" s="114" t="s">
        <v>184</v>
      </c>
      <c r="G61" s="114" t="s">
        <v>327</v>
      </c>
      <c r="H61" s="114" t="s">
        <v>328</v>
      </c>
      <c r="I61" s="114" t="s">
        <v>329</v>
      </c>
      <c r="J61" s="114" t="s">
        <v>330</v>
      </c>
      <c r="K61" s="114" t="s">
        <v>331</v>
      </c>
      <c r="L61" s="114" t="s">
        <v>332</v>
      </c>
      <c r="M61" s="114" t="s">
        <v>333</v>
      </c>
      <c r="N61" s="114" t="s">
        <v>334</v>
      </c>
      <c r="U61" s="15" t="str">
        <f>TEXT(EDATE(X_Cell_Site_StartDate,5), "mmmm")</f>
        <v>May</v>
      </c>
      <c r="V61" s="15" t="e">
        <f ca="1">INDEX(M2_Table_I_j_k_l,7,2)</f>
        <v>#N/A</v>
      </c>
      <c r="W61" s="15" t="e">
        <f ca="1">INDEX(M2_Table_I_j_k_l,7,3)</f>
        <v>#N/A</v>
      </c>
      <c r="X61" s="15" t="e">
        <f ca="1">INDEX(M2_Table_I_j_k_l,7,4)</f>
        <v>#N/A</v>
      </c>
      <c r="Y61" s="15" t="e">
        <f ca="1">INDEX(M2_Table_I_j_k_l,7,5)</f>
        <v>#N/A</v>
      </c>
      <c r="Z61" s="15" t="e">
        <f ca="1">INDEX(M2_Table_I_j_k_l,7,6)</f>
        <v>#N/A</v>
      </c>
      <c r="AA61" s="15" t="e">
        <f ca="1">INDEX(M2_Table_I_j_k_l,7,7)</f>
        <v>#N/A</v>
      </c>
      <c r="AB61" s="15" t="e">
        <f ca="1">INDEX(M2_Table_I_j_k_l,7,8)</f>
        <v>#N/A</v>
      </c>
      <c r="AC61" s="15" t="e">
        <f ca="1">INDEX(M2_Table_I_j_k_l,7,9)</f>
        <v>#N/A</v>
      </c>
      <c r="AD61" s="15" t="e">
        <f ca="1">INDEX(M2_Table_I_j_k_l,7,10)</f>
        <v>#N/A</v>
      </c>
      <c r="AE61" s="15" t="e">
        <f ca="1">INDEX(M2_Table_I_j_k_l,7,11)</f>
        <v>#N/A</v>
      </c>
      <c r="AF61" s="16" t="str">
        <f>'4.2.1.1-2 Methane'!AH81</f>
        <v>kg DM/head/day</v>
      </c>
      <c r="AG61" s="16"/>
      <c r="AH61" s="16"/>
    </row>
    <row r="62" spans="1:35" ht="20.100000000000001" customHeight="1" x14ac:dyDescent="0.2">
      <c r="D62" s="15" t="s">
        <v>335</v>
      </c>
      <c r="E62" s="15" t="e">
        <f ca="1">(E54 / ((1.185 + 0.00454 * E20 - 0.0000026 * E20 ^ 2) ^ 2))</f>
        <v>#N/A</v>
      </c>
      <c r="F62" s="15" t="e">
        <f ca="1">(F54 / ((1.185 + 0.00454 * F20 - 0.0000026 * F20 ^ 2) ^ 2))</f>
        <v>#N/A</v>
      </c>
      <c r="G62" s="15" t="e">
        <f ca="1">(G54 / ((1.185 + 0.00454 * G20 - 0.0000026 * G20 ^ 2) ^ 2))</f>
        <v>#N/A</v>
      </c>
      <c r="H62" s="15" t="e">
        <f ca="1">(H54 / ((1.185 + 0.00454 * H20 - 0.0000026 * H20 ^ 2) ^ 2))</f>
        <v>#N/A</v>
      </c>
      <c r="I62" s="15" t="e">
        <f ca="1">(I54 / ((1.185 + 0.00454 * I20 - 0.0000026 * I20 ^ 2) ^ 2))</f>
        <v>#N/A</v>
      </c>
      <c r="J62" s="15" t="e">
        <f ca="1">(J54 / ((1.185 + 0.00454 * J20 - 0.0000026 * J20 ^ 2) ^ 2))</f>
        <v>#N/A</v>
      </c>
      <c r="K62" s="15" t="e">
        <f ca="1">(K54 / ((1.185 + 0.00454 * K20 - 0.0000026 * K20 ^ 2) ^ 2))</f>
        <v>#N/A</v>
      </c>
      <c r="L62" s="15" t="e">
        <f ca="1">(L54 / ((1.185 + 0.00454 * L20 - 0.0000026 * L20 ^ 2) ^ 2))</f>
        <v>#N/A</v>
      </c>
      <c r="M62" s="15" t="e">
        <f ca="1">(M54 / ((1.185 + 0.00454 * M20 - 0.0000026 * M20 ^ 2) ^ 2))</f>
        <v>#N/A</v>
      </c>
      <c r="N62" s="15" t="e">
        <f ca="1">(N54 / ((1.185 + 0.00454 * N20 - 0.0000026 * N20 ^ 2) ^ 2))</f>
        <v>#N/A</v>
      </c>
      <c r="O62" s="16" t="str">
        <f>$E$46</f>
        <v>ratio</v>
      </c>
      <c r="U62" s="15" t="str">
        <f>TEXT(EDATE(X_Cell_Site_StartDate,6), "mmmm")</f>
        <v>June</v>
      </c>
      <c r="V62" s="15" t="e">
        <f ca="1">INDEX(M2_Table_I_j_k_l,8,2)</f>
        <v>#N/A</v>
      </c>
      <c r="W62" s="15" t="e">
        <f ca="1">INDEX(M2_Table_I_j_k_l,8,3)</f>
        <v>#N/A</v>
      </c>
      <c r="X62" s="15" t="e">
        <f ca="1">INDEX(M2_Table_I_j_k_l,8,4)</f>
        <v>#N/A</v>
      </c>
      <c r="Y62" s="15" t="e">
        <f ca="1">INDEX(M2_Table_I_j_k_l,8,5)</f>
        <v>#N/A</v>
      </c>
      <c r="Z62" s="15" t="e">
        <f ca="1">INDEX(M2_Table_I_j_k_l,8,6)</f>
        <v>#N/A</v>
      </c>
      <c r="AA62" s="15" t="e">
        <f ca="1">INDEX(M2_Table_I_j_k_l,8,7)</f>
        <v>#N/A</v>
      </c>
      <c r="AB62" s="15" t="e">
        <f ca="1">INDEX(M2_Table_I_j_k_l,8,8)</f>
        <v>#N/A</v>
      </c>
      <c r="AC62" s="15" t="e">
        <f ca="1">INDEX(M2_Table_I_j_k_l,8,9)</f>
        <v>#N/A</v>
      </c>
      <c r="AD62" s="15" t="e">
        <f ca="1">INDEX(M2_Table_I_j_k_l,8,10)</f>
        <v>#N/A</v>
      </c>
      <c r="AE62" s="15" t="e">
        <f ca="1">INDEX(M2_Table_I_j_k_l,8,11)</f>
        <v>#N/A</v>
      </c>
      <c r="AF62" s="16" t="str">
        <f>'4.2.1.1-2 Methane'!AH82</f>
        <v>kg DM/head/day</v>
      </c>
      <c r="AG62" s="16"/>
      <c r="AH62" s="16"/>
    </row>
    <row r="63" spans="1:35" ht="20.100000000000001" customHeight="1" x14ac:dyDescent="0.2">
      <c r="D63" s="15" t="s">
        <v>336</v>
      </c>
      <c r="E63" s="15" t="e">
        <f ca="1">(E55 / ((1.185 + 0.00454 * E21 - 0.0000026 * E21 ^ 2) ^ 2))</f>
        <v>#N/A</v>
      </c>
      <c r="F63" s="15" t="e">
        <f ca="1">(F55 / ((1.185 + 0.00454 * F21 - 0.0000026 * F21 ^ 2) ^ 2))</f>
        <v>#N/A</v>
      </c>
      <c r="G63" s="15" t="e">
        <f ca="1">(G55 / ((1.185 + 0.00454 * G21 - 0.0000026 * G21 ^ 2) ^ 2))</f>
        <v>#N/A</v>
      </c>
      <c r="H63" s="15" t="e">
        <f ca="1">(H55 / ((1.185 + 0.00454 * H21 - 0.0000026 * H21 ^ 2) ^ 2))</f>
        <v>#N/A</v>
      </c>
      <c r="I63" s="15" t="e">
        <f ca="1">(I55 / ((1.185 + 0.00454 * I21 - 0.0000026 * I21 ^ 2) ^ 2))</f>
        <v>#N/A</v>
      </c>
      <c r="J63" s="15" t="e">
        <f ca="1">(J55 / ((1.185 + 0.00454 * J21 - 0.0000026 * J21 ^ 2) ^ 2))</f>
        <v>#N/A</v>
      </c>
      <c r="K63" s="15" t="e">
        <f ca="1">(K55 / ((1.185 + 0.00454 * K21 - 0.0000026 * K21 ^ 2) ^ 2))</f>
        <v>#N/A</v>
      </c>
      <c r="L63" s="15" t="e">
        <f ca="1">(L55 / ((1.185 + 0.00454 * L21 - 0.0000026 * L21 ^ 2) ^ 2))</f>
        <v>#N/A</v>
      </c>
      <c r="M63" s="15" t="e">
        <f ca="1">(M55 / ((1.185 + 0.00454 * M21 - 0.0000026 * M21 ^ 2) ^ 2))</f>
        <v>#N/A</v>
      </c>
      <c r="N63" s="15" t="e">
        <f ca="1">(N55 / ((1.185 + 0.00454 * N21 - 0.0000026 * N21 ^ 2) ^ 2))</f>
        <v>#N/A</v>
      </c>
      <c r="O63" s="16" t="str">
        <f t="shared" ref="O63:O65" si="2">$E$46</f>
        <v>ratio</v>
      </c>
      <c r="U63" s="15" t="str">
        <f>TEXT(EDATE(X_Cell_Site_StartDate,7), "mmmm")</f>
        <v>July</v>
      </c>
      <c r="V63" s="15" t="e">
        <f ca="1">INDEX(M2_Table_I_j_k_l,9,2)</f>
        <v>#N/A</v>
      </c>
      <c r="W63" s="15" t="e">
        <f ca="1">INDEX(M2_Table_I_j_k_l,9,3)</f>
        <v>#N/A</v>
      </c>
      <c r="X63" s="15" t="e">
        <f ca="1">INDEX(M2_Table_I_j_k_l,9,4)</f>
        <v>#N/A</v>
      </c>
      <c r="Y63" s="15" t="e">
        <f ca="1">INDEX(M2_Table_I_j_k_l,9,5)</f>
        <v>#N/A</v>
      </c>
      <c r="Z63" s="15" t="e">
        <f ca="1">INDEX(M2_Table_I_j_k_l,9,6)</f>
        <v>#N/A</v>
      </c>
      <c r="AA63" s="15" t="e">
        <f ca="1">INDEX(M2_Table_I_j_k_l,9,7)</f>
        <v>#N/A</v>
      </c>
      <c r="AB63" s="15" t="e">
        <f ca="1">INDEX(M2_Table_I_j_k_l,9,8)</f>
        <v>#N/A</v>
      </c>
      <c r="AC63" s="15" t="e">
        <f ca="1">INDEX(M2_Table_I_j_k_l,9,9)</f>
        <v>#N/A</v>
      </c>
      <c r="AD63" s="15" t="e">
        <f ca="1">INDEX(M2_Table_I_j_k_l,9,10)</f>
        <v>#N/A</v>
      </c>
      <c r="AE63" s="15" t="e">
        <f ca="1">INDEX(M2_Table_I_j_k_l,9,11)</f>
        <v>#N/A</v>
      </c>
      <c r="AF63" s="16" t="str">
        <f>'4.2.1.1-2 Methane'!AH83</f>
        <v>kg DM/head/day</v>
      </c>
      <c r="AG63" s="16"/>
      <c r="AH63" s="16"/>
    </row>
    <row r="64" spans="1:35" ht="20.100000000000001" customHeight="1" x14ac:dyDescent="0.2">
      <c r="D64" s="15" t="s">
        <v>337</v>
      </c>
      <c r="E64" s="15" t="e">
        <f ca="1">(E56 / ((1.185 + 0.00454 * E22 - 0.0000026 * E22 ^ 2) ^ 2))</f>
        <v>#N/A</v>
      </c>
      <c r="F64" s="15" t="e">
        <f ca="1">(F56 / ((1.185 + 0.00454 * F22 - 0.0000026 * F22 ^ 2) ^ 2))</f>
        <v>#N/A</v>
      </c>
      <c r="G64" s="15" t="e">
        <f ca="1">(G56 / ((1.185 + 0.00454 * G22 - 0.0000026 * G22 ^ 2) ^ 2))</f>
        <v>#N/A</v>
      </c>
      <c r="H64" s="15" t="e">
        <f ca="1">(H56 / ((1.185 + 0.00454 * H22 - 0.0000026 * H22 ^ 2) ^ 2))</f>
        <v>#N/A</v>
      </c>
      <c r="I64" s="15" t="e">
        <f ca="1">(I56 / ((1.185 + 0.00454 * I22 - 0.0000026 * I22 ^ 2) ^ 2))</f>
        <v>#N/A</v>
      </c>
      <c r="J64" s="15" t="e">
        <f ca="1">(J56 / ((1.185 + 0.00454 * J22 - 0.0000026 * J22 ^ 2) ^ 2))</f>
        <v>#N/A</v>
      </c>
      <c r="K64" s="15" t="e">
        <f ca="1">(K56 / ((1.185 + 0.00454 * K22 - 0.0000026 * K22 ^ 2) ^ 2))</f>
        <v>#N/A</v>
      </c>
      <c r="L64" s="15" t="e">
        <f ca="1">(L56 / ((1.185 + 0.00454 * L22 - 0.0000026 * L22 ^ 2) ^ 2))</f>
        <v>#N/A</v>
      </c>
      <c r="M64" s="15" t="e">
        <f ca="1">(M56 / ((1.185 + 0.00454 * M22 - 0.0000026 * M22 ^ 2) ^ 2))</f>
        <v>#N/A</v>
      </c>
      <c r="N64" s="15" t="e">
        <f ca="1">(N56 / ((1.185 + 0.00454 * N22 - 0.0000026 * N22 ^ 2) ^ 2))</f>
        <v>#N/A</v>
      </c>
      <c r="O64" s="16" t="str">
        <f t="shared" si="2"/>
        <v>ratio</v>
      </c>
      <c r="U64" s="15" t="str">
        <f>TEXT(EDATE(X_Cell_Site_StartDate,8), "mmmm")</f>
        <v>August</v>
      </c>
      <c r="V64" s="15" t="e">
        <f ca="1">INDEX(M2_Table_I_j_k_l,10,2)</f>
        <v>#N/A</v>
      </c>
      <c r="W64" s="15" t="e">
        <f ca="1">INDEX(M2_Table_I_j_k_l,10,3)</f>
        <v>#N/A</v>
      </c>
      <c r="X64" s="15" t="e">
        <f ca="1">INDEX(M2_Table_I_j_k_l,10,4)</f>
        <v>#N/A</v>
      </c>
      <c r="Y64" s="15" t="e">
        <f ca="1">INDEX(M2_Table_I_j_k_l,10,5)</f>
        <v>#N/A</v>
      </c>
      <c r="Z64" s="15" t="e">
        <f ca="1">INDEX(M2_Table_I_j_k_l,10,6)</f>
        <v>#N/A</v>
      </c>
      <c r="AA64" s="15" t="e">
        <f ca="1">INDEX(M2_Table_I_j_k_l,10,7)</f>
        <v>#N/A</v>
      </c>
      <c r="AB64" s="15" t="e">
        <f ca="1">INDEX(M2_Table_I_j_k_l,10,8)</f>
        <v>#N/A</v>
      </c>
      <c r="AC64" s="15" t="e">
        <f ca="1">INDEX(M2_Table_I_j_k_l,10,9)</f>
        <v>#N/A</v>
      </c>
      <c r="AD64" s="15" t="e">
        <f ca="1">INDEX(M2_Table_I_j_k_l,10,10)</f>
        <v>#N/A</v>
      </c>
      <c r="AE64" s="15" t="e">
        <f ca="1">INDEX(M2_Table_I_j_k_l,10,11)</f>
        <v>#N/A</v>
      </c>
      <c r="AF64" s="16" t="str">
        <f>'4.2.1.1-2 Methane'!AH84</f>
        <v>kg DM/head/day</v>
      </c>
      <c r="AG64" s="16"/>
      <c r="AH64" s="16"/>
    </row>
    <row r="65" spans="3:34" ht="20.100000000000001" customHeight="1" x14ac:dyDescent="0.2">
      <c r="D65" s="15" t="s">
        <v>338</v>
      </c>
      <c r="E65" s="15" t="e">
        <f ca="1">(E57 / ((1.185 + 0.00454 * E23 - 0.0000026 * E23 ^ 2) ^ 2))</f>
        <v>#N/A</v>
      </c>
      <c r="F65" s="15" t="e">
        <f ca="1">(F57 / ((1.185 + 0.00454 * F23 - 0.0000026 * F23 ^ 2) ^ 2))</f>
        <v>#N/A</v>
      </c>
      <c r="G65" s="15" t="e">
        <f ca="1">(G57 / ((1.185 + 0.00454 * G23 - 0.0000026 * G23 ^ 2) ^ 2))</f>
        <v>#N/A</v>
      </c>
      <c r="H65" s="15" t="e">
        <f ca="1">(H57 / ((1.185 + 0.00454 * H23 - 0.0000026 * H23 ^ 2) ^ 2))</f>
        <v>#N/A</v>
      </c>
      <c r="I65" s="15" t="e">
        <f ca="1">(I57 / ((1.185 + 0.00454 * I23 - 0.0000026 * I23 ^ 2) ^ 2))</f>
        <v>#N/A</v>
      </c>
      <c r="J65" s="15" t="e">
        <f ca="1">(J57 / ((1.185 + 0.00454 * J23 - 0.0000026 * J23 ^ 2) ^ 2))</f>
        <v>#N/A</v>
      </c>
      <c r="K65" s="15" t="e">
        <f ca="1">(K57 / ((1.185 + 0.00454 * K23 - 0.0000026 * K23 ^ 2) ^ 2))</f>
        <v>#N/A</v>
      </c>
      <c r="L65" s="15" t="e">
        <f ca="1">(L57 / ((1.185 + 0.00454 * L23 - 0.0000026 * L23 ^ 2) ^ 2))</f>
        <v>#N/A</v>
      </c>
      <c r="M65" s="15" t="e">
        <f ca="1">(M57 / ((1.185 + 0.00454 * M23 - 0.0000026 * M23 ^ 2) ^ 2))</f>
        <v>#N/A</v>
      </c>
      <c r="N65" s="15" t="e">
        <f ca="1">(N57 / ((1.185 + 0.00454 * N23 - 0.0000026 * N23 ^ 2) ^ 2))</f>
        <v>#N/A</v>
      </c>
      <c r="O65" s="16" t="str">
        <f t="shared" si="2"/>
        <v>ratio</v>
      </c>
      <c r="U65" s="15" t="str">
        <f>TEXT(EDATE(X_Cell_Site_StartDate,9), "mmmm")</f>
        <v>September</v>
      </c>
      <c r="V65" s="15" t="e">
        <f ca="1">INDEX(M2_Table_I_j_k_l,11,2)</f>
        <v>#N/A</v>
      </c>
      <c r="W65" s="15" t="e">
        <f ca="1">INDEX(M2_Table_I_j_k_l,11,3)</f>
        <v>#N/A</v>
      </c>
      <c r="X65" s="15" t="e">
        <f ca="1">INDEX(M2_Table_I_j_k_l,11,4)</f>
        <v>#N/A</v>
      </c>
      <c r="Y65" s="15" t="e">
        <f ca="1">INDEX(M2_Table_I_j_k_l,11,5)</f>
        <v>#N/A</v>
      </c>
      <c r="Z65" s="15" t="e">
        <f ca="1">INDEX(M2_Table_I_j_k_l,11,6)</f>
        <v>#N/A</v>
      </c>
      <c r="AA65" s="15" t="e">
        <f ca="1">INDEX(M2_Table_I_j_k_l,11,7)</f>
        <v>#N/A</v>
      </c>
      <c r="AB65" s="15" t="e">
        <f ca="1">INDEX(M2_Table_I_j_k_l,11,8)</f>
        <v>#N/A</v>
      </c>
      <c r="AC65" s="15" t="e">
        <f ca="1">INDEX(M2_Table_I_j_k_l,11,9)</f>
        <v>#N/A</v>
      </c>
      <c r="AD65" s="15" t="e">
        <f ca="1">INDEX(M2_Table_I_j_k_l,11,10)</f>
        <v>#N/A</v>
      </c>
      <c r="AE65" s="15" t="e">
        <f ca="1">INDEX(M2_Table_I_j_k_l,11,11)</f>
        <v>#N/A</v>
      </c>
      <c r="AF65" s="16" t="str">
        <f>'4.2.1.1-2 Methane'!AH85</f>
        <v>kg DM/head/day</v>
      </c>
      <c r="AG65" s="16"/>
      <c r="AH65" s="16"/>
    </row>
    <row r="66" spans="3:34" ht="20.100000000000001" customHeight="1" x14ac:dyDescent="0.2">
      <c r="U66" s="15" t="str">
        <f>TEXT(EDATE(X_Cell_Site_StartDate,10), "mmmm")</f>
        <v>October</v>
      </c>
      <c r="V66" s="15" t="e">
        <f ca="1">INDEX(M2_Table_I_j_k_l,12,2)</f>
        <v>#N/A</v>
      </c>
      <c r="W66" s="15" t="e">
        <f ca="1">INDEX(M2_Table_I_j_k_l,12,3)</f>
        <v>#N/A</v>
      </c>
      <c r="X66" s="15" t="e">
        <f ca="1">INDEX(M2_Table_I_j_k_l,12,4)</f>
        <v>#N/A</v>
      </c>
      <c r="Y66" s="15" t="e">
        <f ca="1">INDEX(M2_Table_I_j_k_l,12,5)</f>
        <v>#N/A</v>
      </c>
      <c r="Z66" s="15" t="e">
        <f ca="1">INDEX(M2_Table_I_j_k_l,12,6)</f>
        <v>#N/A</v>
      </c>
      <c r="AA66" s="15" t="e">
        <f ca="1">INDEX(M2_Table_I_j_k_l,12,7)</f>
        <v>#N/A</v>
      </c>
      <c r="AB66" s="15" t="e">
        <f ca="1">INDEX(M2_Table_I_j_k_l,12,8)</f>
        <v>#N/A</v>
      </c>
      <c r="AC66" s="15" t="e">
        <f ca="1">INDEX(M2_Table_I_j_k_l,12,9)</f>
        <v>#N/A</v>
      </c>
      <c r="AD66" s="15" t="e">
        <f ca="1">INDEX(M2_Table_I_j_k_l,12,10)</f>
        <v>#N/A</v>
      </c>
      <c r="AE66" s="15" t="e">
        <f ca="1">INDEX(M2_Table_I_j_k_l,12,11)</f>
        <v>#N/A</v>
      </c>
      <c r="AF66" s="16" t="str">
        <f>'4.2.1.1-2 Methane'!AH86</f>
        <v>kg DM/head/day</v>
      </c>
      <c r="AG66" s="16"/>
      <c r="AH66" s="16"/>
    </row>
    <row r="67" spans="3:34" ht="20.100000000000001" customHeight="1" x14ac:dyDescent="0.2">
      <c r="U67" s="15" t="str">
        <f>TEXT(EDATE(X_Cell_Site_StartDate,11), "mmmm")</f>
        <v>November</v>
      </c>
      <c r="V67" s="15" t="e">
        <f ca="1">INDEX(M2_Table_I_j_k_l,13,2)</f>
        <v>#N/A</v>
      </c>
      <c r="W67" s="15" t="e">
        <f ca="1">INDEX(M2_Table_I_j_k_l,13,3)</f>
        <v>#N/A</v>
      </c>
      <c r="X67" s="15" t="e">
        <f ca="1">INDEX(M2_Table_I_j_k_l,13,4)</f>
        <v>#N/A</v>
      </c>
      <c r="Y67" s="15" t="e">
        <f ca="1">INDEX(M2_Table_I_j_k_l,13,5)</f>
        <v>#N/A</v>
      </c>
      <c r="Z67" s="15" t="e">
        <f ca="1">INDEX(M2_Table_I_j_k_l,13,6)</f>
        <v>#N/A</v>
      </c>
      <c r="AA67" s="15" t="e">
        <f ca="1">INDEX(M2_Table_I_j_k_l,13,7)</f>
        <v>#N/A</v>
      </c>
      <c r="AB67" s="15" t="e">
        <f ca="1">INDEX(M2_Table_I_j_k_l,13,8)</f>
        <v>#N/A</v>
      </c>
      <c r="AC67" s="15" t="e">
        <f ca="1">INDEX(M2_Table_I_j_k_l,13,9)</f>
        <v>#N/A</v>
      </c>
      <c r="AD67" s="15" t="e">
        <f ca="1">INDEX(M2_Table_I_j_k_l,13,10)</f>
        <v>#N/A</v>
      </c>
      <c r="AE67" s="15" t="e">
        <f ca="1">INDEX(M2_Table_I_j_k_l,13,11)</f>
        <v>#N/A</v>
      </c>
      <c r="AF67" s="16" t="str">
        <f>'4.2.1.1-2 Methane'!AH87</f>
        <v>kg DM/head/day</v>
      </c>
      <c r="AG67" s="16"/>
      <c r="AH67" s="16"/>
    </row>
    <row r="68" spans="3:34" ht="20.100000000000001" customHeight="1" x14ac:dyDescent="0.2">
      <c r="C68" s="87"/>
      <c r="D68" s="87"/>
      <c r="E68" s="87"/>
      <c r="F68" s="87"/>
      <c r="G68" s="87"/>
      <c r="H68" s="87"/>
      <c r="I68" s="87"/>
      <c r="J68" s="87"/>
      <c r="K68" s="87"/>
      <c r="L68" s="87"/>
      <c r="M68" s="87"/>
      <c r="N68" s="87"/>
      <c r="O68" s="87"/>
      <c r="P68" s="87"/>
      <c r="Q68" s="87"/>
      <c r="R68" s="87"/>
    </row>
    <row r="69" spans="3:34" ht="20.100000000000001" customHeight="1" x14ac:dyDescent="0.2">
      <c r="D69" s="2" t="s">
        <v>1294</v>
      </c>
      <c r="U69" s="112" t="s">
        <v>447</v>
      </c>
    </row>
    <row r="70" spans="3:34" ht="20.100000000000001" customHeight="1" x14ac:dyDescent="0.2">
      <c r="D70" s="17" t="s">
        <v>1295</v>
      </c>
      <c r="U70" s="113" t="s">
        <v>448</v>
      </c>
    </row>
    <row r="71" spans="3:34" ht="20.100000000000001" customHeight="1" x14ac:dyDescent="0.2">
      <c r="D71" s="26"/>
      <c r="U71" s="114" t="s">
        <v>75</v>
      </c>
      <c r="V71" s="114" t="s">
        <v>326</v>
      </c>
      <c r="W71" s="114" t="s">
        <v>184</v>
      </c>
      <c r="X71" s="114" t="s">
        <v>327</v>
      </c>
      <c r="Y71" s="114" t="s">
        <v>328</v>
      </c>
      <c r="Z71" s="114" t="s">
        <v>329</v>
      </c>
      <c r="AA71" s="114" t="s">
        <v>330</v>
      </c>
      <c r="AB71" s="114" t="s">
        <v>331</v>
      </c>
      <c r="AC71" s="114" t="s">
        <v>332</v>
      </c>
      <c r="AD71" s="114" t="s">
        <v>333</v>
      </c>
      <c r="AE71" s="114" t="s">
        <v>334</v>
      </c>
    </row>
    <row r="72" spans="3:34" ht="20.100000000000001" customHeight="1" x14ac:dyDescent="0.2">
      <c r="D72" s="103"/>
      <c r="E72" s="103" t="s">
        <v>449</v>
      </c>
      <c r="U72" s="15" t="str">
        <f>TEXT(X_Cell_Site_StartDate,"mmmm")</f>
        <v>January</v>
      </c>
      <c r="V72" s="15" t="e">
        <f ca="1">(V56 / ((1.185 + 0.00454 * V20 - 0.0000026 * V20 ^ 2) ^ 2))</f>
        <v>#N/A</v>
      </c>
      <c r="W72" s="15" t="e">
        <f ca="1">(W56 / ((1.185 + 0.00454 * W20 - 0.0000026 * W20 ^ 2) ^ 2))</f>
        <v>#N/A</v>
      </c>
      <c r="X72" s="15" t="e">
        <f ca="1">(X56 / ((1.185 + 0.00454 * X20 - 0.0000026 * X20 ^ 2) ^ 2))</f>
        <v>#N/A</v>
      </c>
      <c r="Y72" s="15" t="e">
        <f ca="1">(Y56 / ((1.185 + 0.00454 * Y20 - 0.0000026 * Y20 ^ 2) ^ 2))</f>
        <v>#N/A</v>
      </c>
      <c r="Z72" s="15" t="e">
        <f ca="1">(Z56 / ((1.185 + 0.00454 * Z20 - 0.0000026 * Z20 ^ 2) ^ 2))</f>
        <v>#N/A</v>
      </c>
      <c r="AA72" s="15" t="e">
        <f ca="1">(AA56 / ((1.185 + 0.00454 * AA20 - 0.0000026 * AA20 ^ 2) ^ 2))</f>
        <v>#N/A</v>
      </c>
      <c r="AB72" s="15" t="e">
        <f ca="1">(AB56 / ((1.185 + 0.00454 * AB20 - 0.0000026 * AB20 ^ 2) ^ 2))</f>
        <v>#N/A</v>
      </c>
      <c r="AC72" s="15" t="e">
        <f ca="1">(AC56 / ((1.185 + 0.00454 * AC20 - 0.0000026 * AC20 ^ 2) ^ 2))</f>
        <v>#N/A</v>
      </c>
      <c r="AD72" s="15" t="e">
        <f ca="1">(AD56 / ((1.185 + 0.00454 * AD20 - 0.0000026 * AD20 ^ 2) ^ 2))</f>
        <v>#N/A</v>
      </c>
      <c r="AE72" s="15" t="e">
        <f ca="1">(AE56 / ((1.185 + 0.00454 * AE20 - 0.0000026 * AE20 ^ 2) ^ 2))</f>
        <v>#N/A</v>
      </c>
      <c r="AF72" s="16" t="str">
        <f t="shared" ref="AF72:AF83" si="3">$E$46</f>
        <v>ratio</v>
      </c>
      <c r="AG72" s="16"/>
      <c r="AH72" s="16"/>
    </row>
    <row r="73" spans="3:34" ht="20.100000000000001" customHeight="1" x14ac:dyDescent="0.2">
      <c r="U73" s="15" t="str">
        <f>TEXT(EDATE(X_Cell_Site_StartDate,1), "mmmm")</f>
        <v>January</v>
      </c>
      <c r="V73" s="15" t="e">
        <f ca="1">(V57 / ((1.185 + 0.00454 * V21 - 0.0000026 * V21 ^ 2) ^ 2))</f>
        <v>#N/A</v>
      </c>
      <c r="W73" s="15" t="e">
        <f ca="1">(W57 / ((1.185 + 0.00454 * W21 - 0.0000026 * W21 ^ 2) ^ 2))</f>
        <v>#N/A</v>
      </c>
      <c r="X73" s="15" t="e">
        <f ca="1">(X57 / ((1.185 + 0.00454 * X21 - 0.0000026 * X21 ^ 2) ^ 2))</f>
        <v>#N/A</v>
      </c>
      <c r="Y73" s="15" t="e">
        <f ca="1">(Y57 / ((1.185 + 0.00454 * Y21 - 0.0000026 * Y21 ^ 2) ^ 2))</f>
        <v>#N/A</v>
      </c>
      <c r="Z73" s="15" t="e">
        <f ca="1">(Z57 / ((1.185 + 0.00454 * Z21 - 0.0000026 * Z21 ^ 2) ^ 2))</f>
        <v>#N/A</v>
      </c>
      <c r="AA73" s="15" t="e">
        <f ca="1">(AA57 / ((1.185 + 0.00454 * AA21 - 0.0000026 * AA21 ^ 2) ^ 2))</f>
        <v>#N/A</v>
      </c>
      <c r="AB73" s="15" t="e">
        <f ca="1">(AB57 / ((1.185 + 0.00454 * AB21 - 0.0000026 * AB21 ^ 2) ^ 2))</f>
        <v>#N/A</v>
      </c>
      <c r="AC73" s="15" t="e">
        <f ca="1">(AC57 / ((1.185 + 0.00454 * AC21 - 0.0000026 * AC21 ^ 2) ^ 2))</f>
        <v>#N/A</v>
      </c>
      <c r="AD73" s="15" t="e">
        <f ca="1">(AD57 / ((1.185 + 0.00454 * AD21 - 0.0000026 * AD21 ^ 2) ^ 2))</f>
        <v>#N/A</v>
      </c>
      <c r="AE73" s="15" t="e">
        <f ca="1">(AE57 / ((1.185 + 0.00454 * AE21 - 0.0000026 * AE21 ^ 2) ^ 2))</f>
        <v>#N/A</v>
      </c>
      <c r="AF73" s="16" t="str">
        <f t="shared" si="3"/>
        <v>ratio</v>
      </c>
      <c r="AG73" s="16"/>
      <c r="AH73" s="16"/>
    </row>
    <row r="74" spans="3:34" ht="20.100000000000001" customHeight="1" x14ac:dyDescent="0.2">
      <c r="U74" s="15" t="str">
        <f>TEXT(EDATE(X_Cell_Site_StartDate,2), "mmmm")</f>
        <v>February</v>
      </c>
      <c r="V74" s="15" t="e">
        <f ca="1">(V58 / ((1.185 + 0.00454 * V22 - 0.0000026 * V22 ^ 2) ^ 2))</f>
        <v>#N/A</v>
      </c>
      <c r="W74" s="15" t="e">
        <f ca="1">(W58 / ((1.185 + 0.00454 * W22 - 0.0000026 * W22 ^ 2) ^ 2))</f>
        <v>#N/A</v>
      </c>
      <c r="X74" s="15" t="e">
        <f ca="1">(X58 / ((1.185 + 0.00454 * X22 - 0.0000026 * X22 ^ 2) ^ 2))</f>
        <v>#N/A</v>
      </c>
      <c r="Y74" s="15" t="e">
        <f ca="1">(Y58 / ((1.185 + 0.00454 * Y22 - 0.0000026 * Y22 ^ 2) ^ 2))</f>
        <v>#N/A</v>
      </c>
      <c r="Z74" s="15" t="e">
        <f ca="1">(Z58 / ((1.185 + 0.00454 * Z22 - 0.0000026 * Z22 ^ 2) ^ 2))</f>
        <v>#N/A</v>
      </c>
      <c r="AA74" s="15" t="e">
        <f ca="1">(AA58 / ((1.185 + 0.00454 * AA22 - 0.0000026 * AA22 ^ 2) ^ 2))</f>
        <v>#N/A</v>
      </c>
      <c r="AB74" s="15" t="e">
        <f ca="1">(AB58 / ((1.185 + 0.00454 * AB22 - 0.0000026 * AB22 ^ 2) ^ 2))</f>
        <v>#N/A</v>
      </c>
      <c r="AC74" s="15" t="e">
        <f ca="1">(AC58 / ((1.185 + 0.00454 * AC22 - 0.0000026 * AC22 ^ 2) ^ 2))</f>
        <v>#N/A</v>
      </c>
      <c r="AD74" s="15" t="e">
        <f ca="1">(AD58 / ((1.185 + 0.00454 * AD22 - 0.0000026 * AD22 ^ 2) ^ 2))</f>
        <v>#N/A</v>
      </c>
      <c r="AE74" s="15" t="e">
        <f ca="1">(AE58 / ((1.185 + 0.00454 * AE22 - 0.0000026 * AE22 ^ 2) ^ 2))</f>
        <v>#N/A</v>
      </c>
      <c r="AF74" s="16" t="str">
        <f t="shared" si="3"/>
        <v>ratio</v>
      </c>
      <c r="AG74" s="16"/>
      <c r="AH74" s="16"/>
    </row>
    <row r="75" spans="3:34" ht="20.100000000000001" customHeight="1" x14ac:dyDescent="0.2">
      <c r="D75" s="77" t="s">
        <v>373</v>
      </c>
      <c r="E75" s="1" t="s">
        <v>1296</v>
      </c>
      <c r="U75" s="15" t="str">
        <f>TEXT(EDATE(X_Cell_Site_StartDate,3), "mmmm")</f>
        <v>March</v>
      </c>
      <c r="V75" s="15" t="e">
        <f ca="1">(V59 / ((1.185 + 0.00454 * V23 - 0.0000026 * V23 ^ 2) ^ 2))</f>
        <v>#N/A</v>
      </c>
      <c r="W75" s="15" t="e">
        <f ca="1">(W59 / ((1.185 + 0.00454 * W23 - 0.0000026 * W23 ^ 2) ^ 2))</f>
        <v>#N/A</v>
      </c>
      <c r="X75" s="15" t="e">
        <f ca="1">(X59 / ((1.185 + 0.00454 * X23 - 0.0000026 * X23 ^ 2) ^ 2))</f>
        <v>#N/A</v>
      </c>
      <c r="Y75" s="15" t="e">
        <f ca="1">(Y59 / ((1.185 + 0.00454 * Y23 - 0.0000026 * Y23 ^ 2) ^ 2))</f>
        <v>#N/A</v>
      </c>
      <c r="Z75" s="15" t="e">
        <f ca="1">(Z59 / ((1.185 + 0.00454 * Z23 - 0.0000026 * Z23 ^ 2) ^ 2))</f>
        <v>#N/A</v>
      </c>
      <c r="AA75" s="15" t="e">
        <f ca="1">(AA59 / ((1.185 + 0.00454 * AA23 - 0.0000026 * AA23 ^ 2) ^ 2))</f>
        <v>#N/A</v>
      </c>
      <c r="AB75" s="15" t="e">
        <f ca="1">(AB59 / ((1.185 + 0.00454 * AB23 - 0.0000026 * AB23 ^ 2) ^ 2))</f>
        <v>#N/A</v>
      </c>
      <c r="AC75" s="15" t="e">
        <f ca="1">(AC59 / ((1.185 + 0.00454 * AC23 - 0.0000026 * AC23 ^ 2) ^ 2))</f>
        <v>#N/A</v>
      </c>
      <c r="AD75" s="15" t="e">
        <f ca="1">(AD59 / ((1.185 + 0.00454 * AD23 - 0.0000026 * AD23 ^ 2) ^ 2))</f>
        <v>#N/A</v>
      </c>
      <c r="AE75" s="15" t="e">
        <f ca="1">(AE59 / ((1.185 + 0.00454 * AE23 - 0.0000026 * AE23 ^ 2) ^ 2))</f>
        <v>#N/A</v>
      </c>
      <c r="AF75" s="16" t="str">
        <f t="shared" si="3"/>
        <v>ratio</v>
      </c>
      <c r="AG75" s="16"/>
      <c r="AH75" s="16"/>
    </row>
    <row r="76" spans="3:34" ht="20.100000000000001" customHeight="1" x14ac:dyDescent="0.2">
      <c r="D76" s="77" t="s">
        <v>121</v>
      </c>
      <c r="E76" s="9" t="s">
        <v>344</v>
      </c>
      <c r="U76" s="15" t="str">
        <f>TEXT(EDATE(X_Cell_Site_StartDate,4), "mmmm")</f>
        <v>April</v>
      </c>
      <c r="V76" s="15" t="e">
        <f ca="1">(V60 / ((1.185 + 0.00454 * V24 - 0.0000026 * V24 ^ 2) ^ 2))</f>
        <v>#N/A</v>
      </c>
      <c r="W76" s="15" t="e">
        <f ca="1">(W60 / ((1.185 + 0.00454 * W24 - 0.0000026 * W24 ^ 2) ^ 2))</f>
        <v>#N/A</v>
      </c>
      <c r="X76" s="15" t="e">
        <f ca="1">(X60 / ((1.185 + 0.00454 * X24 - 0.0000026 * X24 ^ 2) ^ 2))</f>
        <v>#N/A</v>
      </c>
      <c r="Y76" s="15" t="e">
        <f ca="1">(Y60 / ((1.185 + 0.00454 * Y24 - 0.0000026 * Y24 ^ 2) ^ 2))</f>
        <v>#N/A</v>
      </c>
      <c r="Z76" s="15" t="e">
        <f ca="1">(Z60 / ((1.185 + 0.00454 * Z24 - 0.0000026 * Z24 ^ 2) ^ 2))</f>
        <v>#N/A</v>
      </c>
      <c r="AA76" s="15" t="e">
        <f ca="1">(AA60 / ((1.185 + 0.00454 * AA24 - 0.0000026 * AA24 ^ 2) ^ 2))</f>
        <v>#N/A</v>
      </c>
      <c r="AB76" s="15" t="e">
        <f ca="1">(AB60 / ((1.185 + 0.00454 * AB24 - 0.0000026 * AB24 ^ 2) ^ 2))</f>
        <v>#N/A</v>
      </c>
      <c r="AC76" s="15" t="e">
        <f ca="1">(AC60 / ((1.185 + 0.00454 * AC24 - 0.0000026 * AC24 ^ 2) ^ 2))</f>
        <v>#N/A</v>
      </c>
      <c r="AD76" s="15" t="e">
        <f ca="1">(AD60 / ((1.185 + 0.00454 * AD24 - 0.0000026 * AD24 ^ 2) ^ 2))</f>
        <v>#N/A</v>
      </c>
      <c r="AE76" s="15" t="e">
        <f ca="1">(AE60 / ((1.185 + 0.00454 * AE24 - 0.0000026 * AE24 ^ 2) ^ 2))</f>
        <v>#N/A</v>
      </c>
      <c r="AF76" s="16" t="str">
        <f t="shared" si="3"/>
        <v>ratio</v>
      </c>
      <c r="AG76" s="16"/>
      <c r="AH76" s="16"/>
    </row>
    <row r="77" spans="3:34" ht="20.100000000000001" customHeight="1" x14ac:dyDescent="0.2">
      <c r="U77" s="15" t="str">
        <f>TEXT(EDATE(X_Cell_Site_StartDate,5), "mmmm")</f>
        <v>May</v>
      </c>
      <c r="V77" s="15" t="e">
        <f ca="1">(V61 / ((1.185 + 0.00454 * V25 - 0.0000026 * V25 ^ 2) ^ 2))</f>
        <v>#N/A</v>
      </c>
      <c r="W77" s="15" t="e">
        <f ca="1">(W61 / ((1.185 + 0.00454 * W25 - 0.0000026 * W25 ^ 2) ^ 2))</f>
        <v>#N/A</v>
      </c>
      <c r="X77" s="15" t="e">
        <f ca="1">(X61 / ((1.185 + 0.00454 * X25 - 0.0000026 * X25 ^ 2) ^ 2))</f>
        <v>#N/A</v>
      </c>
      <c r="Y77" s="15" t="e">
        <f ca="1">(Y61 / ((1.185 + 0.00454 * Y25 - 0.0000026 * Y25 ^ 2) ^ 2))</f>
        <v>#N/A</v>
      </c>
      <c r="Z77" s="15" t="e">
        <f ca="1">(Z61 / ((1.185 + 0.00454 * Z25 - 0.0000026 * Z25 ^ 2) ^ 2))</f>
        <v>#N/A</v>
      </c>
      <c r="AA77" s="15" t="e">
        <f ca="1">(AA61 / ((1.185 + 0.00454 * AA25 - 0.0000026 * AA25 ^ 2) ^ 2))</f>
        <v>#N/A</v>
      </c>
      <c r="AB77" s="15" t="e">
        <f ca="1">(AB61 / ((1.185 + 0.00454 * AB25 - 0.0000026 * AB25 ^ 2) ^ 2))</f>
        <v>#N/A</v>
      </c>
      <c r="AC77" s="15" t="e">
        <f ca="1">(AC61 / ((1.185 + 0.00454 * AC25 - 0.0000026 * AC25 ^ 2) ^ 2))</f>
        <v>#N/A</v>
      </c>
      <c r="AD77" s="15" t="e">
        <f ca="1">(AD61 / ((1.185 + 0.00454 * AD25 - 0.0000026 * AD25 ^ 2) ^ 2))</f>
        <v>#N/A</v>
      </c>
      <c r="AE77" s="15" t="e">
        <f ca="1">(AE61 / ((1.185 + 0.00454 * AE25 - 0.0000026 * AE25 ^ 2) ^ 2))</f>
        <v>#N/A</v>
      </c>
      <c r="AF77" s="16" t="str">
        <f t="shared" si="3"/>
        <v>ratio</v>
      </c>
      <c r="AG77" s="16"/>
      <c r="AH77" s="16"/>
    </row>
    <row r="78" spans="3:34" ht="20.100000000000001" customHeight="1" x14ac:dyDescent="0.2">
      <c r="D78" s="105" t="s">
        <v>1297</v>
      </c>
      <c r="E78" s="106" t="s">
        <v>1298</v>
      </c>
      <c r="F78" s="108"/>
      <c r="G78" s="105" t="s">
        <v>346</v>
      </c>
      <c r="H78" s="109" t="s">
        <v>1219</v>
      </c>
      <c r="I78" s="111" t="str" cm="1">
        <f t="array" aca="1" ref="I78" ca="1">HYPERLINK(Common_InputFunctions.Utility_SourceHyperlink($D$84), $D$84)</f>
        <v>M1_Table_LC_j_k-4-5</v>
      </c>
      <c r="U78" s="15" t="str">
        <f>TEXT(EDATE(X_Cell_Site_StartDate,6), "mmmm")</f>
        <v>June</v>
      </c>
      <c r="V78" s="15" t="e">
        <f ca="1">(V62 / ((1.185 + 0.00454 * V26 - 0.0000026 * V26 ^ 2) ^ 2))</f>
        <v>#N/A</v>
      </c>
      <c r="W78" s="15" t="e">
        <f ca="1">(W62 / ((1.185 + 0.00454 * W26 - 0.0000026 * W26 ^ 2) ^ 2))</f>
        <v>#N/A</v>
      </c>
      <c r="X78" s="15" t="e">
        <f ca="1">(X62 / ((1.185 + 0.00454 * X26 - 0.0000026 * X26 ^ 2) ^ 2))</f>
        <v>#N/A</v>
      </c>
      <c r="Y78" s="15" t="e">
        <f ca="1">(Y62 / ((1.185 + 0.00454 * Y26 - 0.0000026 * Y26 ^ 2) ^ 2))</f>
        <v>#N/A</v>
      </c>
      <c r="Z78" s="15" t="e">
        <f ca="1">(Z62 / ((1.185 + 0.00454 * Z26 - 0.0000026 * Z26 ^ 2) ^ 2))</f>
        <v>#N/A</v>
      </c>
      <c r="AA78" s="15" t="e">
        <f ca="1">(AA62 / ((1.185 + 0.00454 * AA26 - 0.0000026 * AA26 ^ 2) ^ 2))</f>
        <v>#N/A</v>
      </c>
      <c r="AB78" s="15" t="e">
        <f ca="1">(AB62 / ((1.185 + 0.00454 * AB26 - 0.0000026 * AB26 ^ 2) ^ 2))</f>
        <v>#N/A</v>
      </c>
      <c r="AC78" s="15" t="e">
        <f ca="1">(AC62 / ((1.185 + 0.00454 * AC26 - 0.0000026 * AC26 ^ 2) ^ 2))</f>
        <v>#N/A</v>
      </c>
      <c r="AD78" s="15" t="e">
        <f ca="1">(AD62 / ((1.185 + 0.00454 * AD26 - 0.0000026 * AD26 ^ 2) ^ 2))</f>
        <v>#N/A</v>
      </c>
      <c r="AE78" s="15" t="e">
        <f ca="1">(AE62 / ((1.185 + 0.00454 * AE26 - 0.0000026 * AE26 ^ 2) ^ 2))</f>
        <v>#N/A</v>
      </c>
      <c r="AF78" s="16" t="str">
        <f t="shared" si="3"/>
        <v>ratio</v>
      </c>
      <c r="AG78" s="16"/>
      <c r="AH78" s="16"/>
    </row>
    <row r="79" spans="3:34" ht="20.100000000000001" customHeight="1" x14ac:dyDescent="0.2">
      <c r="D79" s="105" t="s">
        <v>1299</v>
      </c>
      <c r="E79" s="106" t="s">
        <v>1300</v>
      </c>
      <c r="F79" s="108"/>
      <c r="G79" s="105" t="s">
        <v>346</v>
      </c>
      <c r="H79" s="109" t="s">
        <v>1219</v>
      </c>
      <c r="I79" s="111" t="str" cm="1">
        <f t="array" aca="1" ref="I79" ca="1">HYPERLINK(Common_InputFunctions.Utility_SourceHyperlink($D$84), $D$84)</f>
        <v>M1_Table_LC_j_k-4-5</v>
      </c>
      <c r="U79" s="15" t="str">
        <f>TEXT(EDATE(X_Cell_Site_StartDate,7), "mmmm")</f>
        <v>July</v>
      </c>
      <c r="V79" s="15" t="e">
        <f ca="1">(V63 / ((1.185 + 0.00454 * V27 - 0.0000026 * V27 ^ 2) ^ 2))</f>
        <v>#N/A</v>
      </c>
      <c r="W79" s="15" t="e">
        <f ca="1">(W63 / ((1.185 + 0.00454 * W27 - 0.0000026 * W27 ^ 2) ^ 2))</f>
        <v>#N/A</v>
      </c>
      <c r="X79" s="15" t="e">
        <f ca="1">(X63 / ((1.185 + 0.00454 * X27 - 0.0000026 * X27 ^ 2) ^ 2))</f>
        <v>#N/A</v>
      </c>
      <c r="Y79" s="15" t="e">
        <f ca="1">(Y63 / ((1.185 + 0.00454 * Y27 - 0.0000026 * Y27 ^ 2) ^ 2))</f>
        <v>#N/A</v>
      </c>
      <c r="Z79" s="15" t="e">
        <f ca="1">(Z63 / ((1.185 + 0.00454 * Z27 - 0.0000026 * Z27 ^ 2) ^ 2))</f>
        <v>#N/A</v>
      </c>
      <c r="AA79" s="15" t="e">
        <f ca="1">(AA63 / ((1.185 + 0.00454 * AA27 - 0.0000026 * AA27 ^ 2) ^ 2))</f>
        <v>#N/A</v>
      </c>
      <c r="AB79" s="15" t="e">
        <f ca="1">(AB63 / ((1.185 + 0.00454 * AB27 - 0.0000026 * AB27 ^ 2) ^ 2))</f>
        <v>#N/A</v>
      </c>
      <c r="AC79" s="15" t="e">
        <f ca="1">(AC63 / ((1.185 + 0.00454 * AC27 - 0.0000026 * AC27 ^ 2) ^ 2))</f>
        <v>#N/A</v>
      </c>
      <c r="AD79" s="15" t="e">
        <f ca="1">(AD63 / ((1.185 + 0.00454 * AD27 - 0.0000026 * AD27 ^ 2) ^ 2))</f>
        <v>#N/A</v>
      </c>
      <c r="AE79" s="15" t="e">
        <f ca="1">(AE63 / ((1.185 + 0.00454 * AE27 - 0.0000026 * AE27 ^ 2) ^ 2))</f>
        <v>#N/A</v>
      </c>
      <c r="AF79" s="16" t="str">
        <f t="shared" si="3"/>
        <v>ratio</v>
      </c>
      <c r="AG79" s="16"/>
      <c r="AH79" s="16"/>
    </row>
    <row r="80" spans="3:34" ht="20.100000000000001" customHeight="1" x14ac:dyDescent="0.2">
      <c r="D80" s="105" t="s">
        <v>1301</v>
      </c>
      <c r="E80" s="106" t="s">
        <v>1302</v>
      </c>
      <c r="F80" s="108"/>
      <c r="G80" s="105" t="s">
        <v>344</v>
      </c>
      <c r="H80" s="110" t="s">
        <v>1220</v>
      </c>
      <c r="I80" s="116" t="e" cm="1">
        <f t="array" ref="I80">_xlfn.XLOOKUP(1, (Table_SourceData_PastureBeef_FeedIntakeAdjustment_Variation[Breed]=$I$82)*(Table_SourceData_PastureBeef_FeedIntakeAdjustment_Variation[Season]=+"Calving season"),Table_SourceData_PastureBeef_FeedIntakeAdjustment_Variation[Milk intake/production])</f>
        <v>#N/A</v>
      </c>
      <c r="U80" s="15" t="str">
        <f>TEXT(EDATE(X_Cell_Site_StartDate,8), "mmmm")</f>
        <v>August</v>
      </c>
      <c r="V80" s="15" t="e">
        <f ca="1">(V64 / ((1.185 + 0.00454 * V28 - 0.0000026 * V28 ^ 2) ^ 2))</f>
        <v>#N/A</v>
      </c>
      <c r="W80" s="15" t="e">
        <f ca="1">(W64 / ((1.185 + 0.00454 * W28 - 0.0000026 * W28 ^ 2) ^ 2))</f>
        <v>#N/A</v>
      </c>
      <c r="X80" s="15" t="e">
        <f ca="1">(X64 / ((1.185 + 0.00454 * X28 - 0.0000026 * X28 ^ 2) ^ 2))</f>
        <v>#N/A</v>
      </c>
      <c r="Y80" s="15" t="e">
        <f ca="1">(Y64 / ((1.185 + 0.00454 * Y28 - 0.0000026 * Y28 ^ 2) ^ 2))</f>
        <v>#N/A</v>
      </c>
      <c r="Z80" s="15" t="e">
        <f ca="1">(Z64 / ((1.185 + 0.00454 * Z28 - 0.0000026 * Z28 ^ 2) ^ 2))</f>
        <v>#N/A</v>
      </c>
      <c r="AA80" s="15" t="e">
        <f ca="1">(AA64 / ((1.185 + 0.00454 * AA28 - 0.0000026 * AA28 ^ 2) ^ 2))</f>
        <v>#N/A</v>
      </c>
      <c r="AB80" s="15" t="e">
        <f ca="1">(AB64 / ((1.185 + 0.00454 * AB28 - 0.0000026 * AB28 ^ 2) ^ 2))</f>
        <v>#N/A</v>
      </c>
      <c r="AC80" s="15" t="e">
        <f ca="1">(AC64 / ((1.185 + 0.00454 * AC28 - 0.0000026 * AC28 ^ 2) ^ 2))</f>
        <v>#N/A</v>
      </c>
      <c r="AD80" s="15" t="e">
        <f ca="1">(AD64 / ((1.185 + 0.00454 * AD28 - 0.0000026 * AD28 ^ 2) ^ 2))</f>
        <v>#N/A</v>
      </c>
      <c r="AE80" s="15" t="e">
        <f ca="1">(AE64 / ((1.185 + 0.00454 * AE28 - 0.0000026 * AE28 ^ 2) ^ 2))</f>
        <v>#N/A</v>
      </c>
      <c r="AF80" s="16" t="str">
        <f t="shared" si="3"/>
        <v>ratio</v>
      </c>
      <c r="AG80" s="16"/>
      <c r="AH80" s="16"/>
    </row>
    <row r="81" spans="4:35" ht="20.100000000000001" customHeight="1" x14ac:dyDescent="0.2">
      <c r="D81" s="105" t="s">
        <v>1303</v>
      </c>
      <c r="E81" s="106" t="s">
        <v>1304</v>
      </c>
      <c r="F81" s="108"/>
      <c r="G81" s="105" t="s">
        <v>344</v>
      </c>
      <c r="H81" s="110" t="s">
        <v>1220</v>
      </c>
      <c r="I81" s="116" t="e" cm="1">
        <f t="array" ref="I81">_xlfn.XLOOKUP(1, (Table_SourceData_PastureBeef_FeedIntakeAdjustment_Variation[Breed]=$I$82)*(Table_SourceData_PastureBeef_FeedIntakeAdjustment_Variation[Season]=+"Season after calving"),Table_SourceData_PastureBeef_FeedIntakeAdjustment_Variation[Milk intake/production])</f>
        <v>#N/A</v>
      </c>
      <c r="U81" s="15" t="str">
        <f>TEXT(EDATE(X_Cell_Site_StartDate,9), "mmmm")</f>
        <v>September</v>
      </c>
      <c r="V81" s="15" t="e">
        <f ca="1">(V65 / ((1.185 + 0.00454 * V29 - 0.0000026 * V29 ^ 2) ^ 2))</f>
        <v>#N/A</v>
      </c>
      <c r="W81" s="15" t="e">
        <f ca="1">(W65 / ((1.185 + 0.00454 * W29 - 0.0000026 * W29 ^ 2) ^ 2))</f>
        <v>#N/A</v>
      </c>
      <c r="X81" s="15" t="e">
        <f ca="1">(X65 / ((1.185 + 0.00454 * X29 - 0.0000026 * X29 ^ 2) ^ 2))</f>
        <v>#N/A</v>
      </c>
      <c r="Y81" s="15" t="e">
        <f ca="1">(Y65 / ((1.185 + 0.00454 * Y29 - 0.0000026 * Y29 ^ 2) ^ 2))</f>
        <v>#N/A</v>
      </c>
      <c r="Z81" s="15" t="e">
        <f ca="1">(Z65 / ((1.185 + 0.00454 * Z29 - 0.0000026 * Z29 ^ 2) ^ 2))</f>
        <v>#N/A</v>
      </c>
      <c r="AA81" s="15" t="e">
        <f ca="1">(AA65 / ((1.185 + 0.00454 * AA29 - 0.0000026 * AA29 ^ 2) ^ 2))</f>
        <v>#N/A</v>
      </c>
      <c r="AB81" s="15" t="e">
        <f ca="1">(AB65 / ((1.185 + 0.00454 * AB29 - 0.0000026 * AB29 ^ 2) ^ 2))</f>
        <v>#N/A</v>
      </c>
      <c r="AC81" s="15" t="e">
        <f ca="1">(AC65 / ((1.185 + 0.00454 * AC29 - 0.0000026 * AC29 ^ 2) ^ 2))</f>
        <v>#N/A</v>
      </c>
      <c r="AD81" s="15" t="e">
        <f ca="1">(AD65 / ((1.185 + 0.00454 * AD29 - 0.0000026 * AD29 ^ 2) ^ 2))</f>
        <v>#N/A</v>
      </c>
      <c r="AE81" s="15" t="e">
        <f ca="1">(AE65 / ((1.185 + 0.00454 * AE29 - 0.0000026 * AE29 ^ 2) ^ 2))</f>
        <v>#N/A</v>
      </c>
      <c r="AF81" s="16" t="str">
        <f t="shared" si="3"/>
        <v>ratio</v>
      </c>
      <c r="AG81" s="16"/>
      <c r="AH81" s="16"/>
    </row>
    <row r="82" spans="4:35" ht="20.100000000000001" customHeight="1" x14ac:dyDescent="0.2">
      <c r="D82" s="105" t="s">
        <v>1217</v>
      </c>
      <c r="E82" s="106" t="s">
        <v>1218</v>
      </c>
      <c r="F82" s="108"/>
      <c r="G82" s="105"/>
      <c r="H82" s="109" t="s">
        <v>1219</v>
      </c>
      <c r="I82" s="116">
        <f>X_Cell_PastureBeef_Breed</f>
        <v>0</v>
      </c>
      <c r="U82" s="15" t="str">
        <f>TEXT(EDATE(X_Cell_Site_StartDate,10), "mmmm")</f>
        <v>October</v>
      </c>
      <c r="V82" s="15" t="e">
        <f ca="1">(V66 / ((1.185 + 0.00454 * V30 - 0.0000026 * V30 ^ 2) ^ 2))</f>
        <v>#N/A</v>
      </c>
      <c r="W82" s="15" t="e">
        <f ca="1">(W66 / ((1.185 + 0.00454 * W30 - 0.0000026 * W30 ^ 2) ^ 2))</f>
        <v>#N/A</v>
      </c>
      <c r="X82" s="15" t="e">
        <f ca="1">(X66 / ((1.185 + 0.00454 * X30 - 0.0000026 * X30 ^ 2) ^ 2))</f>
        <v>#N/A</v>
      </c>
      <c r="Y82" s="15" t="e">
        <f ca="1">(Y66 / ((1.185 + 0.00454 * Y30 - 0.0000026 * Y30 ^ 2) ^ 2))</f>
        <v>#N/A</v>
      </c>
      <c r="Z82" s="15" t="e">
        <f ca="1">(Z66 / ((1.185 + 0.00454 * Z30 - 0.0000026 * Z30 ^ 2) ^ 2))</f>
        <v>#N/A</v>
      </c>
      <c r="AA82" s="15" t="e">
        <f ca="1">(AA66 / ((1.185 + 0.00454 * AA30 - 0.0000026 * AA30 ^ 2) ^ 2))</f>
        <v>#N/A</v>
      </c>
      <c r="AB82" s="15" t="e">
        <f ca="1">(AB66 / ((1.185 + 0.00454 * AB30 - 0.0000026 * AB30 ^ 2) ^ 2))</f>
        <v>#N/A</v>
      </c>
      <c r="AC82" s="15" t="e">
        <f ca="1">(AC66 / ((1.185 + 0.00454 * AC30 - 0.0000026 * AC30 ^ 2) ^ 2))</f>
        <v>#N/A</v>
      </c>
      <c r="AD82" s="15" t="e">
        <f ca="1">(AD66 / ((1.185 + 0.00454 * AD30 - 0.0000026 * AD30 ^ 2) ^ 2))</f>
        <v>#N/A</v>
      </c>
      <c r="AE82" s="15" t="e">
        <f ca="1">(AE66 / ((1.185 + 0.00454 * AE30 - 0.0000026 * AE30 ^ 2) ^ 2))</f>
        <v>#N/A</v>
      </c>
      <c r="AF82" s="16" t="str">
        <f t="shared" si="3"/>
        <v>ratio</v>
      </c>
      <c r="AG82" s="16"/>
      <c r="AH82" s="16"/>
    </row>
    <row r="83" spans="4:35" ht="20.100000000000001" customHeight="1" x14ac:dyDescent="0.2">
      <c r="U83" s="15" t="str">
        <f>TEXT(EDATE(X_Cell_Site_StartDate,11), "mmmm")</f>
        <v>November</v>
      </c>
      <c r="V83" s="15" t="e">
        <f ca="1">(V67 / ((1.185 + 0.00454 * V31 - 0.0000026 * V31 ^ 2) ^ 2))</f>
        <v>#N/A</v>
      </c>
      <c r="W83" s="15" t="e">
        <f ca="1">(W67 / ((1.185 + 0.00454 * W31 - 0.0000026 * W31 ^ 2) ^ 2))</f>
        <v>#N/A</v>
      </c>
      <c r="X83" s="15" t="e">
        <f ca="1">(X67 / ((1.185 + 0.00454 * X31 - 0.0000026 * X31 ^ 2) ^ 2))</f>
        <v>#N/A</v>
      </c>
      <c r="Y83" s="15" t="e">
        <f ca="1">(Y67 / ((1.185 + 0.00454 * Y31 - 0.0000026 * Y31 ^ 2) ^ 2))</f>
        <v>#N/A</v>
      </c>
      <c r="Z83" s="15" t="e">
        <f ca="1">(Z67 / ((1.185 + 0.00454 * Z31 - 0.0000026 * Z31 ^ 2) ^ 2))</f>
        <v>#N/A</v>
      </c>
      <c r="AA83" s="15" t="e">
        <f ca="1">(AA67 / ((1.185 + 0.00454 * AA31 - 0.0000026 * AA31 ^ 2) ^ 2))</f>
        <v>#N/A</v>
      </c>
      <c r="AB83" s="15" t="e">
        <f ca="1">(AB67 / ((1.185 + 0.00454 * AB31 - 0.0000026 * AB31 ^ 2) ^ 2))</f>
        <v>#N/A</v>
      </c>
      <c r="AC83" s="15" t="e">
        <f ca="1">(AC67 / ((1.185 + 0.00454 * AC31 - 0.0000026 * AC31 ^ 2) ^ 2))</f>
        <v>#N/A</v>
      </c>
      <c r="AD83" s="15" t="e">
        <f ca="1">(AD67 / ((1.185 + 0.00454 * AD31 - 0.0000026 * AD31 ^ 2) ^ 2))</f>
        <v>#N/A</v>
      </c>
      <c r="AE83" s="15" t="e">
        <f ca="1">(AE67 / ((1.185 + 0.00454 * AE31 - 0.0000026 * AE31 ^ 2) ^ 2))</f>
        <v>#N/A</v>
      </c>
      <c r="AF83" s="16" t="str">
        <f t="shared" si="3"/>
        <v>ratio</v>
      </c>
      <c r="AG83" s="16"/>
      <c r="AH83" s="16"/>
    </row>
    <row r="84" spans="4:35" ht="20.100000000000001" customHeight="1" x14ac:dyDescent="0.2">
      <c r="D84" s="112" t="s">
        <v>374</v>
      </c>
    </row>
    <row r="85" spans="4:35" ht="20.100000000000001" customHeight="1" x14ac:dyDescent="0.2">
      <c r="D85" s="113" t="s">
        <v>376</v>
      </c>
    </row>
    <row r="86" spans="4:35" ht="20.100000000000001" customHeight="1" x14ac:dyDescent="0.2">
      <c r="D86" s="114" t="s">
        <v>76</v>
      </c>
      <c r="E86" s="82" t="s">
        <v>328</v>
      </c>
      <c r="F86" s="82" t="s">
        <v>329</v>
      </c>
      <c r="G86" s="82" t="s">
        <v>330</v>
      </c>
      <c r="T86" s="87"/>
      <c r="U86" s="87"/>
      <c r="V86" s="87"/>
      <c r="W86" s="87"/>
      <c r="X86" s="87"/>
      <c r="Y86" s="87"/>
      <c r="Z86" s="87"/>
      <c r="AA86" s="87"/>
      <c r="AB86" s="87"/>
      <c r="AC86" s="87"/>
      <c r="AD86" s="87"/>
      <c r="AE86" s="87"/>
      <c r="AF86" s="87"/>
      <c r="AG86" s="87"/>
      <c r="AH86" s="87"/>
      <c r="AI86" s="87"/>
    </row>
    <row r="87" spans="4:35" ht="20.100000000000001" customHeight="1" x14ac:dyDescent="0.2">
      <c r="D87" s="15" t="str">
        <f>'Input - Pasture Beef'!$E$162</f>
        <v>Winter</v>
      </c>
      <c r="E87" s="125">
        <f>'Input - Pasture Beef'!$F$168</f>
        <v>0.7</v>
      </c>
      <c r="F87" s="125">
        <f>'Input - Pasture Beef'!$G$168</f>
        <v>0.5</v>
      </c>
      <c r="G87" s="125">
        <f>'Input - Pasture Beef'!$H$168</f>
        <v>0.5</v>
      </c>
      <c r="H87" s="16" t="s">
        <v>378</v>
      </c>
      <c r="U87" s="2" t="s">
        <v>1294</v>
      </c>
    </row>
    <row r="89" spans="4:35" ht="20.100000000000001" customHeight="1" x14ac:dyDescent="0.2">
      <c r="U89" s="112" t="s">
        <v>375</v>
      </c>
    </row>
    <row r="90" spans="4:35" ht="20.100000000000001" customHeight="1" x14ac:dyDescent="0.2">
      <c r="U90" s="113" t="s">
        <v>377</v>
      </c>
    </row>
    <row r="91" spans="4:35" ht="20.100000000000001" customHeight="1" x14ac:dyDescent="0.2">
      <c r="U91" s="114" t="s">
        <v>75</v>
      </c>
      <c r="V91" s="82" t="s">
        <v>328</v>
      </c>
      <c r="W91" s="82" t="s">
        <v>329</v>
      </c>
      <c r="X91" s="82" t="s">
        <v>330</v>
      </c>
    </row>
    <row r="92" spans="4:35" ht="20.100000000000001" customHeight="1" x14ac:dyDescent="0.2">
      <c r="D92" s="112" t="s">
        <v>450</v>
      </c>
      <c r="U92" s="15" t="str">
        <f>TEXT(EDATE('Input - Pasture Beef'!$D$182,0), "mmmm") &amp; ", " &amp; TEXT(EDATE('Input - Pasture Beef'!$D$183,0), "mmmm") &amp; ", " &amp; TEXT(EDATE('Input - Pasture Beef'!$D$184,0), "mmmm")</f>
        <v>August, September, October</v>
      </c>
      <c r="V92" s="125">
        <f>'Input - Pasture Beef'!$E$185</f>
        <v>0.75</v>
      </c>
      <c r="W92" s="125">
        <f>'Input - Pasture Beef'!$F$185</f>
        <v>0.75</v>
      </c>
      <c r="X92" s="125">
        <f>'Input - Pasture Beef'!$G$185</f>
        <v>0.75</v>
      </c>
      <c r="Y92" s="16" t="s">
        <v>378</v>
      </c>
    </row>
    <row r="93" spans="4:35" ht="20.100000000000001" customHeight="1" x14ac:dyDescent="0.2">
      <c r="D93" s="113" t="s">
        <v>451</v>
      </c>
      <c r="U93" s="15" t="str">
        <f>TEXT(EDATE('Input - Pasture Beef'!$D$184,1), "mmmm") &amp; ", " &amp; TEXT(EDATE('Input - Pasture Beef'!$D$184,2), "mmmm") &amp; ", " &amp; TEXT(EDATE('Input - Pasture Beef'!$D$184,3), "mmmm")</f>
        <v>November, December, January</v>
      </c>
      <c r="Y93" s="16"/>
    </row>
    <row r="94" spans="4:35" ht="20.100000000000001" customHeight="1" x14ac:dyDescent="0.2">
      <c r="D94" s="114" t="s">
        <v>76</v>
      </c>
      <c r="E94" s="114" t="s">
        <v>357</v>
      </c>
      <c r="F94" s="114" t="s">
        <v>452</v>
      </c>
      <c r="G94" s="114" t="s">
        <v>326</v>
      </c>
      <c r="H94" s="114" t="s">
        <v>184</v>
      </c>
      <c r="I94" s="114" t="s">
        <v>327</v>
      </c>
      <c r="J94" s="114" t="s">
        <v>328</v>
      </c>
      <c r="K94" s="114" t="s">
        <v>329</v>
      </c>
      <c r="L94" s="114" t="s">
        <v>330</v>
      </c>
      <c r="M94" s="114" t="s">
        <v>331</v>
      </c>
      <c r="N94" s="114" t="s">
        <v>332</v>
      </c>
      <c r="O94" s="114" t="s">
        <v>333</v>
      </c>
      <c r="P94" s="114" t="s">
        <v>334</v>
      </c>
    </row>
    <row r="95" spans="4:35" ht="20.100000000000001" customHeight="1" x14ac:dyDescent="0.2">
      <c r="D95" s="15" t="str">
        <f>INDEX(M1_Table_MA_j_k45,2,1)</f>
        <v>Spring</v>
      </c>
      <c r="E95" s="15" t="str" cm="1">
        <f t="array" ref="E95">_xlfn.IFS(D87=D95, "Calving season", D87=D98, "Season after calving", D87=D96, "", D87=D97, "")</f>
        <v>Season after calving</v>
      </c>
      <c r="F95" s="15" t="e" cm="1">
        <f t="array" ref="F95">_xlfn.IFS(E95="Calving season", $I$80, E95="Season after calving", $I$81, E95="", "")</f>
        <v>#N/A</v>
      </c>
      <c r="G95" s="15">
        <v>0</v>
      </c>
      <c r="H95" s="15">
        <v>0</v>
      </c>
      <c r="I95" s="15">
        <v>0</v>
      </c>
      <c r="J95" s="15">
        <f>IFERROR((E$87 * $F95), 0)</f>
        <v>0</v>
      </c>
      <c r="K95" s="15">
        <f>IFERROR((F$87 * $F95), 0)</f>
        <v>0</v>
      </c>
      <c r="L95" s="15">
        <f>IFERROR((G$87 * $F95), 0)</f>
        <v>0</v>
      </c>
      <c r="M95" s="15">
        <v>0</v>
      </c>
      <c r="N95" s="15">
        <v>0</v>
      </c>
      <c r="O95" s="15">
        <v>0</v>
      </c>
      <c r="P95" s="15">
        <v>0</v>
      </c>
      <c r="Q95" s="16" t="str">
        <f>$E$76</f>
        <v>kg/head/day</v>
      </c>
    </row>
    <row r="96" spans="4:35" ht="20.100000000000001" customHeight="1" x14ac:dyDescent="0.2">
      <c r="D96" s="15" t="str">
        <f>INDEX(M1_Table_MA_j_k45,3,1)</f>
        <v>Summer</v>
      </c>
      <c r="E96" s="15" t="str" cm="1">
        <f t="array" ref="E96">_xlfn.IFS(D87=D96, "Calving season", D87=D95, "Season after calving", D87=D97, "", D87=D98, "")</f>
        <v/>
      </c>
      <c r="F96" s="15" t="str" cm="1">
        <f t="array" ref="F96">_xlfn.IFS(E96="Calving season", $I$80, E96="Season after calving", $I$81, E96="", "")</f>
        <v/>
      </c>
      <c r="G96" s="15">
        <v>0</v>
      </c>
      <c r="H96" s="15">
        <v>0</v>
      </c>
      <c r="I96" s="15">
        <v>0</v>
      </c>
      <c r="J96" s="15">
        <f>IFERROR((E$87 * $F96), 0)</f>
        <v>0</v>
      </c>
      <c r="K96" s="15">
        <f>IFERROR((F$87 * $F96), 0)</f>
        <v>0</v>
      </c>
      <c r="L96" s="15">
        <f>IFERROR((G$87 * $F96), 0)</f>
        <v>0</v>
      </c>
      <c r="M96" s="15">
        <v>0</v>
      </c>
      <c r="N96" s="15">
        <v>0</v>
      </c>
      <c r="O96" s="15">
        <v>0</v>
      </c>
      <c r="P96" s="15">
        <v>0</v>
      </c>
      <c r="Q96" s="16" t="str">
        <f t="shared" ref="Q96:Q98" si="4">$E$76</f>
        <v>kg/head/day</v>
      </c>
    </row>
    <row r="97" spans="3:34" ht="20.100000000000001" customHeight="1" x14ac:dyDescent="0.2">
      <c r="D97" s="15" t="str">
        <f>INDEX(M1_Table_MA_j_k45,4,1)</f>
        <v>Autumn</v>
      </c>
      <c r="E97" s="15" t="str" cm="1">
        <f t="array" ref="E97">_xlfn.IFS(D87=D97, "Calving season", D87=D96, "Season after calving", D87=D98, "", D87=D95, "")</f>
        <v/>
      </c>
      <c r="F97" s="15" t="str" cm="1">
        <f t="array" ref="F97">_xlfn.IFS(E97="Calving season", $I$80, E97="Season after calving", $I$81, E97="", "")</f>
        <v/>
      </c>
      <c r="G97" s="15">
        <v>0</v>
      </c>
      <c r="H97" s="15">
        <v>0</v>
      </c>
      <c r="I97" s="15">
        <v>0</v>
      </c>
      <c r="J97" s="15">
        <f>IFERROR((E$87 * $F97), 0)</f>
        <v>0</v>
      </c>
      <c r="K97" s="15">
        <f>IFERROR((F$87 * $F97), 0)</f>
        <v>0</v>
      </c>
      <c r="L97" s="15">
        <f>IFERROR((G$87 * $F97), 0)</f>
        <v>0</v>
      </c>
      <c r="M97" s="15">
        <v>0</v>
      </c>
      <c r="N97" s="15">
        <v>0</v>
      </c>
      <c r="O97" s="15">
        <v>0</v>
      </c>
      <c r="P97" s="15">
        <v>0</v>
      </c>
      <c r="Q97" s="16" t="str">
        <f t="shared" si="4"/>
        <v>kg/head/day</v>
      </c>
      <c r="U97" s="112" t="s">
        <v>453</v>
      </c>
    </row>
    <row r="98" spans="3:34" ht="20.100000000000001" customHeight="1" x14ac:dyDescent="0.2">
      <c r="D98" s="15" t="str">
        <f>INDEX(M1_Table_MA_j_k45,5,1)</f>
        <v>Winter</v>
      </c>
      <c r="E98" s="15" t="str" cm="1">
        <f t="array" ref="E98">_xlfn.IFS(D87=D98, "Calving season", D87=D97, "Season after calving", D87=D95, "", D87=D96, "")</f>
        <v>Calving season</v>
      </c>
      <c r="F98" s="15" t="e" cm="1">
        <f t="array" ref="F98">_xlfn.IFS(E98="Calving season", $I$80, E98="Season after calving", $I$81, E98="", "")</f>
        <v>#N/A</v>
      </c>
      <c r="G98" s="15">
        <v>0</v>
      </c>
      <c r="H98" s="15">
        <v>0</v>
      </c>
      <c r="I98" s="15">
        <v>0</v>
      </c>
      <c r="J98" s="15">
        <f>IFERROR((E$87 * $F98), 0)</f>
        <v>0</v>
      </c>
      <c r="K98" s="15">
        <f>IFERROR((F$87 * $F98), 0)</f>
        <v>0</v>
      </c>
      <c r="L98" s="15">
        <f>IFERROR((G$87 * $F98), 0)</f>
        <v>0</v>
      </c>
      <c r="M98" s="15">
        <v>0</v>
      </c>
      <c r="N98" s="15">
        <v>0</v>
      </c>
      <c r="O98" s="15">
        <v>0</v>
      </c>
      <c r="P98" s="15">
        <v>0</v>
      </c>
      <c r="Q98" s="16" t="str">
        <f t="shared" si="4"/>
        <v>kg/head/day</v>
      </c>
      <c r="U98" s="113" t="s">
        <v>451</v>
      </c>
    </row>
    <row r="99" spans="3:34" ht="20.100000000000001" customHeight="1" x14ac:dyDescent="0.2">
      <c r="U99" s="114" t="s">
        <v>75</v>
      </c>
      <c r="V99" s="114" t="s">
        <v>357</v>
      </c>
      <c r="W99" s="114" t="s">
        <v>452</v>
      </c>
      <c r="X99" s="114" t="s">
        <v>326</v>
      </c>
      <c r="Y99" s="114" t="s">
        <v>184</v>
      </c>
      <c r="Z99" s="114" t="s">
        <v>327</v>
      </c>
      <c r="AA99" s="114" t="s">
        <v>328</v>
      </c>
      <c r="AB99" s="114" t="s">
        <v>329</v>
      </c>
      <c r="AC99" s="114" t="s">
        <v>330</v>
      </c>
      <c r="AD99" s="114" t="s">
        <v>331</v>
      </c>
      <c r="AE99" s="114" t="s">
        <v>332</v>
      </c>
      <c r="AF99" s="114" t="s">
        <v>333</v>
      </c>
      <c r="AG99" s="114" t="s">
        <v>334</v>
      </c>
    </row>
    <row r="100" spans="3:34" ht="20.100000000000001" customHeight="1" x14ac:dyDescent="0.2">
      <c r="U100" s="15" t="str">
        <f>TEXT(X_Cell_Site_StartDate,"mmmm")</f>
        <v>January</v>
      </c>
      <c r="V100" s="15" t="str" cm="1">
        <f t="array" ref="V100">IFERROR(_xlfn.IFS(SUMPRODUCT(ISNUMBER(SEARCH(TRIM(_xlfn.TEXTSPLIT($U$92,",")),U100))*1)&gt;0,"Calving season",SUMPRODUCT(ISNUMBER(SEARCH(TRIM(_xlfn.TEXTSPLIT($U$93,",")),U100))*1)&gt;0,"Season after calving"), "")</f>
        <v>Season after calving</v>
      </c>
      <c r="W100" s="15" t="e" cm="1">
        <f t="array" ref="W100">_xlfn.IFS(V100="Calving season", $I$80, V100="Season after calving", $I$81, V100="", "")</f>
        <v>#N/A</v>
      </c>
      <c r="X100" s="15">
        <v>0</v>
      </c>
      <c r="Y100" s="15">
        <v>0</v>
      </c>
      <c r="Z100" s="15">
        <v>0</v>
      </c>
      <c r="AA100" s="15">
        <f>IFERROR((V$92 * $W100), 0)</f>
        <v>0</v>
      </c>
      <c r="AB100" s="15">
        <f>IFERROR((W$92 * $W100), 0)</f>
        <v>0</v>
      </c>
      <c r="AC100" s="15">
        <f>IFERROR((X$92 * $W100), 0)</f>
        <v>0</v>
      </c>
      <c r="AD100" s="15">
        <v>0</v>
      </c>
      <c r="AE100" s="15">
        <v>0</v>
      </c>
      <c r="AF100" s="15">
        <v>0</v>
      </c>
      <c r="AG100" s="15">
        <v>0</v>
      </c>
      <c r="AH100" s="16" t="str">
        <f t="shared" ref="AH100:AH111" si="5">$E$76</f>
        <v>kg/head/day</v>
      </c>
    </row>
    <row r="101" spans="3:34" ht="20.100000000000001" customHeight="1" x14ac:dyDescent="0.2">
      <c r="C101" s="87"/>
      <c r="D101" s="87"/>
      <c r="E101" s="87"/>
      <c r="F101" s="87"/>
      <c r="G101" s="87"/>
      <c r="H101" s="87"/>
      <c r="I101" s="87"/>
      <c r="J101" s="87"/>
      <c r="K101" s="87"/>
      <c r="L101" s="87"/>
      <c r="M101" s="87"/>
      <c r="N101" s="87"/>
      <c r="O101" s="87"/>
      <c r="P101" s="87"/>
      <c r="Q101" s="87"/>
      <c r="R101" s="87"/>
      <c r="U101" s="15" t="str">
        <f>TEXT(EDATE(X_Cell_Site_StartDate,1), "mmmm")</f>
        <v>January</v>
      </c>
      <c r="V101" s="15" t="str" cm="1">
        <f t="array" ref="V101">IFERROR(_xlfn.IFS(SUMPRODUCT(ISNUMBER(SEARCH(TRIM(_xlfn.TEXTSPLIT($U$92,",")),U101))*1)&gt;0,"Calving season",SUMPRODUCT(ISNUMBER(SEARCH(TRIM(_xlfn.TEXTSPLIT($U$93,",")),U101))*1)&gt;0,"Season after calving"), "")</f>
        <v>Season after calving</v>
      </c>
      <c r="W101" s="15" t="e" cm="1">
        <f t="array" ref="W101">_xlfn.IFS(V101="Calving season", $I$80, V101="Season after calving", $I$81, V101="", "")</f>
        <v>#N/A</v>
      </c>
      <c r="X101" s="15">
        <v>0</v>
      </c>
      <c r="Y101" s="15">
        <v>0</v>
      </c>
      <c r="Z101" s="15">
        <v>0</v>
      </c>
      <c r="AA101" s="15">
        <f>IFERROR((V$92 * $W101), 0)</f>
        <v>0</v>
      </c>
      <c r="AB101" s="15">
        <f>IFERROR((W$92 * $W101), 0)</f>
        <v>0</v>
      </c>
      <c r="AC101" s="15">
        <f>IFERROR((X$92 * $W101), 0)</f>
        <v>0</v>
      </c>
      <c r="AD101" s="15">
        <v>0</v>
      </c>
      <c r="AE101" s="15">
        <v>0</v>
      </c>
      <c r="AF101" s="15">
        <v>0</v>
      </c>
      <c r="AG101" s="15">
        <v>0</v>
      </c>
      <c r="AH101" s="16" t="str">
        <f t="shared" si="5"/>
        <v>kg/head/day</v>
      </c>
    </row>
    <row r="102" spans="3:34" ht="20.100000000000001" customHeight="1" x14ac:dyDescent="0.2">
      <c r="D102" s="2" t="s">
        <v>1305</v>
      </c>
      <c r="U102" s="15" t="str">
        <f>TEXT(EDATE(X_Cell_Site_StartDate,2), "mmmm")</f>
        <v>February</v>
      </c>
      <c r="V102" s="15" t="str" cm="1">
        <f t="array" ref="V102">IFERROR(_xlfn.IFS(SUMPRODUCT(ISNUMBER(SEARCH(TRIM(_xlfn.TEXTSPLIT($U$92,",")),U102))*1)&gt;0,"Calving season",SUMPRODUCT(ISNUMBER(SEARCH(TRIM(_xlfn.TEXTSPLIT($U$93,",")),U102))*1)&gt;0,"Season after calving"), "")</f>
        <v/>
      </c>
      <c r="W102" s="15" t="str" cm="1">
        <f t="array" ref="W102">_xlfn.IFS(V102="Calving season", $I$80, V102="Season after calving", $I$81, V102="", "")</f>
        <v/>
      </c>
      <c r="X102" s="15">
        <v>0</v>
      </c>
      <c r="Y102" s="15">
        <v>0</v>
      </c>
      <c r="Z102" s="15">
        <v>0</v>
      </c>
      <c r="AA102" s="15">
        <f>IFERROR((V$92 * $W102), 0)</f>
        <v>0</v>
      </c>
      <c r="AB102" s="15">
        <f>IFERROR((W$92 * $W102), 0)</f>
        <v>0</v>
      </c>
      <c r="AC102" s="15">
        <f>IFERROR((X$92 * $W102), 0)</f>
        <v>0</v>
      </c>
      <c r="AD102" s="15">
        <v>0</v>
      </c>
      <c r="AE102" s="15">
        <v>0</v>
      </c>
      <c r="AF102" s="15">
        <v>0</v>
      </c>
      <c r="AG102" s="15">
        <v>0</v>
      </c>
      <c r="AH102" s="16" t="str">
        <f t="shared" si="5"/>
        <v>kg/head/day</v>
      </c>
    </row>
    <row r="103" spans="3:34" ht="20.100000000000001" customHeight="1" x14ac:dyDescent="0.2">
      <c r="D103" s="17" t="s">
        <v>1306</v>
      </c>
      <c r="U103" s="15" t="str">
        <f>TEXT(EDATE(X_Cell_Site_StartDate,3), "mmmm")</f>
        <v>March</v>
      </c>
      <c r="V103" s="15" t="str" cm="1">
        <f t="array" ref="V103">IFERROR(_xlfn.IFS(SUMPRODUCT(ISNUMBER(SEARCH(TRIM(_xlfn.TEXTSPLIT($U$92,",")),U103))*1)&gt;0,"Calving season",SUMPRODUCT(ISNUMBER(SEARCH(TRIM(_xlfn.TEXTSPLIT($U$93,",")),U103))*1)&gt;0,"Season after calving"), "")</f>
        <v/>
      </c>
      <c r="W103" s="15" t="str" cm="1">
        <f t="array" ref="W103">_xlfn.IFS(V103="Calving season", $I$80, V103="Season after calving", $I$81, V103="", "")</f>
        <v/>
      </c>
      <c r="X103" s="15">
        <v>0</v>
      </c>
      <c r="Y103" s="15">
        <v>0</v>
      </c>
      <c r="Z103" s="15">
        <v>0</v>
      </c>
      <c r="AA103" s="15">
        <f>IFERROR((V$92 * $W103), 0)</f>
        <v>0</v>
      </c>
      <c r="AB103" s="15">
        <f>IFERROR((W$92 * $W103), 0)</f>
        <v>0</v>
      </c>
      <c r="AC103" s="15">
        <f>IFERROR((X$92 * $W103), 0)</f>
        <v>0</v>
      </c>
      <c r="AD103" s="15">
        <v>0</v>
      </c>
      <c r="AE103" s="15">
        <v>0</v>
      </c>
      <c r="AF103" s="15">
        <v>0</v>
      </c>
      <c r="AG103" s="15">
        <v>0</v>
      </c>
      <c r="AH103" s="16" t="str">
        <f t="shared" si="5"/>
        <v>kg/head/day</v>
      </c>
    </row>
    <row r="104" spans="3:34" ht="20.100000000000001" customHeight="1" x14ac:dyDescent="0.2">
      <c r="D104" s="103"/>
      <c r="E104" s="103"/>
      <c r="U104" s="15" t="str">
        <f>TEXT(EDATE(X_Cell_Site_StartDate,4), "mmmm")</f>
        <v>April</v>
      </c>
      <c r="V104" s="15" t="str" cm="1">
        <f t="array" ref="V104">IFERROR(_xlfn.IFS(SUMPRODUCT(ISNUMBER(SEARCH(TRIM(_xlfn.TEXTSPLIT($U$92,",")),U104))*1)&gt;0,"Calving season",SUMPRODUCT(ISNUMBER(SEARCH(TRIM(_xlfn.TEXTSPLIT($U$93,",")),U104))*1)&gt;0,"Season after calving"), "")</f>
        <v/>
      </c>
      <c r="W104" s="15" t="str" cm="1">
        <f t="array" ref="W104">_xlfn.IFS(V104="Calving season", $I$80, V104="Season after calving", $I$81, V104="", "")</f>
        <v/>
      </c>
      <c r="X104" s="15">
        <v>0</v>
      </c>
      <c r="Y104" s="15">
        <v>0</v>
      </c>
      <c r="Z104" s="15">
        <v>0</v>
      </c>
      <c r="AA104" s="15">
        <f>IFERROR((V$92 * $W104), 0)</f>
        <v>0</v>
      </c>
      <c r="AB104" s="15">
        <f>IFERROR((W$92 * $W104), 0)</f>
        <v>0</v>
      </c>
      <c r="AC104" s="15">
        <f>IFERROR((X$92 * $W104), 0)</f>
        <v>0</v>
      </c>
      <c r="AD104" s="15">
        <v>0</v>
      </c>
      <c r="AE104" s="15">
        <v>0</v>
      </c>
      <c r="AF104" s="15">
        <v>0</v>
      </c>
      <c r="AG104" s="15">
        <v>0</v>
      </c>
      <c r="AH104" s="16" t="str">
        <f t="shared" si="5"/>
        <v>kg/head/day</v>
      </c>
    </row>
    <row r="105" spans="3:34" ht="20.100000000000001" customHeight="1" x14ac:dyDescent="0.2">
      <c r="U105" s="15" t="str">
        <f>TEXT(EDATE(X_Cell_Site_StartDate,5), "mmmm")</f>
        <v>May</v>
      </c>
      <c r="V105" s="15" t="str" cm="1">
        <f t="array" ref="V105">IFERROR(_xlfn.IFS(SUMPRODUCT(ISNUMBER(SEARCH(TRIM(_xlfn.TEXTSPLIT($U$92,",")),U105))*1)&gt;0,"Calving season",SUMPRODUCT(ISNUMBER(SEARCH(TRIM(_xlfn.TEXTSPLIT($U$93,",")),U105))*1)&gt;0,"Season after calving"), "")</f>
        <v/>
      </c>
      <c r="W105" s="15" t="str" cm="1">
        <f t="array" ref="W105">_xlfn.IFS(V105="Calving season", $I$80, V105="Season after calving", $I$81, V105="", "")</f>
        <v/>
      </c>
      <c r="X105" s="15">
        <v>0</v>
      </c>
      <c r="Y105" s="15">
        <v>0</v>
      </c>
      <c r="Z105" s="15">
        <v>0</v>
      </c>
      <c r="AA105" s="15">
        <f>IFERROR((V$92 * $W105), 0)</f>
        <v>0</v>
      </c>
      <c r="AB105" s="15">
        <f>IFERROR((W$92 * $W105), 0)</f>
        <v>0</v>
      </c>
      <c r="AC105" s="15">
        <f>IFERROR((X$92 * $W105), 0)</f>
        <v>0</v>
      </c>
      <c r="AD105" s="15">
        <v>0</v>
      </c>
      <c r="AE105" s="15">
        <v>0</v>
      </c>
      <c r="AF105" s="15">
        <v>0</v>
      </c>
      <c r="AG105" s="15">
        <v>0</v>
      </c>
      <c r="AH105" s="16" t="str">
        <f t="shared" si="5"/>
        <v>kg/head/day</v>
      </c>
    </row>
    <row r="106" spans="3:34" ht="20.100000000000001" customHeight="1" x14ac:dyDescent="0.2">
      <c r="U106" s="15" t="str">
        <f>TEXT(EDATE(X_Cell_Site_StartDate,6), "mmmm")</f>
        <v>June</v>
      </c>
      <c r="V106" s="15" t="str" cm="1">
        <f t="array" ref="V106">IFERROR(_xlfn.IFS(SUMPRODUCT(ISNUMBER(SEARCH(TRIM(_xlfn.TEXTSPLIT($U$92,",")),U106))*1)&gt;0,"Calving season",SUMPRODUCT(ISNUMBER(SEARCH(TRIM(_xlfn.TEXTSPLIT($U$93,",")),U106))*1)&gt;0,"Season after calving"), "")</f>
        <v/>
      </c>
      <c r="W106" s="15" t="str" cm="1">
        <f t="array" ref="W106">_xlfn.IFS(V106="Calving season", $I$80, V106="Season after calving", $I$81, V106="", "")</f>
        <v/>
      </c>
      <c r="X106" s="15">
        <v>0</v>
      </c>
      <c r="Y106" s="15">
        <v>0</v>
      </c>
      <c r="Z106" s="15">
        <v>0</v>
      </c>
      <c r="AA106" s="15">
        <f>IFERROR((V$92 * $W106), 0)</f>
        <v>0</v>
      </c>
      <c r="AB106" s="15">
        <f>IFERROR((W$92 * $W106), 0)</f>
        <v>0</v>
      </c>
      <c r="AC106" s="15">
        <f>IFERROR((X$92 * $W106), 0)</f>
        <v>0</v>
      </c>
      <c r="AD106" s="15">
        <v>0</v>
      </c>
      <c r="AE106" s="15">
        <v>0</v>
      </c>
      <c r="AF106" s="15">
        <v>0</v>
      </c>
      <c r="AG106" s="15">
        <v>0</v>
      </c>
      <c r="AH106" s="16" t="str">
        <f t="shared" si="5"/>
        <v>kg/head/day</v>
      </c>
    </row>
    <row r="107" spans="3:34" ht="20.100000000000001" customHeight="1" x14ac:dyDescent="0.2">
      <c r="U107" s="15" t="str">
        <f>TEXT(EDATE(X_Cell_Site_StartDate,7), "mmmm")</f>
        <v>July</v>
      </c>
      <c r="V107" s="15" t="str" cm="1">
        <f t="array" ref="V107">IFERROR(_xlfn.IFS(SUMPRODUCT(ISNUMBER(SEARCH(TRIM(_xlfn.TEXTSPLIT($U$92,",")),U107))*1)&gt;0,"Calving season",SUMPRODUCT(ISNUMBER(SEARCH(TRIM(_xlfn.TEXTSPLIT($U$93,",")),U107))*1)&gt;0,"Season after calving"), "")</f>
        <v/>
      </c>
      <c r="W107" s="15" t="str" cm="1">
        <f t="array" ref="W107">_xlfn.IFS(V107="Calving season", $I$80, V107="Season after calving", $I$81, V107="", "")</f>
        <v/>
      </c>
      <c r="X107" s="15">
        <v>0</v>
      </c>
      <c r="Y107" s="15">
        <v>0</v>
      </c>
      <c r="Z107" s="15">
        <v>0</v>
      </c>
      <c r="AA107" s="15">
        <f>IFERROR((V$92 * $W107), 0)</f>
        <v>0</v>
      </c>
      <c r="AB107" s="15">
        <f>IFERROR((W$92 * $W107), 0)</f>
        <v>0</v>
      </c>
      <c r="AC107" s="15">
        <f>IFERROR((X$92 * $W107), 0)</f>
        <v>0</v>
      </c>
      <c r="AD107" s="15">
        <v>0</v>
      </c>
      <c r="AE107" s="15">
        <v>0</v>
      </c>
      <c r="AF107" s="15">
        <v>0</v>
      </c>
      <c r="AG107" s="15">
        <v>0</v>
      </c>
      <c r="AH107" s="16" t="str">
        <f t="shared" si="5"/>
        <v>kg/head/day</v>
      </c>
    </row>
    <row r="108" spans="3:34" ht="20.100000000000001" customHeight="1" x14ac:dyDescent="0.2">
      <c r="D108" s="77" t="s">
        <v>373</v>
      </c>
      <c r="E108" s="1" t="s">
        <v>1307</v>
      </c>
      <c r="U108" s="15" t="str">
        <f>TEXT(EDATE(X_Cell_Site_StartDate,8), "mmmm")</f>
        <v>August</v>
      </c>
      <c r="V108" s="15" t="str" cm="1">
        <f t="array" ref="V108">IFERROR(_xlfn.IFS(SUMPRODUCT(ISNUMBER(SEARCH(TRIM(_xlfn.TEXTSPLIT($U$92,",")),U108))*1)&gt;0,"Calving season",SUMPRODUCT(ISNUMBER(SEARCH(TRIM(_xlfn.TEXTSPLIT($U$93,",")),U108))*1)&gt;0,"Season after calving"), "")</f>
        <v>Calving season</v>
      </c>
      <c r="W108" s="15" t="e" cm="1">
        <f t="array" ref="W108">_xlfn.IFS(V108="Calving season", $I$80, V108="Season after calving", $I$81, V108="", "")</f>
        <v>#N/A</v>
      </c>
      <c r="X108" s="15">
        <v>0</v>
      </c>
      <c r="Y108" s="15">
        <v>0</v>
      </c>
      <c r="Z108" s="15">
        <v>0</v>
      </c>
      <c r="AA108" s="15">
        <f>IFERROR((V$92 * $W108), 0)</f>
        <v>0</v>
      </c>
      <c r="AB108" s="15">
        <f>IFERROR((W$92 * $W108), 0)</f>
        <v>0</v>
      </c>
      <c r="AC108" s="15">
        <f>IFERROR((X$92 * $W108), 0)</f>
        <v>0</v>
      </c>
      <c r="AD108" s="15">
        <v>0</v>
      </c>
      <c r="AE108" s="15">
        <v>0</v>
      </c>
      <c r="AF108" s="15">
        <v>0</v>
      </c>
      <c r="AG108" s="15">
        <v>0</v>
      </c>
      <c r="AH108" s="16" t="str">
        <f t="shared" si="5"/>
        <v>kg/head/day</v>
      </c>
    </row>
    <row r="109" spans="3:34" ht="20.100000000000001" customHeight="1" x14ac:dyDescent="0.2">
      <c r="D109" s="77" t="s">
        <v>121</v>
      </c>
      <c r="E109" s="9" t="s">
        <v>1308</v>
      </c>
      <c r="U109" s="15" t="str">
        <f>TEXT(EDATE(X_Cell_Site_StartDate,9), "mmmm")</f>
        <v>September</v>
      </c>
      <c r="V109" s="15" t="str" cm="1">
        <f t="array" ref="V109">IFERROR(_xlfn.IFS(SUMPRODUCT(ISNUMBER(SEARCH(TRIM(_xlfn.TEXTSPLIT($U$92,",")),U109))*1)&gt;0,"Calving season",SUMPRODUCT(ISNUMBER(SEARCH(TRIM(_xlfn.TEXTSPLIT($U$93,",")),U109))*1)&gt;0,"Season after calving"), "")</f>
        <v>Calving season</v>
      </c>
      <c r="W109" s="15" t="e" cm="1">
        <f t="array" ref="W109">_xlfn.IFS(V109="Calving season", $I$80, V109="Season after calving", $I$81, V109="", "")</f>
        <v>#N/A</v>
      </c>
      <c r="X109" s="15">
        <v>0</v>
      </c>
      <c r="Y109" s="15">
        <v>0</v>
      </c>
      <c r="Z109" s="15">
        <v>0</v>
      </c>
      <c r="AA109" s="15">
        <f>IFERROR((V$92 * $W109), 0)</f>
        <v>0</v>
      </c>
      <c r="AB109" s="15">
        <f>IFERROR((W$92 * $W109), 0)</f>
        <v>0</v>
      </c>
      <c r="AC109" s="15">
        <f>IFERROR((X$92 * $W109), 0)</f>
        <v>0</v>
      </c>
      <c r="AD109" s="15">
        <v>0</v>
      </c>
      <c r="AE109" s="15">
        <v>0</v>
      </c>
      <c r="AF109" s="15">
        <v>0</v>
      </c>
      <c r="AG109" s="15">
        <v>0</v>
      </c>
      <c r="AH109" s="16" t="str">
        <f t="shared" si="5"/>
        <v>kg/head/day</v>
      </c>
    </row>
    <row r="110" spans="3:34" ht="20.100000000000001" customHeight="1" x14ac:dyDescent="0.2">
      <c r="U110" s="15" t="str">
        <f>TEXT(EDATE(X_Cell_Site_StartDate,10), "mmmm")</f>
        <v>October</v>
      </c>
      <c r="V110" s="15" t="str" cm="1">
        <f t="array" ref="V110">IFERROR(_xlfn.IFS(SUMPRODUCT(ISNUMBER(SEARCH(TRIM(_xlfn.TEXTSPLIT($U$92,",")),U110))*1)&gt;0,"Calving season",SUMPRODUCT(ISNUMBER(SEARCH(TRIM(_xlfn.TEXTSPLIT($U$93,",")),U110))*1)&gt;0,"Season after calving"), "")</f>
        <v>Calving season</v>
      </c>
      <c r="W110" s="15" t="e" cm="1">
        <f t="array" ref="W110">_xlfn.IFS(V110="Calving season", $I$80, V110="Season after calving", $I$81, V110="", "")</f>
        <v>#N/A</v>
      </c>
      <c r="X110" s="15">
        <v>0</v>
      </c>
      <c r="Y110" s="15">
        <v>0</v>
      </c>
      <c r="Z110" s="15">
        <v>0</v>
      </c>
      <c r="AA110" s="15">
        <f>IFERROR((V$92 * $W110), 0)</f>
        <v>0</v>
      </c>
      <c r="AB110" s="15">
        <f>IFERROR((W$92 * $W110), 0)</f>
        <v>0</v>
      </c>
      <c r="AC110" s="15">
        <f>IFERROR((X$92 * $W110), 0)</f>
        <v>0</v>
      </c>
      <c r="AD110" s="15">
        <v>0</v>
      </c>
      <c r="AE110" s="15">
        <v>0</v>
      </c>
      <c r="AF110" s="15">
        <v>0</v>
      </c>
      <c r="AG110" s="15">
        <v>0</v>
      </c>
      <c r="AH110" s="16" t="str">
        <f t="shared" si="5"/>
        <v>kg/head/day</v>
      </c>
    </row>
    <row r="111" spans="3:34" ht="20.100000000000001" customHeight="1" x14ac:dyDescent="0.2">
      <c r="D111" s="105" t="s">
        <v>1296</v>
      </c>
      <c r="E111" s="106" t="s">
        <v>1309</v>
      </c>
      <c r="F111" s="108"/>
      <c r="G111" s="105" t="s">
        <v>344</v>
      </c>
      <c r="H111" s="110" t="s">
        <v>1313</v>
      </c>
      <c r="I111" s="111" t="str" cm="1">
        <f t="array" aca="1" ref="I111" ca="1">HYPERLINK(Common_InputFunctions.Utility_SourceHyperlinkDifferentSheet($D$92), $D$92)</f>
        <v>M1_Table_MP_j_k-4-5</v>
      </c>
      <c r="U111" s="15" t="str">
        <f>TEXT(EDATE(X_Cell_Site_StartDate,11), "mmmm")</f>
        <v>November</v>
      </c>
      <c r="V111" s="15" t="str" cm="1">
        <f t="array" ref="V111">IFERROR(_xlfn.IFS(SUMPRODUCT(ISNUMBER(SEARCH(TRIM(_xlfn.TEXTSPLIT($U$92,",")),U111))*1)&gt;0,"Calving season",SUMPRODUCT(ISNUMBER(SEARCH(TRIM(_xlfn.TEXTSPLIT($U$93,",")),U111))*1)&gt;0,"Season after calving"), "")</f>
        <v>Season after calving</v>
      </c>
      <c r="W111" s="15" t="e" cm="1">
        <f t="array" ref="W111">_xlfn.IFS(V111="Calving season", $I$80, V111="Season after calving", $I$81, V111="", "")</f>
        <v>#N/A</v>
      </c>
      <c r="X111" s="15">
        <v>0</v>
      </c>
      <c r="Y111" s="15">
        <v>0</v>
      </c>
      <c r="Z111" s="15">
        <v>0</v>
      </c>
      <c r="AA111" s="15">
        <f>IFERROR((V$92 * $W111), 0)</f>
        <v>0</v>
      </c>
      <c r="AB111" s="15">
        <f>IFERROR((W$92 * $W111), 0)</f>
        <v>0</v>
      </c>
      <c r="AC111" s="15">
        <f>IFERROR((X$92 * $W111), 0)</f>
        <v>0</v>
      </c>
      <c r="AD111" s="15">
        <v>0</v>
      </c>
      <c r="AE111" s="15">
        <v>0</v>
      </c>
      <c r="AF111" s="15">
        <v>0</v>
      </c>
      <c r="AG111" s="15">
        <v>0</v>
      </c>
      <c r="AH111" s="16" t="str">
        <f t="shared" si="5"/>
        <v>kg/head/day</v>
      </c>
    </row>
    <row r="112" spans="3:34" ht="20.100000000000001" customHeight="1" x14ac:dyDescent="0.2">
      <c r="D112" s="105" t="s">
        <v>1290</v>
      </c>
      <c r="E112" s="106" t="s">
        <v>1310</v>
      </c>
      <c r="F112" s="108"/>
      <c r="G112" s="105"/>
      <c r="H112" s="110" t="s">
        <v>1314</v>
      </c>
      <c r="I112" s="111" t="str" cm="1">
        <f t="array" aca="1" ref="I112" ca="1">HYPERLINK(Common_InputFunctions.Utility_SourceHyperlink($D$59), $D$59)</f>
        <v>M1_Table_L_j_k_l</v>
      </c>
    </row>
    <row r="113" spans="4:35" ht="20.100000000000001" customHeight="1" x14ac:dyDescent="0.2">
      <c r="D113" s="105" t="s">
        <v>1284</v>
      </c>
      <c r="E113" s="106" t="s">
        <v>1311</v>
      </c>
      <c r="F113" s="108"/>
      <c r="G113" s="105"/>
      <c r="H113" s="110" t="s">
        <v>1315</v>
      </c>
      <c r="I113" s="111" t="str" cm="1">
        <f t="array" aca="1" ref="I113" ca="1">HYPERLINK(Common_InputFunctions.Utility_SourceHyperlink($D$30), $D$30)</f>
        <v>M1_Table_Z_j_k_l</v>
      </c>
    </row>
    <row r="114" spans="4:35" ht="20.100000000000001" customHeight="1" x14ac:dyDescent="0.2">
      <c r="D114" s="105" t="s">
        <v>1228</v>
      </c>
      <c r="E114" s="106" t="s">
        <v>1312</v>
      </c>
      <c r="F114" s="108"/>
      <c r="G114" s="105" t="s">
        <v>344</v>
      </c>
      <c r="H114" s="109" t="s">
        <v>1219</v>
      </c>
      <c r="I114" s="111" t="str" cm="1">
        <f t="array" aca="1" ref="I114" ca="1">HYPERLINK(Common_InputFunctions.Utility_SourceHyperlink($D$116), $D$116)</f>
        <v>M1_Table_LWG_j_k_l</v>
      </c>
      <c r="T114" s="87"/>
      <c r="U114" s="87"/>
      <c r="V114" s="87"/>
      <c r="W114" s="87"/>
      <c r="X114" s="87"/>
      <c r="Y114" s="87"/>
      <c r="Z114" s="87"/>
      <c r="AA114" s="87"/>
      <c r="AB114" s="87"/>
      <c r="AC114" s="87"/>
      <c r="AD114" s="87"/>
      <c r="AE114" s="87"/>
      <c r="AF114" s="87"/>
      <c r="AG114" s="87"/>
      <c r="AH114" s="87"/>
      <c r="AI114" s="87"/>
    </row>
    <row r="115" spans="4:35" ht="20.100000000000001" customHeight="1" x14ac:dyDescent="0.2">
      <c r="U115" s="2" t="s">
        <v>1305</v>
      </c>
    </row>
    <row r="116" spans="4:35" ht="20.100000000000001" customHeight="1" x14ac:dyDescent="0.2">
      <c r="D116" s="112" t="s">
        <v>394</v>
      </c>
    </row>
    <row r="117" spans="4:35" ht="20.100000000000001" customHeight="1" x14ac:dyDescent="0.2">
      <c r="D117" s="113" t="s">
        <v>395</v>
      </c>
      <c r="U117" s="112" t="s">
        <v>392</v>
      </c>
    </row>
    <row r="118" spans="4:35" ht="20.100000000000001" customHeight="1" x14ac:dyDescent="0.2">
      <c r="D118" s="114" t="s">
        <v>76</v>
      </c>
      <c r="E118" s="82" t="s">
        <v>326</v>
      </c>
      <c r="F118" s="82" t="s">
        <v>184</v>
      </c>
      <c r="G118" s="82" t="s">
        <v>327</v>
      </c>
      <c r="H118" s="82" t="s">
        <v>328</v>
      </c>
      <c r="I118" s="82" t="s">
        <v>329</v>
      </c>
      <c r="J118" s="82" t="s">
        <v>330</v>
      </c>
      <c r="K118" s="82" t="s">
        <v>331</v>
      </c>
      <c r="L118" s="82" t="s">
        <v>332</v>
      </c>
      <c r="M118" s="82" t="s">
        <v>333</v>
      </c>
      <c r="N118" s="82" t="s">
        <v>334</v>
      </c>
      <c r="U118" s="113" t="s">
        <v>393</v>
      </c>
    </row>
    <row r="119" spans="4:35" ht="20.100000000000001" customHeight="1" x14ac:dyDescent="0.2">
      <c r="D119" s="15" t="str">
        <f>INDEX(X_Table_PastureBeef_LiveweightGain_Method1,2,1)</f>
        <v>Spring</v>
      </c>
      <c r="E119" s="15" t="e" cm="1">
        <f t="array" aca="1" ref="E119:N122" ca="1">OFFSET(X_Table_PastureBeef_LiveweightGain_Method1, 1,1, 4,10)</f>
        <v>#N/A</v>
      </c>
      <c r="F119" s="15" t="e">
        <f ca="1"/>
        <v>#N/A</v>
      </c>
      <c r="G119" s="15" t="e">
        <f ca="1"/>
        <v>#N/A</v>
      </c>
      <c r="H119" s="15" t="e">
        <f ca="1"/>
        <v>#N/A</v>
      </c>
      <c r="I119" s="15" t="e">
        <f ca="1"/>
        <v>#N/A</v>
      </c>
      <c r="J119" s="15" t="e">
        <f ca="1"/>
        <v>#N/A</v>
      </c>
      <c r="K119" s="15" t="e">
        <f ca="1"/>
        <v>#N/A</v>
      </c>
      <c r="L119" s="15" t="e">
        <f ca="1"/>
        <v>#N/A</v>
      </c>
      <c r="M119" s="15" t="e">
        <f ca="1"/>
        <v>#N/A</v>
      </c>
      <c r="N119" s="15" t="e">
        <f ca="1"/>
        <v>#N/A</v>
      </c>
      <c r="O119" s="16" t="s">
        <v>343</v>
      </c>
      <c r="U119" s="114" t="s">
        <v>75</v>
      </c>
      <c r="V119" s="82" t="s">
        <v>326</v>
      </c>
      <c r="W119" s="82" t="s">
        <v>184</v>
      </c>
      <c r="X119" s="82" t="s">
        <v>327</v>
      </c>
      <c r="Y119" s="82" t="s">
        <v>328</v>
      </c>
      <c r="Z119" s="82" t="s">
        <v>329</v>
      </c>
      <c r="AA119" s="82" t="s">
        <v>330</v>
      </c>
      <c r="AB119" s="82" t="s">
        <v>331</v>
      </c>
      <c r="AC119" s="82" t="s">
        <v>332</v>
      </c>
      <c r="AD119" s="82" t="s">
        <v>333</v>
      </c>
      <c r="AE119" s="82" t="s">
        <v>334</v>
      </c>
    </row>
    <row r="120" spans="4:35" ht="20.100000000000001" customHeight="1" x14ac:dyDescent="0.2">
      <c r="D120" s="15" t="str">
        <f>INDEX(X_Table_PastureBeef_LiveweightGain_Method1,3,1)</f>
        <v>Summer</v>
      </c>
      <c r="E120" s="15" t="e">
        <f ca="1"/>
        <v>#N/A</v>
      </c>
      <c r="F120" s="15" t="e">
        <f ca="1"/>
        <v>#N/A</v>
      </c>
      <c r="G120" s="15" t="e">
        <f ca="1"/>
        <v>#N/A</v>
      </c>
      <c r="H120" s="15" t="e">
        <f ca="1"/>
        <v>#N/A</v>
      </c>
      <c r="I120" s="15" t="e">
        <f ca="1"/>
        <v>#N/A</v>
      </c>
      <c r="J120" s="15" t="e">
        <f ca="1"/>
        <v>#N/A</v>
      </c>
      <c r="K120" s="15" t="e">
        <f ca="1"/>
        <v>#N/A</v>
      </c>
      <c r="L120" s="15" t="e">
        <f ca="1"/>
        <v>#N/A</v>
      </c>
      <c r="M120" s="15" t="e">
        <f ca="1"/>
        <v>#N/A</v>
      </c>
      <c r="N120" s="15" t="e">
        <f ca="1"/>
        <v>#N/A</v>
      </c>
      <c r="O120" s="16" t="s">
        <v>343</v>
      </c>
      <c r="U120" s="15" t="str">
        <f>TEXT(X_Cell_Site_StartDate,"mmmm")</f>
        <v>January</v>
      </c>
      <c r="V120" s="15" t="e" cm="1">
        <f t="array" aca="1" ref="V120:AE131" ca="1">OFFSET(X_Table_PastureBeef_LiveweightGain_Method2, 1,1, 12,10)</f>
        <v>#N/A</v>
      </c>
      <c r="W120" s="15" t="e">
        <f ca="1"/>
        <v>#N/A</v>
      </c>
      <c r="X120" s="15" t="e">
        <f ca="1"/>
        <v>#N/A</v>
      </c>
      <c r="Y120" s="15" t="e">
        <f ca="1"/>
        <v>#N/A</v>
      </c>
      <c r="Z120" s="15" t="e">
        <f ca="1"/>
        <v>#N/A</v>
      </c>
      <c r="AA120" s="15" t="e">
        <f ca="1"/>
        <v>#N/A</v>
      </c>
      <c r="AB120" s="15" t="e">
        <f ca="1"/>
        <v>#N/A</v>
      </c>
      <c r="AC120" s="15" t="e">
        <f ca="1"/>
        <v>#N/A</v>
      </c>
      <c r="AD120" s="15" t="e">
        <f ca="1"/>
        <v>#N/A</v>
      </c>
      <c r="AE120" s="15" t="e">
        <f ca="1"/>
        <v>#N/A</v>
      </c>
      <c r="AF120" s="16" t="s">
        <v>344</v>
      </c>
      <c r="AG120" s="16"/>
      <c r="AH120" s="16"/>
    </row>
    <row r="121" spans="4:35" ht="20.100000000000001" customHeight="1" x14ac:dyDescent="0.2">
      <c r="D121" s="15" t="str">
        <f>INDEX(X_Table_PastureBeef_LiveweightGain_Method1,4,1)</f>
        <v>Autumn</v>
      </c>
      <c r="E121" s="15" t="e">
        <f ca="1"/>
        <v>#N/A</v>
      </c>
      <c r="F121" s="15" t="e">
        <f ca="1"/>
        <v>#N/A</v>
      </c>
      <c r="G121" s="15" t="e">
        <f ca="1"/>
        <v>#N/A</v>
      </c>
      <c r="H121" s="15" t="e">
        <f ca="1"/>
        <v>#N/A</v>
      </c>
      <c r="I121" s="15" t="e">
        <f ca="1"/>
        <v>#N/A</v>
      </c>
      <c r="J121" s="15" t="e">
        <f ca="1"/>
        <v>#N/A</v>
      </c>
      <c r="K121" s="15" t="e">
        <f ca="1"/>
        <v>#N/A</v>
      </c>
      <c r="L121" s="15" t="e">
        <f ca="1"/>
        <v>#N/A</v>
      </c>
      <c r="M121" s="15" t="e">
        <f ca="1"/>
        <v>#N/A</v>
      </c>
      <c r="N121" s="15" t="e">
        <f ca="1"/>
        <v>#N/A</v>
      </c>
      <c r="O121" s="16" t="s">
        <v>343</v>
      </c>
      <c r="U121" s="15" t="str">
        <f>TEXT(EDATE(X_Cell_Site_StartDate,1), "mmmm")</f>
        <v>January</v>
      </c>
      <c r="V121" s="15" t="e">
        <f ca="1"/>
        <v>#N/A</v>
      </c>
      <c r="W121" s="15" t="e">
        <f ca="1"/>
        <v>#N/A</v>
      </c>
      <c r="X121" s="15" t="e">
        <f ca="1"/>
        <v>#N/A</v>
      </c>
      <c r="Y121" s="15" t="e">
        <f ca="1"/>
        <v>#N/A</v>
      </c>
      <c r="Z121" s="15" t="e">
        <f ca="1"/>
        <v>#N/A</v>
      </c>
      <c r="AA121" s="15" t="e">
        <f ca="1"/>
        <v>#N/A</v>
      </c>
      <c r="AB121" s="15" t="e">
        <f ca="1"/>
        <v>#N/A</v>
      </c>
      <c r="AC121" s="15" t="e">
        <f ca="1"/>
        <v>#N/A</v>
      </c>
      <c r="AD121" s="15" t="e">
        <f ca="1"/>
        <v>#N/A</v>
      </c>
      <c r="AE121" s="15" t="e">
        <f ca="1"/>
        <v>#N/A</v>
      </c>
      <c r="AF121" s="16" t="s">
        <v>344</v>
      </c>
      <c r="AG121" s="16"/>
      <c r="AH121" s="16"/>
    </row>
    <row r="122" spans="4:35" ht="20.100000000000001" customHeight="1" x14ac:dyDescent="0.2">
      <c r="D122" s="15" t="str">
        <f>INDEX(X_Table_PastureBeef_LiveweightGain_Method1,5,1)</f>
        <v>Winter</v>
      </c>
      <c r="E122" s="15" t="e">
        <f ca="1"/>
        <v>#N/A</v>
      </c>
      <c r="F122" s="15" t="e">
        <f ca="1"/>
        <v>#N/A</v>
      </c>
      <c r="G122" s="15" t="e">
        <f ca="1"/>
        <v>#N/A</v>
      </c>
      <c r="H122" s="15" t="e">
        <f ca="1"/>
        <v>#N/A</v>
      </c>
      <c r="I122" s="15" t="e">
        <f ca="1"/>
        <v>#N/A</v>
      </c>
      <c r="J122" s="15" t="e">
        <f ca="1"/>
        <v>#N/A</v>
      </c>
      <c r="K122" s="15" t="e">
        <f ca="1"/>
        <v>#N/A</v>
      </c>
      <c r="L122" s="15" t="e">
        <f ca="1"/>
        <v>#N/A</v>
      </c>
      <c r="M122" s="15" t="e">
        <f ca="1"/>
        <v>#N/A</v>
      </c>
      <c r="N122" s="15" t="e">
        <f ca="1"/>
        <v>#N/A</v>
      </c>
      <c r="O122" s="16" t="s">
        <v>343</v>
      </c>
      <c r="U122" s="15" t="str">
        <f>TEXT(EDATE(X_Cell_Site_StartDate,2), "mmmm")</f>
        <v>February</v>
      </c>
      <c r="V122" s="15" t="e">
        <f ca="1"/>
        <v>#N/A</v>
      </c>
      <c r="W122" s="15" t="e">
        <f ca="1"/>
        <v>#N/A</v>
      </c>
      <c r="X122" s="15" t="e">
        <f ca="1"/>
        <v>#N/A</v>
      </c>
      <c r="Y122" s="15" t="e">
        <f ca="1"/>
        <v>#N/A</v>
      </c>
      <c r="Z122" s="15" t="e">
        <f ca="1"/>
        <v>#N/A</v>
      </c>
      <c r="AA122" s="15" t="e">
        <f ca="1"/>
        <v>#N/A</v>
      </c>
      <c r="AB122" s="15" t="e">
        <f ca="1"/>
        <v>#N/A</v>
      </c>
      <c r="AC122" s="15" t="e">
        <f ca="1"/>
        <v>#N/A</v>
      </c>
      <c r="AD122" s="15" t="e">
        <f ca="1"/>
        <v>#N/A</v>
      </c>
      <c r="AE122" s="15" t="e">
        <f ca="1"/>
        <v>#N/A</v>
      </c>
      <c r="AF122" s="16" t="s">
        <v>344</v>
      </c>
      <c r="AG122" s="16"/>
      <c r="AH122" s="16"/>
    </row>
    <row r="123" spans="4:35" ht="20.100000000000001" customHeight="1" x14ac:dyDescent="0.2">
      <c r="U123" s="15" t="str">
        <f>TEXT(EDATE(X_Cell_Site_StartDate,3), "mmmm")</f>
        <v>March</v>
      </c>
      <c r="V123" s="15" t="e">
        <f ca="1"/>
        <v>#N/A</v>
      </c>
      <c r="W123" s="15" t="e">
        <f ca="1"/>
        <v>#N/A</v>
      </c>
      <c r="X123" s="15" t="e">
        <f ca="1"/>
        <v>#N/A</v>
      </c>
      <c r="Y123" s="15" t="e">
        <f ca="1"/>
        <v>#N/A</v>
      </c>
      <c r="Z123" s="15" t="e">
        <f ca="1"/>
        <v>#N/A</v>
      </c>
      <c r="AA123" s="15" t="e">
        <f ca="1"/>
        <v>#N/A</v>
      </c>
      <c r="AB123" s="15" t="e">
        <f ca="1"/>
        <v>#N/A</v>
      </c>
      <c r="AC123" s="15" t="e">
        <f ca="1"/>
        <v>#N/A</v>
      </c>
      <c r="AD123" s="15" t="e">
        <f ca="1"/>
        <v>#N/A</v>
      </c>
      <c r="AE123" s="15" t="e">
        <f ca="1"/>
        <v>#N/A</v>
      </c>
      <c r="AF123" s="16" t="s">
        <v>344</v>
      </c>
      <c r="AG123" s="16"/>
      <c r="AH123" s="16"/>
    </row>
    <row r="124" spans="4:35" ht="20.100000000000001" customHeight="1" x14ac:dyDescent="0.2">
      <c r="D124" s="112" t="s">
        <v>454</v>
      </c>
      <c r="U124" s="15" t="str">
        <f>TEXT(EDATE(X_Cell_Site_StartDate,4), "mmmm")</f>
        <v>April</v>
      </c>
      <c r="V124" s="15" t="e">
        <f ca="1"/>
        <v>#N/A</v>
      </c>
      <c r="W124" s="15" t="e">
        <f ca="1"/>
        <v>#N/A</v>
      </c>
      <c r="X124" s="15" t="e">
        <f ca="1"/>
        <v>#N/A</v>
      </c>
      <c r="Y124" s="15" t="e">
        <f ca="1"/>
        <v>#N/A</v>
      </c>
      <c r="Z124" s="15" t="e">
        <f ca="1"/>
        <v>#N/A</v>
      </c>
      <c r="AA124" s="15" t="e">
        <f ca="1"/>
        <v>#N/A</v>
      </c>
      <c r="AB124" s="15" t="e">
        <f ca="1"/>
        <v>#N/A</v>
      </c>
      <c r="AC124" s="15" t="e">
        <f ca="1"/>
        <v>#N/A</v>
      </c>
      <c r="AD124" s="15" t="e">
        <f ca="1"/>
        <v>#N/A</v>
      </c>
      <c r="AE124" s="15" t="e">
        <f ca="1"/>
        <v>#N/A</v>
      </c>
      <c r="AF124" s="16" t="s">
        <v>344</v>
      </c>
      <c r="AG124" s="16"/>
      <c r="AH124" s="16"/>
    </row>
    <row r="125" spans="4:35" ht="20.100000000000001" customHeight="1" x14ac:dyDescent="0.2">
      <c r="D125" s="113" t="s">
        <v>455</v>
      </c>
      <c r="U125" s="15" t="str">
        <f>TEXT(EDATE(X_Cell_Site_StartDate,5), "mmmm")</f>
        <v>May</v>
      </c>
      <c r="V125" s="15" t="e">
        <f ca="1"/>
        <v>#N/A</v>
      </c>
      <c r="W125" s="15" t="e">
        <f ca="1"/>
        <v>#N/A</v>
      </c>
      <c r="X125" s="15" t="e">
        <f ca="1"/>
        <v>#N/A</v>
      </c>
      <c r="Y125" s="15" t="e">
        <f ca="1"/>
        <v>#N/A</v>
      </c>
      <c r="Z125" s="15" t="e">
        <f ca="1"/>
        <v>#N/A</v>
      </c>
      <c r="AA125" s="15" t="e">
        <f ca="1"/>
        <v>#N/A</v>
      </c>
      <c r="AB125" s="15" t="e">
        <f ca="1"/>
        <v>#N/A</v>
      </c>
      <c r="AC125" s="15" t="e">
        <f ca="1"/>
        <v>#N/A</v>
      </c>
      <c r="AD125" s="15" t="e">
        <f ca="1"/>
        <v>#N/A</v>
      </c>
      <c r="AE125" s="15" t="e">
        <f ca="1"/>
        <v>#N/A</v>
      </c>
      <c r="AF125" s="16" t="s">
        <v>344</v>
      </c>
      <c r="AG125" s="16"/>
      <c r="AH125" s="16"/>
    </row>
    <row r="126" spans="4:35" ht="20.100000000000001" customHeight="1" x14ac:dyDescent="0.2">
      <c r="D126" s="114" t="s">
        <v>76</v>
      </c>
      <c r="E126" s="114" t="s">
        <v>326</v>
      </c>
      <c r="F126" s="114" t="s">
        <v>184</v>
      </c>
      <c r="G126" s="114" t="s">
        <v>327</v>
      </c>
      <c r="H126" s="114" t="s">
        <v>328</v>
      </c>
      <c r="I126" s="114" t="s">
        <v>329</v>
      </c>
      <c r="J126" s="114" t="s">
        <v>330</v>
      </c>
      <c r="K126" s="114" t="s">
        <v>331</v>
      </c>
      <c r="L126" s="114" t="s">
        <v>332</v>
      </c>
      <c r="M126" s="114" t="s">
        <v>333</v>
      </c>
      <c r="N126" s="114" t="s">
        <v>334</v>
      </c>
      <c r="U126" s="15" t="str">
        <f>TEXT(EDATE(X_Cell_Site_StartDate,6), "mmmm")</f>
        <v>June</v>
      </c>
      <c r="V126" s="15" t="e">
        <f ca="1"/>
        <v>#N/A</v>
      </c>
      <c r="W126" s="15" t="e">
        <f ca="1"/>
        <v>#N/A</v>
      </c>
      <c r="X126" s="15" t="e">
        <f ca="1"/>
        <v>#N/A</v>
      </c>
      <c r="Y126" s="15" t="e">
        <f ca="1"/>
        <v>#N/A</v>
      </c>
      <c r="Z126" s="15" t="e">
        <f ca="1"/>
        <v>#N/A</v>
      </c>
      <c r="AA126" s="15" t="e">
        <f ca="1"/>
        <v>#N/A</v>
      </c>
      <c r="AB126" s="15" t="e">
        <f ca="1"/>
        <v>#N/A</v>
      </c>
      <c r="AC126" s="15" t="e">
        <f ca="1"/>
        <v>#N/A</v>
      </c>
      <c r="AD126" s="15" t="e">
        <f ca="1"/>
        <v>#N/A</v>
      </c>
      <c r="AE126" s="15" t="e">
        <f ca="1"/>
        <v>#N/A</v>
      </c>
      <c r="AF126" s="16" t="s">
        <v>344</v>
      </c>
      <c r="AG126" s="16"/>
      <c r="AH126" s="16"/>
    </row>
    <row r="127" spans="4:35" ht="20.100000000000001" customHeight="1" x14ac:dyDescent="0.2">
      <c r="D127" s="15" t="s">
        <v>335</v>
      </c>
      <c r="E127" s="15" t="e">
        <f ca="1">(((0.032 * G95) / 6.38) + (((0.212 - 0.008 * (E62 - 2) - ((0.14 - 0.008 * (E62 - 2)) / (1 + EXP(-6 * (E33 - 0.4))))) * (E119 * 0.92)) / 6.25))</f>
        <v>#N/A</v>
      </c>
      <c r="F127" s="15" t="e">
        <f ca="1">(((0.032 * H95) / 6.38) + (((0.212 - 0.008 * (F62 - 2) - ((0.14 - 0.008 * (F62 - 2)) / (1 + EXP(-6 * (F33 - 0.4))))) * (F119 * 0.92)) / 6.25))</f>
        <v>#N/A</v>
      </c>
      <c r="G127" s="15" t="e">
        <f ca="1">(((0.032 * I95) / 6.38) + (((0.212 - 0.008 * (G62 - 2) - ((0.14 - 0.008 * (G62 - 2)) / (1 + EXP(-6 * (G33 - 0.4))))) * (G119 * 0.92)) / 6.25))</f>
        <v>#N/A</v>
      </c>
      <c r="H127" s="15" t="e">
        <f ca="1">(((0.032 * J95) / 6.38) + (((0.212 - 0.008 * (H62 - 2) - ((0.14 - 0.008 * (H62 - 2)) / (1 + EXP(-6 * (H33 - 0.4))))) * (H119 * 0.92)) / 6.25))</f>
        <v>#N/A</v>
      </c>
      <c r="I127" s="15" t="e">
        <f ca="1">(((0.032 * K95) / 6.38) + (((0.212 - 0.008 * (I62 - 2) - ((0.14 - 0.008 * (I62 - 2)) / (1 + EXP(-6 * (I33 - 0.4))))) * (I119 * 0.92)) / 6.25))</f>
        <v>#N/A</v>
      </c>
      <c r="J127" s="15" t="e">
        <f ca="1">(((0.032 * L95) / 6.38) + (((0.212 - 0.008 * (J62 - 2) - ((0.14 - 0.008 * (J62 - 2)) / (1 + EXP(-6 * (J33 - 0.4))))) * (J119 * 0.92)) / 6.25))</f>
        <v>#N/A</v>
      </c>
      <c r="K127" s="15" t="e">
        <f ca="1">(((0.032 * M95) / 6.38) + (((0.212 - 0.008 * (K62 - 2) - ((0.14 - 0.008 * (K62 - 2)) / (1 + EXP(-6 * (K33 - 0.4))))) * (K119 * 0.92)) / 6.25))</f>
        <v>#N/A</v>
      </c>
      <c r="L127" s="15" t="e">
        <f ca="1">(((0.032 * N95) / 6.38) + (((0.212 - 0.008 * (L62 - 2) - ((0.14 - 0.008 * (L62 - 2)) / (1 + EXP(-6 * (L33 - 0.4))))) * (L119 * 0.92)) / 6.25))</f>
        <v>#N/A</v>
      </c>
      <c r="M127" s="15" t="e">
        <f ca="1">(((0.032 * O95) / 6.38) + (((0.212 - 0.008 * (M62 - 2) - ((0.14 - 0.008 * (M62 - 2)) / (1 + EXP(-6 * (M33 - 0.4))))) * (M119 * 0.92)) / 6.25))</f>
        <v>#N/A</v>
      </c>
      <c r="N127" s="15" t="e">
        <f ca="1">(((0.032 * P95) / 6.38) + (((0.212 - 0.008 * (N62 - 2) - ((0.14 - 0.008 * (N62 - 2)) / (1 + EXP(-6 * (N33 - 0.4))))) * (N119 * 0.92)) / 6.25))</f>
        <v>#N/A</v>
      </c>
      <c r="O127" s="16" t="str">
        <f>$E$109</f>
        <v>kg N/head/day</v>
      </c>
      <c r="U127" s="15" t="str">
        <f>TEXT(EDATE(X_Cell_Site_StartDate,7), "mmmm")</f>
        <v>July</v>
      </c>
      <c r="V127" s="15" t="e">
        <f ca="1"/>
        <v>#N/A</v>
      </c>
      <c r="W127" s="15" t="e">
        <f ca="1"/>
        <v>#N/A</v>
      </c>
      <c r="X127" s="15" t="e">
        <f ca="1"/>
        <v>#N/A</v>
      </c>
      <c r="Y127" s="15" t="e">
        <f ca="1"/>
        <v>#N/A</v>
      </c>
      <c r="Z127" s="15" t="e">
        <f ca="1"/>
        <v>#N/A</v>
      </c>
      <c r="AA127" s="15" t="e">
        <f ca="1"/>
        <v>#N/A</v>
      </c>
      <c r="AB127" s="15" t="e">
        <f ca="1"/>
        <v>#N/A</v>
      </c>
      <c r="AC127" s="15" t="e">
        <f ca="1"/>
        <v>#N/A</v>
      </c>
      <c r="AD127" s="15" t="e">
        <f ca="1"/>
        <v>#N/A</v>
      </c>
      <c r="AE127" s="15" t="e">
        <f ca="1"/>
        <v>#N/A</v>
      </c>
      <c r="AF127" s="16" t="s">
        <v>344</v>
      </c>
      <c r="AG127" s="16"/>
      <c r="AH127" s="16"/>
    </row>
    <row r="128" spans="4:35" ht="20.100000000000001" customHeight="1" x14ac:dyDescent="0.2">
      <c r="D128" s="15" t="s">
        <v>336</v>
      </c>
      <c r="E128" s="15" t="e">
        <f ca="1">(((0.032 * G96) / 6.38) + (((0.212 - 0.008 * (E63 - 2) - ((0.14 - 0.008 * (E63 - 2)) / (1 + EXP(-6 * (E34 - 0.4))))) * (E120 * 0.92)) / 6.25))</f>
        <v>#N/A</v>
      </c>
      <c r="F128" s="15" t="e">
        <f ca="1">(((0.032 * H96) / 6.38) + (((0.212 - 0.008 * (F63 - 2) - ((0.14 - 0.008 * (F63 - 2)) / (1 + EXP(-6 * (F34 - 0.4))))) * (F120 * 0.92)) / 6.25))</f>
        <v>#N/A</v>
      </c>
      <c r="G128" s="15" t="e">
        <f ca="1">(((0.032 * I96) / 6.38) + (((0.212 - 0.008 * (G63 - 2) - ((0.14 - 0.008 * (G63 - 2)) / (1 + EXP(-6 * (G34 - 0.4))))) * (G120 * 0.92)) / 6.25))</f>
        <v>#N/A</v>
      </c>
      <c r="H128" s="15" t="e">
        <f ca="1">(((0.032 * J96) / 6.38) + (((0.212 - 0.008 * (H63 - 2) - ((0.14 - 0.008 * (H63 - 2)) / (1 + EXP(-6 * (H34 - 0.4))))) * (H120 * 0.92)) / 6.25))</f>
        <v>#N/A</v>
      </c>
      <c r="I128" s="15" t="e">
        <f ca="1">(((0.032 * K96) / 6.38) + (((0.212 - 0.008 * (I63 - 2) - ((0.14 - 0.008 * (I63 - 2)) / (1 + EXP(-6 * (I34 - 0.4))))) * (I120 * 0.92)) / 6.25))</f>
        <v>#N/A</v>
      </c>
      <c r="J128" s="15" t="e">
        <f ca="1">(((0.032 * L96) / 6.38) + (((0.212 - 0.008 * (J63 - 2) - ((0.14 - 0.008 * (J63 - 2)) / (1 + EXP(-6 * (J34 - 0.4))))) * (J120 * 0.92)) / 6.25))</f>
        <v>#N/A</v>
      </c>
      <c r="K128" s="15" t="e">
        <f ca="1">(((0.032 * M96) / 6.38) + (((0.212 - 0.008 * (K63 - 2) - ((0.14 - 0.008 * (K63 - 2)) / (1 + EXP(-6 * (K34 - 0.4))))) * (K120 * 0.92)) / 6.25))</f>
        <v>#N/A</v>
      </c>
      <c r="L128" s="15" t="e">
        <f ca="1">(((0.032 * N96) / 6.38) + (((0.212 - 0.008 * (L63 - 2) - ((0.14 - 0.008 * (L63 - 2)) / (1 + EXP(-6 * (L34 - 0.4))))) * (L120 * 0.92)) / 6.25))</f>
        <v>#N/A</v>
      </c>
      <c r="M128" s="15" t="e">
        <f ca="1">(((0.032 * O96) / 6.38) + (((0.212 - 0.008 * (M63 - 2) - ((0.14 - 0.008 * (M63 - 2)) / (1 + EXP(-6 * (M34 - 0.4))))) * (M120 * 0.92)) / 6.25))</f>
        <v>#N/A</v>
      </c>
      <c r="N128" s="15" t="e">
        <f ca="1">(((0.032 * P96) / 6.38) + (((0.212 - 0.008 * (N63 - 2) - ((0.14 - 0.008 * (N63 - 2)) / (1 + EXP(-6 * (N34 - 0.4))))) * (N120 * 0.92)) / 6.25))</f>
        <v>#N/A</v>
      </c>
      <c r="O128" s="16" t="str">
        <f t="shared" ref="O128:O130" si="6">$E$109</f>
        <v>kg N/head/day</v>
      </c>
      <c r="U128" s="15" t="str">
        <f>TEXT(EDATE(X_Cell_Site_StartDate,8), "mmmm")</f>
        <v>August</v>
      </c>
      <c r="V128" s="15" t="e">
        <f ca="1"/>
        <v>#N/A</v>
      </c>
      <c r="W128" s="15" t="e">
        <f ca="1"/>
        <v>#N/A</v>
      </c>
      <c r="X128" s="15" t="e">
        <f ca="1"/>
        <v>#N/A</v>
      </c>
      <c r="Y128" s="15" t="e">
        <f ca="1"/>
        <v>#N/A</v>
      </c>
      <c r="Z128" s="15" t="e">
        <f ca="1"/>
        <v>#N/A</v>
      </c>
      <c r="AA128" s="15" t="e">
        <f ca="1"/>
        <v>#N/A</v>
      </c>
      <c r="AB128" s="15" t="e">
        <f ca="1"/>
        <v>#N/A</v>
      </c>
      <c r="AC128" s="15" t="e">
        <f ca="1"/>
        <v>#N/A</v>
      </c>
      <c r="AD128" s="15" t="e">
        <f ca="1"/>
        <v>#N/A</v>
      </c>
      <c r="AE128" s="15" t="e">
        <f ca="1"/>
        <v>#N/A</v>
      </c>
      <c r="AF128" s="16" t="s">
        <v>344</v>
      </c>
      <c r="AG128" s="16"/>
      <c r="AH128" s="16"/>
    </row>
    <row r="129" spans="3:34" ht="20.100000000000001" customHeight="1" x14ac:dyDescent="0.2">
      <c r="D129" s="15" t="s">
        <v>337</v>
      </c>
      <c r="E129" s="15" t="e">
        <f ca="1">(((0.032 * G97) / 6.38) + (((0.212 - 0.008 * (E64 - 2) - ((0.14 - 0.008 * (E64 - 2)) / (1 + EXP(-6 * (E35 - 0.4))))) * (E121 * 0.92)) / 6.25))</f>
        <v>#N/A</v>
      </c>
      <c r="F129" s="15" t="e">
        <f ca="1">(((0.032 * H97) / 6.38) + (((0.212 - 0.008 * (F64 - 2) - ((0.14 - 0.008 * (F64 - 2)) / (1 + EXP(-6 * (F35 - 0.4))))) * (F121 * 0.92)) / 6.25))</f>
        <v>#N/A</v>
      </c>
      <c r="G129" s="15" t="e">
        <f ca="1">(((0.032 * I97) / 6.38) + (((0.212 - 0.008 * (G64 - 2) - ((0.14 - 0.008 * (G64 - 2)) / (1 + EXP(-6 * (G35 - 0.4))))) * (G121 * 0.92)) / 6.25))</f>
        <v>#N/A</v>
      </c>
      <c r="H129" s="15" t="e">
        <f ca="1">(((0.032 * J97) / 6.38) + (((0.212 - 0.008 * (H64 - 2) - ((0.14 - 0.008 * (H64 - 2)) / (1 + EXP(-6 * (H35 - 0.4))))) * (H121 * 0.92)) / 6.25))</f>
        <v>#N/A</v>
      </c>
      <c r="I129" s="15" t="e">
        <f ca="1">(((0.032 * K97) / 6.38) + (((0.212 - 0.008 * (I64 - 2) - ((0.14 - 0.008 * (I64 - 2)) / (1 + EXP(-6 * (I35 - 0.4))))) * (I121 * 0.92)) / 6.25))</f>
        <v>#N/A</v>
      </c>
      <c r="J129" s="15" t="e">
        <f ca="1">(((0.032 * L97) / 6.38) + (((0.212 - 0.008 * (J64 - 2) - ((0.14 - 0.008 * (J64 - 2)) / (1 + EXP(-6 * (J35 - 0.4))))) * (J121 * 0.92)) / 6.25))</f>
        <v>#N/A</v>
      </c>
      <c r="K129" s="15" t="e">
        <f ca="1">(((0.032 * M97) / 6.38) + (((0.212 - 0.008 * (K64 - 2) - ((0.14 - 0.008 * (K64 - 2)) / (1 + EXP(-6 * (K35 - 0.4))))) * (K121 * 0.92)) / 6.25))</f>
        <v>#N/A</v>
      </c>
      <c r="L129" s="15" t="e">
        <f ca="1">(((0.032 * N97) / 6.38) + (((0.212 - 0.008 * (L64 - 2) - ((0.14 - 0.008 * (L64 - 2)) / (1 + EXP(-6 * (L35 - 0.4))))) * (L121 * 0.92)) / 6.25))</f>
        <v>#N/A</v>
      </c>
      <c r="M129" s="15" t="e">
        <f ca="1">(((0.032 * O97) / 6.38) + (((0.212 - 0.008 * (M64 - 2) - ((0.14 - 0.008 * (M64 - 2)) / (1 + EXP(-6 * (M35 - 0.4))))) * (M121 * 0.92)) / 6.25))</f>
        <v>#N/A</v>
      </c>
      <c r="N129" s="15" t="e">
        <f ca="1">(((0.032 * P97) / 6.38) + (((0.212 - 0.008 * (N64 - 2) - ((0.14 - 0.008 * (N64 - 2)) / (1 + EXP(-6 * (N35 - 0.4))))) * (N121 * 0.92)) / 6.25))</f>
        <v>#N/A</v>
      </c>
      <c r="O129" s="16" t="str">
        <f t="shared" si="6"/>
        <v>kg N/head/day</v>
      </c>
      <c r="U129" s="15" t="str">
        <f>TEXT(EDATE(X_Cell_Site_StartDate,9), "mmmm")</f>
        <v>September</v>
      </c>
      <c r="V129" s="15" t="e">
        <f ca="1"/>
        <v>#N/A</v>
      </c>
      <c r="W129" s="15" t="e">
        <f ca="1"/>
        <v>#N/A</v>
      </c>
      <c r="X129" s="15" t="e">
        <f ca="1"/>
        <v>#N/A</v>
      </c>
      <c r="Y129" s="15" t="e">
        <f ca="1"/>
        <v>#N/A</v>
      </c>
      <c r="Z129" s="15" t="e">
        <f ca="1"/>
        <v>#N/A</v>
      </c>
      <c r="AA129" s="15" t="e">
        <f ca="1"/>
        <v>#N/A</v>
      </c>
      <c r="AB129" s="15" t="e">
        <f ca="1"/>
        <v>#N/A</v>
      </c>
      <c r="AC129" s="15" t="e">
        <f ca="1"/>
        <v>#N/A</v>
      </c>
      <c r="AD129" s="15" t="e">
        <f ca="1"/>
        <v>#N/A</v>
      </c>
      <c r="AE129" s="15" t="e">
        <f ca="1"/>
        <v>#N/A</v>
      </c>
      <c r="AF129" s="16" t="s">
        <v>344</v>
      </c>
      <c r="AG129" s="16"/>
      <c r="AH129" s="16"/>
    </row>
    <row r="130" spans="3:34" ht="20.100000000000001" customHeight="1" x14ac:dyDescent="0.2">
      <c r="D130" s="15" t="s">
        <v>338</v>
      </c>
      <c r="E130" s="15" t="e">
        <f ca="1">(((0.032 * G98) / 6.38) + (((0.212 - 0.008 * (E65 - 2) - ((0.14 - 0.008 * (E65 - 2)) / (1 + EXP(-6 * (E36 - 0.4))))) * (E122 * 0.92)) / 6.25))</f>
        <v>#N/A</v>
      </c>
      <c r="F130" s="15" t="e">
        <f ca="1">(((0.032 * H98) / 6.38) + (((0.212 - 0.008 * (F65 - 2) - ((0.14 - 0.008 * (F65 - 2)) / (1 + EXP(-6 * (F36 - 0.4))))) * (F122 * 0.92)) / 6.25))</f>
        <v>#N/A</v>
      </c>
      <c r="G130" s="15" t="e">
        <f ca="1">(((0.032 * I98) / 6.38) + (((0.212 - 0.008 * (G65 - 2) - ((0.14 - 0.008 * (G65 - 2)) / (1 + EXP(-6 * (G36 - 0.4))))) * (G122 * 0.92)) / 6.25))</f>
        <v>#N/A</v>
      </c>
      <c r="H130" s="15" t="e">
        <f ca="1">(((0.032 * J98) / 6.38) + (((0.212 - 0.008 * (H65 - 2) - ((0.14 - 0.008 * (H65 - 2)) / (1 + EXP(-6 * (H36 - 0.4))))) * (H122 * 0.92)) / 6.25))</f>
        <v>#N/A</v>
      </c>
      <c r="I130" s="15" t="e">
        <f ca="1">(((0.032 * K98) / 6.38) + (((0.212 - 0.008 * (I65 - 2) - ((0.14 - 0.008 * (I65 - 2)) / (1 + EXP(-6 * (I36 - 0.4))))) * (I122 * 0.92)) / 6.25))</f>
        <v>#N/A</v>
      </c>
      <c r="J130" s="15" t="e">
        <f ca="1">(((0.032 * L98) / 6.38) + (((0.212 - 0.008 * (J65 - 2) - ((0.14 - 0.008 * (J65 - 2)) / (1 + EXP(-6 * (J36 - 0.4))))) * (J122 * 0.92)) / 6.25))</f>
        <v>#N/A</v>
      </c>
      <c r="K130" s="15" t="e">
        <f ca="1">(((0.032 * M98) / 6.38) + (((0.212 - 0.008 * (K65 - 2) - ((0.14 - 0.008 * (K65 - 2)) / (1 + EXP(-6 * (K36 - 0.4))))) * (K122 * 0.92)) / 6.25))</f>
        <v>#N/A</v>
      </c>
      <c r="L130" s="15" t="e">
        <f ca="1">(((0.032 * N98) / 6.38) + (((0.212 - 0.008 * (L65 - 2) - ((0.14 - 0.008 * (L65 - 2)) / (1 + EXP(-6 * (L36 - 0.4))))) * (L122 * 0.92)) / 6.25))</f>
        <v>#N/A</v>
      </c>
      <c r="M130" s="15" t="e">
        <f ca="1">(((0.032 * O98) / 6.38) + (((0.212 - 0.008 * (M65 - 2) - ((0.14 - 0.008 * (M65 - 2)) / (1 + EXP(-6 * (M36 - 0.4))))) * (M122 * 0.92)) / 6.25))</f>
        <v>#N/A</v>
      </c>
      <c r="N130" s="15" t="e">
        <f ca="1">(((0.032 * P98) / 6.38) + (((0.212 - 0.008 * (N65 - 2) - ((0.14 - 0.008 * (N65 - 2)) / (1 + EXP(-6 * (N36 - 0.4))))) * (N122 * 0.92)) / 6.25))</f>
        <v>#N/A</v>
      </c>
      <c r="O130" s="16" t="str">
        <f t="shared" si="6"/>
        <v>kg N/head/day</v>
      </c>
      <c r="U130" s="15" t="str">
        <f>TEXT(EDATE(X_Cell_Site_StartDate,10), "mmmm")</f>
        <v>October</v>
      </c>
      <c r="V130" s="15" t="e">
        <f ca="1"/>
        <v>#N/A</v>
      </c>
      <c r="W130" s="15" t="e">
        <f ca="1"/>
        <v>#N/A</v>
      </c>
      <c r="X130" s="15" t="e">
        <f ca="1"/>
        <v>#N/A</v>
      </c>
      <c r="Y130" s="15" t="e">
        <f ca="1"/>
        <v>#N/A</v>
      </c>
      <c r="Z130" s="15" t="e">
        <f ca="1"/>
        <v>#N/A</v>
      </c>
      <c r="AA130" s="15" t="e">
        <f ca="1"/>
        <v>#N/A</v>
      </c>
      <c r="AB130" s="15" t="e">
        <f ca="1"/>
        <v>#N/A</v>
      </c>
      <c r="AC130" s="15" t="e">
        <f ca="1"/>
        <v>#N/A</v>
      </c>
      <c r="AD130" s="15" t="e">
        <f ca="1"/>
        <v>#N/A</v>
      </c>
      <c r="AE130" s="15" t="e">
        <f ca="1"/>
        <v>#N/A</v>
      </c>
      <c r="AF130" s="16" t="s">
        <v>344</v>
      </c>
      <c r="AG130" s="16"/>
      <c r="AH130" s="16"/>
    </row>
    <row r="131" spans="3:34" ht="20.100000000000001" customHeight="1" x14ac:dyDescent="0.2">
      <c r="U131" s="15" t="str">
        <f>TEXT(EDATE(X_Cell_Site_StartDate,11), "mmmm")</f>
        <v>November</v>
      </c>
      <c r="V131" s="15" t="e">
        <f ca="1"/>
        <v>#N/A</v>
      </c>
      <c r="W131" s="15" t="e">
        <f ca="1"/>
        <v>#N/A</v>
      </c>
      <c r="X131" s="15" t="e">
        <f ca="1"/>
        <v>#N/A</v>
      </c>
      <c r="Y131" s="15" t="e">
        <f ca="1"/>
        <v>#N/A</v>
      </c>
      <c r="Z131" s="15" t="e">
        <f ca="1"/>
        <v>#N/A</v>
      </c>
      <c r="AA131" s="15" t="e">
        <f ca="1"/>
        <v>#N/A</v>
      </c>
      <c r="AB131" s="15" t="e">
        <f ca="1"/>
        <v>#N/A</v>
      </c>
      <c r="AC131" s="15" t="e">
        <f ca="1"/>
        <v>#N/A</v>
      </c>
      <c r="AD131" s="15" t="e">
        <f ca="1"/>
        <v>#N/A</v>
      </c>
      <c r="AE131" s="15" t="e">
        <f ca="1"/>
        <v>#N/A</v>
      </c>
      <c r="AF131" s="16" t="s">
        <v>344</v>
      </c>
      <c r="AG131" s="16"/>
      <c r="AH131" s="16"/>
    </row>
    <row r="133" spans="3:34" ht="20.100000000000001" customHeight="1" x14ac:dyDescent="0.2">
      <c r="C133" s="87"/>
      <c r="D133" s="87"/>
      <c r="E133" s="87"/>
      <c r="F133" s="87"/>
      <c r="G133" s="87"/>
      <c r="H133" s="87"/>
      <c r="I133" s="87"/>
      <c r="J133" s="87"/>
      <c r="K133" s="87"/>
      <c r="L133" s="87"/>
      <c r="M133" s="87"/>
      <c r="N133" s="87"/>
      <c r="O133" s="87"/>
      <c r="P133" s="87"/>
      <c r="Q133" s="87"/>
      <c r="R133" s="87"/>
      <c r="U133" s="112" t="s">
        <v>456</v>
      </c>
    </row>
    <row r="134" spans="3:34" ht="20.100000000000001" customHeight="1" x14ac:dyDescent="0.2">
      <c r="D134" s="2" t="s">
        <v>1316</v>
      </c>
      <c r="U134" s="113" t="s">
        <v>457</v>
      </c>
    </row>
    <row r="135" spans="3:34" ht="20.100000000000001" customHeight="1" x14ac:dyDescent="0.2">
      <c r="D135" s="17" t="s">
        <v>1317</v>
      </c>
      <c r="U135" s="114" t="s">
        <v>75</v>
      </c>
      <c r="V135" s="114" t="s">
        <v>326</v>
      </c>
      <c r="W135" s="114" t="s">
        <v>184</v>
      </c>
      <c r="X135" s="114" t="s">
        <v>327</v>
      </c>
      <c r="Y135" s="114" t="s">
        <v>328</v>
      </c>
      <c r="Z135" s="114" t="s">
        <v>329</v>
      </c>
      <c r="AA135" s="114" t="s">
        <v>330</v>
      </c>
      <c r="AB135" s="114" t="s">
        <v>331</v>
      </c>
      <c r="AC135" s="114" t="s">
        <v>332</v>
      </c>
      <c r="AD135" s="114" t="s">
        <v>333</v>
      </c>
      <c r="AE135" s="114" t="s">
        <v>334</v>
      </c>
    </row>
    <row r="136" spans="3:34" ht="20.100000000000001" customHeight="1" x14ac:dyDescent="0.2">
      <c r="D136" s="103"/>
      <c r="E136" s="103"/>
      <c r="U136" s="15" t="str">
        <f>TEXT(X_Cell_Site_StartDate,"mmmm")</f>
        <v>January</v>
      </c>
      <c r="V136" s="15" t="e">
        <f ca="1">(((0.032 * X100) / 6.38) + (((0.212 - 0.008 * (V72 - 2) - ((0.14 - 0.008 * (V72 - 2)) / (1 + EXP(-6 * (V36 - 0.4))))) * (V120 * 0.92)) / 6.25))</f>
        <v>#N/A</v>
      </c>
      <c r="W136" s="15" t="e">
        <f ca="1">(((0.032 * Y100) / 6.38) + (((0.212 - 0.008 * (W72 - 2) - ((0.14 - 0.008 * (W72 - 2)) / (1 + EXP(-6 * (W36 - 0.4))))) * (W120 * 0.92)) / 6.25))</f>
        <v>#N/A</v>
      </c>
      <c r="X136" s="15" t="e">
        <f ca="1">(((0.032 * Z100) / 6.38) + (((0.212 - 0.008 * (X72 - 2) - ((0.14 - 0.008 * (X72 - 2)) / (1 + EXP(-6 * (X36 - 0.4))))) * (X120 * 0.92)) / 6.25))</f>
        <v>#N/A</v>
      </c>
      <c r="Y136" s="15" t="e">
        <f ca="1">(((0.032 * AA100) / 6.38) + (((0.212 - 0.008 * (Y72 - 2) - ((0.14 - 0.008 * (Y72 - 2)) / (1 + EXP(-6 * (Y36 - 0.4))))) * (Y120 * 0.92)) / 6.25))</f>
        <v>#N/A</v>
      </c>
      <c r="Z136" s="15" t="e">
        <f ca="1">(((0.032 * AB100) / 6.38) + (((0.212 - 0.008 * (Z72 - 2) - ((0.14 - 0.008 * (Z72 - 2)) / (1 + EXP(-6 * (Z36 - 0.4))))) * (Z120 * 0.92)) / 6.25))</f>
        <v>#N/A</v>
      </c>
      <c r="AA136" s="15" t="e">
        <f ca="1">(((0.032 * AC100) / 6.38) + (((0.212 - 0.008 * (AA72 - 2) - ((0.14 - 0.008 * (AA72 - 2)) / (1 + EXP(-6 * (AA36 - 0.4))))) * (AA120 * 0.92)) / 6.25))</f>
        <v>#N/A</v>
      </c>
      <c r="AB136" s="15" t="e">
        <f ca="1">(((0.032 * AD100) / 6.38) + (((0.212 - 0.008 * (AB72 - 2) - ((0.14 - 0.008 * (AB72 - 2)) / (1 + EXP(-6 * (AB36 - 0.4))))) * (AB120 * 0.92)) / 6.25))</f>
        <v>#N/A</v>
      </c>
      <c r="AC136" s="15" t="e">
        <f ca="1">(((0.032 * AE100) / 6.38) + (((0.212 - 0.008 * (AC72 - 2) - ((0.14 - 0.008 * (AC72 - 2)) / (1 + EXP(-6 * (AC36 - 0.4))))) * (AC120 * 0.92)) / 6.25))</f>
        <v>#N/A</v>
      </c>
      <c r="AD136" s="15" t="e">
        <f ca="1">(((0.032 * AF100) / 6.38) + (((0.212 - 0.008 * (AD72 - 2) - ((0.14 - 0.008 * (AD72 - 2)) / (1 + EXP(-6 * (AD36 - 0.4))))) * (AD120 * 0.92)) / 6.25))</f>
        <v>#N/A</v>
      </c>
      <c r="AE136" s="15" t="e">
        <f ca="1">(((0.032 * AG100) / 6.38) + (((0.212 - 0.008 * (AE72 - 2) - ((0.14 - 0.008 * (AE72 - 2)) / (1 + EXP(-6 * (AE36 - 0.4))))) * (AE120 * 0.92)) / 6.25))</f>
        <v>#N/A</v>
      </c>
      <c r="AF136" s="16" t="str">
        <f t="shared" ref="AF136:AF147" si="7">$E$109</f>
        <v>kg N/head/day</v>
      </c>
      <c r="AG136" s="16"/>
      <c r="AH136" s="16"/>
    </row>
    <row r="137" spans="3:34" ht="20.100000000000001" customHeight="1" x14ac:dyDescent="0.2">
      <c r="U137" s="15" t="str">
        <f>TEXT(EDATE(X_Cell_Site_StartDate,1), "mmmm")</f>
        <v>January</v>
      </c>
      <c r="V137" s="15" t="e">
        <f ca="1">(((0.032 * X101) / 6.38) + (((0.212 - 0.008 * (V73 - 2) - ((0.14 - 0.008 * (V73 - 2)) / (1 + EXP(-6 * (V37 - 0.4))))) * (V121 * 0.92)) / 6.25))</f>
        <v>#N/A</v>
      </c>
      <c r="W137" s="15" t="e">
        <f ca="1">(((0.032 * Y101) / 6.38) + (((0.212 - 0.008 * (W73 - 2) - ((0.14 - 0.008 * (W73 - 2)) / (1 + EXP(-6 * (W37 - 0.4))))) * (W121 * 0.92)) / 6.25))</f>
        <v>#N/A</v>
      </c>
      <c r="X137" s="15" t="e">
        <f ca="1">(((0.032 * Z101) / 6.38) + (((0.212 - 0.008 * (X73 - 2) - ((0.14 - 0.008 * (X73 - 2)) / (1 + EXP(-6 * (X37 - 0.4))))) * (X121 * 0.92)) / 6.25))</f>
        <v>#N/A</v>
      </c>
      <c r="Y137" s="15" t="e">
        <f ca="1">(((0.032 * AA101) / 6.38) + (((0.212 - 0.008 * (Y73 - 2) - ((0.14 - 0.008 * (Y73 - 2)) / (1 + EXP(-6 * (Y37 - 0.4))))) * (Y121 * 0.92)) / 6.25))</f>
        <v>#N/A</v>
      </c>
      <c r="Z137" s="15" t="e">
        <f ca="1">(((0.032 * AB101) / 6.38) + (((0.212 - 0.008 * (Z73 - 2) - ((0.14 - 0.008 * (Z73 - 2)) / (1 + EXP(-6 * (Z37 - 0.4))))) * (Z121 * 0.92)) / 6.25))</f>
        <v>#N/A</v>
      </c>
      <c r="AA137" s="15" t="e">
        <f ca="1">(((0.032 * AC101) / 6.38) + (((0.212 - 0.008 * (AA73 - 2) - ((0.14 - 0.008 * (AA73 - 2)) / (1 + EXP(-6 * (AA37 - 0.4))))) * (AA121 * 0.92)) / 6.25))</f>
        <v>#N/A</v>
      </c>
      <c r="AB137" s="15" t="e">
        <f ca="1">(((0.032 * AD101) / 6.38) + (((0.212 - 0.008 * (AB73 - 2) - ((0.14 - 0.008 * (AB73 - 2)) / (1 + EXP(-6 * (AB37 - 0.4))))) * (AB121 * 0.92)) / 6.25))</f>
        <v>#N/A</v>
      </c>
      <c r="AC137" s="15" t="e">
        <f ca="1">(((0.032 * AE101) / 6.38) + (((0.212 - 0.008 * (AC73 - 2) - ((0.14 - 0.008 * (AC73 - 2)) / (1 + EXP(-6 * (AC37 - 0.4))))) * (AC121 * 0.92)) / 6.25))</f>
        <v>#N/A</v>
      </c>
      <c r="AD137" s="15" t="e">
        <f ca="1">(((0.032 * AF101) / 6.38) + (((0.212 - 0.008 * (AD73 - 2) - ((0.14 - 0.008 * (AD73 - 2)) / (1 + EXP(-6 * (AD37 - 0.4))))) * (AD121 * 0.92)) / 6.25))</f>
        <v>#N/A</v>
      </c>
      <c r="AE137" s="15" t="e">
        <f ca="1">(((0.032 * AG101) / 6.38) + (((0.212 - 0.008 * (AE73 - 2) - ((0.14 - 0.008 * (AE73 - 2)) / (1 + EXP(-6 * (AE37 - 0.4))))) * (AE121 * 0.92)) / 6.25))</f>
        <v>#N/A</v>
      </c>
      <c r="AF137" s="16" t="str">
        <f t="shared" si="7"/>
        <v>kg N/head/day</v>
      </c>
      <c r="AG137" s="16"/>
      <c r="AH137" s="16"/>
    </row>
    <row r="138" spans="3:34" ht="20.100000000000001" customHeight="1" x14ac:dyDescent="0.2">
      <c r="U138" s="15" t="str">
        <f>TEXT(EDATE(X_Cell_Site_StartDate,2), "mmmm")</f>
        <v>February</v>
      </c>
      <c r="V138" s="15" t="e">
        <f ca="1">(((0.032 * X102) / 6.38) + (((0.212 - 0.008 * (V74 - 2) - ((0.14 - 0.008 * (V74 - 2)) / (1 + EXP(-6 * (V38 - 0.4))))) * (V122 * 0.92)) / 6.25))</f>
        <v>#N/A</v>
      </c>
      <c r="W138" s="15" t="e">
        <f ca="1">(((0.032 * Y102) / 6.38) + (((0.212 - 0.008 * (W74 - 2) - ((0.14 - 0.008 * (W74 - 2)) / (1 + EXP(-6 * (W38 - 0.4))))) * (W122 * 0.92)) / 6.25))</f>
        <v>#N/A</v>
      </c>
      <c r="X138" s="15" t="e">
        <f ca="1">(((0.032 * Z102) / 6.38) + (((0.212 - 0.008 * (X74 - 2) - ((0.14 - 0.008 * (X74 - 2)) / (1 + EXP(-6 * (X38 - 0.4))))) * (X122 * 0.92)) / 6.25))</f>
        <v>#N/A</v>
      </c>
      <c r="Y138" s="15" t="e">
        <f ca="1">(((0.032 * AA102) / 6.38) + (((0.212 - 0.008 * (Y74 - 2) - ((0.14 - 0.008 * (Y74 - 2)) / (1 + EXP(-6 * (Y38 - 0.4))))) * (Y122 * 0.92)) / 6.25))</f>
        <v>#N/A</v>
      </c>
      <c r="Z138" s="15" t="e">
        <f ca="1">(((0.032 * AB102) / 6.38) + (((0.212 - 0.008 * (Z74 - 2) - ((0.14 - 0.008 * (Z74 - 2)) / (1 + EXP(-6 * (Z38 - 0.4))))) * (Z122 * 0.92)) / 6.25))</f>
        <v>#N/A</v>
      </c>
      <c r="AA138" s="15" t="e">
        <f ca="1">(((0.032 * AC102) / 6.38) + (((0.212 - 0.008 * (AA74 - 2) - ((0.14 - 0.008 * (AA74 - 2)) / (1 + EXP(-6 * (AA38 - 0.4))))) * (AA122 * 0.92)) / 6.25))</f>
        <v>#N/A</v>
      </c>
      <c r="AB138" s="15" t="e">
        <f ca="1">(((0.032 * AD102) / 6.38) + (((0.212 - 0.008 * (AB74 - 2) - ((0.14 - 0.008 * (AB74 - 2)) / (1 + EXP(-6 * (AB38 - 0.4))))) * (AB122 * 0.92)) / 6.25))</f>
        <v>#N/A</v>
      </c>
      <c r="AC138" s="15" t="e">
        <f ca="1">(((0.032 * AE102) / 6.38) + (((0.212 - 0.008 * (AC74 - 2) - ((0.14 - 0.008 * (AC74 - 2)) / (1 + EXP(-6 * (AC38 - 0.4))))) * (AC122 * 0.92)) / 6.25))</f>
        <v>#N/A</v>
      </c>
      <c r="AD138" s="15" t="e">
        <f ca="1">(((0.032 * AF102) / 6.38) + (((0.212 - 0.008 * (AD74 - 2) - ((0.14 - 0.008 * (AD74 - 2)) / (1 + EXP(-6 * (AD38 - 0.4))))) * (AD122 * 0.92)) / 6.25))</f>
        <v>#N/A</v>
      </c>
      <c r="AE138" s="15" t="e">
        <f ca="1">(((0.032 * AG102) / 6.38) + (((0.212 - 0.008 * (AE74 - 2) - ((0.14 - 0.008 * (AE74 - 2)) / (1 + EXP(-6 * (AE38 - 0.4))))) * (AE122 * 0.92)) / 6.25))</f>
        <v>#N/A</v>
      </c>
      <c r="AF138" s="16" t="str">
        <f t="shared" si="7"/>
        <v>kg N/head/day</v>
      </c>
      <c r="AG138" s="16"/>
      <c r="AH138" s="16"/>
    </row>
    <row r="139" spans="3:34" ht="20.100000000000001" customHeight="1" x14ac:dyDescent="0.2">
      <c r="D139" s="77" t="s">
        <v>373</v>
      </c>
      <c r="E139" s="1" t="s">
        <v>1318</v>
      </c>
      <c r="U139" s="15" t="str">
        <f>TEXT(EDATE(X_Cell_Site_StartDate,3), "mmmm")</f>
        <v>March</v>
      </c>
      <c r="V139" s="15" t="e">
        <f ca="1">(((0.032 * X103) / 6.38) + (((0.212 - 0.008 * (V75 - 2) - ((0.14 - 0.008 * (V75 - 2)) / (1 + EXP(-6 * (V39 - 0.4))))) * (V123 * 0.92)) / 6.25))</f>
        <v>#N/A</v>
      </c>
      <c r="W139" s="15" t="e">
        <f ca="1">(((0.032 * Y103) / 6.38) + (((0.212 - 0.008 * (W75 - 2) - ((0.14 - 0.008 * (W75 - 2)) / (1 + EXP(-6 * (W39 - 0.4))))) * (W123 * 0.92)) / 6.25))</f>
        <v>#N/A</v>
      </c>
      <c r="X139" s="15" t="e">
        <f ca="1">(((0.032 * Z103) / 6.38) + (((0.212 - 0.008 * (X75 - 2) - ((0.14 - 0.008 * (X75 - 2)) / (1 + EXP(-6 * (X39 - 0.4))))) * (X123 * 0.92)) / 6.25))</f>
        <v>#N/A</v>
      </c>
      <c r="Y139" s="15" t="e">
        <f ca="1">(((0.032 * AA103) / 6.38) + (((0.212 - 0.008 * (Y75 - 2) - ((0.14 - 0.008 * (Y75 - 2)) / (1 + EXP(-6 * (Y39 - 0.4))))) * (Y123 * 0.92)) / 6.25))</f>
        <v>#N/A</v>
      </c>
      <c r="Z139" s="15" t="e">
        <f ca="1">(((0.032 * AB103) / 6.38) + (((0.212 - 0.008 * (Z75 - 2) - ((0.14 - 0.008 * (Z75 - 2)) / (1 + EXP(-6 * (Z39 - 0.4))))) * (Z123 * 0.92)) / 6.25))</f>
        <v>#N/A</v>
      </c>
      <c r="AA139" s="15" t="e">
        <f ca="1">(((0.032 * AC103) / 6.38) + (((0.212 - 0.008 * (AA75 - 2) - ((0.14 - 0.008 * (AA75 - 2)) / (1 + EXP(-6 * (AA39 - 0.4))))) * (AA123 * 0.92)) / 6.25))</f>
        <v>#N/A</v>
      </c>
      <c r="AB139" s="15" t="e">
        <f ca="1">(((0.032 * AD103) / 6.38) + (((0.212 - 0.008 * (AB75 - 2) - ((0.14 - 0.008 * (AB75 - 2)) / (1 + EXP(-6 * (AB39 - 0.4))))) * (AB123 * 0.92)) / 6.25))</f>
        <v>#N/A</v>
      </c>
      <c r="AC139" s="15" t="e">
        <f ca="1">(((0.032 * AE103) / 6.38) + (((0.212 - 0.008 * (AC75 - 2) - ((0.14 - 0.008 * (AC75 - 2)) / (1 + EXP(-6 * (AC39 - 0.4))))) * (AC123 * 0.92)) / 6.25))</f>
        <v>#N/A</v>
      </c>
      <c r="AD139" s="15" t="e">
        <f ca="1">(((0.032 * AF103) / 6.38) + (((0.212 - 0.008 * (AD75 - 2) - ((0.14 - 0.008 * (AD75 - 2)) / (1 + EXP(-6 * (AD39 - 0.4))))) * (AD123 * 0.92)) / 6.25))</f>
        <v>#N/A</v>
      </c>
      <c r="AE139" s="15" t="e">
        <f ca="1">(((0.032 * AG103) / 6.38) + (((0.212 - 0.008 * (AE75 - 2) - ((0.14 - 0.008 * (AE75 - 2)) / (1 + EXP(-6 * (AE39 - 0.4))))) * (AE123 * 0.92)) / 6.25))</f>
        <v>#N/A</v>
      </c>
      <c r="AF139" s="16" t="str">
        <f t="shared" si="7"/>
        <v>kg N/head/day</v>
      </c>
      <c r="AG139" s="16"/>
      <c r="AH139" s="16"/>
    </row>
    <row r="140" spans="3:34" ht="20.100000000000001" customHeight="1" x14ac:dyDescent="0.2">
      <c r="D140" s="77" t="s">
        <v>121</v>
      </c>
      <c r="E140" s="9" t="s">
        <v>1308</v>
      </c>
      <c r="U140" s="15" t="str">
        <f>TEXT(EDATE(X_Cell_Site_StartDate,4), "mmmm")</f>
        <v>April</v>
      </c>
      <c r="V140" s="15" t="e">
        <f ca="1">(((0.032 * X104) / 6.38) + (((0.212 - 0.008 * (V76 - 2) - ((0.14 - 0.008 * (V76 - 2)) / (1 + EXP(-6 * (V40 - 0.4))))) * (V124 * 0.92)) / 6.25))</f>
        <v>#N/A</v>
      </c>
      <c r="W140" s="15" t="e">
        <f ca="1">(((0.032 * Y104) / 6.38) + (((0.212 - 0.008 * (W76 - 2) - ((0.14 - 0.008 * (W76 - 2)) / (1 + EXP(-6 * (W40 - 0.4))))) * (W124 * 0.92)) / 6.25))</f>
        <v>#N/A</v>
      </c>
      <c r="X140" s="15" t="e">
        <f ca="1">(((0.032 * Z104) / 6.38) + (((0.212 - 0.008 * (X76 - 2) - ((0.14 - 0.008 * (X76 - 2)) / (1 + EXP(-6 * (X40 - 0.4))))) * (X124 * 0.92)) / 6.25))</f>
        <v>#N/A</v>
      </c>
      <c r="Y140" s="15" t="e">
        <f ca="1">(((0.032 * AA104) / 6.38) + (((0.212 - 0.008 * (Y76 - 2) - ((0.14 - 0.008 * (Y76 - 2)) / (1 + EXP(-6 * (Y40 - 0.4))))) * (Y124 * 0.92)) / 6.25))</f>
        <v>#N/A</v>
      </c>
      <c r="Z140" s="15" t="e">
        <f ca="1">(((0.032 * AB104) / 6.38) + (((0.212 - 0.008 * (Z76 - 2) - ((0.14 - 0.008 * (Z76 - 2)) / (1 + EXP(-6 * (Z40 - 0.4))))) * (Z124 * 0.92)) / 6.25))</f>
        <v>#N/A</v>
      </c>
      <c r="AA140" s="15" t="e">
        <f ca="1">(((0.032 * AC104) / 6.38) + (((0.212 - 0.008 * (AA76 - 2) - ((0.14 - 0.008 * (AA76 - 2)) / (1 + EXP(-6 * (AA40 - 0.4))))) * (AA124 * 0.92)) / 6.25))</f>
        <v>#N/A</v>
      </c>
      <c r="AB140" s="15" t="e">
        <f ca="1">(((0.032 * AD104) / 6.38) + (((0.212 - 0.008 * (AB76 - 2) - ((0.14 - 0.008 * (AB76 - 2)) / (1 + EXP(-6 * (AB40 - 0.4))))) * (AB124 * 0.92)) / 6.25))</f>
        <v>#N/A</v>
      </c>
      <c r="AC140" s="15" t="e">
        <f ca="1">(((0.032 * AE104) / 6.38) + (((0.212 - 0.008 * (AC76 - 2) - ((0.14 - 0.008 * (AC76 - 2)) / (1 + EXP(-6 * (AC40 - 0.4))))) * (AC124 * 0.92)) / 6.25))</f>
        <v>#N/A</v>
      </c>
      <c r="AD140" s="15" t="e">
        <f ca="1">(((0.032 * AF104) / 6.38) + (((0.212 - 0.008 * (AD76 - 2) - ((0.14 - 0.008 * (AD76 - 2)) / (1 + EXP(-6 * (AD40 - 0.4))))) * (AD124 * 0.92)) / 6.25))</f>
        <v>#N/A</v>
      </c>
      <c r="AE140" s="15" t="e">
        <f ca="1">(((0.032 * AG104) / 6.38) + (((0.212 - 0.008 * (AE76 - 2) - ((0.14 - 0.008 * (AE76 - 2)) / (1 + EXP(-6 * (AE40 - 0.4))))) * (AE124 * 0.92)) / 6.25))</f>
        <v>#N/A</v>
      </c>
      <c r="AF140" s="16" t="str">
        <f t="shared" si="7"/>
        <v>kg N/head/day</v>
      </c>
      <c r="AG140" s="16"/>
      <c r="AH140" s="16"/>
    </row>
    <row r="141" spans="3:34" ht="20.100000000000001" customHeight="1" x14ac:dyDescent="0.2">
      <c r="U141" s="15" t="str">
        <f>TEXT(EDATE(X_Cell_Site_StartDate,5), "mmmm")</f>
        <v>May</v>
      </c>
      <c r="V141" s="15" t="e">
        <f ca="1">(((0.032 * X105) / 6.38) + (((0.212 - 0.008 * (V77 - 2) - ((0.14 - 0.008 * (V77 - 2)) / (1 + EXP(-6 * (V41 - 0.4))))) * (V125 * 0.92)) / 6.25))</f>
        <v>#N/A</v>
      </c>
      <c r="W141" s="15" t="e">
        <f ca="1">(((0.032 * Y105) / 6.38) + (((0.212 - 0.008 * (W77 - 2) - ((0.14 - 0.008 * (W77 - 2)) / (1 + EXP(-6 * (W41 - 0.4))))) * (W125 * 0.92)) / 6.25))</f>
        <v>#N/A</v>
      </c>
      <c r="X141" s="15" t="e">
        <f ca="1">(((0.032 * Z105) / 6.38) + (((0.212 - 0.008 * (X77 - 2) - ((0.14 - 0.008 * (X77 - 2)) / (1 + EXP(-6 * (X41 - 0.4))))) * (X125 * 0.92)) / 6.25))</f>
        <v>#N/A</v>
      </c>
      <c r="Y141" s="15" t="e">
        <f ca="1">(((0.032 * AA105) / 6.38) + (((0.212 - 0.008 * (Y77 - 2) - ((0.14 - 0.008 * (Y77 - 2)) / (1 + EXP(-6 * (Y41 - 0.4))))) * (Y125 * 0.92)) / 6.25))</f>
        <v>#N/A</v>
      </c>
      <c r="Z141" s="15" t="e">
        <f ca="1">(((0.032 * AB105) / 6.38) + (((0.212 - 0.008 * (Z77 - 2) - ((0.14 - 0.008 * (Z77 - 2)) / (1 + EXP(-6 * (Z41 - 0.4))))) * (Z125 * 0.92)) / 6.25))</f>
        <v>#N/A</v>
      </c>
      <c r="AA141" s="15" t="e">
        <f ca="1">(((0.032 * AC105) / 6.38) + (((0.212 - 0.008 * (AA77 - 2) - ((0.14 - 0.008 * (AA77 - 2)) / (1 + EXP(-6 * (AA41 - 0.4))))) * (AA125 * 0.92)) / 6.25))</f>
        <v>#N/A</v>
      </c>
      <c r="AB141" s="15" t="e">
        <f ca="1">(((0.032 * AD105) / 6.38) + (((0.212 - 0.008 * (AB77 - 2) - ((0.14 - 0.008 * (AB77 - 2)) / (1 + EXP(-6 * (AB41 - 0.4))))) * (AB125 * 0.92)) / 6.25))</f>
        <v>#N/A</v>
      </c>
      <c r="AC141" s="15" t="e">
        <f ca="1">(((0.032 * AE105) / 6.38) + (((0.212 - 0.008 * (AC77 - 2) - ((0.14 - 0.008 * (AC77 - 2)) / (1 + EXP(-6 * (AC41 - 0.4))))) * (AC125 * 0.92)) / 6.25))</f>
        <v>#N/A</v>
      </c>
      <c r="AD141" s="15" t="e">
        <f ca="1">(((0.032 * AF105) / 6.38) + (((0.212 - 0.008 * (AD77 - 2) - ((0.14 - 0.008 * (AD77 - 2)) / (1 + EXP(-6 * (AD41 - 0.4))))) * (AD125 * 0.92)) / 6.25))</f>
        <v>#N/A</v>
      </c>
      <c r="AE141" s="15" t="e">
        <f ca="1">(((0.032 * AG105) / 6.38) + (((0.212 - 0.008 * (AE77 - 2) - ((0.14 - 0.008 * (AE77 - 2)) / (1 + EXP(-6 * (AE41 - 0.4))))) * (AE125 * 0.92)) / 6.25))</f>
        <v>#N/A</v>
      </c>
      <c r="AF141" s="16" t="str">
        <f t="shared" si="7"/>
        <v>kg N/head/day</v>
      </c>
      <c r="AG141" s="16"/>
      <c r="AH141" s="16"/>
    </row>
    <row r="142" spans="3:34" ht="20.100000000000001" customHeight="1" x14ac:dyDescent="0.2">
      <c r="D142" s="105" t="s">
        <v>1224</v>
      </c>
      <c r="E142" s="106" t="s">
        <v>1291</v>
      </c>
      <c r="F142" s="108"/>
      <c r="G142" s="105" t="s">
        <v>1225</v>
      </c>
      <c r="H142" s="110" t="s">
        <v>1293</v>
      </c>
      <c r="I142" s="111" t="str" cm="1">
        <f t="array" aca="1" ref="I142" ca="1">HYPERLINK(Common_InputFunctions.Utility_SourceHyperlink($D$51),$D$51)</f>
        <v>M1_Table_I_j_k_l</v>
      </c>
      <c r="U142" s="15" t="str">
        <f>TEXT(EDATE(X_Cell_Site_StartDate,6), "mmmm")</f>
        <v>June</v>
      </c>
      <c r="V142" s="15" t="e">
        <f ca="1">(((0.032 * X106) / 6.38) + (((0.212 - 0.008 * (V78 - 2) - ((0.14 - 0.008 * (V78 - 2)) / (1 + EXP(-6 * (V42 - 0.4))))) * (V126 * 0.92)) / 6.25))</f>
        <v>#N/A</v>
      </c>
      <c r="W142" s="15" t="e">
        <f ca="1">(((0.032 * Y106) / 6.38) + (((0.212 - 0.008 * (W78 - 2) - ((0.14 - 0.008 * (W78 - 2)) / (1 + EXP(-6 * (W42 - 0.4))))) * (W126 * 0.92)) / 6.25))</f>
        <v>#N/A</v>
      </c>
      <c r="X142" s="15" t="e">
        <f ca="1">(((0.032 * Z106) / 6.38) + (((0.212 - 0.008 * (X78 - 2) - ((0.14 - 0.008 * (X78 - 2)) / (1 + EXP(-6 * (X42 - 0.4))))) * (X126 * 0.92)) / 6.25))</f>
        <v>#N/A</v>
      </c>
      <c r="Y142" s="15" t="e">
        <f ca="1">(((0.032 * AA106) / 6.38) + (((0.212 - 0.008 * (Y78 - 2) - ((0.14 - 0.008 * (Y78 - 2)) / (1 + EXP(-6 * (Y42 - 0.4))))) * (Y126 * 0.92)) / 6.25))</f>
        <v>#N/A</v>
      </c>
      <c r="Z142" s="15" t="e">
        <f ca="1">(((0.032 * AB106) / 6.38) + (((0.212 - 0.008 * (Z78 - 2) - ((0.14 - 0.008 * (Z78 - 2)) / (1 + EXP(-6 * (Z42 - 0.4))))) * (Z126 * 0.92)) / 6.25))</f>
        <v>#N/A</v>
      </c>
      <c r="AA142" s="15" t="e">
        <f ca="1">(((0.032 * AC106) / 6.38) + (((0.212 - 0.008 * (AA78 - 2) - ((0.14 - 0.008 * (AA78 - 2)) / (1 + EXP(-6 * (AA42 - 0.4))))) * (AA126 * 0.92)) / 6.25))</f>
        <v>#N/A</v>
      </c>
      <c r="AB142" s="15" t="e">
        <f ca="1">(((0.032 * AD106) / 6.38) + (((0.212 - 0.008 * (AB78 - 2) - ((0.14 - 0.008 * (AB78 - 2)) / (1 + EXP(-6 * (AB42 - 0.4))))) * (AB126 * 0.92)) / 6.25))</f>
        <v>#N/A</v>
      </c>
      <c r="AC142" s="15" t="e">
        <f ca="1">(((0.032 * AE106) / 6.38) + (((0.212 - 0.008 * (AC78 - 2) - ((0.14 - 0.008 * (AC78 - 2)) / (1 + EXP(-6 * (AC42 - 0.4))))) * (AC126 * 0.92)) / 6.25))</f>
        <v>#N/A</v>
      </c>
      <c r="AD142" s="15" t="e">
        <f ca="1">(((0.032 * AF106) / 6.38) + (((0.212 - 0.008 * (AD78 - 2) - ((0.14 - 0.008 * (AD78 - 2)) / (1 + EXP(-6 * (AD42 - 0.4))))) * (AD126 * 0.92)) / 6.25))</f>
        <v>#N/A</v>
      </c>
      <c r="AE142" s="15" t="e">
        <f ca="1">(((0.032 * AG106) / 6.38) + (((0.212 - 0.008 * (AE78 - 2) - ((0.14 - 0.008 * (AE78 - 2)) / (1 + EXP(-6 * (AE42 - 0.4))))) * (AE126 * 0.92)) / 6.25))</f>
        <v>#N/A</v>
      </c>
      <c r="AF142" s="16" t="str">
        <f t="shared" si="7"/>
        <v>kg N/head/day</v>
      </c>
      <c r="AG142" s="16"/>
      <c r="AH142" s="16"/>
    </row>
    <row r="143" spans="3:34" ht="20.100000000000001" customHeight="1" x14ac:dyDescent="0.2">
      <c r="D143" s="105" t="s">
        <v>1319</v>
      </c>
      <c r="E143" s="106" t="s">
        <v>1320</v>
      </c>
      <c r="F143" s="108"/>
      <c r="G143" s="105" t="s">
        <v>346</v>
      </c>
      <c r="H143" s="109" t="s">
        <v>1219</v>
      </c>
      <c r="I143" s="111" t="str" cm="1">
        <f t="array" aca="1" ref="I143" ca="1">HYPERLINK(Common_InputFunctions.Utility_SourceHyperlink($D$150), $D$150)</f>
        <v>M1_Table_CP_j</v>
      </c>
      <c r="U143" s="15" t="str">
        <f>TEXT(EDATE(X_Cell_Site_StartDate,7), "mmmm")</f>
        <v>July</v>
      </c>
      <c r="V143" s="15" t="e">
        <f ca="1">(((0.032 * X107) / 6.38) + (((0.212 - 0.008 * (V79 - 2) - ((0.14 - 0.008 * (V79 - 2)) / (1 + EXP(-6 * (V43 - 0.4))))) * (V127 * 0.92)) / 6.25))</f>
        <v>#N/A</v>
      </c>
      <c r="W143" s="15" t="e">
        <f ca="1">(((0.032 * Y107) / 6.38) + (((0.212 - 0.008 * (W79 - 2) - ((0.14 - 0.008 * (W79 - 2)) / (1 + EXP(-6 * (W43 - 0.4))))) * (W127 * 0.92)) / 6.25))</f>
        <v>#N/A</v>
      </c>
      <c r="X143" s="15" t="e">
        <f ca="1">(((0.032 * Z107) / 6.38) + (((0.212 - 0.008 * (X79 - 2) - ((0.14 - 0.008 * (X79 - 2)) / (1 + EXP(-6 * (X43 - 0.4))))) * (X127 * 0.92)) / 6.25))</f>
        <v>#N/A</v>
      </c>
      <c r="Y143" s="15" t="e">
        <f ca="1">(((0.032 * AA107) / 6.38) + (((0.212 - 0.008 * (Y79 - 2) - ((0.14 - 0.008 * (Y79 - 2)) / (1 + EXP(-6 * (Y43 - 0.4))))) * (Y127 * 0.92)) / 6.25))</f>
        <v>#N/A</v>
      </c>
      <c r="Z143" s="15" t="e">
        <f ca="1">(((0.032 * AB107) / 6.38) + (((0.212 - 0.008 * (Z79 - 2) - ((0.14 - 0.008 * (Z79 - 2)) / (1 + EXP(-6 * (Z43 - 0.4))))) * (Z127 * 0.92)) / 6.25))</f>
        <v>#N/A</v>
      </c>
      <c r="AA143" s="15" t="e">
        <f ca="1">(((0.032 * AC107) / 6.38) + (((0.212 - 0.008 * (AA79 - 2) - ((0.14 - 0.008 * (AA79 - 2)) / (1 + EXP(-6 * (AA43 - 0.4))))) * (AA127 * 0.92)) / 6.25))</f>
        <v>#N/A</v>
      </c>
      <c r="AB143" s="15" t="e">
        <f ca="1">(((0.032 * AD107) / 6.38) + (((0.212 - 0.008 * (AB79 - 2) - ((0.14 - 0.008 * (AB79 - 2)) / (1 + EXP(-6 * (AB43 - 0.4))))) * (AB127 * 0.92)) / 6.25))</f>
        <v>#N/A</v>
      </c>
      <c r="AC143" s="15" t="e">
        <f ca="1">(((0.032 * AE107) / 6.38) + (((0.212 - 0.008 * (AC79 - 2) - ((0.14 - 0.008 * (AC79 - 2)) / (1 + EXP(-6 * (AC43 - 0.4))))) * (AC127 * 0.92)) / 6.25))</f>
        <v>#N/A</v>
      </c>
      <c r="AD143" s="15" t="e">
        <f ca="1">(((0.032 * AF107) / 6.38) + (((0.212 - 0.008 * (AD79 - 2) - ((0.14 - 0.008 * (AD79 - 2)) / (1 + EXP(-6 * (AD43 - 0.4))))) * (AD127 * 0.92)) / 6.25))</f>
        <v>#N/A</v>
      </c>
      <c r="AE143" s="15" t="e">
        <f ca="1">(((0.032 * AG107) / 6.38) + (((0.212 - 0.008 * (AE79 - 2) - ((0.14 - 0.008 * (AE79 - 2)) / (1 + EXP(-6 * (AE43 - 0.4))))) * (AE127 * 0.92)) / 6.25))</f>
        <v>#N/A</v>
      </c>
      <c r="AF143" s="16" t="str">
        <f t="shared" si="7"/>
        <v>kg N/head/day</v>
      </c>
      <c r="AG143" s="16"/>
      <c r="AH143" s="16"/>
    </row>
    <row r="144" spans="3:34" ht="20.100000000000001" customHeight="1" x14ac:dyDescent="0.2">
      <c r="D144" s="105" t="s">
        <v>1321</v>
      </c>
      <c r="E144" s="106" t="s">
        <v>1322</v>
      </c>
      <c r="F144" s="108"/>
      <c r="G144" s="105" t="s">
        <v>344</v>
      </c>
      <c r="H144" s="110" t="s">
        <v>1220</v>
      </c>
      <c r="I144" s="111" t="str" cm="1">
        <f t="array" aca="1" ref="I144" ca="1">HYPERLINK(Common_InputFunctions.Utility_SourceHyperlink($D$158), $D$158)</f>
        <v>M1_Table_MC_j_k_1-3-6</v>
      </c>
      <c r="U144" s="15" t="str">
        <f>TEXT(EDATE(X_Cell_Site_StartDate,8), "mmmm")</f>
        <v>August</v>
      </c>
      <c r="V144" s="15" t="e">
        <f ca="1">(((0.032 * X108) / 6.38) + (((0.212 - 0.008 * (V80 - 2) - ((0.14 - 0.008 * (V80 - 2)) / (1 + EXP(-6 * (V44 - 0.4))))) * (V128 * 0.92)) / 6.25))</f>
        <v>#N/A</v>
      </c>
      <c r="W144" s="15" t="e">
        <f ca="1">(((0.032 * Y108) / 6.38) + (((0.212 - 0.008 * (W80 - 2) - ((0.14 - 0.008 * (W80 - 2)) / (1 + EXP(-6 * (W44 - 0.4))))) * (W128 * 0.92)) / 6.25))</f>
        <v>#N/A</v>
      </c>
      <c r="X144" s="15" t="e">
        <f ca="1">(((0.032 * Z108) / 6.38) + (((0.212 - 0.008 * (X80 - 2) - ((0.14 - 0.008 * (X80 - 2)) / (1 + EXP(-6 * (X44 - 0.4))))) * (X128 * 0.92)) / 6.25))</f>
        <v>#N/A</v>
      </c>
      <c r="Y144" s="15" t="e">
        <f ca="1">(((0.032 * AA108) / 6.38) + (((0.212 - 0.008 * (Y80 - 2) - ((0.14 - 0.008 * (Y80 - 2)) / (1 + EXP(-6 * (Y44 - 0.4))))) * (Y128 * 0.92)) / 6.25))</f>
        <v>#N/A</v>
      </c>
      <c r="Z144" s="15" t="e">
        <f ca="1">(((0.032 * AB108) / 6.38) + (((0.212 - 0.008 * (Z80 - 2) - ((0.14 - 0.008 * (Z80 - 2)) / (1 + EXP(-6 * (Z44 - 0.4))))) * (Z128 * 0.92)) / 6.25))</f>
        <v>#N/A</v>
      </c>
      <c r="AA144" s="15" t="e">
        <f ca="1">(((0.032 * AC108) / 6.38) + (((0.212 - 0.008 * (AA80 - 2) - ((0.14 - 0.008 * (AA80 - 2)) / (1 + EXP(-6 * (AA44 - 0.4))))) * (AA128 * 0.92)) / 6.25))</f>
        <v>#N/A</v>
      </c>
      <c r="AB144" s="15" t="e">
        <f ca="1">(((0.032 * AD108) / 6.38) + (((0.212 - 0.008 * (AB80 - 2) - ((0.14 - 0.008 * (AB80 - 2)) / (1 + EXP(-6 * (AB44 - 0.4))))) * (AB128 * 0.92)) / 6.25))</f>
        <v>#N/A</v>
      </c>
      <c r="AC144" s="15" t="e">
        <f ca="1">(((0.032 * AE108) / 6.38) + (((0.212 - 0.008 * (AC80 - 2) - ((0.14 - 0.008 * (AC80 - 2)) / (1 + EXP(-6 * (AC44 - 0.4))))) * (AC128 * 0.92)) / 6.25))</f>
        <v>#N/A</v>
      </c>
      <c r="AD144" s="15" t="e">
        <f ca="1">(((0.032 * AF108) / 6.38) + (((0.212 - 0.008 * (AD80 - 2) - ((0.14 - 0.008 * (AD80 - 2)) / (1 + EXP(-6 * (AD44 - 0.4))))) * (AD128 * 0.92)) / 6.25))</f>
        <v>#N/A</v>
      </c>
      <c r="AE144" s="15" t="e">
        <f ca="1">(((0.032 * AG108) / 6.38) + (((0.212 - 0.008 * (AE80 - 2) - ((0.14 - 0.008 * (AE80 - 2)) / (1 + EXP(-6 * (AE44 - 0.4))))) * (AE128 * 0.92)) / 6.25))</f>
        <v>#N/A</v>
      </c>
      <c r="AF144" s="16" t="str">
        <f t="shared" si="7"/>
        <v>kg N/head/day</v>
      </c>
      <c r="AG144" s="16"/>
      <c r="AH144" s="16"/>
    </row>
    <row r="145" spans="4:35" ht="20.100000000000001" customHeight="1" x14ac:dyDescent="0.2">
      <c r="D145" s="105" t="s">
        <v>1307</v>
      </c>
      <c r="E145" s="106" t="s">
        <v>1323</v>
      </c>
      <c r="F145" s="108"/>
      <c r="G145" s="105" t="s">
        <v>1308</v>
      </c>
      <c r="H145" s="110" t="s">
        <v>1325</v>
      </c>
      <c r="I145" s="111" t="str" cm="1">
        <f t="array" aca="1" ref="I145" ca="1">HYPERLINK(Common_InputFunctions.Utility_SourceHyperlink($D$124), $D$124)</f>
        <v>M1_Table_NR_j_k_l</v>
      </c>
      <c r="U145" s="15" t="str">
        <f>TEXT(EDATE(X_Cell_Site_StartDate,9), "mmmm")</f>
        <v>September</v>
      </c>
      <c r="V145" s="15" t="e">
        <f ca="1">(((0.032 * X109) / 6.38) + (((0.212 - 0.008 * (V81 - 2) - ((0.14 - 0.008 * (V81 - 2)) / (1 + EXP(-6 * (V45 - 0.4))))) * (V129 * 0.92)) / 6.25))</f>
        <v>#N/A</v>
      </c>
      <c r="W145" s="15" t="e">
        <f ca="1">(((0.032 * Y109) / 6.38) + (((0.212 - 0.008 * (W81 - 2) - ((0.14 - 0.008 * (W81 - 2)) / (1 + EXP(-6 * (W45 - 0.4))))) * (W129 * 0.92)) / 6.25))</f>
        <v>#N/A</v>
      </c>
      <c r="X145" s="15" t="e">
        <f ca="1">(((0.032 * Z109) / 6.38) + (((0.212 - 0.008 * (X81 - 2) - ((0.14 - 0.008 * (X81 - 2)) / (1 + EXP(-6 * (X45 - 0.4))))) * (X129 * 0.92)) / 6.25))</f>
        <v>#N/A</v>
      </c>
      <c r="Y145" s="15" t="e">
        <f ca="1">(((0.032 * AA109) / 6.38) + (((0.212 - 0.008 * (Y81 - 2) - ((0.14 - 0.008 * (Y81 - 2)) / (1 + EXP(-6 * (Y45 - 0.4))))) * (Y129 * 0.92)) / 6.25))</f>
        <v>#N/A</v>
      </c>
      <c r="Z145" s="15" t="e">
        <f ca="1">(((0.032 * AB109) / 6.38) + (((0.212 - 0.008 * (Z81 - 2) - ((0.14 - 0.008 * (Z81 - 2)) / (1 + EXP(-6 * (Z45 - 0.4))))) * (Z129 * 0.92)) / 6.25))</f>
        <v>#N/A</v>
      </c>
      <c r="AA145" s="15" t="e">
        <f ca="1">(((0.032 * AC109) / 6.38) + (((0.212 - 0.008 * (AA81 - 2) - ((0.14 - 0.008 * (AA81 - 2)) / (1 + EXP(-6 * (AA45 - 0.4))))) * (AA129 * 0.92)) / 6.25))</f>
        <v>#N/A</v>
      </c>
      <c r="AB145" s="15" t="e">
        <f ca="1">(((0.032 * AD109) / 6.38) + (((0.212 - 0.008 * (AB81 - 2) - ((0.14 - 0.008 * (AB81 - 2)) / (1 + EXP(-6 * (AB45 - 0.4))))) * (AB129 * 0.92)) / 6.25))</f>
        <v>#N/A</v>
      </c>
      <c r="AC145" s="15" t="e">
        <f ca="1">(((0.032 * AE109) / 6.38) + (((0.212 - 0.008 * (AC81 - 2) - ((0.14 - 0.008 * (AC81 - 2)) / (1 + EXP(-6 * (AC45 - 0.4))))) * (AC129 * 0.92)) / 6.25))</f>
        <v>#N/A</v>
      </c>
      <c r="AD145" s="15" t="e">
        <f ca="1">(((0.032 * AF109) / 6.38) + (((0.212 - 0.008 * (AD81 - 2) - ((0.14 - 0.008 * (AD81 - 2)) / (1 + EXP(-6 * (AD45 - 0.4))))) * (AD129 * 0.92)) / 6.25))</f>
        <v>#N/A</v>
      </c>
      <c r="AE145" s="15" t="e">
        <f ca="1">(((0.032 * AG109) / 6.38) + (((0.212 - 0.008 * (AE81 - 2) - ((0.14 - 0.008 * (AE81 - 2)) / (1 + EXP(-6 * (AE45 - 0.4))))) * (AE129 * 0.92)) / 6.25))</f>
        <v>#N/A</v>
      </c>
      <c r="AF145" s="16" t="str">
        <f t="shared" si="7"/>
        <v>kg N/head/day</v>
      </c>
      <c r="AG145" s="16"/>
      <c r="AH145" s="16"/>
    </row>
    <row r="146" spans="4:35" ht="20.100000000000001" customHeight="1" x14ac:dyDescent="0.2">
      <c r="D146" s="105" t="s">
        <v>1226</v>
      </c>
      <c r="E146" s="106" t="s">
        <v>1292</v>
      </c>
      <c r="F146" s="108"/>
      <c r="G146" s="105" t="s">
        <v>343</v>
      </c>
      <c r="H146" s="109" t="s">
        <v>1219</v>
      </c>
      <c r="I146" s="111" t="str" cm="1">
        <f t="array" aca="1" ref="I146" ca="1">HYPERLINK(Common_InputFunctions.Utility_SourceHyperlink($D$17), $D$17)</f>
        <v>M1_Table_W_j_k_l</v>
      </c>
      <c r="U146" s="15" t="str">
        <f>TEXT(EDATE(X_Cell_Site_StartDate,10), "mmmm")</f>
        <v>October</v>
      </c>
      <c r="V146" s="15" t="e">
        <f ca="1">(((0.032 * X110) / 6.38) + (((0.212 - 0.008 * (V82 - 2) - ((0.14 - 0.008 * (V82 - 2)) / (1 + EXP(-6 * (V46 - 0.4))))) * (V130 * 0.92)) / 6.25))</f>
        <v>#N/A</v>
      </c>
      <c r="W146" s="15" t="e">
        <f ca="1">(((0.032 * Y110) / 6.38) + (((0.212 - 0.008 * (W82 - 2) - ((0.14 - 0.008 * (W82 - 2)) / (1 + EXP(-6 * (W46 - 0.4))))) * (W130 * 0.92)) / 6.25))</f>
        <v>#N/A</v>
      </c>
      <c r="X146" s="15" t="e">
        <f ca="1">(((0.032 * Z110) / 6.38) + (((0.212 - 0.008 * (X82 - 2) - ((0.14 - 0.008 * (X82 - 2)) / (1 + EXP(-6 * (X46 - 0.4))))) * (X130 * 0.92)) / 6.25))</f>
        <v>#N/A</v>
      </c>
      <c r="Y146" s="15" t="e">
        <f ca="1">(((0.032 * AA110) / 6.38) + (((0.212 - 0.008 * (Y82 - 2) - ((0.14 - 0.008 * (Y82 - 2)) / (1 + EXP(-6 * (Y46 - 0.4))))) * (Y130 * 0.92)) / 6.25))</f>
        <v>#N/A</v>
      </c>
      <c r="Z146" s="15" t="e">
        <f ca="1">(((0.032 * AB110) / 6.38) + (((0.212 - 0.008 * (Z82 - 2) - ((0.14 - 0.008 * (Z82 - 2)) / (1 + EXP(-6 * (Z46 - 0.4))))) * (Z130 * 0.92)) / 6.25))</f>
        <v>#N/A</v>
      </c>
      <c r="AA146" s="15" t="e">
        <f ca="1">(((0.032 * AC110) / 6.38) + (((0.212 - 0.008 * (AA82 - 2) - ((0.14 - 0.008 * (AA82 - 2)) / (1 + EXP(-6 * (AA46 - 0.4))))) * (AA130 * 0.92)) / 6.25))</f>
        <v>#N/A</v>
      </c>
      <c r="AB146" s="15" t="e">
        <f ca="1">(((0.032 * AD110) / 6.38) + (((0.212 - 0.008 * (AB82 - 2) - ((0.14 - 0.008 * (AB82 - 2)) / (1 + EXP(-6 * (AB46 - 0.4))))) * (AB130 * 0.92)) / 6.25))</f>
        <v>#N/A</v>
      </c>
      <c r="AC146" s="15" t="e">
        <f ca="1">(((0.032 * AE110) / 6.38) + (((0.212 - 0.008 * (AC82 - 2) - ((0.14 - 0.008 * (AC82 - 2)) / (1 + EXP(-6 * (AC46 - 0.4))))) * (AC130 * 0.92)) / 6.25))</f>
        <v>#N/A</v>
      </c>
      <c r="AD146" s="15" t="e">
        <f ca="1">(((0.032 * AF110) / 6.38) + (((0.212 - 0.008 * (AD82 - 2) - ((0.14 - 0.008 * (AD82 - 2)) / (1 + EXP(-6 * (AD46 - 0.4))))) * (AD130 * 0.92)) / 6.25))</f>
        <v>#N/A</v>
      </c>
      <c r="AE146" s="15" t="e">
        <f ca="1">(((0.032 * AG110) / 6.38) + (((0.212 - 0.008 * (AE82 - 2) - ((0.14 - 0.008 * (AE82 - 2)) / (1 + EXP(-6 * (AE46 - 0.4))))) * (AE130 * 0.92)) / 6.25))</f>
        <v>#N/A</v>
      </c>
      <c r="AF146" s="16" t="str">
        <f t="shared" si="7"/>
        <v>kg N/head/day</v>
      </c>
      <c r="AG146" s="16"/>
      <c r="AH146" s="16"/>
    </row>
    <row r="147" spans="4:35" ht="20.100000000000001" customHeight="1" x14ac:dyDescent="0.2">
      <c r="D147" s="105" t="s">
        <v>1217</v>
      </c>
      <c r="E147" s="106" t="s">
        <v>1218</v>
      </c>
      <c r="F147" s="108"/>
      <c r="G147" s="105"/>
      <c r="H147" s="109" t="s">
        <v>1219</v>
      </c>
      <c r="I147" s="116">
        <f>X_Cell_PastureBeef_Breed</f>
        <v>0</v>
      </c>
      <c r="U147" s="15" t="str">
        <f>TEXT(EDATE(X_Cell_Site_StartDate,11), "mmmm")</f>
        <v>November</v>
      </c>
      <c r="V147" s="15" t="e">
        <f ca="1">(((0.032 * X111) / 6.38) + (((0.212 - 0.008 * (V83 - 2) - ((0.14 - 0.008 * (V83 - 2)) / (1 + EXP(-6 * (V47 - 0.4))))) * (V131 * 0.92)) / 6.25))</f>
        <v>#N/A</v>
      </c>
      <c r="W147" s="15" t="e">
        <f ca="1">(((0.032 * Y111) / 6.38) + (((0.212 - 0.008 * (W83 - 2) - ((0.14 - 0.008 * (W83 - 2)) / (1 + EXP(-6 * (W47 - 0.4))))) * (W131 * 0.92)) / 6.25))</f>
        <v>#N/A</v>
      </c>
      <c r="X147" s="15" t="e">
        <f ca="1">(((0.032 * Z111) / 6.38) + (((0.212 - 0.008 * (X83 - 2) - ((0.14 - 0.008 * (X83 - 2)) / (1 + EXP(-6 * (X47 - 0.4))))) * (X131 * 0.92)) / 6.25))</f>
        <v>#N/A</v>
      </c>
      <c r="Y147" s="15" t="e">
        <f ca="1">(((0.032 * AA111) / 6.38) + (((0.212 - 0.008 * (Y83 - 2) - ((0.14 - 0.008 * (Y83 - 2)) / (1 + EXP(-6 * (Y47 - 0.4))))) * (Y131 * 0.92)) / 6.25))</f>
        <v>#N/A</v>
      </c>
      <c r="Z147" s="15" t="e">
        <f ca="1">(((0.032 * AB111) / 6.38) + (((0.212 - 0.008 * (Z83 - 2) - ((0.14 - 0.008 * (Z83 - 2)) / (1 + EXP(-6 * (Z47 - 0.4))))) * (Z131 * 0.92)) / 6.25))</f>
        <v>#N/A</v>
      </c>
      <c r="AA147" s="15" t="e">
        <f ca="1">(((0.032 * AC111) / 6.38) + (((0.212 - 0.008 * (AA83 - 2) - ((0.14 - 0.008 * (AA83 - 2)) / (1 + EXP(-6 * (AA47 - 0.4))))) * (AA131 * 0.92)) / 6.25))</f>
        <v>#N/A</v>
      </c>
      <c r="AB147" s="15" t="e">
        <f ca="1">(((0.032 * AD111) / 6.38) + (((0.212 - 0.008 * (AB83 - 2) - ((0.14 - 0.008 * (AB83 - 2)) / (1 + EXP(-6 * (AB47 - 0.4))))) * (AB131 * 0.92)) / 6.25))</f>
        <v>#N/A</v>
      </c>
      <c r="AC147" s="15" t="e">
        <f ca="1">(((0.032 * AE111) / 6.38) + (((0.212 - 0.008 * (AC83 - 2) - ((0.14 - 0.008 * (AC83 - 2)) / (1 + EXP(-6 * (AC47 - 0.4))))) * (AC131 * 0.92)) / 6.25))</f>
        <v>#N/A</v>
      </c>
      <c r="AD147" s="15" t="e">
        <f ca="1">(((0.032 * AF111) / 6.38) + (((0.212 - 0.008 * (AD83 - 2) - ((0.14 - 0.008 * (AD83 - 2)) / (1 + EXP(-6 * (AD47 - 0.4))))) * (AD131 * 0.92)) / 6.25))</f>
        <v>#N/A</v>
      </c>
      <c r="AE147" s="15" t="e">
        <f ca="1">(((0.032 * AG111) / 6.38) + (((0.212 - 0.008 * (AE83 - 2) - ((0.14 - 0.008 * (AE83 - 2)) / (1 + EXP(-6 * (AE47 - 0.4))))) * (AE131 * 0.92)) / 6.25))</f>
        <v>#N/A</v>
      </c>
      <c r="AF147" s="16" t="str">
        <f t="shared" si="7"/>
        <v>kg N/head/day</v>
      </c>
      <c r="AG147" s="16"/>
      <c r="AH147" s="16"/>
    </row>
    <row r="148" spans="4:35" ht="20.100000000000001" customHeight="1" x14ac:dyDescent="0.2">
      <c r="D148" s="105" t="s">
        <v>1324</v>
      </c>
      <c r="E148" s="106" t="s">
        <v>357</v>
      </c>
      <c r="F148" s="108"/>
      <c r="G148" s="105"/>
      <c r="H148" s="109" t="s">
        <v>1219</v>
      </c>
      <c r="I148" s="116" t="str">
        <f>'Input - Pasture Beef'!$E$162</f>
        <v>Winter</v>
      </c>
    </row>
    <row r="150" spans="4:35" ht="20.100000000000001" customHeight="1" x14ac:dyDescent="0.2">
      <c r="D150" s="112" t="s">
        <v>458</v>
      </c>
      <c r="T150" s="87"/>
      <c r="U150" s="87"/>
      <c r="V150" s="87"/>
      <c r="W150" s="87"/>
      <c r="X150" s="87"/>
      <c r="Y150" s="87"/>
      <c r="Z150" s="87"/>
      <c r="AA150" s="87"/>
      <c r="AB150" s="87"/>
      <c r="AC150" s="87"/>
      <c r="AD150" s="87"/>
      <c r="AE150" s="87"/>
      <c r="AF150" s="87"/>
      <c r="AG150" s="87"/>
      <c r="AH150" s="87"/>
      <c r="AI150" s="87"/>
    </row>
    <row r="151" spans="4:35" ht="20.100000000000001" customHeight="1" x14ac:dyDescent="0.2">
      <c r="D151" s="113" t="s">
        <v>459</v>
      </c>
      <c r="U151" s="2" t="s">
        <v>1316</v>
      </c>
    </row>
    <row r="152" spans="4:35" ht="20.100000000000001" customHeight="1" x14ac:dyDescent="0.2">
      <c r="D152" s="114" t="s">
        <v>76</v>
      </c>
      <c r="E152" s="82" t="s">
        <v>326</v>
      </c>
      <c r="F152" s="82" t="s">
        <v>184</v>
      </c>
      <c r="G152" s="82" t="s">
        <v>327</v>
      </c>
      <c r="H152" s="82" t="s">
        <v>328</v>
      </c>
      <c r="I152" s="82" t="s">
        <v>329</v>
      </c>
      <c r="J152" s="82" t="s">
        <v>330</v>
      </c>
      <c r="K152" s="82" t="s">
        <v>331</v>
      </c>
      <c r="L152" s="82" t="s">
        <v>332</v>
      </c>
      <c r="M152" s="82" t="s">
        <v>333</v>
      </c>
      <c r="N152" s="82" t="s">
        <v>334</v>
      </c>
    </row>
    <row r="153" spans="4:35" ht="20.100000000000001" customHeight="1" x14ac:dyDescent="0.2">
      <c r="D153" s="15" t="s">
        <v>335</v>
      </c>
      <c r="E153" s="15" t="e" cm="1">
        <f t="array" aca="1" ref="E153:N156" ca="1">OFFSET(X_Table_PastureBeef_CrudeProtein_Method1, 1,1, 4,10)</f>
        <v>#N/A</v>
      </c>
      <c r="F153" s="15" t="e">
        <f ca="1"/>
        <v>#N/A</v>
      </c>
      <c r="G153" s="15" t="e">
        <f ca="1"/>
        <v>#N/A</v>
      </c>
      <c r="H153" s="15" t="e">
        <f ca="1"/>
        <v>#N/A</v>
      </c>
      <c r="I153" s="15" t="e">
        <f ca="1"/>
        <v>#N/A</v>
      </c>
      <c r="J153" s="15" t="e">
        <f ca="1"/>
        <v>#N/A</v>
      </c>
      <c r="K153" s="15" t="e">
        <f ca="1"/>
        <v>#N/A</v>
      </c>
      <c r="L153" s="15" t="e">
        <f ca="1"/>
        <v>#N/A</v>
      </c>
      <c r="M153" s="15" t="e">
        <f ca="1"/>
        <v>#N/A</v>
      </c>
      <c r="N153" s="15" t="e">
        <f ca="1"/>
        <v>#N/A</v>
      </c>
      <c r="O153" s="16" t="s">
        <v>346</v>
      </c>
    </row>
    <row r="154" spans="4:35" ht="20.100000000000001" customHeight="1" x14ac:dyDescent="0.2">
      <c r="D154" s="15" t="s">
        <v>336</v>
      </c>
      <c r="E154" s="15" t="e">
        <f ca="1"/>
        <v>#N/A</v>
      </c>
      <c r="F154" s="15" t="e">
        <f ca="1"/>
        <v>#N/A</v>
      </c>
      <c r="G154" s="15" t="e">
        <f ca="1"/>
        <v>#N/A</v>
      </c>
      <c r="H154" s="15" t="e">
        <f ca="1"/>
        <v>#N/A</v>
      </c>
      <c r="I154" s="15" t="e">
        <f ca="1"/>
        <v>#N/A</v>
      </c>
      <c r="J154" s="15" t="e">
        <f ca="1"/>
        <v>#N/A</v>
      </c>
      <c r="K154" s="15" t="e">
        <f ca="1"/>
        <v>#N/A</v>
      </c>
      <c r="L154" s="15" t="e">
        <f ca="1"/>
        <v>#N/A</v>
      </c>
      <c r="M154" s="15" t="e">
        <f ca="1"/>
        <v>#N/A</v>
      </c>
      <c r="N154" s="15" t="e">
        <f ca="1"/>
        <v>#N/A</v>
      </c>
      <c r="O154" s="16" t="s">
        <v>346</v>
      </c>
    </row>
    <row r="155" spans="4:35" ht="20.100000000000001" customHeight="1" x14ac:dyDescent="0.2">
      <c r="D155" s="15" t="s">
        <v>337</v>
      </c>
      <c r="E155" s="15" t="e">
        <f ca="1"/>
        <v>#N/A</v>
      </c>
      <c r="F155" s="15" t="e">
        <f ca="1"/>
        <v>#N/A</v>
      </c>
      <c r="G155" s="15" t="e">
        <f ca="1"/>
        <v>#N/A</v>
      </c>
      <c r="H155" s="15" t="e">
        <f ca="1"/>
        <v>#N/A</v>
      </c>
      <c r="I155" s="15" t="e">
        <f ca="1"/>
        <v>#N/A</v>
      </c>
      <c r="J155" s="15" t="e">
        <f ca="1"/>
        <v>#N/A</v>
      </c>
      <c r="K155" s="15" t="e">
        <f ca="1"/>
        <v>#N/A</v>
      </c>
      <c r="L155" s="15" t="e">
        <f ca="1"/>
        <v>#N/A</v>
      </c>
      <c r="M155" s="15" t="e">
        <f ca="1"/>
        <v>#N/A</v>
      </c>
      <c r="N155" s="15" t="e">
        <f ca="1"/>
        <v>#N/A</v>
      </c>
      <c r="O155" s="16" t="s">
        <v>346</v>
      </c>
    </row>
    <row r="156" spans="4:35" ht="20.100000000000001" customHeight="1" x14ac:dyDescent="0.2">
      <c r="D156" s="15" t="s">
        <v>338</v>
      </c>
      <c r="E156" s="15" t="e">
        <f ca="1"/>
        <v>#N/A</v>
      </c>
      <c r="F156" s="15" t="e">
        <f ca="1"/>
        <v>#N/A</v>
      </c>
      <c r="G156" s="15" t="e">
        <f ca="1"/>
        <v>#N/A</v>
      </c>
      <c r="H156" s="15" t="e">
        <f ca="1"/>
        <v>#N/A</v>
      </c>
      <c r="I156" s="15" t="e">
        <f ca="1"/>
        <v>#N/A</v>
      </c>
      <c r="J156" s="15" t="e">
        <f ca="1"/>
        <v>#N/A</v>
      </c>
      <c r="K156" s="15" t="e">
        <f ca="1"/>
        <v>#N/A</v>
      </c>
      <c r="L156" s="15" t="e">
        <f ca="1"/>
        <v>#N/A</v>
      </c>
      <c r="M156" s="15" t="e">
        <f ca="1"/>
        <v>#N/A</v>
      </c>
      <c r="N156" s="15" t="e">
        <f ca="1"/>
        <v>#N/A</v>
      </c>
      <c r="O156" s="16" t="s">
        <v>346</v>
      </c>
    </row>
    <row r="158" spans="4:35" ht="20.100000000000001" customHeight="1" x14ac:dyDescent="0.2">
      <c r="D158" s="112" t="s">
        <v>460</v>
      </c>
    </row>
    <row r="159" spans="4:35" ht="20.100000000000001" customHeight="1" x14ac:dyDescent="0.2">
      <c r="D159" s="113" t="s">
        <v>461</v>
      </c>
    </row>
    <row r="160" spans="4:35" ht="20.100000000000001" customHeight="1" x14ac:dyDescent="0.2">
      <c r="D160" s="114" t="s">
        <v>76</v>
      </c>
      <c r="E160" s="114" t="s">
        <v>357</v>
      </c>
      <c r="F160" s="114" t="s">
        <v>326</v>
      </c>
      <c r="G160" s="114" t="s">
        <v>184</v>
      </c>
      <c r="H160" s="114" t="s">
        <v>327</v>
      </c>
      <c r="I160" s="114" t="s">
        <v>328</v>
      </c>
      <c r="J160" s="114" t="s">
        <v>329</v>
      </c>
      <c r="K160" s="114" t="s">
        <v>330</v>
      </c>
      <c r="L160" s="114" t="s">
        <v>331</v>
      </c>
      <c r="M160" s="114" t="s">
        <v>332</v>
      </c>
      <c r="N160" s="114" t="s">
        <v>333</v>
      </c>
      <c r="O160" s="114" t="s">
        <v>334</v>
      </c>
    </row>
    <row r="161" spans="3:34" ht="20.100000000000001" customHeight="1" x14ac:dyDescent="0.2">
      <c r="D161" s="15" t="s">
        <v>335</v>
      </c>
      <c r="E161" s="15" t="str" cm="1">
        <f t="array" ref="E161">_xlfn.IFS($D$161=$I$148,"Calving season",$D$164=$I$148,"Season after calving",TRUE, "")</f>
        <v>Season after calving</v>
      </c>
      <c r="F161" s="15" cm="1">
        <f t="array" ref="F161">_xlfn.XLOOKUP(1, (Table_SourceData_PastureBeef_FeedIntakeAdjustment_Variation[Breed]=$I$147)*(Table_SourceData_PastureBeef_FeedIntakeAdjustment_Variation[Season]=$E161), Table_SourceData_PastureBeef_FeedIntakeAdjustment_Variation[Milk intake/production], 0)</f>
        <v>0</v>
      </c>
      <c r="G161" s="15">
        <v>0</v>
      </c>
      <c r="H161" s="15" cm="1">
        <f t="array" ref="H161">_xlfn.XLOOKUP(1, (Table_SourceData_PastureBeef_FeedIntakeAdjustment_Variation[Breed]=$I$147)*(Table_SourceData_PastureBeef_FeedIntakeAdjustment_Variation[Season]=$E161), Table_SourceData_PastureBeef_FeedIntakeAdjustment_Variation[Milk intake/production], 0)</f>
        <v>0</v>
      </c>
      <c r="I161" s="15">
        <v>0</v>
      </c>
      <c r="J161" s="15">
        <v>0</v>
      </c>
      <c r="K161" s="15">
        <v>0</v>
      </c>
      <c r="L161" s="15" cm="1">
        <f t="array" ref="L161">_xlfn.XLOOKUP(1, (Table_SourceData_PastureBeef_FeedIntakeAdjustment_Variation[Breed]=$I$147)*(Table_SourceData_PastureBeef_FeedIntakeAdjustment_Variation[Season]=$E161), Table_SourceData_PastureBeef_FeedIntakeAdjustment_Variation[Milk intake/production], 0)</f>
        <v>0</v>
      </c>
      <c r="M161" s="15">
        <v>0</v>
      </c>
      <c r="N161" s="15">
        <v>0</v>
      </c>
      <c r="O161" s="15">
        <v>0</v>
      </c>
      <c r="P161" s="16" t="s">
        <v>344</v>
      </c>
      <c r="Q161" s="16"/>
      <c r="U161" s="112" t="s">
        <v>462</v>
      </c>
    </row>
    <row r="162" spans="3:34" ht="20.100000000000001" customHeight="1" x14ac:dyDescent="0.2">
      <c r="D162" s="15" t="s">
        <v>336</v>
      </c>
      <c r="E162" s="15" t="str" cm="1">
        <f t="array" ref="E162">_xlfn.IFS($D$162=$I$148,"Calving season",$D$161=$I$148,"Season after calving",TRUE, "")</f>
        <v/>
      </c>
      <c r="F162" s="15" cm="1">
        <f t="array" ref="F162">_xlfn.XLOOKUP(1, (Table_SourceData_PastureBeef_FeedIntakeAdjustment_Variation[Breed]=$I$147)*(Table_SourceData_PastureBeef_FeedIntakeAdjustment_Variation[Season]=$E162), Table_SourceData_PastureBeef_FeedIntakeAdjustment_Variation[Milk intake/production], 0)</f>
        <v>0</v>
      </c>
      <c r="G162" s="15">
        <v>0</v>
      </c>
      <c r="H162" s="15" cm="1">
        <f t="array" ref="H162">_xlfn.XLOOKUP(1, (Table_SourceData_PastureBeef_FeedIntakeAdjustment_Variation[Breed]=$I$147)*(Table_SourceData_PastureBeef_FeedIntakeAdjustment_Variation[Season]=$E162), Table_SourceData_PastureBeef_FeedIntakeAdjustment_Variation[Milk intake/production], 0)</f>
        <v>0</v>
      </c>
      <c r="I162" s="15">
        <v>0</v>
      </c>
      <c r="J162" s="15">
        <v>0</v>
      </c>
      <c r="K162" s="15">
        <v>0</v>
      </c>
      <c r="L162" s="15" cm="1">
        <f t="array" ref="L162">_xlfn.XLOOKUP(1, (Table_SourceData_PastureBeef_FeedIntakeAdjustment_Variation[Breed]=$I$147)*(Table_SourceData_PastureBeef_FeedIntakeAdjustment_Variation[Season]=$E162), Table_SourceData_PastureBeef_FeedIntakeAdjustment_Variation[Milk intake/production], 0)</f>
        <v>0</v>
      </c>
      <c r="M162" s="15">
        <v>0</v>
      </c>
      <c r="N162" s="15">
        <v>0</v>
      </c>
      <c r="O162" s="15">
        <v>0</v>
      </c>
      <c r="P162" s="16" t="s">
        <v>344</v>
      </c>
      <c r="Q162" s="16"/>
      <c r="U162" s="113" t="s">
        <v>463</v>
      </c>
    </row>
    <row r="163" spans="3:34" ht="20.100000000000001" customHeight="1" x14ac:dyDescent="0.2">
      <c r="D163" s="15" t="s">
        <v>337</v>
      </c>
      <c r="E163" s="15" t="str" cm="1">
        <f t="array" ref="E163">_xlfn.IFS($D$163=$I$148,"Calving season",$D$162=$I$148,"Season after calving",TRUE, "")</f>
        <v/>
      </c>
      <c r="F163" s="15" cm="1">
        <f t="array" ref="F163">_xlfn.XLOOKUP(1, (Table_SourceData_PastureBeef_FeedIntakeAdjustment_Variation[Breed]=$I$147)*(Table_SourceData_PastureBeef_FeedIntakeAdjustment_Variation[Season]=$E163), Table_SourceData_PastureBeef_FeedIntakeAdjustment_Variation[Milk intake/production], 0)</f>
        <v>0</v>
      </c>
      <c r="G163" s="15">
        <v>0</v>
      </c>
      <c r="H163" s="15" cm="1">
        <f t="array" ref="H163">_xlfn.XLOOKUP(1, (Table_SourceData_PastureBeef_FeedIntakeAdjustment_Variation[Breed]=$I$147)*(Table_SourceData_PastureBeef_FeedIntakeAdjustment_Variation[Season]=$E163), Table_SourceData_PastureBeef_FeedIntakeAdjustment_Variation[Milk intake/production], 0)</f>
        <v>0</v>
      </c>
      <c r="I163" s="15">
        <v>0</v>
      </c>
      <c r="J163" s="15">
        <v>0</v>
      </c>
      <c r="K163" s="15">
        <v>0</v>
      </c>
      <c r="L163" s="15" cm="1">
        <f t="array" ref="L163">_xlfn.XLOOKUP(1, (Table_SourceData_PastureBeef_FeedIntakeAdjustment_Variation[Breed]=$I$147)*(Table_SourceData_PastureBeef_FeedIntakeAdjustment_Variation[Season]=$E163), Table_SourceData_PastureBeef_FeedIntakeAdjustment_Variation[Milk intake/production], 0)</f>
        <v>0</v>
      </c>
      <c r="M163" s="15">
        <v>0</v>
      </c>
      <c r="N163" s="15">
        <v>0</v>
      </c>
      <c r="O163" s="15">
        <v>0</v>
      </c>
      <c r="P163" s="16" t="s">
        <v>344</v>
      </c>
      <c r="Q163" s="16"/>
      <c r="U163" s="114" t="s">
        <v>75</v>
      </c>
      <c r="V163" s="82" t="s">
        <v>326</v>
      </c>
      <c r="W163" s="82" t="s">
        <v>184</v>
      </c>
      <c r="X163" s="82" t="s">
        <v>327</v>
      </c>
      <c r="Y163" s="82" t="s">
        <v>328</v>
      </c>
      <c r="Z163" s="82" t="s">
        <v>329</v>
      </c>
      <c r="AA163" s="82" t="s">
        <v>330</v>
      </c>
      <c r="AB163" s="82" t="s">
        <v>331</v>
      </c>
      <c r="AC163" s="82" t="s">
        <v>332</v>
      </c>
      <c r="AD163" s="82" t="s">
        <v>333</v>
      </c>
      <c r="AE163" s="82" t="s">
        <v>334</v>
      </c>
    </row>
    <row r="164" spans="3:34" ht="20.100000000000001" customHeight="1" x14ac:dyDescent="0.2">
      <c r="D164" s="15" t="s">
        <v>338</v>
      </c>
      <c r="E164" s="15" t="str" cm="1">
        <f t="array" ref="E164">_xlfn.IFS($D$164=$I$148,"Calving season",$D$163=$I$148,"Season after calving",TRUE, "")</f>
        <v>Calving season</v>
      </c>
      <c r="F164" s="15" cm="1">
        <f t="array" ref="F164">_xlfn.XLOOKUP(1, (Table_SourceData_PastureBeef_FeedIntakeAdjustment_Variation[Breed]=$I$147)*(Table_SourceData_PastureBeef_FeedIntakeAdjustment_Variation[Season]=$E164), Table_SourceData_PastureBeef_FeedIntakeAdjustment_Variation[Milk intake/production], 0)</f>
        <v>0</v>
      </c>
      <c r="G164" s="15">
        <v>0</v>
      </c>
      <c r="H164" s="15" cm="1">
        <f t="array" ref="H164">_xlfn.XLOOKUP(1, (Table_SourceData_PastureBeef_FeedIntakeAdjustment_Variation[Breed]=$I$147)*(Table_SourceData_PastureBeef_FeedIntakeAdjustment_Variation[Season]=$E164), Table_SourceData_PastureBeef_FeedIntakeAdjustment_Variation[Milk intake/production], 0)</f>
        <v>0</v>
      </c>
      <c r="I164" s="15">
        <v>0</v>
      </c>
      <c r="J164" s="15">
        <v>0</v>
      </c>
      <c r="K164" s="15">
        <v>0</v>
      </c>
      <c r="L164" s="15" cm="1">
        <f t="array" ref="L164">_xlfn.XLOOKUP(1, (Table_SourceData_PastureBeef_FeedIntakeAdjustment_Variation[Breed]=$I$147)*(Table_SourceData_PastureBeef_FeedIntakeAdjustment_Variation[Season]=$E164), Table_SourceData_PastureBeef_FeedIntakeAdjustment_Variation[Milk intake/production], 0)</f>
        <v>0</v>
      </c>
      <c r="M164" s="15">
        <v>0</v>
      </c>
      <c r="N164" s="15">
        <v>0</v>
      </c>
      <c r="O164" s="15">
        <v>0</v>
      </c>
      <c r="P164" s="16" t="s">
        <v>344</v>
      </c>
      <c r="Q164" s="16"/>
      <c r="U164" s="15" t="str">
        <f>TEXT(X_Cell_Site_StartDate,"mmmm")</f>
        <v>January</v>
      </c>
      <c r="V164" s="15" t="e" cm="1">
        <f t="array" aca="1" ref="V164:AE175" ca="1">OFFSET(X_Table_PastureBeef_CrudeProtein_Method2, 1,1, 12,10)</f>
        <v>#N/A</v>
      </c>
      <c r="W164" s="15" t="e">
        <f ca="1"/>
        <v>#N/A</v>
      </c>
      <c r="X164" s="15" t="e">
        <f ca="1"/>
        <v>#N/A</v>
      </c>
      <c r="Y164" s="15" t="e">
        <f ca="1"/>
        <v>#N/A</v>
      </c>
      <c r="Z164" s="15" t="e">
        <f ca="1"/>
        <v>#N/A</v>
      </c>
      <c r="AA164" s="15" t="e">
        <f ca="1"/>
        <v>#N/A</v>
      </c>
      <c r="AB164" s="15" t="e">
        <f ca="1"/>
        <v>#N/A</v>
      </c>
      <c r="AC164" s="15" t="e">
        <f ca="1"/>
        <v>#N/A</v>
      </c>
      <c r="AD164" s="15" t="e">
        <f ca="1"/>
        <v>#N/A</v>
      </c>
      <c r="AE164" s="15" t="e">
        <f ca="1"/>
        <v>#N/A</v>
      </c>
      <c r="AF164" s="16" t="s">
        <v>346</v>
      </c>
    </row>
    <row r="165" spans="3:34" ht="20.100000000000001" customHeight="1" x14ac:dyDescent="0.2">
      <c r="U165" s="15" t="str">
        <f>TEXT(EDATE(X_Cell_Site_StartDate,1), "mmmm")</f>
        <v>January</v>
      </c>
      <c r="V165" s="15" t="e">
        <f ca="1"/>
        <v>#N/A</v>
      </c>
      <c r="W165" s="15" t="e">
        <f ca="1"/>
        <v>#N/A</v>
      </c>
      <c r="X165" s="15" t="e">
        <f ca="1"/>
        <v>#N/A</v>
      </c>
      <c r="Y165" s="15" t="e">
        <f ca="1"/>
        <v>#N/A</v>
      </c>
      <c r="Z165" s="15" t="e">
        <f ca="1"/>
        <v>#N/A</v>
      </c>
      <c r="AA165" s="15" t="e">
        <f ca="1"/>
        <v>#N/A</v>
      </c>
      <c r="AB165" s="15" t="e">
        <f ca="1"/>
        <v>#N/A</v>
      </c>
      <c r="AC165" s="15" t="e">
        <f ca="1"/>
        <v>#N/A</v>
      </c>
      <c r="AD165" s="15" t="e">
        <f ca="1"/>
        <v>#N/A</v>
      </c>
      <c r="AE165" s="15" t="e">
        <f ca="1"/>
        <v>#N/A</v>
      </c>
      <c r="AF165" s="16" t="s">
        <v>346</v>
      </c>
    </row>
    <row r="166" spans="3:34" ht="20.100000000000001" customHeight="1" x14ac:dyDescent="0.2">
      <c r="D166" s="112" t="s">
        <v>464</v>
      </c>
      <c r="U166" s="15" t="str">
        <f>TEXT(EDATE(X_Cell_Site_StartDate,2), "mmmm")</f>
        <v>February</v>
      </c>
      <c r="V166" s="15" t="e">
        <f ca="1"/>
        <v>#N/A</v>
      </c>
      <c r="W166" s="15" t="e">
        <f ca="1"/>
        <v>#N/A</v>
      </c>
      <c r="X166" s="15" t="e">
        <f ca="1"/>
        <v>#N/A</v>
      </c>
      <c r="Y166" s="15" t="e">
        <f ca="1"/>
        <v>#N/A</v>
      </c>
      <c r="Z166" s="15" t="e">
        <f ca="1"/>
        <v>#N/A</v>
      </c>
      <c r="AA166" s="15" t="e">
        <f ca="1"/>
        <v>#N/A</v>
      </c>
      <c r="AB166" s="15" t="e">
        <f ca="1"/>
        <v>#N/A</v>
      </c>
      <c r="AC166" s="15" t="e">
        <f ca="1"/>
        <v>#N/A</v>
      </c>
      <c r="AD166" s="15" t="e">
        <f ca="1"/>
        <v>#N/A</v>
      </c>
      <c r="AE166" s="15" t="e">
        <f ca="1"/>
        <v>#N/A</v>
      </c>
      <c r="AF166" s="16" t="s">
        <v>346</v>
      </c>
    </row>
    <row r="167" spans="3:34" ht="20.100000000000001" customHeight="1" x14ac:dyDescent="0.2">
      <c r="D167" s="113" t="s">
        <v>465</v>
      </c>
      <c r="U167" s="15" t="str">
        <f>TEXT(EDATE(X_Cell_Site_StartDate,3), "mmmm")</f>
        <v>March</v>
      </c>
      <c r="V167" s="15" t="e">
        <f ca="1"/>
        <v>#N/A</v>
      </c>
      <c r="W167" s="15" t="e">
        <f ca="1"/>
        <v>#N/A</v>
      </c>
      <c r="X167" s="15" t="e">
        <f ca="1"/>
        <v>#N/A</v>
      </c>
      <c r="Y167" s="15" t="e">
        <f ca="1"/>
        <v>#N/A</v>
      </c>
      <c r="Z167" s="15" t="e">
        <f ca="1"/>
        <v>#N/A</v>
      </c>
      <c r="AA167" s="15" t="e">
        <f ca="1"/>
        <v>#N/A</v>
      </c>
      <c r="AB167" s="15" t="e">
        <f ca="1"/>
        <v>#N/A</v>
      </c>
      <c r="AC167" s="15" t="e">
        <f ca="1"/>
        <v>#N/A</v>
      </c>
      <c r="AD167" s="15" t="e">
        <f ca="1"/>
        <v>#N/A</v>
      </c>
      <c r="AE167" s="15" t="e">
        <f ca="1"/>
        <v>#N/A</v>
      </c>
      <c r="AF167" s="16" t="s">
        <v>346</v>
      </c>
    </row>
    <row r="168" spans="3:34" ht="20.100000000000001" customHeight="1" x14ac:dyDescent="0.2">
      <c r="D168" s="114" t="s">
        <v>76</v>
      </c>
      <c r="E168" s="114" t="s">
        <v>326</v>
      </c>
      <c r="F168" s="114" t="s">
        <v>184</v>
      </c>
      <c r="G168" s="114" t="s">
        <v>327</v>
      </c>
      <c r="H168" s="114" t="s">
        <v>328</v>
      </c>
      <c r="I168" s="114" t="s">
        <v>329</v>
      </c>
      <c r="J168" s="114" t="s">
        <v>330</v>
      </c>
      <c r="K168" s="114" t="s">
        <v>331</v>
      </c>
      <c r="L168" s="114" t="s">
        <v>332</v>
      </c>
      <c r="M168" s="114" t="s">
        <v>333</v>
      </c>
      <c r="N168" s="114" t="s">
        <v>334</v>
      </c>
      <c r="U168" s="15" t="str">
        <f>TEXT(EDATE(X_Cell_Site_StartDate,4), "mmmm")</f>
        <v>April</v>
      </c>
      <c r="V168" s="15" t="e">
        <f ca="1"/>
        <v>#N/A</v>
      </c>
      <c r="W168" s="15" t="e">
        <f ca="1"/>
        <v>#N/A</v>
      </c>
      <c r="X168" s="15" t="e">
        <f ca="1"/>
        <v>#N/A</v>
      </c>
      <c r="Y168" s="15" t="e">
        <f ca="1"/>
        <v>#N/A</v>
      </c>
      <c r="Z168" s="15" t="e">
        <f ca="1"/>
        <v>#N/A</v>
      </c>
      <c r="AA168" s="15" t="e">
        <f ca="1"/>
        <v>#N/A</v>
      </c>
      <c r="AB168" s="15" t="e">
        <f ca="1"/>
        <v>#N/A</v>
      </c>
      <c r="AC168" s="15" t="e">
        <f ca="1"/>
        <v>#N/A</v>
      </c>
      <c r="AD168" s="15" t="e">
        <f ca="1"/>
        <v>#N/A</v>
      </c>
      <c r="AE168" s="15" t="e">
        <f ca="1"/>
        <v>#N/A</v>
      </c>
      <c r="AF168" s="16" t="s">
        <v>346</v>
      </c>
      <c r="AG168" s="16"/>
      <c r="AH168" s="16"/>
    </row>
    <row r="169" spans="3:34" ht="20.100000000000001" customHeight="1" x14ac:dyDescent="0.2">
      <c r="D169" s="15" t="s">
        <v>335</v>
      </c>
      <c r="E169" s="15" t="e">
        <f ca="1">(((E54 * E153) / 6.25) + ((0.032 * F161) / 6.38) - E127 - ((1.1 * 10 ^ -4 * E20 ^ 0.75) / 6.25))</f>
        <v>#N/A</v>
      </c>
      <c r="F169" s="15" t="e">
        <f ca="1">(((F54 * F153) / 6.25) + ((0.032 * G161) / 6.38) - F127 - ((1.1 * 10 ^ -4 * F20 ^ 0.75) / 6.25))</f>
        <v>#N/A</v>
      </c>
      <c r="G169" s="15" t="e">
        <f ca="1">(((G54 * G153) / 6.25) + ((0.032 * H161) / 6.38) - G127 - ((1.1 * 10 ^ -4 * G20 ^ 0.75) / 6.25))</f>
        <v>#N/A</v>
      </c>
      <c r="H169" s="15" t="e">
        <f ca="1">(((H54 * H153) / 6.25) + ((0.032 * I161) / 6.38) - H127 - ((1.1 * 10 ^ -4 * H20 ^ 0.75) / 6.25))</f>
        <v>#N/A</v>
      </c>
      <c r="I169" s="15" t="e">
        <f ca="1">(((I54 * I153) / 6.25) + ((0.032 * J161) / 6.38) - I127 - ((1.1 * 10 ^ -4 * I20 ^ 0.75) / 6.25))</f>
        <v>#N/A</v>
      </c>
      <c r="J169" s="15" t="e">
        <f ca="1">(((J54 * J153) / 6.25) + ((0.032 * K161) / 6.38) - J127 - ((1.1 * 10 ^ -4 * J20 ^ 0.75) / 6.25))</f>
        <v>#N/A</v>
      </c>
      <c r="K169" s="15" t="e">
        <f ca="1">(((K54 * K153) / 6.25) + ((0.032 * L161) / 6.38) - K127 - ((1.1 * 10 ^ -4 * K20 ^ 0.75) / 6.25))</f>
        <v>#N/A</v>
      </c>
      <c r="L169" s="15" t="e">
        <f ca="1">(((L54 * L153) / 6.25) + ((0.032 * M161) / 6.38) - L127 - ((1.1 * 10 ^ -4 * L20 ^ 0.75) / 6.25))</f>
        <v>#N/A</v>
      </c>
      <c r="M169" s="15" t="e">
        <f ca="1">(((M54 * M153) / 6.25) + ((0.032 * N161) / 6.38) - M127 - ((1.1 * 10 ^ -4 * M20 ^ 0.75) / 6.25))</f>
        <v>#N/A</v>
      </c>
      <c r="N169" s="15" t="e">
        <f ca="1">(((N54 * N153) / 6.25) + ((0.032 * O161) / 6.38) - N127 - ((1.1 * 10 ^ -4 * N20 ^ 0.75) / 6.25))</f>
        <v>#N/A</v>
      </c>
      <c r="O169" s="16" t="str">
        <f>$E$140</f>
        <v>kg N/head/day</v>
      </c>
      <c r="U169" s="15" t="str">
        <f>TEXT(EDATE(X_Cell_Site_StartDate,5), "mmmm")</f>
        <v>May</v>
      </c>
      <c r="V169" s="15" t="e">
        <f ca="1"/>
        <v>#N/A</v>
      </c>
      <c r="W169" s="15" t="e">
        <f ca="1"/>
        <v>#N/A</v>
      </c>
      <c r="X169" s="15" t="e">
        <f ca="1"/>
        <v>#N/A</v>
      </c>
      <c r="Y169" s="15" t="e">
        <f ca="1"/>
        <v>#N/A</v>
      </c>
      <c r="Z169" s="15" t="e">
        <f ca="1"/>
        <v>#N/A</v>
      </c>
      <c r="AA169" s="15" t="e">
        <f ca="1"/>
        <v>#N/A</v>
      </c>
      <c r="AB169" s="15" t="e">
        <f ca="1"/>
        <v>#N/A</v>
      </c>
      <c r="AC169" s="15" t="e">
        <f ca="1"/>
        <v>#N/A</v>
      </c>
      <c r="AD169" s="15" t="e">
        <f ca="1"/>
        <v>#N/A</v>
      </c>
      <c r="AE169" s="15" t="e">
        <f ca="1"/>
        <v>#N/A</v>
      </c>
      <c r="AF169" s="16" t="s">
        <v>346</v>
      </c>
      <c r="AG169" s="16"/>
      <c r="AH169" s="16"/>
    </row>
    <row r="170" spans="3:34" ht="20.100000000000001" customHeight="1" x14ac:dyDescent="0.2">
      <c r="D170" s="15" t="s">
        <v>336</v>
      </c>
      <c r="E170" s="15" t="e">
        <f ca="1">(((E55 * E154) / 6.25) + ((0.032 * F162) / 6.38) - E128 - ((1.1 * 10 ^ -4 * E21 ^ 0.75) / 6.25))</f>
        <v>#N/A</v>
      </c>
      <c r="F170" s="15" t="e">
        <f ca="1">(((F55 * F154) / 6.25) + ((0.032 * G162) / 6.38) - F128 - ((1.1 * 10 ^ -4 * F21 ^ 0.75) / 6.25))</f>
        <v>#N/A</v>
      </c>
      <c r="G170" s="15" t="e">
        <f ca="1">(((G55 * G154) / 6.25) + ((0.032 * H162) / 6.38) - G128 - ((1.1 * 10 ^ -4 * G21 ^ 0.75) / 6.25))</f>
        <v>#N/A</v>
      </c>
      <c r="H170" s="15" t="e">
        <f ca="1">(((H55 * H154) / 6.25) + ((0.032 * I162) / 6.38) - H128 - ((1.1 * 10 ^ -4 * H21 ^ 0.75) / 6.25))</f>
        <v>#N/A</v>
      </c>
      <c r="I170" s="15" t="e">
        <f ca="1">(((I55 * I154) / 6.25) + ((0.032 * J162) / 6.38) - I128 - ((1.1 * 10 ^ -4 * I21 ^ 0.75) / 6.25))</f>
        <v>#N/A</v>
      </c>
      <c r="J170" s="15" t="e">
        <f ca="1">(((J55 * J154) / 6.25) + ((0.032 * K162) / 6.38) - J128 - ((1.1 * 10 ^ -4 * J21 ^ 0.75) / 6.25))</f>
        <v>#N/A</v>
      </c>
      <c r="K170" s="15" t="e">
        <f ca="1">(((K55 * K154) / 6.25) + ((0.032 * L162) / 6.38) - K128 - ((1.1 * 10 ^ -4 * K21 ^ 0.75) / 6.25))</f>
        <v>#N/A</v>
      </c>
      <c r="L170" s="15" t="e">
        <f ca="1">(((L55 * L154) / 6.25) + ((0.032 * M162) / 6.38) - L128 - ((1.1 * 10 ^ -4 * L21 ^ 0.75) / 6.25))</f>
        <v>#N/A</v>
      </c>
      <c r="M170" s="15" t="e">
        <f ca="1">(((M55 * M154) / 6.25) + ((0.032 * N162) / 6.38) - M128 - ((1.1 * 10 ^ -4 * M21 ^ 0.75) / 6.25))</f>
        <v>#N/A</v>
      </c>
      <c r="N170" s="15" t="e">
        <f ca="1">(((N55 * N154) / 6.25) + ((0.032 * O162) / 6.38) - N128 - ((1.1 * 10 ^ -4 * N21 ^ 0.75) / 6.25))</f>
        <v>#N/A</v>
      </c>
      <c r="O170" s="16" t="str">
        <f t="shared" ref="O170:O172" si="8">$E$140</f>
        <v>kg N/head/day</v>
      </c>
      <c r="U170" s="15" t="str">
        <f>TEXT(EDATE(X_Cell_Site_StartDate,6), "mmmm")</f>
        <v>June</v>
      </c>
      <c r="V170" s="15" t="e">
        <f ca="1"/>
        <v>#N/A</v>
      </c>
      <c r="W170" s="15" t="e">
        <f ca="1"/>
        <v>#N/A</v>
      </c>
      <c r="X170" s="15" t="e">
        <f ca="1"/>
        <v>#N/A</v>
      </c>
      <c r="Y170" s="15" t="e">
        <f ca="1"/>
        <v>#N/A</v>
      </c>
      <c r="Z170" s="15" t="e">
        <f ca="1"/>
        <v>#N/A</v>
      </c>
      <c r="AA170" s="15" t="e">
        <f ca="1"/>
        <v>#N/A</v>
      </c>
      <c r="AB170" s="15" t="e">
        <f ca="1"/>
        <v>#N/A</v>
      </c>
      <c r="AC170" s="15" t="e">
        <f ca="1"/>
        <v>#N/A</v>
      </c>
      <c r="AD170" s="15" t="e">
        <f ca="1"/>
        <v>#N/A</v>
      </c>
      <c r="AE170" s="15" t="e">
        <f ca="1"/>
        <v>#N/A</v>
      </c>
      <c r="AF170" s="16" t="s">
        <v>346</v>
      </c>
      <c r="AG170" s="16"/>
      <c r="AH170" s="16"/>
    </row>
    <row r="171" spans="3:34" ht="20.100000000000001" customHeight="1" x14ac:dyDescent="0.2">
      <c r="D171" s="15" t="s">
        <v>337</v>
      </c>
      <c r="E171" s="15" t="e">
        <f ca="1">(((E56 * E155) / 6.25) + ((0.032 * F163) / 6.38) - E129 - ((1.1 * 10 ^ -4 * E22 ^ 0.75) / 6.25))</f>
        <v>#N/A</v>
      </c>
      <c r="F171" s="15" t="e">
        <f ca="1">(((F56 * F155) / 6.25) + ((0.032 * G163) / 6.38) - F129 - ((1.1 * 10 ^ -4 * F22 ^ 0.75) / 6.25))</f>
        <v>#N/A</v>
      </c>
      <c r="G171" s="15" t="e">
        <f ca="1">(((G56 * G155) / 6.25) + ((0.032 * H163) / 6.38) - G129 - ((1.1 * 10 ^ -4 * G22 ^ 0.75) / 6.25))</f>
        <v>#N/A</v>
      </c>
      <c r="H171" s="15" t="e">
        <f ca="1">(((H56 * H155) / 6.25) + ((0.032 * I163) / 6.38) - H129 - ((1.1 * 10 ^ -4 * H22 ^ 0.75) / 6.25))</f>
        <v>#N/A</v>
      </c>
      <c r="I171" s="15" t="e">
        <f ca="1">(((I56 * I155) / 6.25) + ((0.032 * J163) / 6.38) - I129 - ((1.1 * 10 ^ -4 * I22 ^ 0.75) / 6.25))</f>
        <v>#N/A</v>
      </c>
      <c r="J171" s="15" t="e">
        <f ca="1">(((J56 * J155) / 6.25) + ((0.032 * K163) / 6.38) - J129 - ((1.1 * 10 ^ -4 * J22 ^ 0.75) / 6.25))</f>
        <v>#N/A</v>
      </c>
      <c r="K171" s="15" t="e">
        <f ca="1">(((K56 * K155) / 6.25) + ((0.032 * L163) / 6.38) - K129 - ((1.1 * 10 ^ -4 * K22 ^ 0.75) / 6.25))</f>
        <v>#N/A</v>
      </c>
      <c r="L171" s="15" t="e">
        <f ca="1">(((L56 * L155) / 6.25) + ((0.032 * M163) / 6.38) - L129 - ((1.1 * 10 ^ -4 * L22 ^ 0.75) / 6.25))</f>
        <v>#N/A</v>
      </c>
      <c r="M171" s="15" t="e">
        <f ca="1">(((M56 * M155) / 6.25) + ((0.032 * N163) / 6.38) - M129 - ((1.1 * 10 ^ -4 * M22 ^ 0.75) / 6.25))</f>
        <v>#N/A</v>
      </c>
      <c r="N171" s="15" t="e">
        <f ca="1">(((N56 * N155) / 6.25) + ((0.032 * O163) / 6.38) - N129 - ((1.1 * 10 ^ -4 * N22 ^ 0.75) / 6.25))</f>
        <v>#N/A</v>
      </c>
      <c r="O171" s="16" t="str">
        <f t="shared" si="8"/>
        <v>kg N/head/day</v>
      </c>
      <c r="U171" s="15" t="str">
        <f>TEXT(EDATE(X_Cell_Site_StartDate,7), "mmmm")</f>
        <v>July</v>
      </c>
      <c r="V171" s="15" t="e">
        <f ca="1"/>
        <v>#N/A</v>
      </c>
      <c r="W171" s="15" t="e">
        <f ca="1"/>
        <v>#N/A</v>
      </c>
      <c r="X171" s="15" t="e">
        <f ca="1"/>
        <v>#N/A</v>
      </c>
      <c r="Y171" s="15" t="e">
        <f ca="1"/>
        <v>#N/A</v>
      </c>
      <c r="Z171" s="15" t="e">
        <f ca="1"/>
        <v>#N/A</v>
      </c>
      <c r="AA171" s="15" t="e">
        <f ca="1"/>
        <v>#N/A</v>
      </c>
      <c r="AB171" s="15" t="e">
        <f ca="1"/>
        <v>#N/A</v>
      </c>
      <c r="AC171" s="15" t="e">
        <f ca="1"/>
        <v>#N/A</v>
      </c>
      <c r="AD171" s="15" t="e">
        <f ca="1"/>
        <v>#N/A</v>
      </c>
      <c r="AE171" s="15" t="e">
        <f ca="1"/>
        <v>#N/A</v>
      </c>
      <c r="AF171" s="16" t="s">
        <v>346</v>
      </c>
      <c r="AG171" s="16"/>
      <c r="AH171" s="16"/>
    </row>
    <row r="172" spans="3:34" ht="20.100000000000001" customHeight="1" x14ac:dyDescent="0.2">
      <c r="D172" s="15" t="s">
        <v>338</v>
      </c>
      <c r="E172" s="15" t="e">
        <f ca="1">(((E57 * E156) / 6.25) + ((0.032 * F164) / 6.38) - E130 - ((1.1 * 10 ^ -4 * E23 ^ 0.75) / 6.25))</f>
        <v>#N/A</v>
      </c>
      <c r="F172" s="15" t="e">
        <f ca="1">(((F57 * F156) / 6.25) + ((0.032 * G164) / 6.38) - F130 - ((1.1 * 10 ^ -4 * F23 ^ 0.75) / 6.25))</f>
        <v>#N/A</v>
      </c>
      <c r="G172" s="15" t="e">
        <f ca="1">(((G57 * G156) / 6.25) + ((0.032 * H164) / 6.38) - G130 - ((1.1 * 10 ^ -4 * G23 ^ 0.75) / 6.25))</f>
        <v>#N/A</v>
      </c>
      <c r="H172" s="15" t="e">
        <f ca="1">(((H57 * H156) / 6.25) + ((0.032 * I164) / 6.38) - H130 - ((1.1 * 10 ^ -4 * H23 ^ 0.75) / 6.25))</f>
        <v>#N/A</v>
      </c>
      <c r="I172" s="15" t="e">
        <f ca="1">(((I57 * I156) / 6.25) + ((0.032 * J164) / 6.38) - I130 - ((1.1 * 10 ^ -4 * I23 ^ 0.75) / 6.25))</f>
        <v>#N/A</v>
      </c>
      <c r="J172" s="15" t="e">
        <f ca="1">(((J57 * J156) / 6.25) + ((0.032 * K164) / 6.38) - J130 - ((1.1 * 10 ^ -4 * J23 ^ 0.75) / 6.25))</f>
        <v>#N/A</v>
      </c>
      <c r="K172" s="15" t="e">
        <f ca="1">(((K57 * K156) / 6.25) + ((0.032 * L164) / 6.38) - K130 - ((1.1 * 10 ^ -4 * K23 ^ 0.75) / 6.25))</f>
        <v>#N/A</v>
      </c>
      <c r="L172" s="15" t="e">
        <f ca="1">(((L57 * L156) / 6.25) + ((0.032 * M164) / 6.38) - L130 - ((1.1 * 10 ^ -4 * L23 ^ 0.75) / 6.25))</f>
        <v>#N/A</v>
      </c>
      <c r="M172" s="15" t="e">
        <f ca="1">(((M57 * M156) / 6.25) + ((0.032 * N164) / 6.38) - M130 - ((1.1 * 10 ^ -4 * M23 ^ 0.75) / 6.25))</f>
        <v>#N/A</v>
      </c>
      <c r="N172" s="15" t="e">
        <f ca="1">(((N57 * N156) / 6.25) + ((0.032 * O164) / 6.38) - N130 - ((1.1 * 10 ^ -4 * N23 ^ 0.75) / 6.25))</f>
        <v>#N/A</v>
      </c>
      <c r="O172" s="16" t="str">
        <f t="shared" si="8"/>
        <v>kg N/head/day</v>
      </c>
      <c r="U172" s="15" t="str">
        <f>TEXT(EDATE(X_Cell_Site_StartDate,8), "mmmm")</f>
        <v>August</v>
      </c>
      <c r="V172" s="15" t="e">
        <f ca="1"/>
        <v>#N/A</v>
      </c>
      <c r="W172" s="15" t="e">
        <f ca="1"/>
        <v>#N/A</v>
      </c>
      <c r="X172" s="15" t="e">
        <f ca="1"/>
        <v>#N/A</v>
      </c>
      <c r="Y172" s="15" t="e">
        <f ca="1"/>
        <v>#N/A</v>
      </c>
      <c r="Z172" s="15" t="e">
        <f ca="1"/>
        <v>#N/A</v>
      </c>
      <c r="AA172" s="15" t="e">
        <f ca="1"/>
        <v>#N/A</v>
      </c>
      <c r="AB172" s="15" t="e">
        <f ca="1"/>
        <v>#N/A</v>
      </c>
      <c r="AC172" s="15" t="e">
        <f ca="1"/>
        <v>#N/A</v>
      </c>
      <c r="AD172" s="15" t="e">
        <f ca="1"/>
        <v>#N/A</v>
      </c>
      <c r="AE172" s="15" t="e">
        <f ca="1"/>
        <v>#N/A</v>
      </c>
      <c r="AF172" s="16" t="s">
        <v>346</v>
      </c>
      <c r="AG172" s="16"/>
      <c r="AH172" s="16"/>
    </row>
    <row r="173" spans="3:34" ht="20.100000000000001" customHeight="1" x14ac:dyDescent="0.2">
      <c r="U173" s="15" t="str">
        <f>TEXT(EDATE(X_Cell_Site_StartDate,9), "mmmm")</f>
        <v>September</v>
      </c>
      <c r="V173" s="15" t="e">
        <f ca="1"/>
        <v>#N/A</v>
      </c>
      <c r="W173" s="15" t="e">
        <f ca="1"/>
        <v>#N/A</v>
      </c>
      <c r="X173" s="15" t="e">
        <f ca="1"/>
        <v>#N/A</v>
      </c>
      <c r="Y173" s="15" t="e">
        <f ca="1"/>
        <v>#N/A</v>
      </c>
      <c r="Z173" s="15" t="e">
        <f ca="1"/>
        <v>#N/A</v>
      </c>
      <c r="AA173" s="15" t="e">
        <f ca="1"/>
        <v>#N/A</v>
      </c>
      <c r="AB173" s="15" t="e">
        <f ca="1"/>
        <v>#N/A</v>
      </c>
      <c r="AC173" s="15" t="e">
        <f ca="1"/>
        <v>#N/A</v>
      </c>
      <c r="AD173" s="15" t="e">
        <f ca="1"/>
        <v>#N/A</v>
      </c>
      <c r="AE173" s="15" t="e">
        <f ca="1"/>
        <v>#N/A</v>
      </c>
      <c r="AF173" s="16" t="s">
        <v>346</v>
      </c>
      <c r="AG173" s="16"/>
      <c r="AH173" s="16"/>
    </row>
    <row r="174" spans="3:34" ht="20.100000000000001" customHeight="1" x14ac:dyDescent="0.2">
      <c r="U174" s="15" t="str">
        <f>TEXT(EDATE(X_Cell_Site_StartDate,10), "mmmm")</f>
        <v>October</v>
      </c>
      <c r="V174" s="15" t="e">
        <f ca="1"/>
        <v>#N/A</v>
      </c>
      <c r="W174" s="15" t="e">
        <f ca="1"/>
        <v>#N/A</v>
      </c>
      <c r="X174" s="15" t="e">
        <f ca="1"/>
        <v>#N/A</v>
      </c>
      <c r="Y174" s="15" t="e">
        <f ca="1"/>
        <v>#N/A</v>
      </c>
      <c r="Z174" s="15" t="e">
        <f ca="1"/>
        <v>#N/A</v>
      </c>
      <c r="AA174" s="15" t="e">
        <f ca="1"/>
        <v>#N/A</v>
      </c>
      <c r="AB174" s="15" t="e">
        <f ca="1"/>
        <v>#N/A</v>
      </c>
      <c r="AC174" s="15" t="e">
        <f ca="1"/>
        <v>#N/A</v>
      </c>
      <c r="AD174" s="15" t="e">
        <f ca="1"/>
        <v>#N/A</v>
      </c>
      <c r="AE174" s="15" t="e">
        <f ca="1"/>
        <v>#N/A</v>
      </c>
      <c r="AF174" s="16" t="s">
        <v>346</v>
      </c>
      <c r="AG174" s="16"/>
      <c r="AH174" s="16"/>
    </row>
    <row r="175" spans="3:34" ht="20.100000000000001" customHeight="1" x14ac:dyDescent="0.2">
      <c r="C175" s="87"/>
      <c r="D175" s="87"/>
      <c r="E175" s="87"/>
      <c r="F175" s="87"/>
      <c r="G175" s="87"/>
      <c r="H175" s="87"/>
      <c r="I175" s="87"/>
      <c r="J175" s="87"/>
      <c r="K175" s="87"/>
      <c r="L175" s="87"/>
      <c r="M175" s="87"/>
      <c r="N175" s="87"/>
      <c r="O175" s="87"/>
      <c r="P175" s="87"/>
      <c r="Q175" s="87"/>
      <c r="R175" s="87"/>
      <c r="U175" s="15" t="str">
        <f>TEXT(EDATE(X_Cell_Site_StartDate,11), "mmmm")</f>
        <v>November</v>
      </c>
      <c r="V175" s="15" t="e">
        <f ca="1"/>
        <v>#N/A</v>
      </c>
      <c r="W175" s="15" t="e">
        <f ca="1"/>
        <v>#N/A</v>
      </c>
      <c r="X175" s="15" t="e">
        <f ca="1"/>
        <v>#N/A</v>
      </c>
      <c r="Y175" s="15" t="e">
        <f ca="1"/>
        <v>#N/A</v>
      </c>
      <c r="Z175" s="15" t="e">
        <f ca="1"/>
        <v>#N/A</v>
      </c>
      <c r="AA175" s="15" t="e">
        <f ca="1"/>
        <v>#N/A</v>
      </c>
      <c r="AB175" s="15" t="e">
        <f ca="1"/>
        <v>#N/A</v>
      </c>
      <c r="AC175" s="15" t="e">
        <f ca="1"/>
        <v>#N/A</v>
      </c>
      <c r="AD175" s="15" t="e">
        <f ca="1"/>
        <v>#N/A</v>
      </c>
      <c r="AE175" s="15" t="e">
        <f ca="1"/>
        <v>#N/A</v>
      </c>
      <c r="AF175" s="16" t="s">
        <v>346</v>
      </c>
      <c r="AG175" s="16"/>
      <c r="AH175" s="16"/>
    </row>
    <row r="176" spans="3:34" ht="20.100000000000001" customHeight="1" x14ac:dyDescent="0.2">
      <c r="D176" s="2" t="s">
        <v>1326</v>
      </c>
      <c r="AG176" s="16"/>
      <c r="AH176" s="16"/>
    </row>
    <row r="177" spans="4:34" ht="20.100000000000001" customHeight="1" x14ac:dyDescent="0.2">
      <c r="D177" s="17" t="s">
        <v>1327</v>
      </c>
      <c r="U177" s="112" t="s">
        <v>466</v>
      </c>
      <c r="AH177" s="16"/>
    </row>
    <row r="178" spans="4:34" ht="20.100000000000001" customHeight="1" x14ac:dyDescent="0.2">
      <c r="D178" s="103"/>
      <c r="E178" s="103"/>
      <c r="U178" s="113" t="s">
        <v>467</v>
      </c>
      <c r="AH178" s="16"/>
    </row>
    <row r="179" spans="4:34" ht="20.100000000000001" customHeight="1" x14ac:dyDescent="0.2">
      <c r="U179" s="114" t="s">
        <v>75</v>
      </c>
      <c r="V179" s="114" t="s">
        <v>357</v>
      </c>
      <c r="W179" s="114" t="s">
        <v>326</v>
      </c>
      <c r="X179" s="114" t="s">
        <v>184</v>
      </c>
      <c r="Y179" s="114" t="s">
        <v>327</v>
      </c>
      <c r="Z179" s="114" t="s">
        <v>328</v>
      </c>
      <c r="AA179" s="114" t="s">
        <v>329</v>
      </c>
      <c r="AB179" s="114" t="s">
        <v>330</v>
      </c>
      <c r="AC179" s="114" t="s">
        <v>331</v>
      </c>
      <c r="AD179" s="114" t="s">
        <v>332</v>
      </c>
      <c r="AE179" s="114" t="s">
        <v>333</v>
      </c>
      <c r="AF179" s="114" t="s">
        <v>334</v>
      </c>
      <c r="AH179" s="16"/>
    </row>
    <row r="180" spans="4:34" ht="20.100000000000001" customHeight="1" x14ac:dyDescent="0.2">
      <c r="U180" s="15" t="str">
        <f>TEXT(X_Cell_Site_StartDate,"mmmm")</f>
        <v>January</v>
      </c>
      <c r="V180" s="15" t="str" cm="1">
        <f t="array" ref="V180">IFERROR(_xlfn.IFS(SUMPRODUCT(ISNUMBER(SEARCH(TRIM(_xlfn.TEXTSPLIT($U$92,",")),U180))*1)&gt;0,"Calving season",SUMPRODUCT(ISNUMBER(SEARCH(TRIM(_xlfn.TEXTSPLIT($U$93,",")),U180))*1)&gt;0,"Season after calving"), "")</f>
        <v>Season after calving</v>
      </c>
      <c r="W180" s="15" cm="1">
        <f t="array" ref="W180">_xlfn.XLOOKUP(1, (Table_SourceData_PastureBeef_FeedIntakeAdjustment_Variation[Breed]=$Z$158)*(Table_SourceData_PastureBeef_FeedIntakeAdjustment_Variation[Season]=$V180), Table_SourceData_PastureBeef_FeedIntakeAdjustment_Variation[Milk intake/production], 0)</f>
        <v>0</v>
      </c>
      <c r="X180" s="15">
        <v>0</v>
      </c>
      <c r="Y180" s="15" cm="1">
        <f t="array" ref="Y180">_xlfn.XLOOKUP(1, (Table_SourceData_PastureBeef_FeedIntakeAdjustment_Variation[Breed]=$Z$158)*(Table_SourceData_PastureBeef_FeedIntakeAdjustment_Variation[Season]=$V180), Table_SourceData_PastureBeef_FeedIntakeAdjustment_Variation[Milk intake/production], 0)</f>
        <v>0</v>
      </c>
      <c r="Z180" s="15">
        <v>0</v>
      </c>
      <c r="AA180" s="15">
        <v>0</v>
      </c>
      <c r="AB180" s="15">
        <v>0</v>
      </c>
      <c r="AC180" s="15" cm="1">
        <f t="array" ref="AC180">_xlfn.XLOOKUP(1, (Table_SourceData_PastureBeef_FeedIntakeAdjustment_Variation[Breed]=$Z$158)*(Table_SourceData_PastureBeef_FeedIntakeAdjustment_Variation[Season]=$V180), Table_SourceData_PastureBeef_FeedIntakeAdjustment_Variation[Milk intake/production], 0)</f>
        <v>0</v>
      </c>
      <c r="AD180" s="15">
        <v>0</v>
      </c>
      <c r="AE180" s="15">
        <v>0</v>
      </c>
      <c r="AF180" s="15">
        <v>0</v>
      </c>
      <c r="AG180" s="16" t="s">
        <v>344</v>
      </c>
    </row>
    <row r="181" spans="4:34" ht="20.100000000000001" customHeight="1" x14ac:dyDescent="0.2">
      <c r="D181" s="77" t="s">
        <v>373</v>
      </c>
      <c r="E181" s="1" t="s">
        <v>472</v>
      </c>
      <c r="U181" s="15" t="str">
        <f>TEXT(EDATE(X_Cell_Site_StartDate,1), "mmmm")</f>
        <v>January</v>
      </c>
      <c r="V181" s="15" t="str" cm="1">
        <f t="array" ref="V181">IFERROR(_xlfn.IFS(SUMPRODUCT(ISNUMBER(SEARCH(TRIM(_xlfn.TEXTSPLIT($U$92,",")),U181))*1)&gt;0,"Calving season",SUMPRODUCT(ISNUMBER(SEARCH(TRIM(_xlfn.TEXTSPLIT($U$93,",")),U181))*1)&gt;0,"Season after calving"), "")</f>
        <v>Season after calving</v>
      </c>
      <c r="W181" s="15" cm="1">
        <f t="array" ref="W181">_xlfn.XLOOKUP(1, (Table_SourceData_PastureBeef_FeedIntakeAdjustment_Variation[Breed]=$Z$158)*(Table_SourceData_PastureBeef_FeedIntakeAdjustment_Variation[Season]=$V181), Table_SourceData_PastureBeef_FeedIntakeAdjustment_Variation[Milk intake/production], 0)</f>
        <v>0</v>
      </c>
      <c r="X181" s="15">
        <v>0</v>
      </c>
      <c r="Y181" s="15" cm="1">
        <f t="array" ref="Y181">_xlfn.XLOOKUP(1, (Table_SourceData_PastureBeef_FeedIntakeAdjustment_Variation[Breed]=$Z$158)*(Table_SourceData_PastureBeef_FeedIntakeAdjustment_Variation[Season]=$V181), Table_SourceData_PastureBeef_FeedIntakeAdjustment_Variation[Milk intake/production], 0)</f>
        <v>0</v>
      </c>
      <c r="Z181" s="15">
        <v>0</v>
      </c>
      <c r="AA181" s="15">
        <v>0</v>
      </c>
      <c r="AB181" s="15">
        <v>0</v>
      </c>
      <c r="AC181" s="15" cm="1">
        <f t="array" ref="AC181">_xlfn.XLOOKUP(1, (Table_SourceData_PastureBeef_FeedIntakeAdjustment_Variation[Breed]=$Z$158)*(Table_SourceData_PastureBeef_FeedIntakeAdjustment_Variation[Season]=$V181), Table_SourceData_PastureBeef_FeedIntakeAdjustment_Variation[Milk intake/production], 0)</f>
        <v>0</v>
      </c>
      <c r="AD181" s="15">
        <v>0</v>
      </c>
      <c r="AE181" s="15">
        <v>0</v>
      </c>
      <c r="AF181" s="15">
        <v>0</v>
      </c>
      <c r="AG181" s="16" t="s">
        <v>344</v>
      </c>
    </row>
    <row r="182" spans="4:34" ht="20.100000000000001" customHeight="1" x14ac:dyDescent="0.2">
      <c r="D182" s="77" t="s">
        <v>121</v>
      </c>
      <c r="E182" s="9" t="s">
        <v>1055</v>
      </c>
      <c r="U182" s="15" t="str">
        <f>TEXT(EDATE(X_Cell_Site_StartDate,2), "mmmm")</f>
        <v>February</v>
      </c>
      <c r="V182" s="15" t="str" cm="1">
        <f t="array" ref="V182">IFERROR(_xlfn.IFS(SUMPRODUCT(ISNUMBER(SEARCH(TRIM(_xlfn.TEXTSPLIT($U$92,",")),U182))*1)&gt;0,"Calving season",SUMPRODUCT(ISNUMBER(SEARCH(TRIM(_xlfn.TEXTSPLIT($U$93,",")),U182))*1)&gt;0,"Season after calving"), "")</f>
        <v/>
      </c>
      <c r="W182" s="15" cm="1">
        <f t="array" ref="W182">_xlfn.XLOOKUP(1, (Table_SourceData_PastureBeef_FeedIntakeAdjustment_Variation[Breed]=$Z$158)*(Table_SourceData_PastureBeef_FeedIntakeAdjustment_Variation[Season]=$V182), Table_SourceData_PastureBeef_FeedIntakeAdjustment_Variation[Milk intake/production], 0)</f>
        <v>0</v>
      </c>
      <c r="X182" s="15">
        <v>0</v>
      </c>
      <c r="Y182" s="15" cm="1">
        <f t="array" ref="Y182">_xlfn.XLOOKUP(1, (Table_SourceData_PastureBeef_FeedIntakeAdjustment_Variation[Breed]=$Z$158)*(Table_SourceData_PastureBeef_FeedIntakeAdjustment_Variation[Season]=$V182), Table_SourceData_PastureBeef_FeedIntakeAdjustment_Variation[Milk intake/production], 0)</f>
        <v>0</v>
      </c>
      <c r="Z182" s="15">
        <v>0</v>
      </c>
      <c r="AA182" s="15">
        <v>0</v>
      </c>
      <c r="AB182" s="15">
        <v>0</v>
      </c>
      <c r="AC182" s="15" cm="1">
        <f t="array" ref="AC182">_xlfn.XLOOKUP(1, (Table_SourceData_PastureBeef_FeedIntakeAdjustment_Variation[Breed]=$Z$158)*(Table_SourceData_PastureBeef_FeedIntakeAdjustment_Variation[Season]=$V182), Table_SourceData_PastureBeef_FeedIntakeAdjustment_Variation[Milk intake/production], 0)</f>
        <v>0</v>
      </c>
      <c r="AD182" s="15">
        <v>0</v>
      </c>
      <c r="AE182" s="15">
        <v>0</v>
      </c>
      <c r="AF182" s="15">
        <v>0</v>
      </c>
      <c r="AG182" s="16" t="s">
        <v>344</v>
      </c>
    </row>
    <row r="183" spans="4:34" ht="20.100000000000001" customHeight="1" x14ac:dyDescent="0.2">
      <c r="U183" s="15" t="str">
        <f>TEXT(EDATE(X_Cell_Site_StartDate,3), "mmmm")</f>
        <v>March</v>
      </c>
      <c r="V183" s="15" t="str" cm="1">
        <f t="array" ref="V183">IFERROR(_xlfn.IFS(SUMPRODUCT(ISNUMBER(SEARCH(TRIM(_xlfn.TEXTSPLIT($U$92,",")),U183))*1)&gt;0,"Calving season",SUMPRODUCT(ISNUMBER(SEARCH(TRIM(_xlfn.TEXTSPLIT($U$93,",")),U183))*1)&gt;0,"Season after calving"), "")</f>
        <v/>
      </c>
      <c r="W183" s="15" cm="1">
        <f t="array" ref="W183">_xlfn.XLOOKUP(1, (Table_SourceData_PastureBeef_FeedIntakeAdjustment_Variation[Breed]=$Z$158)*(Table_SourceData_PastureBeef_FeedIntakeAdjustment_Variation[Season]=$V183), Table_SourceData_PastureBeef_FeedIntakeAdjustment_Variation[Milk intake/production], 0)</f>
        <v>0</v>
      </c>
      <c r="X183" s="15">
        <v>0</v>
      </c>
      <c r="Y183" s="15" cm="1">
        <f t="array" ref="Y183">_xlfn.XLOOKUP(1, (Table_SourceData_PastureBeef_FeedIntakeAdjustment_Variation[Breed]=$Z$158)*(Table_SourceData_PastureBeef_FeedIntakeAdjustment_Variation[Season]=$V183), Table_SourceData_PastureBeef_FeedIntakeAdjustment_Variation[Milk intake/production], 0)</f>
        <v>0</v>
      </c>
      <c r="Z183" s="15">
        <v>0</v>
      </c>
      <c r="AA183" s="15">
        <v>0</v>
      </c>
      <c r="AB183" s="15">
        <v>0</v>
      </c>
      <c r="AC183" s="15" cm="1">
        <f t="array" ref="AC183">_xlfn.XLOOKUP(1, (Table_SourceData_PastureBeef_FeedIntakeAdjustment_Variation[Breed]=$Z$158)*(Table_SourceData_PastureBeef_FeedIntakeAdjustment_Variation[Season]=$V183), Table_SourceData_PastureBeef_FeedIntakeAdjustment_Variation[Milk intake/production], 0)</f>
        <v>0</v>
      </c>
      <c r="AD183" s="15">
        <v>0</v>
      </c>
      <c r="AE183" s="15">
        <v>0</v>
      </c>
      <c r="AF183" s="15">
        <v>0</v>
      </c>
      <c r="AG183" s="16" t="s">
        <v>344</v>
      </c>
    </row>
    <row r="184" spans="4:34" ht="20.100000000000001" customHeight="1" x14ac:dyDescent="0.2">
      <c r="D184" s="105" t="s">
        <v>1244</v>
      </c>
      <c r="E184" s="106" t="s">
        <v>1328</v>
      </c>
      <c r="F184" s="108"/>
      <c r="G184" s="105" t="s">
        <v>425</v>
      </c>
      <c r="H184" s="109" t="s">
        <v>1219</v>
      </c>
      <c r="I184" s="111" t="str" cm="1">
        <f t="array" aca="1" ref="I184" ca="1">HYPERLINK(Common_InputFunctions.Utility_SourceHyperlink($D$188), $D$188)</f>
        <v>M1_Table_N_j_k_l</v>
      </c>
      <c r="U184" s="15" t="str">
        <f>TEXT(EDATE(X_Cell_Site_StartDate,4), "mmmm")</f>
        <v>April</v>
      </c>
      <c r="V184" s="15" t="str" cm="1">
        <f t="array" ref="V184">IFERROR(_xlfn.IFS(SUMPRODUCT(ISNUMBER(SEARCH(TRIM(_xlfn.TEXTSPLIT($U$92,",")),U184))*1)&gt;0,"Calving season",SUMPRODUCT(ISNUMBER(SEARCH(TRIM(_xlfn.TEXTSPLIT($U$93,",")),U184))*1)&gt;0,"Season after calving"), "")</f>
        <v/>
      </c>
      <c r="W184" s="15" cm="1">
        <f t="array" ref="W184">_xlfn.XLOOKUP(1, (Table_SourceData_PastureBeef_FeedIntakeAdjustment_Variation[Breed]=$Z$158)*(Table_SourceData_PastureBeef_FeedIntakeAdjustment_Variation[Season]=$V184), Table_SourceData_PastureBeef_FeedIntakeAdjustment_Variation[Milk intake/production], 0)</f>
        <v>0</v>
      </c>
      <c r="X184" s="15">
        <v>0</v>
      </c>
      <c r="Y184" s="15" cm="1">
        <f t="array" ref="Y184">_xlfn.XLOOKUP(1, (Table_SourceData_PastureBeef_FeedIntakeAdjustment_Variation[Breed]=$Z$158)*(Table_SourceData_PastureBeef_FeedIntakeAdjustment_Variation[Season]=$V184), Table_SourceData_PastureBeef_FeedIntakeAdjustment_Variation[Milk intake/production], 0)</f>
        <v>0</v>
      </c>
      <c r="Z184" s="15">
        <v>0</v>
      </c>
      <c r="AA184" s="15">
        <v>0</v>
      </c>
      <c r="AB184" s="15">
        <v>0</v>
      </c>
      <c r="AC184" s="15" cm="1">
        <f t="array" ref="AC184">_xlfn.XLOOKUP(1, (Table_SourceData_PastureBeef_FeedIntakeAdjustment_Variation[Breed]=$Z$158)*(Table_SourceData_PastureBeef_FeedIntakeAdjustment_Variation[Season]=$V184), Table_SourceData_PastureBeef_FeedIntakeAdjustment_Variation[Milk intake/production], 0)</f>
        <v>0</v>
      </c>
      <c r="AD184" s="15">
        <v>0</v>
      </c>
      <c r="AE184" s="15">
        <v>0</v>
      </c>
      <c r="AF184" s="15">
        <v>0</v>
      </c>
      <c r="AG184" s="16" t="s">
        <v>344</v>
      </c>
      <c r="AH184" s="16"/>
    </row>
    <row r="185" spans="4:34" ht="20.100000000000001" customHeight="1" x14ac:dyDescent="0.2">
      <c r="D185" s="105" t="s">
        <v>1318</v>
      </c>
      <c r="E185" s="106" t="s">
        <v>1329</v>
      </c>
      <c r="F185" s="108"/>
      <c r="G185" s="105" t="s">
        <v>1308</v>
      </c>
      <c r="H185" s="110" t="s">
        <v>1331</v>
      </c>
      <c r="I185" s="111" t="str" cm="1">
        <f t="array" aca="1" ref="I185" ca="1">HYPERLINK(Common_InputFunctions.Utility_SourceHyperlink($D$166), $D$166)</f>
        <v>M1_Table_NE_j_k_l</v>
      </c>
      <c r="U185" s="15" t="str">
        <f>TEXT(EDATE(X_Cell_Site_StartDate,5), "mmmm")</f>
        <v>May</v>
      </c>
      <c r="V185" s="15" t="str" cm="1">
        <f t="array" ref="V185">IFERROR(_xlfn.IFS(SUMPRODUCT(ISNUMBER(SEARCH(TRIM(_xlfn.TEXTSPLIT($U$92,",")),U185))*1)&gt;0,"Calving season",SUMPRODUCT(ISNUMBER(SEARCH(TRIM(_xlfn.TEXTSPLIT($U$93,",")),U185))*1)&gt;0,"Season after calving"), "")</f>
        <v/>
      </c>
      <c r="W185" s="15" cm="1">
        <f t="array" ref="W185">_xlfn.XLOOKUP(1, (Table_SourceData_PastureBeef_FeedIntakeAdjustment_Variation[Breed]=$Z$158)*(Table_SourceData_PastureBeef_FeedIntakeAdjustment_Variation[Season]=$V185), Table_SourceData_PastureBeef_FeedIntakeAdjustment_Variation[Milk intake/production], 0)</f>
        <v>0</v>
      </c>
      <c r="X185" s="15">
        <v>0</v>
      </c>
      <c r="Y185" s="15" cm="1">
        <f t="array" ref="Y185">_xlfn.XLOOKUP(1, (Table_SourceData_PastureBeef_FeedIntakeAdjustment_Variation[Breed]=$Z$158)*(Table_SourceData_PastureBeef_FeedIntakeAdjustment_Variation[Season]=$V185), Table_SourceData_PastureBeef_FeedIntakeAdjustment_Variation[Milk intake/production], 0)</f>
        <v>0</v>
      </c>
      <c r="Z185" s="15">
        <v>0</v>
      </c>
      <c r="AA185" s="15">
        <v>0</v>
      </c>
      <c r="AB185" s="15">
        <v>0</v>
      </c>
      <c r="AC185" s="15" cm="1">
        <f t="array" ref="AC185">_xlfn.XLOOKUP(1, (Table_SourceData_PastureBeef_FeedIntakeAdjustment_Variation[Breed]=$Z$158)*(Table_SourceData_PastureBeef_FeedIntakeAdjustment_Variation[Season]=$V185), Table_SourceData_PastureBeef_FeedIntakeAdjustment_Variation[Milk intake/production], 0)</f>
        <v>0</v>
      </c>
      <c r="AD185" s="15">
        <v>0</v>
      </c>
      <c r="AE185" s="15">
        <v>0</v>
      </c>
      <c r="AF185" s="15">
        <v>0</v>
      </c>
      <c r="AG185" s="16" t="s">
        <v>344</v>
      </c>
      <c r="AH185" s="16"/>
    </row>
    <row r="186" spans="4:34" ht="20.100000000000001" customHeight="1" x14ac:dyDescent="0.2">
      <c r="D186" s="105" t="s">
        <v>1241</v>
      </c>
      <c r="E186" s="106" t="s">
        <v>1330</v>
      </c>
      <c r="F186" s="108"/>
      <c r="G186" s="105" t="s">
        <v>428</v>
      </c>
      <c r="H186" s="109" t="s">
        <v>1219</v>
      </c>
      <c r="I186" s="111" t="str" cm="1">
        <f t="array" aca="1" ref="I186" ca="1">HYPERLINK(Common_InputFunctions.Utility_SourceHyperlink($D$196), $D$196)</f>
        <v>M1_Table_D_j</v>
      </c>
      <c r="U186" s="15" t="str">
        <f>TEXT(EDATE(X_Cell_Site_StartDate,6), "mmmm")</f>
        <v>June</v>
      </c>
      <c r="V186" s="15" t="str" cm="1">
        <f t="array" ref="V186">IFERROR(_xlfn.IFS(SUMPRODUCT(ISNUMBER(SEARCH(TRIM(_xlfn.TEXTSPLIT($U$92,",")),U186))*1)&gt;0,"Calving season",SUMPRODUCT(ISNUMBER(SEARCH(TRIM(_xlfn.TEXTSPLIT($U$93,",")),U186))*1)&gt;0,"Season after calving"), "")</f>
        <v/>
      </c>
      <c r="W186" s="15" cm="1">
        <f t="array" ref="W186">_xlfn.XLOOKUP(1, (Table_SourceData_PastureBeef_FeedIntakeAdjustment_Variation[Breed]=$Z$158)*(Table_SourceData_PastureBeef_FeedIntakeAdjustment_Variation[Season]=$V186), Table_SourceData_PastureBeef_FeedIntakeAdjustment_Variation[Milk intake/production], 0)</f>
        <v>0</v>
      </c>
      <c r="X186" s="15">
        <v>0</v>
      </c>
      <c r="Y186" s="15" cm="1">
        <f t="array" ref="Y186">_xlfn.XLOOKUP(1, (Table_SourceData_PastureBeef_FeedIntakeAdjustment_Variation[Breed]=$Z$158)*(Table_SourceData_PastureBeef_FeedIntakeAdjustment_Variation[Season]=$V186), Table_SourceData_PastureBeef_FeedIntakeAdjustment_Variation[Milk intake/production], 0)</f>
        <v>0</v>
      </c>
      <c r="Z186" s="15">
        <v>0</v>
      </c>
      <c r="AA186" s="15">
        <v>0</v>
      </c>
      <c r="AB186" s="15">
        <v>0</v>
      </c>
      <c r="AC186" s="15" cm="1">
        <f t="array" ref="AC186">_xlfn.XLOOKUP(1, (Table_SourceData_PastureBeef_FeedIntakeAdjustment_Variation[Breed]=$Z$158)*(Table_SourceData_PastureBeef_FeedIntakeAdjustment_Variation[Season]=$V186), Table_SourceData_PastureBeef_FeedIntakeAdjustment_Variation[Milk intake/production], 0)</f>
        <v>0</v>
      </c>
      <c r="AD186" s="15">
        <v>0</v>
      </c>
      <c r="AE186" s="15">
        <v>0</v>
      </c>
      <c r="AF186" s="15">
        <v>0</v>
      </c>
      <c r="AG186" s="16" t="s">
        <v>344</v>
      </c>
      <c r="AH186" s="16"/>
    </row>
    <row r="187" spans="4:34" ht="20.100000000000001" customHeight="1" x14ac:dyDescent="0.2">
      <c r="U187" s="15" t="str">
        <f>TEXT(EDATE(X_Cell_Site_StartDate,7), "mmmm")</f>
        <v>July</v>
      </c>
      <c r="V187" s="15" t="str" cm="1">
        <f t="array" ref="V187">IFERROR(_xlfn.IFS(SUMPRODUCT(ISNUMBER(SEARCH(TRIM(_xlfn.TEXTSPLIT($U$92,",")),U187))*1)&gt;0,"Calving season",SUMPRODUCT(ISNUMBER(SEARCH(TRIM(_xlfn.TEXTSPLIT($U$93,",")),U187))*1)&gt;0,"Season after calving"), "")</f>
        <v/>
      </c>
      <c r="W187" s="15" cm="1">
        <f t="array" ref="W187">_xlfn.XLOOKUP(1, (Table_SourceData_PastureBeef_FeedIntakeAdjustment_Variation[Breed]=$Z$158)*(Table_SourceData_PastureBeef_FeedIntakeAdjustment_Variation[Season]=$V187), Table_SourceData_PastureBeef_FeedIntakeAdjustment_Variation[Milk intake/production], 0)</f>
        <v>0</v>
      </c>
      <c r="X187" s="15">
        <v>0</v>
      </c>
      <c r="Y187" s="15" cm="1">
        <f t="array" ref="Y187">_xlfn.XLOOKUP(1, (Table_SourceData_PastureBeef_FeedIntakeAdjustment_Variation[Breed]=$Z$158)*(Table_SourceData_PastureBeef_FeedIntakeAdjustment_Variation[Season]=$V187), Table_SourceData_PastureBeef_FeedIntakeAdjustment_Variation[Milk intake/production], 0)</f>
        <v>0</v>
      </c>
      <c r="Z187" s="15">
        <v>0</v>
      </c>
      <c r="AA187" s="15">
        <v>0</v>
      </c>
      <c r="AB187" s="15">
        <v>0</v>
      </c>
      <c r="AC187" s="15" cm="1">
        <f t="array" ref="AC187">_xlfn.XLOOKUP(1, (Table_SourceData_PastureBeef_FeedIntakeAdjustment_Variation[Breed]=$Z$158)*(Table_SourceData_PastureBeef_FeedIntakeAdjustment_Variation[Season]=$V187), Table_SourceData_PastureBeef_FeedIntakeAdjustment_Variation[Milk intake/production], 0)</f>
        <v>0</v>
      </c>
      <c r="AD187" s="15">
        <v>0</v>
      </c>
      <c r="AE187" s="15">
        <v>0</v>
      </c>
      <c r="AF187" s="15">
        <v>0</v>
      </c>
      <c r="AG187" s="16" t="s">
        <v>344</v>
      </c>
      <c r="AH187" s="16"/>
    </row>
    <row r="188" spans="4:34" ht="20.100000000000001" customHeight="1" x14ac:dyDescent="0.2">
      <c r="D188" s="112" t="s">
        <v>421</v>
      </c>
      <c r="U188" s="15" t="str">
        <f>TEXT(EDATE(X_Cell_Site_StartDate,8), "mmmm")</f>
        <v>August</v>
      </c>
      <c r="V188" s="15" t="str" cm="1">
        <f t="array" ref="V188">IFERROR(_xlfn.IFS(SUMPRODUCT(ISNUMBER(SEARCH(TRIM(_xlfn.TEXTSPLIT($U$92,",")),U188))*1)&gt;0,"Calving season",SUMPRODUCT(ISNUMBER(SEARCH(TRIM(_xlfn.TEXTSPLIT($U$93,",")),U188))*1)&gt;0,"Season after calving"), "")</f>
        <v>Calving season</v>
      </c>
      <c r="W188" s="15" cm="1">
        <f t="array" ref="W188">_xlfn.XLOOKUP(1, (Table_SourceData_PastureBeef_FeedIntakeAdjustment_Variation[Breed]=$Z$158)*(Table_SourceData_PastureBeef_FeedIntakeAdjustment_Variation[Season]=$V188), Table_SourceData_PastureBeef_FeedIntakeAdjustment_Variation[Milk intake/production], 0)</f>
        <v>0</v>
      </c>
      <c r="X188" s="15">
        <v>0</v>
      </c>
      <c r="Y188" s="15" cm="1">
        <f t="array" ref="Y188">_xlfn.XLOOKUP(1, (Table_SourceData_PastureBeef_FeedIntakeAdjustment_Variation[Breed]=$Z$158)*(Table_SourceData_PastureBeef_FeedIntakeAdjustment_Variation[Season]=$V188), Table_SourceData_PastureBeef_FeedIntakeAdjustment_Variation[Milk intake/production], 0)</f>
        <v>0</v>
      </c>
      <c r="Z188" s="15">
        <v>0</v>
      </c>
      <c r="AA188" s="15">
        <v>0</v>
      </c>
      <c r="AB188" s="15">
        <v>0</v>
      </c>
      <c r="AC188" s="15" cm="1">
        <f t="array" ref="AC188">_xlfn.XLOOKUP(1, (Table_SourceData_PastureBeef_FeedIntakeAdjustment_Variation[Breed]=$Z$158)*(Table_SourceData_PastureBeef_FeedIntakeAdjustment_Variation[Season]=$V188), Table_SourceData_PastureBeef_FeedIntakeAdjustment_Variation[Milk intake/production], 0)</f>
        <v>0</v>
      </c>
      <c r="AD188" s="15">
        <v>0</v>
      </c>
      <c r="AE188" s="15">
        <v>0</v>
      </c>
      <c r="AF188" s="15">
        <v>0</v>
      </c>
      <c r="AG188" s="16" t="s">
        <v>344</v>
      </c>
    </row>
    <row r="189" spans="4:34" ht="20.100000000000001" customHeight="1" x14ac:dyDescent="0.2">
      <c r="D189" s="113" t="s">
        <v>423</v>
      </c>
      <c r="U189" s="15" t="str">
        <f>TEXT(EDATE(X_Cell_Site_StartDate,9), "mmmm")</f>
        <v>September</v>
      </c>
      <c r="V189" s="15" t="str" cm="1">
        <f t="array" ref="V189">IFERROR(_xlfn.IFS(SUMPRODUCT(ISNUMBER(SEARCH(TRIM(_xlfn.TEXTSPLIT($U$92,",")),U189))*1)&gt;0,"Calving season",SUMPRODUCT(ISNUMBER(SEARCH(TRIM(_xlfn.TEXTSPLIT($U$93,",")),U189))*1)&gt;0,"Season after calving"), "")</f>
        <v>Calving season</v>
      </c>
      <c r="W189" s="15" cm="1">
        <f t="array" ref="W189">_xlfn.XLOOKUP(1, (Table_SourceData_PastureBeef_FeedIntakeAdjustment_Variation[Breed]=$Z$158)*(Table_SourceData_PastureBeef_FeedIntakeAdjustment_Variation[Season]=$V189), Table_SourceData_PastureBeef_FeedIntakeAdjustment_Variation[Milk intake/production], 0)</f>
        <v>0</v>
      </c>
      <c r="X189" s="15">
        <v>0</v>
      </c>
      <c r="Y189" s="15" cm="1">
        <f t="array" ref="Y189">_xlfn.XLOOKUP(1, (Table_SourceData_PastureBeef_FeedIntakeAdjustment_Variation[Breed]=$Z$158)*(Table_SourceData_PastureBeef_FeedIntakeAdjustment_Variation[Season]=$V189), Table_SourceData_PastureBeef_FeedIntakeAdjustment_Variation[Milk intake/production], 0)</f>
        <v>0</v>
      </c>
      <c r="Z189" s="15">
        <v>0</v>
      </c>
      <c r="AA189" s="15">
        <v>0</v>
      </c>
      <c r="AB189" s="15">
        <v>0</v>
      </c>
      <c r="AC189" s="15" cm="1">
        <f t="array" ref="AC189">_xlfn.XLOOKUP(1, (Table_SourceData_PastureBeef_FeedIntakeAdjustment_Variation[Breed]=$Z$158)*(Table_SourceData_PastureBeef_FeedIntakeAdjustment_Variation[Season]=$V189), Table_SourceData_PastureBeef_FeedIntakeAdjustment_Variation[Milk intake/production], 0)</f>
        <v>0</v>
      </c>
      <c r="AD189" s="15">
        <v>0</v>
      </c>
      <c r="AE189" s="15">
        <v>0</v>
      </c>
      <c r="AF189" s="15">
        <v>0</v>
      </c>
      <c r="AG189" s="16" t="s">
        <v>344</v>
      </c>
    </row>
    <row r="190" spans="4:34" ht="20.100000000000001" customHeight="1" x14ac:dyDescent="0.2">
      <c r="D190" s="114" t="s">
        <v>76</v>
      </c>
      <c r="E190" s="82" t="s">
        <v>326</v>
      </c>
      <c r="F190" s="82" t="s">
        <v>184</v>
      </c>
      <c r="G190" s="82" t="s">
        <v>327</v>
      </c>
      <c r="H190" s="82" t="s">
        <v>328</v>
      </c>
      <c r="I190" s="82" t="s">
        <v>329</v>
      </c>
      <c r="J190" s="82" t="s">
        <v>330</v>
      </c>
      <c r="K190" s="82" t="s">
        <v>331</v>
      </c>
      <c r="L190" s="82" t="s">
        <v>332</v>
      </c>
      <c r="M190" s="82" t="s">
        <v>333</v>
      </c>
      <c r="N190" s="82" t="s">
        <v>334</v>
      </c>
      <c r="U190" s="15" t="str">
        <f>TEXT(EDATE(X_Cell_Site_StartDate,10), "mmmm")</f>
        <v>October</v>
      </c>
      <c r="V190" s="15" t="str" cm="1">
        <f t="array" ref="V190">IFERROR(_xlfn.IFS(SUMPRODUCT(ISNUMBER(SEARCH(TRIM(_xlfn.TEXTSPLIT($U$92,",")),U190))*1)&gt;0,"Calving season",SUMPRODUCT(ISNUMBER(SEARCH(TRIM(_xlfn.TEXTSPLIT($U$93,",")),U190))*1)&gt;0,"Season after calving"), "")</f>
        <v>Calving season</v>
      </c>
      <c r="W190" s="15" cm="1">
        <f t="array" ref="W190">_xlfn.XLOOKUP(1, (Table_SourceData_PastureBeef_FeedIntakeAdjustment_Variation[Breed]=$Z$158)*(Table_SourceData_PastureBeef_FeedIntakeAdjustment_Variation[Season]=$V190), Table_SourceData_PastureBeef_FeedIntakeAdjustment_Variation[Milk intake/production], 0)</f>
        <v>0</v>
      </c>
      <c r="X190" s="15">
        <v>0</v>
      </c>
      <c r="Y190" s="15" cm="1">
        <f t="array" ref="Y190">_xlfn.XLOOKUP(1, (Table_SourceData_PastureBeef_FeedIntakeAdjustment_Variation[Breed]=$Z$158)*(Table_SourceData_PastureBeef_FeedIntakeAdjustment_Variation[Season]=$V190), Table_SourceData_PastureBeef_FeedIntakeAdjustment_Variation[Milk intake/production], 0)</f>
        <v>0</v>
      </c>
      <c r="Z190" s="15">
        <v>0</v>
      </c>
      <c r="AA190" s="15">
        <v>0</v>
      </c>
      <c r="AB190" s="15">
        <v>0</v>
      </c>
      <c r="AC190" s="15" cm="1">
        <f t="array" ref="AC190">_xlfn.XLOOKUP(1, (Table_SourceData_PastureBeef_FeedIntakeAdjustment_Variation[Breed]=$Z$158)*(Table_SourceData_PastureBeef_FeedIntakeAdjustment_Variation[Season]=$V190), Table_SourceData_PastureBeef_FeedIntakeAdjustment_Variation[Milk intake/production], 0)</f>
        <v>0</v>
      </c>
      <c r="AD190" s="15">
        <v>0</v>
      </c>
      <c r="AE190" s="15">
        <v>0</v>
      </c>
      <c r="AF190" s="15">
        <v>0</v>
      </c>
      <c r="AG190" s="16" t="s">
        <v>344</v>
      </c>
    </row>
    <row r="191" spans="4:34" ht="20.100000000000001" customHeight="1" x14ac:dyDescent="0.2">
      <c r="D191" s="15" t="s">
        <v>335</v>
      </c>
      <c r="E191" s="15" cm="1">
        <f t="array" aca="1" ref="E191:N194" ca="1">OFFSET(X_Table_PastureBeef_Head_Method1, 1,1, 4,10)</f>
        <v>0</v>
      </c>
      <c r="F191" s="15">
        <f ca="1"/>
        <v>0</v>
      </c>
      <c r="G191" s="15">
        <f ca="1"/>
        <v>0</v>
      </c>
      <c r="H191" s="15">
        <f ca="1"/>
        <v>0</v>
      </c>
      <c r="I191" s="15">
        <f ca="1"/>
        <v>0</v>
      </c>
      <c r="J191" s="15">
        <f ca="1"/>
        <v>0</v>
      </c>
      <c r="K191" s="15">
        <f ca="1"/>
        <v>0</v>
      </c>
      <c r="L191" s="15">
        <f ca="1"/>
        <v>0</v>
      </c>
      <c r="M191" s="15">
        <f ca="1"/>
        <v>0</v>
      </c>
      <c r="N191" s="15">
        <f ca="1"/>
        <v>0</v>
      </c>
      <c r="O191" s="16" t="s">
        <v>425</v>
      </c>
      <c r="U191" s="15" t="str">
        <f>TEXT(EDATE(X_Cell_Site_StartDate,11), "mmmm")</f>
        <v>November</v>
      </c>
      <c r="V191" s="15" t="str" cm="1">
        <f t="array" ref="V191">IFERROR(_xlfn.IFS(SUMPRODUCT(ISNUMBER(SEARCH(TRIM(_xlfn.TEXTSPLIT($U$92,",")),U191))*1)&gt;0,"Calving season",SUMPRODUCT(ISNUMBER(SEARCH(TRIM(_xlfn.TEXTSPLIT($U$93,",")),U191))*1)&gt;0,"Season after calving"), "")</f>
        <v>Season after calving</v>
      </c>
      <c r="W191" s="15" cm="1">
        <f t="array" ref="W191">_xlfn.XLOOKUP(1, (Table_SourceData_PastureBeef_FeedIntakeAdjustment_Variation[Breed]=$Z$158)*(Table_SourceData_PastureBeef_FeedIntakeAdjustment_Variation[Season]=$V191), Table_SourceData_PastureBeef_FeedIntakeAdjustment_Variation[Milk intake/production], 0)</f>
        <v>0</v>
      </c>
      <c r="X191" s="15">
        <v>0</v>
      </c>
      <c r="Y191" s="15" cm="1">
        <f t="array" ref="Y191">_xlfn.XLOOKUP(1, (Table_SourceData_PastureBeef_FeedIntakeAdjustment_Variation[Breed]=$Z$158)*(Table_SourceData_PastureBeef_FeedIntakeAdjustment_Variation[Season]=$V191), Table_SourceData_PastureBeef_FeedIntakeAdjustment_Variation[Milk intake/production], 0)</f>
        <v>0</v>
      </c>
      <c r="Z191" s="15">
        <v>0</v>
      </c>
      <c r="AA191" s="15">
        <v>0</v>
      </c>
      <c r="AB191" s="15">
        <v>0</v>
      </c>
      <c r="AC191" s="15" cm="1">
        <f t="array" ref="AC191">_xlfn.XLOOKUP(1, (Table_SourceData_PastureBeef_FeedIntakeAdjustment_Variation[Breed]=$Z$158)*(Table_SourceData_PastureBeef_FeedIntakeAdjustment_Variation[Season]=$V191), Table_SourceData_PastureBeef_FeedIntakeAdjustment_Variation[Milk intake/production], 0)</f>
        <v>0</v>
      </c>
      <c r="AD191" s="15">
        <v>0</v>
      </c>
      <c r="AE191" s="15">
        <v>0</v>
      </c>
      <c r="AF191" s="15">
        <v>0</v>
      </c>
      <c r="AG191" s="16" t="s">
        <v>344</v>
      </c>
    </row>
    <row r="192" spans="4:34" ht="20.100000000000001" customHeight="1" x14ac:dyDescent="0.2">
      <c r="D192" s="15" t="s">
        <v>336</v>
      </c>
      <c r="E192" s="15">
        <f ca="1"/>
        <v>0</v>
      </c>
      <c r="F192" s="15">
        <f ca="1"/>
        <v>0</v>
      </c>
      <c r="G192" s="15">
        <f ca="1"/>
        <v>0</v>
      </c>
      <c r="H192" s="15">
        <f ca="1"/>
        <v>0</v>
      </c>
      <c r="I192" s="15">
        <f ca="1"/>
        <v>0</v>
      </c>
      <c r="J192" s="15">
        <f ca="1"/>
        <v>0</v>
      </c>
      <c r="K192" s="15">
        <f ca="1"/>
        <v>0</v>
      </c>
      <c r="L192" s="15">
        <f ca="1"/>
        <v>0</v>
      </c>
      <c r="M192" s="15">
        <f ca="1"/>
        <v>0</v>
      </c>
      <c r="N192" s="15">
        <f ca="1"/>
        <v>0</v>
      </c>
      <c r="O192" s="16" t="s">
        <v>425</v>
      </c>
    </row>
    <row r="193" spans="4:34" ht="20.100000000000001" customHeight="1" x14ac:dyDescent="0.2">
      <c r="D193" s="15" t="s">
        <v>337</v>
      </c>
      <c r="E193" s="15">
        <f ca="1"/>
        <v>0</v>
      </c>
      <c r="F193" s="15">
        <f ca="1"/>
        <v>0</v>
      </c>
      <c r="G193" s="15">
        <f ca="1"/>
        <v>0</v>
      </c>
      <c r="H193" s="15">
        <f ca="1"/>
        <v>0</v>
      </c>
      <c r="I193" s="15">
        <f ca="1"/>
        <v>0</v>
      </c>
      <c r="J193" s="15">
        <f ca="1"/>
        <v>0</v>
      </c>
      <c r="K193" s="15">
        <f ca="1"/>
        <v>0</v>
      </c>
      <c r="L193" s="15">
        <f ca="1"/>
        <v>0</v>
      </c>
      <c r="M193" s="15">
        <f ca="1"/>
        <v>0</v>
      </c>
      <c r="N193" s="15">
        <f ca="1"/>
        <v>0</v>
      </c>
      <c r="O193" s="16" t="s">
        <v>425</v>
      </c>
      <c r="U193" s="112" t="s">
        <v>468</v>
      </c>
    </row>
    <row r="194" spans="4:34" ht="20.100000000000001" customHeight="1" x14ac:dyDescent="0.2">
      <c r="D194" s="15" t="s">
        <v>338</v>
      </c>
      <c r="E194" s="15">
        <f ca="1"/>
        <v>0</v>
      </c>
      <c r="F194" s="15">
        <f ca="1"/>
        <v>0</v>
      </c>
      <c r="G194" s="15">
        <f ca="1"/>
        <v>0</v>
      </c>
      <c r="H194" s="15">
        <f ca="1"/>
        <v>0</v>
      </c>
      <c r="I194" s="15">
        <f ca="1"/>
        <v>0</v>
      </c>
      <c r="J194" s="15">
        <f ca="1"/>
        <v>0</v>
      </c>
      <c r="K194" s="15">
        <f ca="1"/>
        <v>0</v>
      </c>
      <c r="L194" s="15">
        <f ca="1"/>
        <v>0</v>
      </c>
      <c r="M194" s="15">
        <f ca="1"/>
        <v>0</v>
      </c>
      <c r="N194" s="15">
        <f ca="1"/>
        <v>0</v>
      </c>
      <c r="O194" s="16" t="s">
        <v>425</v>
      </c>
      <c r="U194" s="113" t="s">
        <v>469</v>
      </c>
    </row>
    <row r="195" spans="4:34" ht="20.100000000000001" customHeight="1" x14ac:dyDescent="0.2">
      <c r="U195" s="114" t="s">
        <v>75</v>
      </c>
      <c r="V195" s="114" t="s">
        <v>326</v>
      </c>
      <c r="W195" s="114" t="s">
        <v>184</v>
      </c>
      <c r="X195" s="114" t="s">
        <v>327</v>
      </c>
      <c r="Y195" s="114" t="s">
        <v>328</v>
      </c>
      <c r="Z195" s="114" t="s">
        <v>329</v>
      </c>
      <c r="AA195" s="114" t="s">
        <v>330</v>
      </c>
      <c r="AB195" s="114" t="s">
        <v>331</v>
      </c>
      <c r="AC195" s="114" t="s">
        <v>332</v>
      </c>
      <c r="AD195" s="114" t="s">
        <v>333</v>
      </c>
      <c r="AE195" s="114" t="s">
        <v>334</v>
      </c>
    </row>
    <row r="196" spans="4:34" ht="20.100000000000001" customHeight="1" x14ac:dyDescent="0.2">
      <c r="D196" s="112" t="s">
        <v>426</v>
      </c>
      <c r="U196" s="15" t="str">
        <f>TEXT(X_Cell_Site_StartDate,"mmmm")</f>
        <v>January</v>
      </c>
      <c r="V196" s="15" t="e">
        <f ca="1">(((V56 * V164) / 6.25) + ((0.032 * W180) / 6.38) - V136 - ((1.1 * 10 ^ -4 * V20 ^ 0.75) / 6.25))</f>
        <v>#N/A</v>
      </c>
      <c r="W196" s="15" t="e">
        <f ca="1">(((W56 * W164) / 6.25) + ((0.032 * X180) / 6.38) - W136 - ((1.1 * 10 ^ -4 * W20 ^ 0.75) / 6.25))</f>
        <v>#N/A</v>
      </c>
      <c r="X196" s="15" t="e">
        <f ca="1">(((X56 * X164) / 6.25) + ((0.032 * Y180) / 6.38) - X136 - ((1.1 * 10 ^ -4 * X20 ^ 0.75) / 6.25))</f>
        <v>#N/A</v>
      </c>
      <c r="Y196" s="15" t="e">
        <f ca="1">(((Y56 * Y164) / 6.25) + ((0.032 * Z180) / 6.38) - Y136 - ((1.1 * 10 ^ -4 * Y20 ^ 0.75) / 6.25))</f>
        <v>#N/A</v>
      </c>
      <c r="Z196" s="15" t="e">
        <f ca="1">(((Z56 * Z164) / 6.25) + ((0.032 * AA180) / 6.38) - Z136 - ((1.1 * 10 ^ -4 * Z20 ^ 0.75) / 6.25))</f>
        <v>#N/A</v>
      </c>
      <c r="AA196" s="15" t="e">
        <f ca="1">(((AA56 * AA164) / 6.25) + ((0.032 * AB180) / 6.38) - AA136 - ((1.1 * 10 ^ -4 * AA20 ^ 0.75) / 6.25))</f>
        <v>#N/A</v>
      </c>
      <c r="AB196" s="15" t="e">
        <f ca="1">(((AB56 * AB164) / 6.25) + ((0.032 * AC180) / 6.38) - AB136 - ((1.1 * 10 ^ -4 * AB20 ^ 0.75) / 6.25))</f>
        <v>#N/A</v>
      </c>
      <c r="AC196" s="15" t="e">
        <f ca="1">(((AC56 * AC164) / 6.25) + ((0.032 * AD180) / 6.38) - AC136 - ((1.1 * 10 ^ -4 * AC20 ^ 0.75) / 6.25))</f>
        <v>#N/A</v>
      </c>
      <c r="AD196" s="15" t="e">
        <f ca="1">(((AD56 * AD164) / 6.25) + ((0.032 * AE180) / 6.38) - AD136 - ((1.1 * 10 ^ -4 * AD20 ^ 0.75) / 6.25))</f>
        <v>#N/A</v>
      </c>
      <c r="AE196" s="15" t="e">
        <f ca="1">(((AE56 * AE164) / 6.25) + ((0.032 * AF180) / 6.38) - AE136 - ((1.1 * 10 ^ -4 * AE20 ^ 0.75) / 6.25))</f>
        <v>#N/A</v>
      </c>
      <c r="AF196" s="16" t="str">
        <f t="shared" ref="AF196:AF207" si="9">$E$140</f>
        <v>kg N/head/day</v>
      </c>
      <c r="AG196" s="16"/>
      <c r="AH196" s="16"/>
    </row>
    <row r="197" spans="4:34" ht="20.100000000000001" customHeight="1" x14ac:dyDescent="0.2">
      <c r="D197" s="113" t="s">
        <v>427</v>
      </c>
      <c r="U197" s="15" t="str">
        <f>TEXT(EDATE(X_Cell_Site_StartDate,1), "mmmm")</f>
        <v>January</v>
      </c>
      <c r="V197" s="15" t="e">
        <f ca="1">(((V57 * V165) / 6.25) + ((0.032 * W181) / 6.38) - V137 - ((1.1 * 10 ^ -4 * V21 ^ 0.75) / 6.25))</f>
        <v>#N/A</v>
      </c>
      <c r="W197" s="15" t="e">
        <f ca="1">(((W57 * W165) / 6.25) + ((0.032 * X181) / 6.38) - W137 - ((1.1 * 10 ^ -4 * W21 ^ 0.75) / 6.25))</f>
        <v>#N/A</v>
      </c>
      <c r="X197" s="15" t="e">
        <f ca="1">(((X57 * X165) / 6.25) + ((0.032 * Y181) / 6.38) - X137 - ((1.1 * 10 ^ -4 * X21 ^ 0.75) / 6.25))</f>
        <v>#N/A</v>
      </c>
      <c r="Y197" s="15" t="e">
        <f ca="1">(((Y57 * Y165) / 6.25) + ((0.032 * Z181) / 6.38) - Y137 - ((1.1 * 10 ^ -4 * Y21 ^ 0.75) / 6.25))</f>
        <v>#N/A</v>
      </c>
      <c r="Z197" s="15" t="e">
        <f ca="1">(((Z57 * Z165) / 6.25) + ((0.032 * AA181) / 6.38) - Z137 - ((1.1 * 10 ^ -4 * Z21 ^ 0.75) / 6.25))</f>
        <v>#N/A</v>
      </c>
      <c r="AA197" s="15" t="e">
        <f ca="1">(((AA57 * AA165) / 6.25) + ((0.032 * AB181) / 6.38) - AA137 - ((1.1 * 10 ^ -4 * AA21 ^ 0.75) / 6.25))</f>
        <v>#N/A</v>
      </c>
      <c r="AB197" s="15" t="e">
        <f ca="1">(((AB57 * AB165) / 6.25) + ((0.032 * AC181) / 6.38) - AB137 - ((1.1 * 10 ^ -4 * AB21 ^ 0.75) / 6.25))</f>
        <v>#N/A</v>
      </c>
      <c r="AC197" s="15" t="e">
        <f ca="1">(((AC57 * AC165) / 6.25) + ((0.032 * AD181) / 6.38) - AC137 - ((1.1 * 10 ^ -4 * AC21 ^ 0.75) / 6.25))</f>
        <v>#N/A</v>
      </c>
      <c r="AD197" s="15" t="e">
        <f ca="1">(((AD57 * AD165) / 6.25) + ((0.032 * AE181) / 6.38) - AD137 - ((1.1 * 10 ^ -4 * AD21 ^ 0.75) / 6.25))</f>
        <v>#N/A</v>
      </c>
      <c r="AE197" s="15" t="e">
        <f ca="1">(((AE57 * AE165) / 6.25) + ((0.032 * AF181) / 6.38) - AE137 - ((1.1 * 10 ^ -4 * AE21 ^ 0.75) / 6.25))</f>
        <v>#N/A</v>
      </c>
      <c r="AF197" s="16" t="str">
        <f t="shared" si="9"/>
        <v>kg N/head/day</v>
      </c>
      <c r="AG197" s="16"/>
      <c r="AH197" s="16"/>
    </row>
    <row r="198" spans="4:34" ht="20.100000000000001" customHeight="1" x14ac:dyDescent="0.2">
      <c r="D198" s="114" t="s">
        <v>76</v>
      </c>
      <c r="E198" s="82" t="s">
        <v>326</v>
      </c>
      <c r="F198" s="82" t="s">
        <v>184</v>
      </c>
      <c r="G198" s="82" t="s">
        <v>327</v>
      </c>
      <c r="H198" s="82" t="s">
        <v>328</v>
      </c>
      <c r="I198" s="82" t="s">
        <v>329</v>
      </c>
      <c r="J198" s="82" t="s">
        <v>330</v>
      </c>
      <c r="K198" s="82" t="s">
        <v>331</v>
      </c>
      <c r="L198" s="82" t="s">
        <v>332</v>
      </c>
      <c r="M198" s="82" t="s">
        <v>333</v>
      </c>
      <c r="N198" s="82" t="s">
        <v>334</v>
      </c>
      <c r="U198" s="15" t="str">
        <f>TEXT(EDATE(X_Cell_Site_StartDate,2), "mmmm")</f>
        <v>February</v>
      </c>
      <c r="V198" s="15" t="e">
        <f ca="1">(((V58 * V166) / 6.25) + ((0.032 * W182) / 6.38) - V138 - ((1.1 * 10 ^ -4 * V22 ^ 0.75) / 6.25))</f>
        <v>#N/A</v>
      </c>
      <c r="W198" s="15" t="e">
        <f ca="1">(((W58 * W166) / 6.25) + ((0.032 * X182) / 6.38) - W138 - ((1.1 * 10 ^ -4 * W22 ^ 0.75) / 6.25))</f>
        <v>#N/A</v>
      </c>
      <c r="X198" s="15" t="e">
        <f ca="1">(((X58 * X166) / 6.25) + ((0.032 * Y182) / 6.38) - X138 - ((1.1 * 10 ^ -4 * X22 ^ 0.75) / 6.25))</f>
        <v>#N/A</v>
      </c>
      <c r="Y198" s="15" t="e">
        <f ca="1">(((Y58 * Y166) / 6.25) + ((0.032 * Z182) / 6.38) - Y138 - ((1.1 * 10 ^ -4 * Y22 ^ 0.75) / 6.25))</f>
        <v>#N/A</v>
      </c>
      <c r="Z198" s="15" t="e">
        <f ca="1">(((Z58 * Z166) / 6.25) + ((0.032 * AA182) / 6.38) - Z138 - ((1.1 * 10 ^ -4 * Z22 ^ 0.75) / 6.25))</f>
        <v>#N/A</v>
      </c>
      <c r="AA198" s="15" t="e">
        <f ca="1">(((AA58 * AA166) / 6.25) + ((0.032 * AB182) / 6.38) - AA138 - ((1.1 * 10 ^ -4 * AA22 ^ 0.75) / 6.25))</f>
        <v>#N/A</v>
      </c>
      <c r="AB198" s="15" t="e">
        <f ca="1">(((AB58 * AB166) / 6.25) + ((0.032 * AC182) / 6.38) - AB138 - ((1.1 * 10 ^ -4 * AB22 ^ 0.75) / 6.25))</f>
        <v>#N/A</v>
      </c>
      <c r="AC198" s="15" t="e">
        <f ca="1">(((AC58 * AC166) / 6.25) + ((0.032 * AD182) / 6.38) - AC138 - ((1.1 * 10 ^ -4 * AC22 ^ 0.75) / 6.25))</f>
        <v>#N/A</v>
      </c>
      <c r="AD198" s="15" t="e">
        <f ca="1">(((AD58 * AD166) / 6.25) + ((0.032 * AE182) / 6.38) - AD138 - ((1.1 * 10 ^ -4 * AD22 ^ 0.75) / 6.25))</f>
        <v>#N/A</v>
      </c>
      <c r="AE198" s="15" t="e">
        <f ca="1">(((AE58 * AE166) / 6.25) + ((0.032 * AF182) / 6.38) - AE138 - ((1.1 * 10 ^ -4 * AE22 ^ 0.75) / 6.25))</f>
        <v>#N/A</v>
      </c>
      <c r="AF198" s="16" t="str">
        <f t="shared" si="9"/>
        <v>kg N/head/day</v>
      </c>
      <c r="AG198" s="16"/>
      <c r="AH198" s="16"/>
    </row>
    <row r="199" spans="4:34" ht="20.100000000000001" customHeight="1" x14ac:dyDescent="0.2">
      <c r="D199" s="15" t="s">
        <v>335</v>
      </c>
      <c r="E199" s="15" cm="1">
        <f t="array" aca="1" ref="E199:N202" ca="1">OFFSET(X_Table_PastureBeef_Duration_Method1, 1,1, 4,10)</f>
        <v>91.25</v>
      </c>
      <c r="F199" s="15">
        <f ca="1"/>
        <v>91.25</v>
      </c>
      <c r="G199" s="15">
        <f ca="1"/>
        <v>91.25</v>
      </c>
      <c r="H199" s="15">
        <f ca="1"/>
        <v>91.25</v>
      </c>
      <c r="I199" s="15">
        <f ca="1"/>
        <v>91.25</v>
      </c>
      <c r="J199" s="15">
        <f ca="1"/>
        <v>91.25</v>
      </c>
      <c r="K199" s="15">
        <f ca="1"/>
        <v>91.25</v>
      </c>
      <c r="L199" s="15">
        <f ca="1"/>
        <v>91.25</v>
      </c>
      <c r="M199" s="15">
        <f ca="1"/>
        <v>91.25</v>
      </c>
      <c r="N199" s="15">
        <f ca="1"/>
        <v>91.25</v>
      </c>
      <c r="O199" s="16" t="s">
        <v>428</v>
      </c>
      <c r="U199" s="15" t="str">
        <f>TEXT(EDATE(X_Cell_Site_StartDate,3), "mmmm")</f>
        <v>March</v>
      </c>
      <c r="V199" s="15" t="e">
        <f ca="1">(((V59 * V167) / 6.25) + ((0.032 * W183) / 6.38) - V139 - ((1.1 * 10 ^ -4 * V23 ^ 0.75) / 6.25))</f>
        <v>#N/A</v>
      </c>
      <c r="W199" s="15" t="e">
        <f ca="1">(((W59 * W167) / 6.25) + ((0.032 * X183) / 6.38) - W139 - ((1.1 * 10 ^ -4 * W23 ^ 0.75) / 6.25))</f>
        <v>#N/A</v>
      </c>
      <c r="X199" s="15" t="e">
        <f ca="1">(((X59 * X167) / 6.25) + ((0.032 * Y183) / 6.38) - X139 - ((1.1 * 10 ^ -4 * X23 ^ 0.75) / 6.25))</f>
        <v>#N/A</v>
      </c>
      <c r="Y199" s="15" t="e">
        <f ca="1">(((Y59 * Y167) / 6.25) + ((0.032 * Z183) / 6.38) - Y139 - ((1.1 * 10 ^ -4 * Y23 ^ 0.75) / 6.25))</f>
        <v>#N/A</v>
      </c>
      <c r="Z199" s="15" t="e">
        <f ca="1">(((Z59 * Z167) / 6.25) + ((0.032 * AA183) / 6.38) - Z139 - ((1.1 * 10 ^ -4 * Z23 ^ 0.75) / 6.25))</f>
        <v>#N/A</v>
      </c>
      <c r="AA199" s="15" t="e">
        <f ca="1">(((AA59 * AA167) / 6.25) + ((0.032 * AB183) / 6.38) - AA139 - ((1.1 * 10 ^ -4 * AA23 ^ 0.75) / 6.25))</f>
        <v>#N/A</v>
      </c>
      <c r="AB199" s="15" t="e">
        <f ca="1">(((AB59 * AB167) / 6.25) + ((0.032 * AC183) / 6.38) - AB139 - ((1.1 * 10 ^ -4 * AB23 ^ 0.75) / 6.25))</f>
        <v>#N/A</v>
      </c>
      <c r="AC199" s="15" t="e">
        <f ca="1">(((AC59 * AC167) / 6.25) + ((0.032 * AD183) / 6.38) - AC139 - ((1.1 * 10 ^ -4 * AC23 ^ 0.75) / 6.25))</f>
        <v>#N/A</v>
      </c>
      <c r="AD199" s="15" t="e">
        <f ca="1">(((AD59 * AD167) / 6.25) + ((0.032 * AE183) / 6.38) - AD139 - ((1.1 * 10 ^ -4 * AD23 ^ 0.75) / 6.25))</f>
        <v>#N/A</v>
      </c>
      <c r="AE199" s="15" t="e">
        <f ca="1">(((AE59 * AE167) / 6.25) + ((0.032 * AF183) / 6.38) - AE139 - ((1.1 * 10 ^ -4 * AE23 ^ 0.75) / 6.25))</f>
        <v>#N/A</v>
      </c>
      <c r="AF199" s="16" t="str">
        <f t="shared" si="9"/>
        <v>kg N/head/day</v>
      </c>
      <c r="AG199" s="16"/>
      <c r="AH199" s="16"/>
    </row>
    <row r="200" spans="4:34" ht="20.100000000000001" customHeight="1" x14ac:dyDescent="0.2">
      <c r="D200" s="15" t="s">
        <v>336</v>
      </c>
      <c r="E200" s="15">
        <f ca="1"/>
        <v>91.25</v>
      </c>
      <c r="F200" s="15">
        <f ca="1"/>
        <v>91.25</v>
      </c>
      <c r="G200" s="15">
        <f ca="1"/>
        <v>91.25</v>
      </c>
      <c r="H200" s="15">
        <f ca="1"/>
        <v>91.25</v>
      </c>
      <c r="I200" s="15">
        <f ca="1"/>
        <v>91.25</v>
      </c>
      <c r="J200" s="15">
        <f ca="1"/>
        <v>91.25</v>
      </c>
      <c r="K200" s="15">
        <f ca="1"/>
        <v>91.25</v>
      </c>
      <c r="L200" s="15">
        <f ca="1"/>
        <v>91.25</v>
      </c>
      <c r="M200" s="15">
        <f ca="1"/>
        <v>91.25</v>
      </c>
      <c r="N200" s="15">
        <f ca="1"/>
        <v>91.25</v>
      </c>
      <c r="O200" s="16" t="s">
        <v>428</v>
      </c>
      <c r="U200" s="15" t="str">
        <f>TEXT(EDATE(X_Cell_Site_StartDate,4), "mmmm")</f>
        <v>April</v>
      </c>
      <c r="V200" s="15" t="e">
        <f ca="1">(((V60 * V168) / 6.25) + ((0.032 * W184) / 6.38) - V140 - ((1.1 * 10 ^ -4 * V24 ^ 0.75) / 6.25))</f>
        <v>#N/A</v>
      </c>
      <c r="W200" s="15" t="e">
        <f ca="1">(((W60 * W168) / 6.25) + ((0.032 * X184) / 6.38) - W140 - ((1.1 * 10 ^ -4 * W24 ^ 0.75) / 6.25))</f>
        <v>#N/A</v>
      </c>
      <c r="X200" s="15" t="e">
        <f ca="1">(((X60 * X168) / 6.25) + ((0.032 * Y184) / 6.38) - X140 - ((1.1 * 10 ^ -4 * X24 ^ 0.75) / 6.25))</f>
        <v>#N/A</v>
      </c>
      <c r="Y200" s="15" t="e">
        <f ca="1">(((Y60 * Y168) / 6.25) + ((0.032 * Z184) / 6.38) - Y140 - ((1.1 * 10 ^ -4 * Y24 ^ 0.75) / 6.25))</f>
        <v>#N/A</v>
      </c>
      <c r="Z200" s="15" t="e">
        <f ca="1">(((Z60 * Z168) / 6.25) + ((0.032 * AA184) / 6.38) - Z140 - ((1.1 * 10 ^ -4 * Z24 ^ 0.75) / 6.25))</f>
        <v>#N/A</v>
      </c>
      <c r="AA200" s="15" t="e">
        <f ca="1">(((AA60 * AA168) / 6.25) + ((0.032 * AB184) / 6.38) - AA140 - ((1.1 * 10 ^ -4 * AA24 ^ 0.75) / 6.25))</f>
        <v>#N/A</v>
      </c>
      <c r="AB200" s="15" t="e">
        <f ca="1">(((AB60 * AB168) / 6.25) + ((0.032 * AC184) / 6.38) - AB140 - ((1.1 * 10 ^ -4 * AB24 ^ 0.75) / 6.25))</f>
        <v>#N/A</v>
      </c>
      <c r="AC200" s="15" t="e">
        <f ca="1">(((AC60 * AC168) / 6.25) + ((0.032 * AD184) / 6.38) - AC140 - ((1.1 * 10 ^ -4 * AC24 ^ 0.75) / 6.25))</f>
        <v>#N/A</v>
      </c>
      <c r="AD200" s="15" t="e">
        <f ca="1">(((AD60 * AD168) / 6.25) + ((0.032 * AE184) / 6.38) - AD140 - ((1.1 * 10 ^ -4 * AD24 ^ 0.75) / 6.25))</f>
        <v>#N/A</v>
      </c>
      <c r="AE200" s="15" t="e">
        <f ca="1">(((AE60 * AE168) / 6.25) + ((0.032 * AF184) / 6.38) - AE140 - ((1.1 * 10 ^ -4 * AE24 ^ 0.75) / 6.25))</f>
        <v>#N/A</v>
      </c>
      <c r="AF200" s="16" t="str">
        <f t="shared" si="9"/>
        <v>kg N/head/day</v>
      </c>
      <c r="AG200" s="16"/>
      <c r="AH200" s="16"/>
    </row>
    <row r="201" spans="4:34" ht="20.100000000000001" customHeight="1" x14ac:dyDescent="0.2">
      <c r="D201" s="15" t="s">
        <v>337</v>
      </c>
      <c r="E201" s="15">
        <f ca="1"/>
        <v>91.25</v>
      </c>
      <c r="F201" s="15">
        <f ca="1"/>
        <v>91.25</v>
      </c>
      <c r="G201" s="15">
        <f ca="1"/>
        <v>91.25</v>
      </c>
      <c r="H201" s="15">
        <f ca="1"/>
        <v>91.25</v>
      </c>
      <c r="I201" s="15">
        <f ca="1"/>
        <v>91.25</v>
      </c>
      <c r="J201" s="15">
        <f ca="1"/>
        <v>91.25</v>
      </c>
      <c r="K201" s="15">
        <f ca="1"/>
        <v>91.25</v>
      </c>
      <c r="L201" s="15">
        <f ca="1"/>
        <v>91.25</v>
      </c>
      <c r="M201" s="15">
        <f ca="1"/>
        <v>91.25</v>
      </c>
      <c r="N201" s="15">
        <f ca="1"/>
        <v>91.25</v>
      </c>
      <c r="O201" s="16" t="s">
        <v>428</v>
      </c>
      <c r="U201" s="15" t="str">
        <f>TEXT(EDATE(X_Cell_Site_StartDate,5), "mmmm")</f>
        <v>May</v>
      </c>
      <c r="V201" s="15" t="e">
        <f ca="1">(((V61 * V169) / 6.25) + ((0.032 * W185) / 6.38) - V141 - ((1.1 * 10 ^ -4 * V25 ^ 0.75) / 6.25))</f>
        <v>#N/A</v>
      </c>
      <c r="W201" s="15" t="e">
        <f ca="1">(((W61 * W169) / 6.25) + ((0.032 * X185) / 6.38) - W141 - ((1.1 * 10 ^ -4 * W25 ^ 0.75) / 6.25))</f>
        <v>#N/A</v>
      </c>
      <c r="X201" s="15" t="e">
        <f ca="1">(((X61 * X169) / 6.25) + ((0.032 * Y185) / 6.38) - X141 - ((1.1 * 10 ^ -4 * X25 ^ 0.75) / 6.25))</f>
        <v>#N/A</v>
      </c>
      <c r="Y201" s="15" t="e">
        <f ca="1">(((Y61 * Y169) / 6.25) + ((0.032 * Z185) / 6.38) - Y141 - ((1.1 * 10 ^ -4 * Y25 ^ 0.75) / 6.25))</f>
        <v>#N/A</v>
      </c>
      <c r="Z201" s="15" t="e">
        <f ca="1">(((Z61 * Z169) / 6.25) + ((0.032 * AA185) / 6.38) - Z141 - ((1.1 * 10 ^ -4 * Z25 ^ 0.75) / 6.25))</f>
        <v>#N/A</v>
      </c>
      <c r="AA201" s="15" t="e">
        <f ca="1">(((AA61 * AA169) / 6.25) + ((0.032 * AB185) / 6.38) - AA141 - ((1.1 * 10 ^ -4 * AA25 ^ 0.75) / 6.25))</f>
        <v>#N/A</v>
      </c>
      <c r="AB201" s="15" t="e">
        <f ca="1">(((AB61 * AB169) / 6.25) + ((0.032 * AC185) / 6.38) - AB141 - ((1.1 * 10 ^ -4 * AB25 ^ 0.75) / 6.25))</f>
        <v>#N/A</v>
      </c>
      <c r="AC201" s="15" t="e">
        <f ca="1">(((AC61 * AC169) / 6.25) + ((0.032 * AD185) / 6.38) - AC141 - ((1.1 * 10 ^ -4 * AC25 ^ 0.75) / 6.25))</f>
        <v>#N/A</v>
      </c>
      <c r="AD201" s="15" t="e">
        <f ca="1">(((AD61 * AD169) / 6.25) + ((0.032 * AE185) / 6.38) - AD141 - ((1.1 * 10 ^ -4 * AD25 ^ 0.75) / 6.25))</f>
        <v>#N/A</v>
      </c>
      <c r="AE201" s="15" t="e">
        <f ca="1">(((AE61 * AE169) / 6.25) + ((0.032 * AF185) / 6.38) - AE141 - ((1.1 * 10 ^ -4 * AE25 ^ 0.75) / 6.25))</f>
        <v>#N/A</v>
      </c>
      <c r="AF201" s="16" t="str">
        <f t="shared" si="9"/>
        <v>kg N/head/day</v>
      </c>
      <c r="AG201" s="16"/>
      <c r="AH201" s="16"/>
    </row>
    <row r="202" spans="4:34" ht="20.100000000000001" customHeight="1" x14ac:dyDescent="0.2">
      <c r="D202" s="15" t="s">
        <v>338</v>
      </c>
      <c r="E202" s="15">
        <f ca="1"/>
        <v>91.25</v>
      </c>
      <c r="F202" s="15">
        <f ca="1"/>
        <v>91.25</v>
      </c>
      <c r="G202" s="15">
        <f ca="1"/>
        <v>91.25</v>
      </c>
      <c r="H202" s="15">
        <f ca="1"/>
        <v>91.25</v>
      </c>
      <c r="I202" s="15">
        <f ca="1"/>
        <v>91.25</v>
      </c>
      <c r="J202" s="15">
        <f ca="1"/>
        <v>91.25</v>
      </c>
      <c r="K202" s="15">
        <f ca="1"/>
        <v>91.25</v>
      </c>
      <c r="L202" s="15">
        <f ca="1"/>
        <v>91.25</v>
      </c>
      <c r="M202" s="15">
        <f ca="1"/>
        <v>91.25</v>
      </c>
      <c r="N202" s="15">
        <f ca="1"/>
        <v>91.25</v>
      </c>
      <c r="O202" s="16" t="s">
        <v>428</v>
      </c>
      <c r="U202" s="15" t="str">
        <f>TEXT(EDATE(X_Cell_Site_StartDate,6), "mmmm")</f>
        <v>June</v>
      </c>
      <c r="V202" s="15" t="e">
        <f ca="1">(((V62 * V170) / 6.25) + ((0.032 * W186) / 6.38) - V142 - ((1.1 * 10 ^ -4 * V26 ^ 0.75) / 6.25))</f>
        <v>#N/A</v>
      </c>
      <c r="W202" s="15" t="e">
        <f ca="1">(((W62 * W170) / 6.25) + ((0.032 * X186) / 6.38) - W142 - ((1.1 * 10 ^ -4 * W26 ^ 0.75) / 6.25))</f>
        <v>#N/A</v>
      </c>
      <c r="X202" s="15" t="e">
        <f ca="1">(((X62 * X170) / 6.25) + ((0.032 * Y186) / 6.38) - X142 - ((1.1 * 10 ^ -4 * X26 ^ 0.75) / 6.25))</f>
        <v>#N/A</v>
      </c>
      <c r="Y202" s="15" t="e">
        <f ca="1">(((Y62 * Y170) / 6.25) + ((0.032 * Z186) / 6.38) - Y142 - ((1.1 * 10 ^ -4 * Y26 ^ 0.75) / 6.25))</f>
        <v>#N/A</v>
      </c>
      <c r="Z202" s="15" t="e">
        <f ca="1">(((Z62 * Z170) / 6.25) + ((0.032 * AA186) / 6.38) - Z142 - ((1.1 * 10 ^ -4 * Z26 ^ 0.75) / 6.25))</f>
        <v>#N/A</v>
      </c>
      <c r="AA202" s="15" t="e">
        <f ca="1">(((AA62 * AA170) / 6.25) + ((0.032 * AB186) / 6.38) - AA142 - ((1.1 * 10 ^ -4 * AA26 ^ 0.75) / 6.25))</f>
        <v>#N/A</v>
      </c>
      <c r="AB202" s="15" t="e">
        <f ca="1">(((AB62 * AB170) / 6.25) + ((0.032 * AC186) / 6.38) - AB142 - ((1.1 * 10 ^ -4 * AB26 ^ 0.75) / 6.25))</f>
        <v>#N/A</v>
      </c>
      <c r="AC202" s="15" t="e">
        <f ca="1">(((AC62 * AC170) / 6.25) + ((0.032 * AD186) / 6.38) - AC142 - ((1.1 * 10 ^ -4 * AC26 ^ 0.75) / 6.25))</f>
        <v>#N/A</v>
      </c>
      <c r="AD202" s="15" t="e">
        <f ca="1">(((AD62 * AD170) / 6.25) + ((0.032 * AE186) / 6.38) - AD142 - ((1.1 * 10 ^ -4 * AD26 ^ 0.75) / 6.25))</f>
        <v>#N/A</v>
      </c>
      <c r="AE202" s="15" t="e">
        <f ca="1">(((AE62 * AE170) / 6.25) + ((0.032 * AF186) / 6.38) - AE142 - ((1.1 * 10 ^ -4 * AE26 ^ 0.75) / 6.25))</f>
        <v>#N/A</v>
      </c>
      <c r="AF202" s="16" t="str">
        <f t="shared" si="9"/>
        <v>kg N/head/day</v>
      </c>
      <c r="AG202" s="16"/>
      <c r="AH202" s="16"/>
    </row>
    <row r="203" spans="4:34" ht="20.100000000000001" customHeight="1" x14ac:dyDescent="0.2">
      <c r="U203" s="15" t="str">
        <f>TEXT(EDATE(X_Cell_Site_StartDate,7), "mmmm")</f>
        <v>July</v>
      </c>
      <c r="V203" s="15" t="e">
        <f ca="1">(((V63 * V171) / 6.25) + ((0.032 * W187) / 6.38) - V143 - ((1.1 * 10 ^ -4 * V27 ^ 0.75) / 6.25))</f>
        <v>#N/A</v>
      </c>
      <c r="W203" s="15" t="e">
        <f ca="1">(((W63 * W171) / 6.25) + ((0.032 * X187) / 6.38) - W143 - ((1.1 * 10 ^ -4 * W27 ^ 0.75) / 6.25))</f>
        <v>#N/A</v>
      </c>
      <c r="X203" s="15" t="e">
        <f ca="1">(((X63 * X171) / 6.25) + ((0.032 * Y187) / 6.38) - X143 - ((1.1 * 10 ^ -4 * X27 ^ 0.75) / 6.25))</f>
        <v>#N/A</v>
      </c>
      <c r="Y203" s="15" t="e">
        <f ca="1">(((Y63 * Y171) / 6.25) + ((0.032 * Z187) / 6.38) - Y143 - ((1.1 * 10 ^ -4 * Y27 ^ 0.75) / 6.25))</f>
        <v>#N/A</v>
      </c>
      <c r="Z203" s="15" t="e">
        <f ca="1">(((Z63 * Z171) / 6.25) + ((0.032 * AA187) / 6.38) - Z143 - ((1.1 * 10 ^ -4 * Z27 ^ 0.75) / 6.25))</f>
        <v>#N/A</v>
      </c>
      <c r="AA203" s="15" t="e">
        <f ca="1">(((AA63 * AA171) / 6.25) + ((0.032 * AB187) / 6.38) - AA143 - ((1.1 * 10 ^ -4 * AA27 ^ 0.75) / 6.25))</f>
        <v>#N/A</v>
      </c>
      <c r="AB203" s="15" t="e">
        <f ca="1">(((AB63 * AB171) / 6.25) + ((0.032 * AC187) / 6.38) - AB143 - ((1.1 * 10 ^ -4 * AB27 ^ 0.75) / 6.25))</f>
        <v>#N/A</v>
      </c>
      <c r="AC203" s="15" t="e">
        <f ca="1">(((AC63 * AC171) / 6.25) + ((0.032 * AD187) / 6.38) - AC143 - ((1.1 * 10 ^ -4 * AC27 ^ 0.75) / 6.25))</f>
        <v>#N/A</v>
      </c>
      <c r="AD203" s="15" t="e">
        <f ca="1">(((AD63 * AD171) / 6.25) + ((0.032 * AE187) / 6.38) - AD143 - ((1.1 * 10 ^ -4 * AD27 ^ 0.75) / 6.25))</f>
        <v>#N/A</v>
      </c>
      <c r="AE203" s="15" t="e">
        <f ca="1">(((AE63 * AE171) / 6.25) + ((0.032 * AF187) / 6.38) - AE143 - ((1.1 * 10 ^ -4 * AE27 ^ 0.75) / 6.25))</f>
        <v>#N/A</v>
      </c>
      <c r="AF203" s="16" t="str">
        <f t="shared" si="9"/>
        <v>kg N/head/day</v>
      </c>
      <c r="AG203" s="16"/>
      <c r="AH203" s="16"/>
    </row>
    <row r="204" spans="4:34" ht="20.100000000000001" customHeight="1" x14ac:dyDescent="0.2">
      <c r="D204" s="112" t="s">
        <v>470</v>
      </c>
      <c r="U204" s="15" t="str">
        <f>TEXT(EDATE(X_Cell_Site_StartDate,8), "mmmm")</f>
        <v>August</v>
      </c>
      <c r="V204" s="15" t="e">
        <f ca="1">(((V64 * V172) / 6.25) + ((0.032 * W188) / 6.38) - V144 - ((1.1 * 10 ^ -4 * V28 ^ 0.75) / 6.25))</f>
        <v>#N/A</v>
      </c>
      <c r="W204" s="15" t="e">
        <f ca="1">(((W64 * W172) / 6.25) + ((0.032 * X188) / 6.38) - W144 - ((1.1 * 10 ^ -4 * W28 ^ 0.75) / 6.25))</f>
        <v>#N/A</v>
      </c>
      <c r="X204" s="15" t="e">
        <f ca="1">(((X64 * X172) / 6.25) + ((0.032 * Y188) / 6.38) - X144 - ((1.1 * 10 ^ -4 * X28 ^ 0.75) / 6.25))</f>
        <v>#N/A</v>
      </c>
      <c r="Y204" s="15" t="e">
        <f ca="1">(((Y64 * Y172) / 6.25) + ((0.032 * Z188) / 6.38) - Y144 - ((1.1 * 10 ^ -4 * Y28 ^ 0.75) / 6.25))</f>
        <v>#N/A</v>
      </c>
      <c r="Z204" s="15" t="e">
        <f ca="1">(((Z64 * Z172) / 6.25) + ((0.032 * AA188) / 6.38) - Z144 - ((1.1 * 10 ^ -4 * Z28 ^ 0.75) / 6.25))</f>
        <v>#N/A</v>
      </c>
      <c r="AA204" s="15" t="e">
        <f ca="1">(((AA64 * AA172) / 6.25) + ((0.032 * AB188) / 6.38) - AA144 - ((1.1 * 10 ^ -4 * AA28 ^ 0.75) / 6.25))</f>
        <v>#N/A</v>
      </c>
      <c r="AB204" s="15" t="e">
        <f ca="1">(((AB64 * AB172) / 6.25) + ((0.032 * AC188) / 6.38) - AB144 - ((1.1 * 10 ^ -4 * AB28 ^ 0.75) / 6.25))</f>
        <v>#N/A</v>
      </c>
      <c r="AC204" s="15" t="e">
        <f ca="1">(((AC64 * AC172) / 6.25) + ((0.032 * AD188) / 6.38) - AC144 - ((1.1 * 10 ^ -4 * AC28 ^ 0.75) / 6.25))</f>
        <v>#N/A</v>
      </c>
      <c r="AD204" s="15" t="e">
        <f ca="1">(((AD64 * AD172) / 6.25) + ((0.032 * AE188) / 6.38) - AD144 - ((1.1 * 10 ^ -4 * AD28 ^ 0.75) / 6.25))</f>
        <v>#N/A</v>
      </c>
      <c r="AE204" s="15" t="e">
        <f ca="1">(((AE64 * AE172) / 6.25) + ((0.032 * AF188) / 6.38) - AE144 - ((1.1 * 10 ^ -4 * AE28 ^ 0.75) / 6.25))</f>
        <v>#N/A</v>
      </c>
      <c r="AF204" s="16" t="str">
        <f t="shared" si="9"/>
        <v>kg N/head/day</v>
      </c>
      <c r="AG204" s="16"/>
      <c r="AH204" s="16"/>
    </row>
    <row r="205" spans="4:34" ht="20.100000000000001" customHeight="1" x14ac:dyDescent="0.2">
      <c r="D205" s="113" t="s">
        <v>471</v>
      </c>
      <c r="U205" s="15" t="str">
        <f>TEXT(EDATE(X_Cell_Site_StartDate,9), "mmmm")</f>
        <v>September</v>
      </c>
      <c r="V205" s="15" t="e">
        <f ca="1">(((V65 * V173) / 6.25) + ((0.032 * W189) / 6.38) - V145 - ((1.1 * 10 ^ -4 * V29 ^ 0.75) / 6.25))</f>
        <v>#N/A</v>
      </c>
      <c r="W205" s="15" t="e">
        <f ca="1">(((W65 * W173) / 6.25) + ((0.032 * X189) / 6.38) - W145 - ((1.1 * 10 ^ -4 * W29 ^ 0.75) / 6.25))</f>
        <v>#N/A</v>
      </c>
      <c r="X205" s="15" t="e">
        <f ca="1">(((X65 * X173) / 6.25) + ((0.032 * Y189) / 6.38) - X145 - ((1.1 * 10 ^ -4 * X29 ^ 0.75) / 6.25))</f>
        <v>#N/A</v>
      </c>
      <c r="Y205" s="15" t="e">
        <f ca="1">(((Y65 * Y173) / 6.25) + ((0.032 * Z189) / 6.38) - Y145 - ((1.1 * 10 ^ -4 * Y29 ^ 0.75) / 6.25))</f>
        <v>#N/A</v>
      </c>
      <c r="Z205" s="15" t="e">
        <f ca="1">(((Z65 * Z173) / 6.25) + ((0.032 * AA189) / 6.38) - Z145 - ((1.1 * 10 ^ -4 * Z29 ^ 0.75) / 6.25))</f>
        <v>#N/A</v>
      </c>
      <c r="AA205" s="15" t="e">
        <f ca="1">(((AA65 * AA173) / 6.25) + ((0.032 * AB189) / 6.38) - AA145 - ((1.1 * 10 ^ -4 * AA29 ^ 0.75) / 6.25))</f>
        <v>#N/A</v>
      </c>
      <c r="AB205" s="15" t="e">
        <f ca="1">(((AB65 * AB173) / 6.25) + ((0.032 * AC189) / 6.38) - AB145 - ((1.1 * 10 ^ -4 * AB29 ^ 0.75) / 6.25))</f>
        <v>#N/A</v>
      </c>
      <c r="AC205" s="15" t="e">
        <f ca="1">(((AC65 * AC173) / 6.25) + ((0.032 * AD189) / 6.38) - AC145 - ((1.1 * 10 ^ -4 * AC29 ^ 0.75) / 6.25))</f>
        <v>#N/A</v>
      </c>
      <c r="AD205" s="15" t="e">
        <f ca="1">(((AD65 * AD173) / 6.25) + ((0.032 * AE189) / 6.38) - AD145 - ((1.1 * 10 ^ -4 * AD29 ^ 0.75) / 6.25))</f>
        <v>#N/A</v>
      </c>
      <c r="AE205" s="15" t="e">
        <f ca="1">(((AE65 * AE173) / 6.25) + ((0.032 * AF189) / 6.38) - AE145 - ((1.1 * 10 ^ -4 * AE29 ^ 0.75) / 6.25))</f>
        <v>#N/A</v>
      </c>
      <c r="AF205" s="16" t="str">
        <f t="shared" si="9"/>
        <v>kg N/head/day</v>
      </c>
      <c r="AG205" s="16"/>
      <c r="AH205" s="16"/>
    </row>
    <row r="206" spans="4:34" ht="20.100000000000001" customHeight="1" x14ac:dyDescent="0.2">
      <c r="D206" s="114" t="s">
        <v>76</v>
      </c>
      <c r="E206" s="114" t="s">
        <v>326</v>
      </c>
      <c r="F206" s="114" t="s">
        <v>184</v>
      </c>
      <c r="G206" s="114" t="s">
        <v>327</v>
      </c>
      <c r="H206" s="114" t="s">
        <v>328</v>
      </c>
      <c r="I206" s="114" t="s">
        <v>329</v>
      </c>
      <c r="J206" s="114" t="s">
        <v>330</v>
      </c>
      <c r="K206" s="114" t="s">
        <v>331</v>
      </c>
      <c r="L206" s="114" t="s">
        <v>332</v>
      </c>
      <c r="M206" s="114" t="s">
        <v>333</v>
      </c>
      <c r="N206" s="114" t="s">
        <v>334</v>
      </c>
      <c r="U206" s="15" t="str">
        <f>TEXT(EDATE(X_Cell_Site_StartDate,10), "mmmm")</f>
        <v>October</v>
      </c>
      <c r="V206" s="15" t="e">
        <f ca="1">(((V66 * V174) / 6.25) + ((0.032 * W190) / 6.38) - V146 - ((1.1 * 10 ^ -4 * V30 ^ 0.75) / 6.25))</f>
        <v>#N/A</v>
      </c>
      <c r="W206" s="15" t="e">
        <f ca="1">(((W66 * W174) / 6.25) + ((0.032 * X190) / 6.38) - W146 - ((1.1 * 10 ^ -4 * W30 ^ 0.75) / 6.25))</f>
        <v>#N/A</v>
      </c>
      <c r="X206" s="15" t="e">
        <f ca="1">(((X66 * X174) / 6.25) + ((0.032 * Y190) / 6.38) - X146 - ((1.1 * 10 ^ -4 * X30 ^ 0.75) / 6.25))</f>
        <v>#N/A</v>
      </c>
      <c r="Y206" s="15" t="e">
        <f ca="1">(((Y66 * Y174) / 6.25) + ((0.032 * Z190) / 6.38) - Y146 - ((1.1 * 10 ^ -4 * Y30 ^ 0.75) / 6.25))</f>
        <v>#N/A</v>
      </c>
      <c r="Z206" s="15" t="e">
        <f ca="1">(((Z66 * Z174) / 6.25) + ((0.032 * AA190) / 6.38) - Z146 - ((1.1 * 10 ^ -4 * Z30 ^ 0.75) / 6.25))</f>
        <v>#N/A</v>
      </c>
      <c r="AA206" s="15" t="e">
        <f ca="1">(((AA66 * AA174) / 6.25) + ((0.032 * AB190) / 6.38) - AA146 - ((1.1 * 10 ^ -4 * AA30 ^ 0.75) / 6.25))</f>
        <v>#N/A</v>
      </c>
      <c r="AB206" s="15" t="e">
        <f ca="1">(((AB66 * AB174) / 6.25) + ((0.032 * AC190) / 6.38) - AB146 - ((1.1 * 10 ^ -4 * AB30 ^ 0.75) / 6.25))</f>
        <v>#N/A</v>
      </c>
      <c r="AC206" s="15" t="e">
        <f ca="1">(((AC66 * AC174) / 6.25) + ((0.032 * AD190) / 6.38) - AC146 - ((1.1 * 10 ^ -4 * AC30 ^ 0.75) / 6.25))</f>
        <v>#N/A</v>
      </c>
      <c r="AD206" s="15" t="e">
        <f ca="1">(((AD66 * AD174) / 6.25) + ((0.032 * AE190) / 6.38) - AD146 - ((1.1 * 10 ^ -4 * AD30 ^ 0.75) / 6.25))</f>
        <v>#N/A</v>
      </c>
      <c r="AE206" s="15" t="e">
        <f ca="1">(((AE66 * AE174) / 6.25) + ((0.032 * AF190) / 6.38) - AE146 - ((1.1 * 10 ^ -4 * AE30 ^ 0.75) / 6.25))</f>
        <v>#N/A</v>
      </c>
      <c r="AF206" s="16" t="str">
        <f t="shared" si="9"/>
        <v>kg N/head/day</v>
      </c>
      <c r="AG206" s="16"/>
      <c r="AH206" s="16"/>
    </row>
    <row r="207" spans="4:34" ht="20.100000000000001" customHeight="1" x14ac:dyDescent="0.2">
      <c r="D207" s="15" t="s">
        <v>335</v>
      </c>
      <c r="E207" s="15" t="e">
        <f ca="1">(SUM((E191 * E169) * E199))</f>
        <v>#N/A</v>
      </c>
      <c r="F207" s="15" t="e">
        <f ca="1">(SUM((F191 * F169) * F199))</f>
        <v>#N/A</v>
      </c>
      <c r="G207" s="15" t="e">
        <f ca="1">(SUM((G191 * G169) * G199))</f>
        <v>#N/A</v>
      </c>
      <c r="H207" s="15" t="e">
        <f ca="1">(SUM((H191 * H169) * H199))</f>
        <v>#N/A</v>
      </c>
      <c r="I207" s="15" t="e">
        <f ca="1">(SUM((I191 * I169) * I199))</f>
        <v>#N/A</v>
      </c>
      <c r="J207" s="15" t="e">
        <f ca="1">(SUM((J191 * J169) * J199))</f>
        <v>#N/A</v>
      </c>
      <c r="K207" s="15" t="e">
        <f ca="1">(SUM((K191 * K169) * K199))</f>
        <v>#N/A</v>
      </c>
      <c r="L207" s="15" t="e">
        <f ca="1">(SUM((L191 * L169) * L199))</f>
        <v>#N/A</v>
      </c>
      <c r="M207" s="15" t="e">
        <f ca="1">(SUM((M191 * M169) * M199))</f>
        <v>#N/A</v>
      </c>
      <c r="N207" s="15" t="e">
        <f ca="1">(SUM((N191 * N169) * N199))</f>
        <v>#N/A</v>
      </c>
      <c r="O207" s="16" t="str">
        <f>$E$182</f>
        <v>kg N</v>
      </c>
      <c r="U207" s="15" t="str">
        <f>TEXT(EDATE(X_Cell_Site_StartDate,11), "mmmm")</f>
        <v>November</v>
      </c>
      <c r="V207" s="15" t="e">
        <f ca="1">(((V67 * V175) / 6.25) + ((0.032 * W191) / 6.38) - V147 - ((1.1 * 10 ^ -4 * V31 ^ 0.75) / 6.25))</f>
        <v>#N/A</v>
      </c>
      <c r="W207" s="15" t="e">
        <f ca="1">(((W67 * W175) / 6.25) + ((0.032 * X191) / 6.38) - W147 - ((1.1 * 10 ^ -4 * W31 ^ 0.75) / 6.25))</f>
        <v>#N/A</v>
      </c>
      <c r="X207" s="15" t="e">
        <f ca="1">(((X67 * X175) / 6.25) + ((0.032 * Y191) / 6.38) - X147 - ((1.1 * 10 ^ -4 * X31 ^ 0.75) / 6.25))</f>
        <v>#N/A</v>
      </c>
      <c r="Y207" s="15" t="e">
        <f ca="1">(((Y67 * Y175) / 6.25) + ((0.032 * Z191) / 6.38) - Y147 - ((1.1 * 10 ^ -4 * Y31 ^ 0.75) / 6.25))</f>
        <v>#N/A</v>
      </c>
      <c r="Z207" s="15" t="e">
        <f ca="1">(((Z67 * Z175) / 6.25) + ((0.032 * AA191) / 6.38) - Z147 - ((1.1 * 10 ^ -4 * Z31 ^ 0.75) / 6.25))</f>
        <v>#N/A</v>
      </c>
      <c r="AA207" s="15" t="e">
        <f ca="1">(((AA67 * AA175) / 6.25) + ((0.032 * AB191) / 6.38) - AA147 - ((1.1 * 10 ^ -4 * AA31 ^ 0.75) / 6.25))</f>
        <v>#N/A</v>
      </c>
      <c r="AB207" s="15" t="e">
        <f ca="1">(((AB67 * AB175) / 6.25) + ((0.032 * AC191) / 6.38) - AB147 - ((1.1 * 10 ^ -4 * AB31 ^ 0.75) / 6.25))</f>
        <v>#N/A</v>
      </c>
      <c r="AC207" s="15" t="e">
        <f ca="1">(((AC67 * AC175) / 6.25) + ((0.032 * AD191) / 6.38) - AC147 - ((1.1 * 10 ^ -4 * AC31 ^ 0.75) / 6.25))</f>
        <v>#N/A</v>
      </c>
      <c r="AD207" s="15" t="e">
        <f ca="1">(((AD67 * AD175) / 6.25) + ((0.032 * AE191) / 6.38) - AD147 - ((1.1 * 10 ^ -4 * AD31 ^ 0.75) / 6.25))</f>
        <v>#N/A</v>
      </c>
      <c r="AE207" s="15" t="e">
        <f ca="1">(((AE67 * AE175) / 6.25) + ((0.032 * AF191) / 6.38) - AE147 - ((1.1 * 10 ^ -4 * AE31 ^ 0.75) / 6.25))</f>
        <v>#N/A</v>
      </c>
      <c r="AF207" s="16" t="str">
        <f t="shared" si="9"/>
        <v>kg N/head/day</v>
      </c>
      <c r="AG207" s="16"/>
      <c r="AH207" s="16"/>
    </row>
    <row r="208" spans="4:34" ht="20.100000000000001" customHeight="1" x14ac:dyDescent="0.2">
      <c r="D208" s="15" t="s">
        <v>336</v>
      </c>
      <c r="E208" s="15" t="e">
        <f ca="1">(SUM((E192 * E170) * E200))</f>
        <v>#N/A</v>
      </c>
      <c r="F208" s="15" t="e">
        <f ca="1">(SUM((F192 * F170) * F200))</f>
        <v>#N/A</v>
      </c>
      <c r="G208" s="15" t="e">
        <f ca="1">(SUM((G192 * G170) * G200))</f>
        <v>#N/A</v>
      </c>
      <c r="H208" s="15" t="e">
        <f ca="1">(SUM((H192 * H170) * H200))</f>
        <v>#N/A</v>
      </c>
      <c r="I208" s="15" t="e">
        <f ca="1">(SUM((I192 * I170) * I200))</f>
        <v>#N/A</v>
      </c>
      <c r="J208" s="15" t="e">
        <f ca="1">(SUM((J192 * J170) * J200))</f>
        <v>#N/A</v>
      </c>
      <c r="K208" s="15" t="e">
        <f ca="1">(SUM((K192 * K170) * K200))</f>
        <v>#N/A</v>
      </c>
      <c r="L208" s="15" t="e">
        <f ca="1">(SUM((L192 * L170) * L200))</f>
        <v>#N/A</v>
      </c>
      <c r="M208" s="15" t="e">
        <f ca="1">(SUM((M192 * M170) * M200))</f>
        <v>#N/A</v>
      </c>
      <c r="N208" s="15" t="e">
        <f ca="1">(SUM((N192 * N170) * N200))</f>
        <v>#N/A</v>
      </c>
      <c r="O208" s="16" t="str">
        <f>$E$182</f>
        <v>kg N</v>
      </c>
    </row>
    <row r="209" spans="3:35" ht="20.100000000000001" customHeight="1" x14ac:dyDescent="0.2">
      <c r="D209" s="15" t="s">
        <v>337</v>
      </c>
      <c r="E209" s="15" t="e">
        <f ca="1">(SUM((E193 * E171) * E201))</f>
        <v>#N/A</v>
      </c>
      <c r="F209" s="15" t="e">
        <f ca="1">(SUM((F193 * F171) * F201))</f>
        <v>#N/A</v>
      </c>
      <c r="G209" s="15" t="e">
        <f ca="1">(SUM((G193 * G171) * G201))</f>
        <v>#N/A</v>
      </c>
      <c r="H209" s="15" t="e">
        <f ca="1">(SUM((H193 * H171) * H201))</f>
        <v>#N/A</v>
      </c>
      <c r="I209" s="15" t="e">
        <f ca="1">(SUM((I193 * I171) * I201))</f>
        <v>#N/A</v>
      </c>
      <c r="J209" s="15" t="e">
        <f ca="1">(SUM((J193 * J171) * J201))</f>
        <v>#N/A</v>
      </c>
      <c r="K209" s="15" t="e">
        <f ca="1">(SUM((K193 * K171) * K201))</f>
        <v>#N/A</v>
      </c>
      <c r="L209" s="15" t="e">
        <f ca="1">(SUM((L193 * L171) * L201))</f>
        <v>#N/A</v>
      </c>
      <c r="M209" s="15" t="e">
        <f ca="1">(SUM((M193 * M171) * M201))</f>
        <v>#N/A</v>
      </c>
      <c r="N209" s="15" t="e">
        <f ca="1">(SUM((N193 * N171) * N201))</f>
        <v>#N/A</v>
      </c>
      <c r="O209" s="16" t="str">
        <f>$E$182</f>
        <v>kg N</v>
      </c>
    </row>
    <row r="210" spans="3:35" ht="20.100000000000001" customHeight="1" x14ac:dyDescent="0.2">
      <c r="D210" s="15" t="s">
        <v>338</v>
      </c>
      <c r="E210" s="15" t="e">
        <f ca="1">(SUM((E194 * E172) * E202))</f>
        <v>#N/A</v>
      </c>
      <c r="F210" s="15" t="e">
        <f ca="1">(SUM((F194 * F172) * F202))</f>
        <v>#N/A</v>
      </c>
      <c r="G210" s="15" t="e">
        <f ca="1">(SUM((G194 * G172) * G202))</f>
        <v>#N/A</v>
      </c>
      <c r="H210" s="15" t="e">
        <f ca="1">(SUM((H194 * H172) * H202))</f>
        <v>#N/A</v>
      </c>
      <c r="I210" s="15" t="e">
        <f ca="1">(SUM((I194 * I172) * I202))</f>
        <v>#N/A</v>
      </c>
      <c r="J210" s="15" t="e">
        <f ca="1">(SUM((J194 * J172) * J202))</f>
        <v>#N/A</v>
      </c>
      <c r="K210" s="15" t="e">
        <f ca="1">(SUM((K194 * K172) * K202))</f>
        <v>#N/A</v>
      </c>
      <c r="L210" s="15" t="e">
        <f ca="1">(SUM((L194 * L172) * L202))</f>
        <v>#N/A</v>
      </c>
      <c r="M210" s="15" t="e">
        <f ca="1">(SUM((M194 * M172) * M202))</f>
        <v>#N/A</v>
      </c>
      <c r="N210" s="15" t="e">
        <f ca="1">(SUM((N194 * N172) * N202))</f>
        <v>#N/A</v>
      </c>
      <c r="O210" s="16" t="str">
        <f>$E$182</f>
        <v>kg N</v>
      </c>
      <c r="T210" s="87"/>
      <c r="U210" s="87"/>
      <c r="V210" s="87"/>
      <c r="W210" s="87"/>
      <c r="X210" s="87"/>
      <c r="Y210" s="87"/>
      <c r="Z210" s="87"/>
      <c r="AA210" s="87"/>
      <c r="AB210" s="87"/>
      <c r="AC210" s="87"/>
      <c r="AD210" s="87"/>
      <c r="AE210" s="87"/>
      <c r="AF210" s="87"/>
      <c r="AG210" s="87"/>
      <c r="AH210" s="87"/>
      <c r="AI210" s="87"/>
    </row>
    <row r="211" spans="3:35" ht="20.100000000000001" customHeight="1" x14ac:dyDescent="0.2">
      <c r="U211" s="2" t="s">
        <v>1326</v>
      </c>
    </row>
    <row r="212" spans="3:35" ht="20.100000000000001" customHeight="1" x14ac:dyDescent="0.2">
      <c r="D212" s="93" t="s">
        <v>472</v>
      </c>
      <c r="E212" s="87" t="e">
        <f ca="1">SUM(E207:N210)</f>
        <v>#N/A</v>
      </c>
      <c r="F212" s="94" t="str">
        <f>E182</f>
        <v>kg N</v>
      </c>
    </row>
    <row r="213" spans="3:35" ht="20.100000000000001" customHeight="1" x14ac:dyDescent="0.2">
      <c r="U213" s="112" t="s">
        <v>422</v>
      </c>
    </row>
    <row r="214" spans="3:35" ht="20.100000000000001" customHeight="1" x14ac:dyDescent="0.2">
      <c r="U214" s="113" t="s">
        <v>424</v>
      </c>
    </row>
    <row r="215" spans="3:35" ht="20.100000000000001" customHeight="1" x14ac:dyDescent="0.2">
      <c r="C215" s="87"/>
      <c r="D215" s="87"/>
      <c r="E215" s="87"/>
      <c r="F215" s="87"/>
      <c r="G215" s="87"/>
      <c r="H215" s="87"/>
      <c r="I215" s="87"/>
      <c r="J215" s="87"/>
      <c r="K215" s="87"/>
      <c r="L215" s="87"/>
      <c r="M215" s="87"/>
      <c r="N215" s="87"/>
      <c r="O215" s="87"/>
      <c r="P215" s="87"/>
      <c r="Q215" s="87"/>
      <c r="R215" s="87"/>
      <c r="U215" s="114" t="s">
        <v>75</v>
      </c>
      <c r="V215" s="82" t="s">
        <v>326</v>
      </c>
      <c r="W215" s="82" t="s">
        <v>184</v>
      </c>
      <c r="X215" s="82" t="s">
        <v>327</v>
      </c>
      <c r="Y215" s="82" t="s">
        <v>328</v>
      </c>
      <c r="Z215" s="82" t="s">
        <v>329</v>
      </c>
      <c r="AA215" s="82" t="s">
        <v>330</v>
      </c>
      <c r="AB215" s="82" t="s">
        <v>331</v>
      </c>
      <c r="AC215" s="82" t="s">
        <v>332</v>
      </c>
      <c r="AD215" s="82" t="s">
        <v>333</v>
      </c>
      <c r="AE215" s="82" t="s">
        <v>334</v>
      </c>
    </row>
    <row r="216" spans="3:35" ht="20.100000000000001" customHeight="1" x14ac:dyDescent="0.2">
      <c r="D216" s="2" t="s">
        <v>1332</v>
      </c>
      <c r="U216" s="15" t="str">
        <f>TEXT(X_Cell_Site_StartDate,"mmmm")</f>
        <v>January</v>
      </c>
      <c r="V216" s="15" cm="1">
        <f t="array" aca="1" ref="V216:AE227" ca="1">OFFSET(X_Table_PastureBeef_Head_Method2, 1,1, 12,10)</f>
        <v>0</v>
      </c>
      <c r="W216" s="15">
        <f ca="1"/>
        <v>0</v>
      </c>
      <c r="X216" s="15">
        <f ca="1"/>
        <v>0</v>
      </c>
      <c r="Y216" s="15">
        <f ca="1"/>
        <v>0</v>
      </c>
      <c r="Z216" s="15">
        <f ca="1"/>
        <v>0</v>
      </c>
      <c r="AA216" s="15">
        <f ca="1"/>
        <v>0</v>
      </c>
      <c r="AB216" s="15">
        <f ca="1"/>
        <v>0</v>
      </c>
      <c r="AC216" s="15">
        <f ca="1"/>
        <v>0</v>
      </c>
      <c r="AD216" s="15">
        <f ca="1"/>
        <v>0</v>
      </c>
      <c r="AE216" s="15">
        <f ca="1"/>
        <v>0</v>
      </c>
      <c r="AF216" s="16" t="s">
        <v>425</v>
      </c>
      <c r="AG216" s="16"/>
      <c r="AH216" s="16"/>
    </row>
    <row r="217" spans="3:35" ht="20.100000000000001" customHeight="1" x14ac:dyDescent="0.2">
      <c r="D217" s="17" t="s">
        <v>1333</v>
      </c>
      <c r="U217" s="15" t="str">
        <f>TEXT(EDATE(X_Cell_Site_StartDate,1), "mmmm")</f>
        <v>January</v>
      </c>
      <c r="V217" s="15">
        <f ca="1"/>
        <v>0</v>
      </c>
      <c r="W217" s="15">
        <f ca="1"/>
        <v>0</v>
      </c>
      <c r="X217" s="15">
        <f ca="1"/>
        <v>0</v>
      </c>
      <c r="Y217" s="15">
        <f ca="1"/>
        <v>0</v>
      </c>
      <c r="Z217" s="15">
        <f ca="1"/>
        <v>0</v>
      </c>
      <c r="AA217" s="15">
        <f ca="1"/>
        <v>0</v>
      </c>
      <c r="AB217" s="15">
        <f ca="1"/>
        <v>0</v>
      </c>
      <c r="AC217" s="15">
        <f ca="1"/>
        <v>0</v>
      </c>
      <c r="AD217" s="15">
        <f ca="1"/>
        <v>0</v>
      </c>
      <c r="AE217" s="15">
        <f ca="1"/>
        <v>0</v>
      </c>
      <c r="AF217" s="16" t="s">
        <v>425</v>
      </c>
      <c r="AG217" s="16"/>
      <c r="AH217" s="16"/>
    </row>
    <row r="218" spans="3:35" ht="20.100000000000001" customHeight="1" x14ac:dyDescent="0.2">
      <c r="D218" s="103"/>
      <c r="E218" s="103"/>
      <c r="U218" s="15" t="str">
        <f>TEXT(EDATE(X_Cell_Site_StartDate,2), "mmmm")</f>
        <v>February</v>
      </c>
      <c r="V218" s="15">
        <f ca="1"/>
        <v>0</v>
      </c>
      <c r="W218" s="15">
        <f ca="1"/>
        <v>0</v>
      </c>
      <c r="X218" s="15">
        <f ca="1"/>
        <v>0</v>
      </c>
      <c r="Y218" s="15">
        <f ca="1"/>
        <v>0</v>
      </c>
      <c r="Z218" s="15">
        <f ca="1"/>
        <v>0</v>
      </c>
      <c r="AA218" s="15">
        <f ca="1"/>
        <v>0</v>
      </c>
      <c r="AB218" s="15">
        <f ca="1"/>
        <v>0</v>
      </c>
      <c r="AC218" s="15">
        <f ca="1"/>
        <v>0</v>
      </c>
      <c r="AD218" s="15">
        <f ca="1"/>
        <v>0</v>
      </c>
      <c r="AE218" s="15">
        <f ca="1"/>
        <v>0</v>
      </c>
      <c r="AF218" s="16" t="s">
        <v>425</v>
      </c>
      <c r="AG218" s="16"/>
      <c r="AH218" s="16"/>
    </row>
    <row r="219" spans="3:35" ht="20.100000000000001" customHeight="1" x14ac:dyDescent="0.2">
      <c r="U219" s="15" t="str">
        <f>TEXT(EDATE(X_Cell_Site_StartDate,3), "mmmm")</f>
        <v>March</v>
      </c>
      <c r="V219" s="15">
        <f ca="1"/>
        <v>0</v>
      </c>
      <c r="W219" s="15">
        <f ca="1"/>
        <v>0</v>
      </c>
      <c r="X219" s="15">
        <f ca="1"/>
        <v>0</v>
      </c>
      <c r="Y219" s="15">
        <f ca="1"/>
        <v>0</v>
      </c>
      <c r="Z219" s="15">
        <f ca="1"/>
        <v>0</v>
      </c>
      <c r="AA219" s="15">
        <f ca="1"/>
        <v>0</v>
      </c>
      <c r="AB219" s="15">
        <f ca="1"/>
        <v>0</v>
      </c>
      <c r="AC219" s="15">
        <f ca="1"/>
        <v>0</v>
      </c>
      <c r="AD219" s="15">
        <f ca="1"/>
        <v>0</v>
      </c>
      <c r="AE219" s="15">
        <f ca="1"/>
        <v>0</v>
      </c>
      <c r="AF219" s="16" t="s">
        <v>425</v>
      </c>
      <c r="AG219" s="16"/>
      <c r="AH219" s="16"/>
    </row>
    <row r="220" spans="3:35" ht="20.100000000000001" customHeight="1" x14ac:dyDescent="0.2">
      <c r="U220" s="15" t="str">
        <f>TEXT(EDATE(X_Cell_Site_StartDate,4), "mmmm")</f>
        <v>April</v>
      </c>
      <c r="V220" s="15">
        <f ca="1"/>
        <v>0</v>
      </c>
      <c r="W220" s="15">
        <f ca="1"/>
        <v>0</v>
      </c>
      <c r="X220" s="15">
        <f ca="1"/>
        <v>0</v>
      </c>
      <c r="Y220" s="15">
        <f ca="1"/>
        <v>0</v>
      </c>
      <c r="Z220" s="15">
        <f ca="1"/>
        <v>0</v>
      </c>
      <c r="AA220" s="15">
        <f ca="1"/>
        <v>0</v>
      </c>
      <c r="AB220" s="15">
        <f ca="1"/>
        <v>0</v>
      </c>
      <c r="AC220" s="15">
        <f ca="1"/>
        <v>0</v>
      </c>
      <c r="AD220" s="15">
        <f ca="1"/>
        <v>0</v>
      </c>
      <c r="AE220" s="15">
        <f ca="1"/>
        <v>0</v>
      </c>
      <c r="AF220" s="16" t="s">
        <v>425</v>
      </c>
      <c r="AG220" s="16"/>
      <c r="AH220" s="16"/>
    </row>
    <row r="221" spans="3:35" ht="20.100000000000001" customHeight="1" x14ac:dyDescent="0.2">
      <c r="D221" s="77" t="s">
        <v>373</v>
      </c>
      <c r="E221" s="1" t="s">
        <v>1334</v>
      </c>
      <c r="U221" s="15" t="str">
        <f>TEXT(EDATE(X_Cell_Site_StartDate,5), "mmmm")</f>
        <v>May</v>
      </c>
      <c r="V221" s="15">
        <f ca="1"/>
        <v>0</v>
      </c>
      <c r="W221" s="15">
        <f ca="1"/>
        <v>0</v>
      </c>
      <c r="X221" s="15">
        <f ca="1"/>
        <v>0</v>
      </c>
      <c r="Y221" s="15">
        <f ca="1"/>
        <v>0</v>
      </c>
      <c r="Z221" s="15">
        <f ca="1"/>
        <v>0</v>
      </c>
      <c r="AA221" s="15">
        <f ca="1"/>
        <v>0</v>
      </c>
      <c r="AB221" s="15">
        <f ca="1"/>
        <v>0</v>
      </c>
      <c r="AC221" s="15">
        <f ca="1"/>
        <v>0</v>
      </c>
      <c r="AD221" s="15">
        <f ca="1"/>
        <v>0</v>
      </c>
      <c r="AE221" s="15">
        <f ca="1"/>
        <v>0</v>
      </c>
      <c r="AF221" s="16" t="s">
        <v>425</v>
      </c>
      <c r="AG221" s="16"/>
      <c r="AH221" s="16"/>
    </row>
    <row r="222" spans="3:35" ht="20.100000000000001" customHeight="1" x14ac:dyDescent="0.2">
      <c r="D222" s="77" t="s">
        <v>121</v>
      </c>
      <c r="E222" s="9" t="s">
        <v>12</v>
      </c>
      <c r="U222" s="15" t="str">
        <f>TEXT(EDATE(X_Cell_Site_StartDate,6), "mmmm")</f>
        <v>June</v>
      </c>
      <c r="V222" s="15">
        <f ca="1"/>
        <v>0</v>
      </c>
      <c r="W222" s="15">
        <f ca="1"/>
        <v>0</v>
      </c>
      <c r="X222" s="15">
        <f ca="1"/>
        <v>0</v>
      </c>
      <c r="Y222" s="15">
        <f ca="1"/>
        <v>0</v>
      </c>
      <c r="Z222" s="15">
        <f ca="1"/>
        <v>0</v>
      </c>
      <c r="AA222" s="15">
        <f ca="1"/>
        <v>0</v>
      </c>
      <c r="AB222" s="15">
        <f ca="1"/>
        <v>0</v>
      </c>
      <c r="AC222" s="15">
        <f ca="1"/>
        <v>0</v>
      </c>
      <c r="AD222" s="15">
        <f ca="1"/>
        <v>0</v>
      </c>
      <c r="AE222" s="15">
        <f ca="1"/>
        <v>0</v>
      </c>
      <c r="AF222" s="16" t="s">
        <v>425</v>
      </c>
      <c r="AG222" s="16"/>
      <c r="AH222" s="16"/>
    </row>
    <row r="223" spans="3:35" ht="20.100000000000001" customHeight="1" x14ac:dyDescent="0.2">
      <c r="U223" s="15" t="str">
        <f>TEXT(EDATE(X_Cell_Site_StartDate,7), "mmmm")</f>
        <v>July</v>
      </c>
      <c r="V223" s="15">
        <f ca="1"/>
        <v>0</v>
      </c>
      <c r="W223" s="15">
        <f ca="1"/>
        <v>0</v>
      </c>
      <c r="X223" s="15">
        <f ca="1"/>
        <v>0</v>
      </c>
      <c r="Y223" s="15">
        <f ca="1"/>
        <v>0</v>
      </c>
      <c r="Z223" s="15">
        <f ca="1"/>
        <v>0</v>
      </c>
      <c r="AA223" s="15">
        <f ca="1"/>
        <v>0</v>
      </c>
      <c r="AB223" s="15">
        <f ca="1"/>
        <v>0</v>
      </c>
      <c r="AC223" s="15">
        <f ca="1"/>
        <v>0</v>
      </c>
      <c r="AD223" s="15">
        <f ca="1"/>
        <v>0</v>
      </c>
      <c r="AE223" s="15">
        <f ca="1"/>
        <v>0</v>
      </c>
      <c r="AF223" s="16" t="s">
        <v>425</v>
      </c>
      <c r="AG223" s="16"/>
      <c r="AH223" s="16"/>
    </row>
    <row r="224" spans="3:35" ht="20.100000000000001" customHeight="1" x14ac:dyDescent="0.2">
      <c r="D224" s="119" t="str" cm="1">
        <f t="array" ref="D224:G227">(_xlfn.MAKEARRAY(4, 4, _xlfn.LAMBDA(_xlpm.r,_xlpm.c, INDEX({"AE","total mass of nitrogen excreted on PRP for beef cattle","kg N","Calculated from 4.2.1.3 (2)";"EF_PRP","emission factor for nitrous oxide from urine and dung deposited to soil","kg N2O-N/kg N deposited","Constant";"C_N2O","factor to convert elemental mass of nitrous oxide to molecular mass","","Constant";"z","wet or dry climate zone","","Input"}, _xlpm.r, _xlpm.c))))</f>
        <v>AE</v>
      </c>
      <c r="E224" s="120" t="str">
        <v>total mass of nitrogen excreted on PRP for beef cattle</v>
      </c>
      <c r="F224" s="121" t="str">
        <v>kg N</v>
      </c>
      <c r="G224" s="122" t="str">
        <v>Calculated from 4.2.1.3 (2)</v>
      </c>
      <c r="H224" s="119" t="str">
        <f>"See " &amp; D204</f>
        <v>See M1_Table_AE</v>
      </c>
      <c r="U224" s="15" t="str">
        <f>TEXT(EDATE(X_Cell_Site_StartDate,8), "mmmm")</f>
        <v>August</v>
      </c>
      <c r="V224" s="15">
        <f ca="1"/>
        <v>0</v>
      </c>
      <c r="W224" s="15">
        <f ca="1"/>
        <v>0</v>
      </c>
      <c r="X224" s="15">
        <f ca="1"/>
        <v>0</v>
      </c>
      <c r="Y224" s="15">
        <f ca="1"/>
        <v>0</v>
      </c>
      <c r="Z224" s="15">
        <f ca="1"/>
        <v>0</v>
      </c>
      <c r="AA224" s="15">
        <f ca="1"/>
        <v>0</v>
      </c>
      <c r="AB224" s="15">
        <f ca="1"/>
        <v>0</v>
      </c>
      <c r="AC224" s="15">
        <f ca="1"/>
        <v>0</v>
      </c>
      <c r="AD224" s="15">
        <f ca="1"/>
        <v>0</v>
      </c>
      <c r="AE224" s="15">
        <f ca="1"/>
        <v>0</v>
      </c>
      <c r="AF224" s="16" t="s">
        <v>425</v>
      </c>
      <c r="AG224" s="16"/>
      <c r="AH224" s="16"/>
    </row>
    <row r="225" spans="4:34" ht="20.100000000000001" customHeight="1" x14ac:dyDescent="0.2">
      <c r="D225" s="119" t="str">
        <v>EF_PRP</v>
      </c>
      <c r="E225" s="120" t="str">
        <v>emission factor for nitrous oxide from urine and dung deposited to soil</v>
      </c>
      <c r="F225" s="121" t="str">
        <v>kg N2O-N/kg N deposited</v>
      </c>
      <c r="G225" s="122" t="str">
        <v>Constant</v>
      </c>
      <c r="H225" s="116" t="e">
        <f>_xlfn.XLOOKUP(H227,Table_SourceData_EFPastureRangeAndPaddock[Climate zone],Table_SourceData_EFPastureRangeAndPaddock[EFPRP])</f>
        <v>#DIV/0!</v>
      </c>
      <c r="U225" s="15" t="str">
        <f>TEXT(EDATE(X_Cell_Site_StartDate,9), "mmmm")</f>
        <v>September</v>
      </c>
      <c r="V225" s="15">
        <f ca="1"/>
        <v>0</v>
      </c>
      <c r="W225" s="15">
        <f ca="1"/>
        <v>0</v>
      </c>
      <c r="X225" s="15">
        <f ca="1"/>
        <v>0</v>
      </c>
      <c r="Y225" s="15">
        <f ca="1"/>
        <v>0</v>
      </c>
      <c r="Z225" s="15">
        <f ca="1"/>
        <v>0</v>
      </c>
      <c r="AA225" s="15">
        <f ca="1"/>
        <v>0</v>
      </c>
      <c r="AB225" s="15">
        <f ca="1"/>
        <v>0</v>
      </c>
      <c r="AC225" s="15">
        <f ca="1"/>
        <v>0</v>
      </c>
      <c r="AD225" s="15">
        <f ca="1"/>
        <v>0</v>
      </c>
      <c r="AE225" s="15">
        <f ca="1"/>
        <v>0</v>
      </c>
      <c r="AF225" s="16" t="s">
        <v>425</v>
      </c>
      <c r="AG225" s="16"/>
      <c r="AH225" s="16"/>
    </row>
    <row r="226" spans="4:34" ht="20.100000000000001" customHeight="1" x14ac:dyDescent="0.2">
      <c r="D226" s="119" t="str">
        <v>C_N2O</v>
      </c>
      <c r="E226" s="120" t="str">
        <v>factor to convert elemental mass of nitrous oxide to molecular mass</v>
      </c>
      <c r="F226" s="121" t="str">
        <v/>
      </c>
      <c r="G226" s="122" t="str">
        <v>Constant</v>
      </c>
      <c r="H226" s="116">
        <f>Common_InputFunctions.Utility_LookupValueInTableNumber("N2O",Table_GasToMolecularConversionFactor[Gas],Table_GasToMolecularConversionFactor[Conversion factor combined])</f>
        <v>1.5714285714285714</v>
      </c>
      <c r="U226" s="15" t="str">
        <f>TEXT(EDATE(X_Cell_Site_StartDate,10), "mmmm")</f>
        <v>October</v>
      </c>
      <c r="V226" s="15">
        <f ca="1"/>
        <v>0</v>
      </c>
      <c r="W226" s="15">
        <f ca="1"/>
        <v>0</v>
      </c>
      <c r="X226" s="15">
        <f ca="1"/>
        <v>0</v>
      </c>
      <c r="Y226" s="15">
        <f ca="1"/>
        <v>0</v>
      </c>
      <c r="Z226" s="15">
        <f ca="1"/>
        <v>0</v>
      </c>
      <c r="AA226" s="15">
        <f ca="1"/>
        <v>0</v>
      </c>
      <c r="AB226" s="15">
        <f ca="1"/>
        <v>0</v>
      </c>
      <c r="AC226" s="15">
        <f ca="1"/>
        <v>0</v>
      </c>
      <c r="AD226" s="15">
        <f ca="1"/>
        <v>0</v>
      </c>
      <c r="AE226" s="15">
        <f ca="1"/>
        <v>0</v>
      </c>
      <c r="AF226" s="16" t="s">
        <v>425</v>
      </c>
      <c r="AG226" s="16"/>
      <c r="AH226" s="16"/>
    </row>
    <row r="227" spans="4:34" ht="20.100000000000001" customHeight="1" x14ac:dyDescent="0.2">
      <c r="D227" s="119" t="str">
        <v>z</v>
      </c>
      <c r="E227" s="120" t="str">
        <v>wet or dry climate zone</v>
      </c>
      <c r="F227" s="121" t="str">
        <v/>
      </c>
      <c r="G227" s="122" t="str">
        <v>Input</v>
      </c>
      <c r="H227" s="119" t="e">
        <f>X_Cell_Site_WetOrDryClimateZone</f>
        <v>#DIV/0!</v>
      </c>
      <c r="U227" s="15" t="str">
        <f>TEXT(EDATE(X_Cell_Site_StartDate,11), "mmmm")</f>
        <v>November</v>
      </c>
      <c r="V227" s="15">
        <f ca="1"/>
        <v>0</v>
      </c>
      <c r="W227" s="15">
        <f ca="1"/>
        <v>0</v>
      </c>
      <c r="X227" s="15">
        <f ca="1"/>
        <v>0</v>
      </c>
      <c r="Y227" s="15">
        <f ca="1"/>
        <v>0</v>
      </c>
      <c r="Z227" s="15">
        <f ca="1"/>
        <v>0</v>
      </c>
      <c r="AA227" s="15">
        <f ca="1"/>
        <v>0</v>
      </c>
      <c r="AB227" s="15">
        <f ca="1"/>
        <v>0</v>
      </c>
      <c r="AC227" s="15">
        <f ca="1"/>
        <v>0</v>
      </c>
      <c r="AD227" s="15">
        <f ca="1"/>
        <v>0</v>
      </c>
      <c r="AE227" s="15">
        <f ca="1"/>
        <v>0</v>
      </c>
      <c r="AF227" s="16" t="s">
        <v>425</v>
      </c>
      <c r="AG227" s="16"/>
      <c r="AH227" s="16"/>
    </row>
    <row r="229" spans="4:34" ht="20.100000000000001" customHeight="1" x14ac:dyDescent="0.2">
      <c r="D229" s="90" t="s">
        <v>473</v>
      </c>
      <c r="E229" s="91" t="e">
        <f ca="1">(VEERG_4_2_1_3__2_TotalNitrogenExcretedToPastureRangeAndPaddock_Result_Method1 * $H$225 * $H$226 * 10 ^ -3)</f>
        <v>#N/A</v>
      </c>
      <c r="F229" s="95" t="str">
        <f>$E$222</f>
        <v>t N2O</v>
      </c>
      <c r="U229" s="112" t="s">
        <v>430</v>
      </c>
    </row>
    <row r="230" spans="4:34" ht="20.100000000000001" customHeight="1" x14ac:dyDescent="0.2">
      <c r="U230" s="113" t="s">
        <v>432</v>
      </c>
    </row>
    <row r="231" spans="4:34" ht="20.100000000000001" customHeight="1" x14ac:dyDescent="0.2">
      <c r="D231" s="116" t="str" cm="1">
        <f t="array" ref="D231:E232">Common_Equations.Common_ConvertN2OToCO2e_Arguments()</f>
        <v>EN2O</v>
      </c>
      <c r="E231" s="117" t="str">
        <v>Nitrous oxide emissions (t N2O)</v>
      </c>
      <c r="F231" s="118"/>
      <c r="G231" s="15" t="e">
        <f ca="1">VEERG_4_2_1_3__1_DirectNitrousOxideEmissionsOnPasture_Result_Method1</f>
        <v>#N/A</v>
      </c>
      <c r="U231" s="114" t="s">
        <v>75</v>
      </c>
      <c r="V231" s="82" t="s">
        <v>326</v>
      </c>
      <c r="W231" s="82" t="s">
        <v>184</v>
      </c>
      <c r="X231" s="82" t="s">
        <v>327</v>
      </c>
      <c r="Y231" s="82" t="s">
        <v>328</v>
      </c>
      <c r="Z231" s="82" t="s">
        <v>329</v>
      </c>
      <c r="AA231" s="82" t="s">
        <v>330</v>
      </c>
      <c r="AB231" s="82" t="s">
        <v>331</v>
      </c>
      <c r="AC231" s="82" t="s">
        <v>332</v>
      </c>
      <c r="AD231" s="82" t="s">
        <v>333</v>
      </c>
      <c r="AE231" s="82" t="s">
        <v>334</v>
      </c>
    </row>
    <row r="232" spans="4:34" ht="20.100000000000001" customHeight="1" x14ac:dyDescent="0.2">
      <c r="D232" s="116" t="str">
        <v>GWPN2O</v>
      </c>
      <c r="E232" s="117" t="str">
        <v>Global warming potential for nitrous oxide (t CO2-e / t N2O)</v>
      </c>
      <c r="F232" s="118"/>
      <c r="G232" s="15">
        <f>Common_InputFunctions.Utility_LookupValueInTableNumber("N2O",Table_GWPData[Gas],Table_GWPData[CO2-e factor])</f>
        <v>265</v>
      </c>
      <c r="U232" s="15" t="str">
        <f>TEXT(X_Cell_Site_StartDate,"mmmm")</f>
        <v>January</v>
      </c>
      <c r="V232" s="15" cm="1">
        <f t="array" aca="1" ref="V232:AE243" ca="1">OFFSET(X_Table_PastureBeef_Duration_Method2, 1,1, 12,10)</f>
        <v>31</v>
      </c>
      <c r="W232" s="15">
        <f ca="1"/>
        <v>31</v>
      </c>
      <c r="X232" s="15">
        <f ca="1"/>
        <v>31</v>
      </c>
      <c r="Y232" s="15">
        <f ca="1"/>
        <v>31</v>
      </c>
      <c r="Z232" s="15">
        <f ca="1"/>
        <v>31</v>
      </c>
      <c r="AA232" s="15">
        <f ca="1"/>
        <v>31</v>
      </c>
      <c r="AB232" s="15">
        <f ca="1"/>
        <v>31</v>
      </c>
      <c r="AC232" s="15">
        <f ca="1"/>
        <v>31</v>
      </c>
      <c r="AD232" s="15">
        <f ca="1"/>
        <v>31</v>
      </c>
      <c r="AE232" s="15">
        <f ca="1"/>
        <v>31</v>
      </c>
      <c r="AF232" s="16" t="s">
        <v>428</v>
      </c>
      <c r="AG232" s="16"/>
      <c r="AH232" s="16"/>
    </row>
    <row r="233" spans="4:34" ht="20.100000000000001" customHeight="1" x14ac:dyDescent="0.2">
      <c r="U233" s="15" t="str">
        <f>TEXT(EDATE(X_Cell_Site_StartDate,1), "mmmm")</f>
        <v>January</v>
      </c>
      <c r="V233" s="15">
        <f ca="1"/>
        <v>31</v>
      </c>
      <c r="W233" s="15">
        <f ca="1"/>
        <v>31</v>
      </c>
      <c r="X233" s="15">
        <f ca="1"/>
        <v>31</v>
      </c>
      <c r="Y233" s="15">
        <f ca="1"/>
        <v>31</v>
      </c>
      <c r="Z233" s="15">
        <f ca="1"/>
        <v>31</v>
      </c>
      <c r="AA233" s="15">
        <f ca="1"/>
        <v>31</v>
      </c>
      <c r="AB233" s="15">
        <f ca="1"/>
        <v>31</v>
      </c>
      <c r="AC233" s="15">
        <f ca="1"/>
        <v>31</v>
      </c>
      <c r="AD233" s="15">
        <f ca="1"/>
        <v>31</v>
      </c>
      <c r="AE233" s="15">
        <f ca="1"/>
        <v>31</v>
      </c>
      <c r="AF233" s="16" t="s">
        <v>428</v>
      </c>
      <c r="AG233" s="16"/>
      <c r="AH233" s="16"/>
    </row>
    <row r="234" spans="4:34" ht="20.100000000000001" customHeight="1" x14ac:dyDescent="0.2">
      <c r="D234" s="87" t="s">
        <v>435</v>
      </c>
      <c r="E234" s="87" t="e" cm="1">
        <f t="array" aca="1" ref="E234" ca="1">Common_Equations.Common_ConvertN2OToCO2e(G231,G232)</f>
        <v>#N/A</v>
      </c>
      <c r="F234" s="94" t="str" cm="1">
        <f t="array" ref="F234">Common_Equations.Common_ConvertN2OToCO2e_Unit()</f>
        <v>t CO2e</v>
      </c>
      <c r="U234" s="15" t="str">
        <f>TEXT(EDATE(X_Cell_Site_StartDate,2), "mmmm")</f>
        <v>February</v>
      </c>
      <c r="V234" s="15">
        <f ca="1"/>
        <v>28</v>
      </c>
      <c r="W234" s="15">
        <f ca="1"/>
        <v>28</v>
      </c>
      <c r="X234" s="15">
        <f ca="1"/>
        <v>28</v>
      </c>
      <c r="Y234" s="15">
        <f ca="1"/>
        <v>28</v>
      </c>
      <c r="Z234" s="15">
        <f ca="1"/>
        <v>28</v>
      </c>
      <c r="AA234" s="15">
        <f ca="1"/>
        <v>28</v>
      </c>
      <c r="AB234" s="15">
        <f ca="1"/>
        <v>28</v>
      </c>
      <c r="AC234" s="15">
        <f ca="1"/>
        <v>28</v>
      </c>
      <c r="AD234" s="15">
        <f ca="1"/>
        <v>28</v>
      </c>
      <c r="AE234" s="15">
        <f ca="1"/>
        <v>28</v>
      </c>
      <c r="AF234" s="16" t="s">
        <v>428</v>
      </c>
      <c r="AG234" s="16"/>
      <c r="AH234" s="16"/>
    </row>
    <row r="235" spans="4:34" ht="20.100000000000001" customHeight="1" x14ac:dyDescent="0.2">
      <c r="U235" s="15" t="str">
        <f>TEXT(EDATE(X_Cell_Site_StartDate,3), "mmmm")</f>
        <v>March</v>
      </c>
      <c r="V235" s="15">
        <f ca="1"/>
        <v>31</v>
      </c>
      <c r="W235" s="15">
        <f ca="1"/>
        <v>31</v>
      </c>
      <c r="X235" s="15">
        <f ca="1"/>
        <v>31</v>
      </c>
      <c r="Y235" s="15">
        <f ca="1"/>
        <v>31</v>
      </c>
      <c r="Z235" s="15">
        <f ca="1"/>
        <v>31</v>
      </c>
      <c r="AA235" s="15">
        <f ca="1"/>
        <v>31</v>
      </c>
      <c r="AB235" s="15">
        <f ca="1"/>
        <v>31</v>
      </c>
      <c r="AC235" s="15">
        <f ca="1"/>
        <v>31</v>
      </c>
      <c r="AD235" s="15">
        <f ca="1"/>
        <v>31</v>
      </c>
      <c r="AE235" s="15">
        <f ca="1"/>
        <v>31</v>
      </c>
      <c r="AF235" s="16" t="s">
        <v>428</v>
      </c>
      <c r="AG235" s="16"/>
      <c r="AH235" s="16"/>
    </row>
    <row r="236" spans="4:34" ht="20.100000000000001" customHeight="1" x14ac:dyDescent="0.2">
      <c r="U236" s="15" t="str">
        <f>TEXT(EDATE(X_Cell_Site_StartDate,4), "mmmm")</f>
        <v>April</v>
      </c>
      <c r="V236" s="15">
        <f ca="1"/>
        <v>30</v>
      </c>
      <c r="W236" s="15">
        <f ca="1"/>
        <v>30</v>
      </c>
      <c r="X236" s="15">
        <f ca="1"/>
        <v>30</v>
      </c>
      <c r="Y236" s="15">
        <f ca="1"/>
        <v>30</v>
      </c>
      <c r="Z236" s="15">
        <f ca="1"/>
        <v>30</v>
      </c>
      <c r="AA236" s="15">
        <f ca="1"/>
        <v>30</v>
      </c>
      <c r="AB236" s="15">
        <f ca="1"/>
        <v>30</v>
      </c>
      <c r="AC236" s="15">
        <f ca="1"/>
        <v>30</v>
      </c>
      <c r="AD236" s="15">
        <f ca="1"/>
        <v>30</v>
      </c>
      <c r="AE236" s="15">
        <f ca="1"/>
        <v>30</v>
      </c>
      <c r="AF236" s="16" t="s">
        <v>428</v>
      </c>
      <c r="AG236" s="16"/>
      <c r="AH236" s="16"/>
    </row>
    <row r="237" spans="4:34" ht="20.100000000000001" customHeight="1" x14ac:dyDescent="0.2">
      <c r="U237" s="15" t="str">
        <f>TEXT(EDATE(X_Cell_Site_StartDate,5), "mmmm")</f>
        <v>May</v>
      </c>
      <c r="V237" s="15">
        <f ca="1"/>
        <v>31</v>
      </c>
      <c r="W237" s="15">
        <f ca="1"/>
        <v>31</v>
      </c>
      <c r="X237" s="15">
        <f ca="1"/>
        <v>31</v>
      </c>
      <c r="Y237" s="15">
        <f ca="1"/>
        <v>31</v>
      </c>
      <c r="Z237" s="15">
        <f ca="1"/>
        <v>31</v>
      </c>
      <c r="AA237" s="15">
        <f ca="1"/>
        <v>31</v>
      </c>
      <c r="AB237" s="15">
        <f ca="1"/>
        <v>31</v>
      </c>
      <c r="AC237" s="15">
        <f ca="1"/>
        <v>31</v>
      </c>
      <c r="AD237" s="15">
        <f ca="1"/>
        <v>31</v>
      </c>
      <c r="AE237" s="15">
        <f ca="1"/>
        <v>31</v>
      </c>
      <c r="AF237" s="16" t="s">
        <v>428</v>
      </c>
      <c r="AG237" s="16"/>
      <c r="AH237" s="16"/>
    </row>
    <row r="238" spans="4:34" ht="20.100000000000001" customHeight="1" x14ac:dyDescent="0.2">
      <c r="U238" s="15" t="str">
        <f>TEXT(EDATE(X_Cell_Site_StartDate,6), "mmmm")</f>
        <v>June</v>
      </c>
      <c r="V238" s="15">
        <f ca="1"/>
        <v>30</v>
      </c>
      <c r="W238" s="15">
        <f ca="1"/>
        <v>30</v>
      </c>
      <c r="X238" s="15">
        <f ca="1"/>
        <v>30</v>
      </c>
      <c r="Y238" s="15">
        <f ca="1"/>
        <v>30</v>
      </c>
      <c r="Z238" s="15">
        <f ca="1"/>
        <v>30</v>
      </c>
      <c r="AA238" s="15">
        <f ca="1"/>
        <v>30</v>
      </c>
      <c r="AB238" s="15">
        <f ca="1"/>
        <v>30</v>
      </c>
      <c r="AC238" s="15">
        <f ca="1"/>
        <v>30</v>
      </c>
      <c r="AD238" s="15">
        <f ca="1"/>
        <v>30</v>
      </c>
      <c r="AE238" s="15">
        <f ca="1"/>
        <v>30</v>
      </c>
      <c r="AF238" s="16" t="s">
        <v>428</v>
      </c>
      <c r="AG238" s="16"/>
      <c r="AH238" s="16"/>
    </row>
    <row r="239" spans="4:34" ht="20.100000000000001" customHeight="1" x14ac:dyDescent="0.2">
      <c r="U239" s="15" t="str">
        <f>TEXT(EDATE(X_Cell_Site_StartDate,7), "mmmm")</f>
        <v>July</v>
      </c>
      <c r="V239" s="15">
        <f ca="1"/>
        <v>31</v>
      </c>
      <c r="W239" s="15">
        <f ca="1"/>
        <v>31</v>
      </c>
      <c r="X239" s="15">
        <f ca="1"/>
        <v>31</v>
      </c>
      <c r="Y239" s="15">
        <f ca="1"/>
        <v>31</v>
      </c>
      <c r="Z239" s="15">
        <f ca="1"/>
        <v>31</v>
      </c>
      <c r="AA239" s="15">
        <f ca="1"/>
        <v>31</v>
      </c>
      <c r="AB239" s="15">
        <f ca="1"/>
        <v>31</v>
      </c>
      <c r="AC239" s="15">
        <f ca="1"/>
        <v>31</v>
      </c>
      <c r="AD239" s="15">
        <f ca="1"/>
        <v>31</v>
      </c>
      <c r="AE239" s="15">
        <f ca="1"/>
        <v>31</v>
      </c>
      <c r="AF239" s="16" t="s">
        <v>428</v>
      </c>
      <c r="AG239" s="16"/>
      <c r="AH239" s="16"/>
    </row>
    <row r="240" spans="4:34" ht="20.100000000000001" customHeight="1" x14ac:dyDescent="0.2">
      <c r="U240" s="15" t="str">
        <f>TEXT(EDATE(X_Cell_Site_StartDate,8), "mmmm")</f>
        <v>August</v>
      </c>
      <c r="V240" s="15">
        <f ca="1"/>
        <v>31</v>
      </c>
      <c r="W240" s="15">
        <f ca="1"/>
        <v>31</v>
      </c>
      <c r="X240" s="15">
        <f ca="1"/>
        <v>31</v>
      </c>
      <c r="Y240" s="15">
        <f ca="1"/>
        <v>31</v>
      </c>
      <c r="Z240" s="15">
        <f ca="1"/>
        <v>31</v>
      </c>
      <c r="AA240" s="15">
        <f ca="1"/>
        <v>31</v>
      </c>
      <c r="AB240" s="15">
        <f ca="1"/>
        <v>31</v>
      </c>
      <c r="AC240" s="15">
        <f ca="1"/>
        <v>31</v>
      </c>
      <c r="AD240" s="15">
        <f ca="1"/>
        <v>31</v>
      </c>
      <c r="AE240" s="15">
        <f ca="1"/>
        <v>31</v>
      </c>
      <c r="AF240" s="16" t="s">
        <v>428</v>
      </c>
      <c r="AG240" s="16"/>
      <c r="AH240" s="16"/>
    </row>
    <row r="241" spans="21:34" ht="20.100000000000001" customHeight="1" x14ac:dyDescent="0.2">
      <c r="U241" s="15" t="str">
        <f>TEXT(EDATE(X_Cell_Site_StartDate,9), "mmmm")</f>
        <v>September</v>
      </c>
      <c r="V241" s="15">
        <f ca="1"/>
        <v>30</v>
      </c>
      <c r="W241" s="15">
        <f ca="1"/>
        <v>30</v>
      </c>
      <c r="X241" s="15">
        <f ca="1"/>
        <v>30</v>
      </c>
      <c r="Y241" s="15">
        <f ca="1"/>
        <v>30</v>
      </c>
      <c r="Z241" s="15">
        <f ca="1"/>
        <v>30</v>
      </c>
      <c r="AA241" s="15">
        <f ca="1"/>
        <v>30</v>
      </c>
      <c r="AB241" s="15">
        <f ca="1"/>
        <v>30</v>
      </c>
      <c r="AC241" s="15">
        <f ca="1"/>
        <v>30</v>
      </c>
      <c r="AD241" s="15">
        <f ca="1"/>
        <v>30</v>
      </c>
      <c r="AE241" s="15">
        <f ca="1"/>
        <v>30</v>
      </c>
      <c r="AF241" s="16" t="s">
        <v>428</v>
      </c>
      <c r="AG241" s="16"/>
      <c r="AH241" s="16"/>
    </row>
    <row r="242" spans="21:34" ht="20.100000000000001" customHeight="1" x14ac:dyDescent="0.2">
      <c r="U242" s="15" t="str">
        <f>TEXT(EDATE(X_Cell_Site_StartDate,10), "mmmm")</f>
        <v>October</v>
      </c>
      <c r="V242" s="15">
        <f ca="1"/>
        <v>31</v>
      </c>
      <c r="W242" s="15">
        <f ca="1"/>
        <v>31</v>
      </c>
      <c r="X242" s="15">
        <f ca="1"/>
        <v>31</v>
      </c>
      <c r="Y242" s="15">
        <f ca="1"/>
        <v>31</v>
      </c>
      <c r="Z242" s="15">
        <f ca="1"/>
        <v>31</v>
      </c>
      <c r="AA242" s="15">
        <f ca="1"/>
        <v>31</v>
      </c>
      <c r="AB242" s="15">
        <f ca="1"/>
        <v>31</v>
      </c>
      <c r="AC242" s="15">
        <f ca="1"/>
        <v>31</v>
      </c>
      <c r="AD242" s="15">
        <f ca="1"/>
        <v>31</v>
      </c>
      <c r="AE242" s="15">
        <f ca="1"/>
        <v>31</v>
      </c>
      <c r="AF242" s="16" t="s">
        <v>428</v>
      </c>
      <c r="AG242" s="16"/>
      <c r="AH242" s="16"/>
    </row>
    <row r="243" spans="21:34" ht="20.100000000000001" customHeight="1" x14ac:dyDescent="0.2">
      <c r="U243" s="15" t="str">
        <f>TEXT(EDATE(X_Cell_Site_StartDate,11), "mmmm")</f>
        <v>November</v>
      </c>
      <c r="V243" s="15">
        <f ca="1"/>
        <v>30</v>
      </c>
      <c r="W243" s="15">
        <f ca="1"/>
        <v>30</v>
      </c>
      <c r="X243" s="15">
        <f ca="1"/>
        <v>30</v>
      </c>
      <c r="Y243" s="15">
        <f ca="1"/>
        <v>30</v>
      </c>
      <c r="Z243" s="15">
        <f ca="1"/>
        <v>30</v>
      </c>
      <c r="AA243" s="15">
        <f ca="1"/>
        <v>30</v>
      </c>
      <c r="AB243" s="15">
        <f ca="1"/>
        <v>30</v>
      </c>
      <c r="AC243" s="15">
        <f ca="1"/>
        <v>30</v>
      </c>
      <c r="AD243" s="15">
        <f ca="1"/>
        <v>30</v>
      </c>
      <c r="AE243" s="15">
        <f ca="1"/>
        <v>30</v>
      </c>
      <c r="AF243" s="16" t="s">
        <v>428</v>
      </c>
      <c r="AG243" s="16"/>
      <c r="AH243" s="16"/>
    </row>
    <row r="245" spans="21:34" ht="20.100000000000001" customHeight="1" x14ac:dyDescent="0.2">
      <c r="U245" s="112" t="s">
        <v>474</v>
      </c>
    </row>
    <row r="246" spans="21:34" ht="20.100000000000001" customHeight="1" x14ac:dyDescent="0.2">
      <c r="U246" s="113" t="s">
        <v>475</v>
      </c>
    </row>
    <row r="247" spans="21:34" ht="20.100000000000001" customHeight="1" x14ac:dyDescent="0.2">
      <c r="U247" s="114" t="s">
        <v>75</v>
      </c>
      <c r="V247" s="114" t="s">
        <v>326</v>
      </c>
      <c r="W247" s="114" t="s">
        <v>184</v>
      </c>
      <c r="X247" s="114" t="s">
        <v>327</v>
      </c>
      <c r="Y247" s="114" t="s">
        <v>328</v>
      </c>
      <c r="Z247" s="114" t="s">
        <v>329</v>
      </c>
      <c r="AA247" s="114" t="s">
        <v>330</v>
      </c>
      <c r="AB247" s="114" t="s">
        <v>331</v>
      </c>
      <c r="AC247" s="114" t="s">
        <v>332</v>
      </c>
      <c r="AD247" s="114" t="s">
        <v>333</v>
      </c>
      <c r="AE247" s="114" t="s">
        <v>334</v>
      </c>
    </row>
    <row r="248" spans="21:34" ht="20.100000000000001" customHeight="1" x14ac:dyDescent="0.2">
      <c r="U248" s="15" t="str">
        <f>TEXT(X_Cell_Site_StartDate,"mmmm")</f>
        <v>January</v>
      </c>
      <c r="V248" s="15" t="e">
        <f ca="1">(SUM((V216 * V196) * V232))</f>
        <v>#N/A</v>
      </c>
      <c r="W248" s="15" t="e">
        <f ca="1">(SUM((W216 * W196) * W232))</f>
        <v>#N/A</v>
      </c>
      <c r="X248" s="15" t="e">
        <f ca="1">(SUM((X216 * X196) * X232))</f>
        <v>#N/A</v>
      </c>
      <c r="Y248" s="15" t="e">
        <f ca="1">(SUM((Y216 * Y196) * Y232))</f>
        <v>#N/A</v>
      </c>
      <c r="Z248" s="15" t="e">
        <f ca="1">(SUM((Z216 * Z196) * Z232))</f>
        <v>#N/A</v>
      </c>
      <c r="AA248" s="15" t="e">
        <f ca="1">(SUM((AA216 * AA196) * AA232))</f>
        <v>#N/A</v>
      </c>
      <c r="AB248" s="15" t="e">
        <f ca="1">(SUM((AB216 * AB196) * AB232))</f>
        <v>#N/A</v>
      </c>
      <c r="AC248" s="15" t="e">
        <f ca="1">(SUM((AC216 * AC196) * AC232))</f>
        <v>#N/A</v>
      </c>
      <c r="AD248" s="15" t="e">
        <f ca="1">(SUM((AD216 * AD196) * AD232))</f>
        <v>#N/A</v>
      </c>
      <c r="AE248" s="15" t="e">
        <f ca="1">(SUM((AE216 * AE196) * AE232))</f>
        <v>#N/A</v>
      </c>
      <c r="AF248" s="16" t="str">
        <f t="shared" ref="AF248:AF259" si="10">$E$182</f>
        <v>kg N</v>
      </c>
      <c r="AG248" s="16"/>
      <c r="AH248" s="16"/>
    </row>
    <row r="249" spans="21:34" ht="20.100000000000001" customHeight="1" x14ac:dyDescent="0.2">
      <c r="U249" s="15" t="str">
        <f>TEXT(EDATE(X_Cell_Site_StartDate,1), "mmmm")</f>
        <v>January</v>
      </c>
      <c r="V249" s="15" t="e">
        <f ca="1">(SUM((V217 * V197) * V233))</f>
        <v>#N/A</v>
      </c>
      <c r="W249" s="15" t="e">
        <f ca="1">(SUM((W217 * W197) * W233))</f>
        <v>#N/A</v>
      </c>
      <c r="X249" s="15" t="e">
        <f ca="1">(SUM((X217 * X197) * X233))</f>
        <v>#N/A</v>
      </c>
      <c r="Y249" s="15" t="e">
        <f ca="1">(SUM((Y217 * Y197) * Y233))</f>
        <v>#N/A</v>
      </c>
      <c r="Z249" s="15" t="e">
        <f ca="1">(SUM((Z217 * Z197) * Z233))</f>
        <v>#N/A</v>
      </c>
      <c r="AA249" s="15" t="e">
        <f ca="1">(SUM((AA217 * AA197) * AA233))</f>
        <v>#N/A</v>
      </c>
      <c r="AB249" s="15" t="e">
        <f ca="1">(SUM((AB217 * AB197) * AB233))</f>
        <v>#N/A</v>
      </c>
      <c r="AC249" s="15" t="e">
        <f ca="1">(SUM((AC217 * AC197) * AC233))</f>
        <v>#N/A</v>
      </c>
      <c r="AD249" s="15" t="e">
        <f ca="1">(SUM((AD217 * AD197) * AD233))</f>
        <v>#N/A</v>
      </c>
      <c r="AE249" s="15" t="e">
        <f ca="1">(SUM((AE217 * AE197) * AE233))</f>
        <v>#N/A</v>
      </c>
      <c r="AF249" s="16" t="str">
        <f t="shared" si="10"/>
        <v>kg N</v>
      </c>
      <c r="AG249" s="16"/>
      <c r="AH249" s="16"/>
    </row>
    <row r="250" spans="21:34" ht="20.100000000000001" customHeight="1" x14ac:dyDescent="0.2">
      <c r="U250" s="15" t="str">
        <f>TEXT(EDATE(X_Cell_Site_StartDate,2), "mmmm")</f>
        <v>February</v>
      </c>
      <c r="V250" s="15" t="e">
        <f ca="1">(SUM((V218 * V198) * V234))</f>
        <v>#N/A</v>
      </c>
      <c r="W250" s="15" t="e">
        <f ca="1">(SUM((W218 * W198) * W234))</f>
        <v>#N/A</v>
      </c>
      <c r="X250" s="15" t="e">
        <f ca="1">(SUM((X218 * X198) * X234))</f>
        <v>#N/A</v>
      </c>
      <c r="Y250" s="15" t="e">
        <f ca="1">(SUM((Y218 * Y198) * Y234))</f>
        <v>#N/A</v>
      </c>
      <c r="Z250" s="15" t="e">
        <f ca="1">(SUM((Z218 * Z198) * Z234))</f>
        <v>#N/A</v>
      </c>
      <c r="AA250" s="15" t="e">
        <f ca="1">(SUM((AA218 * AA198) * AA234))</f>
        <v>#N/A</v>
      </c>
      <c r="AB250" s="15" t="e">
        <f ca="1">(SUM((AB218 * AB198) * AB234))</f>
        <v>#N/A</v>
      </c>
      <c r="AC250" s="15" t="e">
        <f ca="1">(SUM((AC218 * AC198) * AC234))</f>
        <v>#N/A</v>
      </c>
      <c r="AD250" s="15" t="e">
        <f ca="1">(SUM((AD218 * AD198) * AD234))</f>
        <v>#N/A</v>
      </c>
      <c r="AE250" s="15" t="e">
        <f ca="1">(SUM((AE218 * AE198) * AE234))</f>
        <v>#N/A</v>
      </c>
      <c r="AF250" s="16" t="str">
        <f t="shared" si="10"/>
        <v>kg N</v>
      </c>
      <c r="AG250" s="16"/>
      <c r="AH250" s="16"/>
    </row>
    <row r="251" spans="21:34" ht="20.100000000000001" customHeight="1" x14ac:dyDescent="0.2">
      <c r="U251" s="15" t="str">
        <f>TEXT(EDATE(X_Cell_Site_StartDate,3), "mmmm")</f>
        <v>March</v>
      </c>
      <c r="V251" s="15" t="e">
        <f ca="1">(SUM((V219 * V199) * V235))</f>
        <v>#N/A</v>
      </c>
      <c r="W251" s="15" t="e">
        <f ca="1">(SUM((W219 * W199) * W235))</f>
        <v>#N/A</v>
      </c>
      <c r="X251" s="15" t="e">
        <f ca="1">(SUM((X219 * X199) * X235))</f>
        <v>#N/A</v>
      </c>
      <c r="Y251" s="15" t="e">
        <f ca="1">(SUM((Y219 * Y199) * Y235))</f>
        <v>#N/A</v>
      </c>
      <c r="Z251" s="15" t="e">
        <f ca="1">(SUM((Z219 * Z199) * Z235))</f>
        <v>#N/A</v>
      </c>
      <c r="AA251" s="15" t="e">
        <f ca="1">(SUM((AA219 * AA199) * AA235))</f>
        <v>#N/A</v>
      </c>
      <c r="AB251" s="15" t="e">
        <f ca="1">(SUM((AB219 * AB199) * AB235))</f>
        <v>#N/A</v>
      </c>
      <c r="AC251" s="15" t="e">
        <f ca="1">(SUM((AC219 * AC199) * AC235))</f>
        <v>#N/A</v>
      </c>
      <c r="AD251" s="15" t="e">
        <f ca="1">(SUM((AD219 * AD199) * AD235))</f>
        <v>#N/A</v>
      </c>
      <c r="AE251" s="15" t="e">
        <f ca="1">(SUM((AE219 * AE199) * AE235))</f>
        <v>#N/A</v>
      </c>
      <c r="AF251" s="16" t="str">
        <f t="shared" si="10"/>
        <v>kg N</v>
      </c>
      <c r="AG251" s="16"/>
      <c r="AH251" s="16"/>
    </row>
    <row r="252" spans="21:34" ht="20.100000000000001" customHeight="1" x14ac:dyDescent="0.2">
      <c r="U252" s="15" t="str">
        <f>TEXT(EDATE(X_Cell_Site_StartDate,4), "mmmm")</f>
        <v>April</v>
      </c>
      <c r="V252" s="15" t="e">
        <f ca="1">(SUM((V220 * V200) * V236))</f>
        <v>#N/A</v>
      </c>
      <c r="W252" s="15" t="e">
        <f ca="1">(SUM((W220 * W200) * W236))</f>
        <v>#N/A</v>
      </c>
      <c r="X252" s="15" t="e">
        <f ca="1">(SUM((X220 * X200) * X236))</f>
        <v>#N/A</v>
      </c>
      <c r="Y252" s="15" t="e">
        <f ca="1">(SUM((Y220 * Y200) * Y236))</f>
        <v>#N/A</v>
      </c>
      <c r="Z252" s="15" t="e">
        <f ca="1">(SUM((Z220 * Z200) * Z236))</f>
        <v>#N/A</v>
      </c>
      <c r="AA252" s="15" t="e">
        <f ca="1">(SUM((AA220 * AA200) * AA236))</f>
        <v>#N/A</v>
      </c>
      <c r="AB252" s="15" t="e">
        <f ca="1">(SUM((AB220 * AB200) * AB236))</f>
        <v>#N/A</v>
      </c>
      <c r="AC252" s="15" t="e">
        <f ca="1">(SUM((AC220 * AC200) * AC236))</f>
        <v>#N/A</v>
      </c>
      <c r="AD252" s="15" t="e">
        <f ca="1">(SUM((AD220 * AD200) * AD236))</f>
        <v>#N/A</v>
      </c>
      <c r="AE252" s="15" t="e">
        <f ca="1">(SUM((AE220 * AE200) * AE236))</f>
        <v>#N/A</v>
      </c>
      <c r="AF252" s="16" t="str">
        <f t="shared" si="10"/>
        <v>kg N</v>
      </c>
      <c r="AG252" s="16"/>
      <c r="AH252" s="16"/>
    </row>
    <row r="253" spans="21:34" ht="20.100000000000001" customHeight="1" x14ac:dyDescent="0.2">
      <c r="U253" s="15" t="str">
        <f>TEXT(EDATE(X_Cell_Site_StartDate,5), "mmmm")</f>
        <v>May</v>
      </c>
      <c r="V253" s="15" t="e">
        <f ca="1">(SUM((V221 * V201) * V237))</f>
        <v>#N/A</v>
      </c>
      <c r="W253" s="15" t="e">
        <f ca="1">(SUM((W221 * W201) * W237))</f>
        <v>#N/A</v>
      </c>
      <c r="X253" s="15" t="e">
        <f ca="1">(SUM((X221 * X201) * X237))</f>
        <v>#N/A</v>
      </c>
      <c r="Y253" s="15" t="e">
        <f ca="1">(SUM((Y221 * Y201) * Y237))</f>
        <v>#N/A</v>
      </c>
      <c r="Z253" s="15" t="e">
        <f ca="1">(SUM((Z221 * Z201) * Z237))</f>
        <v>#N/A</v>
      </c>
      <c r="AA253" s="15" t="e">
        <f ca="1">(SUM((AA221 * AA201) * AA237))</f>
        <v>#N/A</v>
      </c>
      <c r="AB253" s="15" t="e">
        <f ca="1">(SUM((AB221 * AB201) * AB237))</f>
        <v>#N/A</v>
      </c>
      <c r="AC253" s="15" t="e">
        <f ca="1">(SUM((AC221 * AC201) * AC237))</f>
        <v>#N/A</v>
      </c>
      <c r="AD253" s="15" t="e">
        <f ca="1">(SUM((AD221 * AD201) * AD237))</f>
        <v>#N/A</v>
      </c>
      <c r="AE253" s="15" t="e">
        <f ca="1">(SUM((AE221 * AE201) * AE237))</f>
        <v>#N/A</v>
      </c>
      <c r="AF253" s="16" t="str">
        <f t="shared" si="10"/>
        <v>kg N</v>
      </c>
      <c r="AG253" s="16"/>
      <c r="AH253" s="16"/>
    </row>
    <row r="254" spans="21:34" ht="20.100000000000001" customHeight="1" x14ac:dyDescent="0.2">
      <c r="U254" s="15" t="str">
        <f>TEXT(EDATE(X_Cell_Site_StartDate,6), "mmmm")</f>
        <v>June</v>
      </c>
      <c r="V254" s="15" t="e">
        <f ca="1">(SUM((V222 * V202) * V238))</f>
        <v>#N/A</v>
      </c>
      <c r="W254" s="15" t="e">
        <f ca="1">(SUM((W222 * W202) * W238))</f>
        <v>#N/A</v>
      </c>
      <c r="X254" s="15" t="e">
        <f ca="1">(SUM((X222 * X202) * X238))</f>
        <v>#N/A</v>
      </c>
      <c r="Y254" s="15" t="e">
        <f ca="1">(SUM((Y222 * Y202) * Y238))</f>
        <v>#N/A</v>
      </c>
      <c r="Z254" s="15" t="e">
        <f ca="1">(SUM((Z222 * Z202) * Z238))</f>
        <v>#N/A</v>
      </c>
      <c r="AA254" s="15" t="e">
        <f ca="1">(SUM((AA222 * AA202) * AA238))</f>
        <v>#N/A</v>
      </c>
      <c r="AB254" s="15" t="e">
        <f ca="1">(SUM((AB222 * AB202) * AB238))</f>
        <v>#N/A</v>
      </c>
      <c r="AC254" s="15" t="e">
        <f ca="1">(SUM((AC222 * AC202) * AC238))</f>
        <v>#N/A</v>
      </c>
      <c r="AD254" s="15" t="e">
        <f ca="1">(SUM((AD222 * AD202) * AD238))</f>
        <v>#N/A</v>
      </c>
      <c r="AE254" s="15" t="e">
        <f ca="1">(SUM((AE222 * AE202) * AE238))</f>
        <v>#N/A</v>
      </c>
      <c r="AF254" s="16" t="str">
        <f t="shared" si="10"/>
        <v>kg N</v>
      </c>
      <c r="AG254" s="16"/>
      <c r="AH254" s="16"/>
    </row>
    <row r="255" spans="21:34" ht="20.100000000000001" customHeight="1" x14ac:dyDescent="0.2">
      <c r="U255" s="15" t="str">
        <f>TEXT(EDATE(X_Cell_Site_StartDate,7), "mmmm")</f>
        <v>July</v>
      </c>
      <c r="V255" s="15" t="e">
        <f ca="1">(SUM((V223 * V203) * V239))</f>
        <v>#N/A</v>
      </c>
      <c r="W255" s="15" t="e">
        <f ca="1">(SUM((W223 * W203) * W239))</f>
        <v>#N/A</v>
      </c>
      <c r="X255" s="15" t="e">
        <f ca="1">(SUM((X223 * X203) * X239))</f>
        <v>#N/A</v>
      </c>
      <c r="Y255" s="15" t="e">
        <f ca="1">(SUM((Y223 * Y203) * Y239))</f>
        <v>#N/A</v>
      </c>
      <c r="Z255" s="15" t="e">
        <f ca="1">(SUM((Z223 * Z203) * Z239))</f>
        <v>#N/A</v>
      </c>
      <c r="AA255" s="15" t="e">
        <f ca="1">(SUM((AA223 * AA203) * AA239))</f>
        <v>#N/A</v>
      </c>
      <c r="AB255" s="15" t="e">
        <f ca="1">(SUM((AB223 * AB203) * AB239))</f>
        <v>#N/A</v>
      </c>
      <c r="AC255" s="15" t="e">
        <f ca="1">(SUM((AC223 * AC203) * AC239))</f>
        <v>#N/A</v>
      </c>
      <c r="AD255" s="15" t="e">
        <f ca="1">(SUM((AD223 * AD203) * AD239))</f>
        <v>#N/A</v>
      </c>
      <c r="AE255" s="15" t="e">
        <f ca="1">(SUM((AE223 * AE203) * AE239))</f>
        <v>#N/A</v>
      </c>
      <c r="AF255" s="16" t="str">
        <f t="shared" si="10"/>
        <v>kg N</v>
      </c>
      <c r="AG255" s="16"/>
      <c r="AH255" s="16"/>
    </row>
    <row r="256" spans="21:34" ht="20.100000000000001" customHeight="1" x14ac:dyDescent="0.2">
      <c r="U256" s="15" t="str">
        <f>TEXT(EDATE(X_Cell_Site_StartDate,8), "mmmm")</f>
        <v>August</v>
      </c>
      <c r="V256" s="15" t="e">
        <f ca="1">(SUM((V224 * V204) * V240))</f>
        <v>#N/A</v>
      </c>
      <c r="W256" s="15" t="e">
        <f ca="1">(SUM((W224 * W204) * W240))</f>
        <v>#N/A</v>
      </c>
      <c r="X256" s="15" t="e">
        <f ca="1">(SUM((X224 * X204) * X240))</f>
        <v>#N/A</v>
      </c>
      <c r="Y256" s="15" t="e">
        <f ca="1">(SUM((Y224 * Y204) * Y240))</f>
        <v>#N/A</v>
      </c>
      <c r="Z256" s="15" t="e">
        <f ca="1">(SUM((Z224 * Z204) * Z240))</f>
        <v>#N/A</v>
      </c>
      <c r="AA256" s="15" t="e">
        <f ca="1">(SUM((AA224 * AA204) * AA240))</f>
        <v>#N/A</v>
      </c>
      <c r="AB256" s="15" t="e">
        <f ca="1">(SUM((AB224 * AB204) * AB240))</f>
        <v>#N/A</v>
      </c>
      <c r="AC256" s="15" t="e">
        <f ca="1">(SUM((AC224 * AC204) * AC240))</f>
        <v>#N/A</v>
      </c>
      <c r="AD256" s="15" t="e">
        <f ca="1">(SUM((AD224 * AD204) * AD240))</f>
        <v>#N/A</v>
      </c>
      <c r="AE256" s="15" t="e">
        <f ca="1">(SUM((AE224 * AE204) * AE240))</f>
        <v>#N/A</v>
      </c>
      <c r="AF256" s="16" t="str">
        <f t="shared" si="10"/>
        <v>kg N</v>
      </c>
      <c r="AG256" s="16"/>
      <c r="AH256" s="16"/>
    </row>
    <row r="257" spans="20:35" ht="20.100000000000001" customHeight="1" x14ac:dyDescent="0.2">
      <c r="U257" s="15" t="str">
        <f>TEXT(EDATE(X_Cell_Site_StartDate,9), "mmmm")</f>
        <v>September</v>
      </c>
      <c r="V257" s="15" t="e">
        <f ca="1">(SUM((V225 * V205) * V241))</f>
        <v>#N/A</v>
      </c>
      <c r="W257" s="15" t="e">
        <f ca="1">(SUM((W225 * W205) * W241))</f>
        <v>#N/A</v>
      </c>
      <c r="X257" s="15" t="e">
        <f ca="1">(SUM((X225 * X205) * X241))</f>
        <v>#N/A</v>
      </c>
      <c r="Y257" s="15" t="e">
        <f ca="1">(SUM((Y225 * Y205) * Y241))</f>
        <v>#N/A</v>
      </c>
      <c r="Z257" s="15" t="e">
        <f ca="1">(SUM((Z225 * Z205) * Z241))</f>
        <v>#N/A</v>
      </c>
      <c r="AA257" s="15" t="e">
        <f ca="1">(SUM((AA225 * AA205) * AA241))</f>
        <v>#N/A</v>
      </c>
      <c r="AB257" s="15" t="e">
        <f ca="1">(SUM((AB225 * AB205) * AB241))</f>
        <v>#N/A</v>
      </c>
      <c r="AC257" s="15" t="e">
        <f ca="1">(SUM((AC225 * AC205) * AC241))</f>
        <v>#N/A</v>
      </c>
      <c r="AD257" s="15" t="e">
        <f ca="1">(SUM((AD225 * AD205) * AD241))</f>
        <v>#N/A</v>
      </c>
      <c r="AE257" s="15" t="e">
        <f ca="1">(SUM((AE225 * AE205) * AE241))</f>
        <v>#N/A</v>
      </c>
      <c r="AF257" s="16" t="str">
        <f t="shared" si="10"/>
        <v>kg N</v>
      </c>
      <c r="AG257" s="16"/>
      <c r="AH257" s="16"/>
    </row>
    <row r="258" spans="20:35" ht="20.100000000000001" customHeight="1" x14ac:dyDescent="0.2">
      <c r="U258" s="15" t="str">
        <f>TEXT(EDATE(X_Cell_Site_StartDate,10), "mmmm")</f>
        <v>October</v>
      </c>
      <c r="V258" s="15" t="e">
        <f ca="1">(SUM((V226 * V206) * V242))</f>
        <v>#N/A</v>
      </c>
      <c r="W258" s="15" t="e">
        <f ca="1">(SUM((W226 * W206) * W242))</f>
        <v>#N/A</v>
      </c>
      <c r="X258" s="15" t="e">
        <f ca="1">(SUM((X226 * X206) * X242))</f>
        <v>#N/A</v>
      </c>
      <c r="Y258" s="15" t="e">
        <f ca="1">(SUM((Y226 * Y206) * Y242))</f>
        <v>#N/A</v>
      </c>
      <c r="Z258" s="15" t="e">
        <f ca="1">(SUM((Z226 * Z206) * Z242))</f>
        <v>#N/A</v>
      </c>
      <c r="AA258" s="15" t="e">
        <f ca="1">(SUM((AA226 * AA206) * AA242))</f>
        <v>#N/A</v>
      </c>
      <c r="AB258" s="15" t="e">
        <f ca="1">(SUM((AB226 * AB206) * AB242))</f>
        <v>#N/A</v>
      </c>
      <c r="AC258" s="15" t="e">
        <f ca="1">(SUM((AC226 * AC206) * AC242))</f>
        <v>#N/A</v>
      </c>
      <c r="AD258" s="15" t="e">
        <f ca="1">(SUM((AD226 * AD206) * AD242))</f>
        <v>#N/A</v>
      </c>
      <c r="AE258" s="15" t="e">
        <f ca="1">(SUM((AE226 * AE206) * AE242))</f>
        <v>#N/A</v>
      </c>
      <c r="AF258" s="16" t="str">
        <f t="shared" si="10"/>
        <v>kg N</v>
      </c>
      <c r="AG258" s="16"/>
      <c r="AH258" s="16"/>
    </row>
    <row r="259" spans="20:35" ht="20.100000000000001" customHeight="1" x14ac:dyDescent="0.2">
      <c r="U259" s="15" t="str">
        <f>TEXT(EDATE(X_Cell_Site_StartDate,11), "mmmm")</f>
        <v>November</v>
      </c>
      <c r="V259" s="15" t="e">
        <f ca="1">(SUM((V227 * V207) * V243))</f>
        <v>#N/A</v>
      </c>
      <c r="W259" s="15" t="e">
        <f ca="1">(SUM((W227 * W207) * W243))</f>
        <v>#N/A</v>
      </c>
      <c r="X259" s="15" t="e">
        <f ca="1">(SUM((X227 * X207) * X243))</f>
        <v>#N/A</v>
      </c>
      <c r="Y259" s="15" t="e">
        <f ca="1">(SUM((Y227 * Y207) * Y243))</f>
        <v>#N/A</v>
      </c>
      <c r="Z259" s="15" t="e">
        <f ca="1">(SUM((Z227 * Z207) * Z243))</f>
        <v>#N/A</v>
      </c>
      <c r="AA259" s="15" t="e">
        <f ca="1">(SUM((AA227 * AA207) * AA243))</f>
        <v>#N/A</v>
      </c>
      <c r="AB259" s="15" t="e">
        <f ca="1">(SUM((AB227 * AB207) * AB243))</f>
        <v>#N/A</v>
      </c>
      <c r="AC259" s="15" t="e">
        <f ca="1">(SUM((AC227 * AC207) * AC243))</f>
        <v>#N/A</v>
      </c>
      <c r="AD259" s="15" t="e">
        <f ca="1">(SUM((AD227 * AD207) * AD243))</f>
        <v>#N/A</v>
      </c>
      <c r="AE259" s="15" t="e">
        <f ca="1">(SUM((AE227 * AE207) * AE243))</f>
        <v>#N/A</v>
      </c>
      <c r="AF259" s="16" t="str">
        <f t="shared" si="10"/>
        <v>kg N</v>
      </c>
      <c r="AG259" s="16"/>
      <c r="AH259" s="16"/>
    </row>
    <row r="261" spans="20:35" ht="20.100000000000001" customHeight="1" x14ac:dyDescent="0.2">
      <c r="U261" s="93" t="s">
        <v>472</v>
      </c>
      <c r="V261" s="87" t="e">
        <f ca="1">SUM(V248:AE259)</f>
        <v>#N/A</v>
      </c>
      <c r="W261" s="9" t="str">
        <f>$E$182</f>
        <v>kg N</v>
      </c>
    </row>
    <row r="264" spans="20:35" ht="20.100000000000001" customHeight="1" x14ac:dyDescent="0.2">
      <c r="T264" s="87"/>
      <c r="U264" s="87"/>
      <c r="V264" s="87"/>
      <c r="W264" s="87"/>
      <c r="X264" s="87"/>
      <c r="Y264" s="87"/>
      <c r="Z264" s="87"/>
      <c r="AA264" s="87"/>
      <c r="AB264" s="87"/>
      <c r="AC264" s="87"/>
      <c r="AD264" s="87"/>
      <c r="AE264" s="87"/>
      <c r="AF264" s="87"/>
      <c r="AG264" s="87"/>
      <c r="AH264" s="87"/>
      <c r="AI264" s="87"/>
    </row>
    <row r="265" spans="20:35" ht="20.100000000000001" customHeight="1" x14ac:dyDescent="0.2">
      <c r="U265" s="2" t="s">
        <v>1332</v>
      </c>
    </row>
    <row r="267" spans="20:35" ht="20.100000000000001" customHeight="1" x14ac:dyDescent="0.2">
      <c r="U267" s="90" t="s">
        <v>473</v>
      </c>
      <c r="V267" s="91" t="e">
        <f ca="1">(VEERG_4_2_1_3__2_TotalNitrogenExcretedToPastureRangeAndPaddock_Result_Method2 * $H$225 * $H$226 * 10 ^ -3)</f>
        <v>#N/A</v>
      </c>
      <c r="W267" s="95" t="str">
        <f>$E$222</f>
        <v>t N2O</v>
      </c>
    </row>
    <row r="269" spans="20:35" ht="20.100000000000001" customHeight="1" x14ac:dyDescent="0.2">
      <c r="U269" s="116" t="str" cm="1">
        <f t="array" ref="U269:V270">Common_Equations.Common_ConvertN2OToCO2e_Arguments()</f>
        <v>EN2O</v>
      </c>
      <c r="V269" s="117" t="str">
        <v>Nitrous oxide emissions (t N2O)</v>
      </c>
      <c r="W269" s="118"/>
      <c r="X269" s="15" t="e">
        <f ca="1">VEERG_4_2_1_3__1_DirectNitrousOxideEmissionsOnPasture_Result_Method2</f>
        <v>#N/A</v>
      </c>
    </row>
    <row r="270" spans="20:35" ht="20.100000000000001" customHeight="1" x14ac:dyDescent="0.2">
      <c r="U270" s="116" t="str">
        <v>GWPN2O</v>
      </c>
      <c r="V270" s="117" t="str">
        <v>Global warming potential for nitrous oxide (t CO2-e / t N2O)</v>
      </c>
      <c r="W270" s="118"/>
      <c r="X270" s="15">
        <f>Common_InputFunctions.Utility_LookupValueInTableNumber("N2O",Table_GWPData[Gas],Table_GWPData[CO2-e factor])</f>
        <v>265</v>
      </c>
    </row>
    <row r="272" spans="20:35" ht="20.100000000000001" customHeight="1" x14ac:dyDescent="0.2">
      <c r="U272" s="87" t="s">
        <v>435</v>
      </c>
      <c r="V272" s="87" t="e" cm="1">
        <f t="array" aca="1" ref="V272" ca="1">Common_Equations.Common_ConvertN2OToCO2e(X269,X270)</f>
        <v>#N/A</v>
      </c>
      <c r="W272" s="94" t="str" cm="1">
        <f t="array" ref="W272">Common_Equations.Common_ConvertN2OToCO2e_Unit()</f>
        <v>t CO2e</v>
      </c>
    </row>
  </sheetData>
  <dataValidations count="1">
    <dataValidation operator="equal" allowBlank="1" showInputMessage="1" showErrorMessage="1" sqref="E271 F79 D80:E80 E101:Q101 E74:F74 F106:Q106 E226 E274 V114:AI114 E241 E238 E262 V244 E265" xr:uid="{950603CE-99EA-4D98-AE51-6F4282DCA205}"/>
  </dataValidations>
  <pageMargins left="0.7" right="0.7" top="0.75" bottom="0.75" header="0.3" footer="0.3"/>
  <pageSetup paperSize="9" orientation="portrait" r:id="rId1"/>
  <drawing r:id="rId2"/>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3BCA35-7209-4C53-ADD9-61AB9196168D}">
  <sheetPr>
    <tabColor rgb="FF008000"/>
  </sheetPr>
  <dimension ref="A1:V60"/>
  <sheetViews>
    <sheetView showGridLines="0" zoomScaleNormal="100" workbookViewId="0">
      <pane xSplit="1" topLeftCell="B1" activePane="topRight" state="frozen"/>
      <selection pane="topRight" activeCell="A59" sqref="A59"/>
    </sheetView>
  </sheetViews>
  <sheetFormatPr defaultRowHeight="20.100000000000001" customHeight="1" x14ac:dyDescent="0.2"/>
  <cols>
    <col min="1" max="1" width="36.7109375" customWidth="1"/>
    <col min="2" max="2" width="4.7109375" customWidth="1"/>
    <col min="3" max="3" width="4.7109375" style="1" customWidth="1"/>
    <col min="4" max="10" width="30.7109375" style="1" customWidth="1"/>
    <col min="11" max="11" width="4.7109375" style="1" customWidth="1"/>
    <col min="12" max="12" width="4.7109375" customWidth="1"/>
    <col min="13" max="13" width="4.7109375" style="1" customWidth="1"/>
    <col min="14" max="21" width="30.7109375" style="1" customWidth="1"/>
    <col min="22" max="22" width="4.7109375" style="1" customWidth="1"/>
  </cols>
  <sheetData>
    <row r="1" spans="1:22" s="21" customFormat="1" ht="30" customHeight="1" x14ac:dyDescent="0.35">
      <c r="A1" s="10" t="e" vm="1">
        <v>#VALUE!</v>
      </c>
      <c r="C1" s="21" t="s">
        <v>476</v>
      </c>
    </row>
    <row r="2" spans="1:22" s="3" customFormat="1" ht="20.100000000000001" customHeight="1" x14ac:dyDescent="0.2">
      <c r="A2"/>
    </row>
    <row r="3" spans="1:22" ht="20.100000000000001" customHeight="1" x14ac:dyDescent="0.2">
      <c r="A3" s="5" t="str">
        <f>HYPERLINK("#'Home'!A1", "Home")</f>
        <v>Home</v>
      </c>
      <c r="C3" s="23"/>
      <c r="D3" s="23" t="s">
        <v>136</v>
      </c>
      <c r="E3" s="23"/>
      <c r="F3" s="23"/>
      <c r="G3" s="23"/>
      <c r="H3" s="23"/>
      <c r="I3" s="23"/>
      <c r="J3" s="23"/>
      <c r="K3" s="23"/>
      <c r="M3" s="23"/>
      <c r="N3" s="23" t="s">
        <v>137</v>
      </c>
      <c r="O3" s="23"/>
      <c r="P3" s="23"/>
      <c r="Q3" s="23"/>
      <c r="R3" s="23"/>
      <c r="S3" s="23"/>
      <c r="T3" s="23"/>
      <c r="U3" s="23"/>
      <c r="V3" s="23"/>
    </row>
    <row r="4" spans="1:22" ht="20.100000000000001" customHeight="1" x14ac:dyDescent="0.2">
      <c r="A4" s="5" t="str">
        <f>HYPERLINK("#'Results - Activity period'!A1", "Results - Activity period")</f>
        <v>Results - Activity period</v>
      </c>
    </row>
    <row r="5" spans="1:22" ht="20.100000000000001" customHeight="1" x14ac:dyDescent="0.2">
      <c r="A5" s="5" t="str">
        <f>HYPERLINK("#'Results - Product EI'!A1", "Results - Product Emissions Intensity")</f>
        <v>Results - Product Emissions Intensity</v>
      </c>
      <c r="D5" s="2" t="s">
        <v>1335</v>
      </c>
    </row>
    <row r="6" spans="1:22" ht="20.100000000000001" customHeight="1" x14ac:dyDescent="0.2">
      <c r="D6" s="17" t="s">
        <v>1336</v>
      </c>
    </row>
    <row r="7" spans="1:22" ht="20.100000000000001" customHeight="1" x14ac:dyDescent="0.2">
      <c r="D7" s="103"/>
      <c r="E7" s="103"/>
    </row>
    <row r="8" spans="1:22" ht="20.100000000000001" customHeight="1" x14ac:dyDescent="0.2">
      <c r="A8" s="7" t="s">
        <v>0</v>
      </c>
    </row>
    <row r="9" spans="1:22" ht="20.100000000000001" customHeight="1" x14ac:dyDescent="0.2">
      <c r="A9" s="5" t="str">
        <f>HYPERLINK("#'Input - Enterprise'!A1", "Enterprise")</f>
        <v>Enterprise</v>
      </c>
    </row>
    <row r="10" spans="1:22" ht="20.100000000000001" customHeight="1" x14ac:dyDescent="0.2">
      <c r="A10" s="5" t="str">
        <f>HYPERLINK("#'Input - Site'!A1", "Site")</f>
        <v>Site</v>
      </c>
      <c r="D10" s="77" t="s">
        <v>373</v>
      </c>
      <c r="E10" s="1" t="s">
        <v>1337</v>
      </c>
    </row>
    <row r="11" spans="1:22" ht="20.100000000000001" customHeight="1" x14ac:dyDescent="0.2">
      <c r="A11" s="5" t="str">
        <f>HYPERLINK("#'Input - Pasture Beef'!A1", "Pasture Beef")</f>
        <v>Pasture Beef</v>
      </c>
      <c r="D11" s="77" t="s">
        <v>121</v>
      </c>
      <c r="E11" s="9" t="s">
        <v>1055</v>
      </c>
    </row>
    <row r="12" spans="1:22" ht="20.100000000000001" customHeight="1" x14ac:dyDescent="0.2">
      <c r="A12" s="5" t="str">
        <f>HYPERLINK("#'Input - Livestock sales'!A1", "Livestock sales")</f>
        <v>Livestock sales</v>
      </c>
    </row>
    <row r="13" spans="1:22" ht="20.100000000000001" customHeight="1" x14ac:dyDescent="0.2">
      <c r="A13" s="5" t="str">
        <f>HYPERLINK("#'Input - Beef cattle purchases'!A1", "Beef cattle purchases")</f>
        <v>Beef cattle purchases</v>
      </c>
      <c r="D13" s="105" t="s">
        <v>472</v>
      </c>
      <c r="E13" s="106" t="s">
        <v>1338</v>
      </c>
      <c r="F13" s="107"/>
      <c r="G13" s="108"/>
      <c r="H13" s="105" t="s">
        <v>1055</v>
      </c>
      <c r="I13" s="110" t="s">
        <v>1341</v>
      </c>
      <c r="J13" s="105" t="e">
        <f ca="1">VEERG_4_2_1_3__2_TotalNitrogenExcretedToPastureRangeAndPaddock_Result_Method1</f>
        <v>#N/A</v>
      </c>
      <c r="N13" s="105" t="s">
        <v>472</v>
      </c>
      <c r="O13" s="106" t="s">
        <v>1338</v>
      </c>
      <c r="P13" s="107"/>
      <c r="Q13" s="108"/>
      <c r="R13" s="105" t="s">
        <v>1055</v>
      </c>
      <c r="S13" s="110" t="s">
        <v>1341</v>
      </c>
      <c r="T13" s="116" t="e">
        <f ca="1">VEERG_4_2_1_3__2_TotalNitrogenExcretedToPastureRangeAndPaddock_Result_Method2</f>
        <v>#N/A</v>
      </c>
    </row>
    <row r="14" spans="1:22" ht="20.100000000000001" customHeight="1" x14ac:dyDescent="0.2">
      <c r="A14" s="5" t="str">
        <f>HYPERLINK("#'Input - Pasture'!A1", "Pasture")</f>
        <v>Pasture</v>
      </c>
      <c r="D14" s="105" t="s">
        <v>1339</v>
      </c>
      <c r="E14" s="106" t="s">
        <v>1340</v>
      </c>
      <c r="F14" s="107"/>
      <c r="G14" s="108"/>
      <c r="H14" s="105" t="s">
        <v>346</v>
      </c>
      <c r="I14" s="110" t="s">
        <v>1220</v>
      </c>
      <c r="J14" s="105">
        <f>SourceData_PastureBeef_FracGASMSoil_Data</f>
        <v>0.21</v>
      </c>
      <c r="N14" s="105" t="s">
        <v>1339</v>
      </c>
      <c r="O14" s="106" t="s">
        <v>1340</v>
      </c>
      <c r="P14" s="107"/>
      <c r="Q14" s="108"/>
      <c r="R14" s="105" t="s">
        <v>346</v>
      </c>
      <c r="S14" s="110" t="s">
        <v>1220</v>
      </c>
      <c r="T14" s="116"/>
    </row>
    <row r="15" spans="1:22" ht="20.100000000000001" customHeight="1" x14ac:dyDescent="0.2">
      <c r="A15" s="5" t="str">
        <f>HYPERLINK("#'Input - Fert Prod System'!A1", "Fert Prod System")</f>
        <v>Fert Prod System</v>
      </c>
    </row>
    <row r="16" spans="1:22" ht="20.100000000000001" customHeight="1" x14ac:dyDescent="0.2">
      <c r="A16" s="5" t="str">
        <f>HYPERLINK("#'Input - Fertiliser'!A1", "Fertiliser")</f>
        <v>Fertiliser</v>
      </c>
      <c r="D16" s="93" t="s">
        <v>477</v>
      </c>
      <c r="E16" s="87" t="e">
        <f ca="1">(J13 * J14)</f>
        <v>#N/A</v>
      </c>
      <c r="F16" s="94" t="str">
        <f>E11</f>
        <v>kg N</v>
      </c>
      <c r="L16" s="98"/>
      <c r="N16" s="93" t="s">
        <v>477</v>
      </c>
      <c r="O16" s="87" t="e">
        <f ca="1">(T13 * $J$14)</f>
        <v>#N/A</v>
      </c>
      <c r="P16" s="94">
        <f>O11</f>
        <v>0</v>
      </c>
    </row>
    <row r="17" spans="1:22" ht="20.100000000000001" customHeight="1" x14ac:dyDescent="0.2">
      <c r="A17" s="5" t="str">
        <f>HYPERLINK("#'Input - Fuel'!A1", "Fuel")</f>
        <v>Fuel</v>
      </c>
      <c r="L17" s="98"/>
    </row>
    <row r="18" spans="1:22" ht="20.100000000000001" customHeight="1" x14ac:dyDescent="0.2">
      <c r="A18" s="5" t="str">
        <f>HYPERLINK("#'Input - Electricity'!A1", "Electricity")</f>
        <v>Electricity</v>
      </c>
      <c r="L18" s="98"/>
    </row>
    <row r="19" spans="1:22" ht="20.100000000000001" customHeight="1" x14ac:dyDescent="0.2">
      <c r="A19" s="5" t="str">
        <f>HYPERLINK("#'Input - Common farm inputs'!A1", "Common farm inputs")</f>
        <v>Common farm inputs</v>
      </c>
      <c r="C19" s="87"/>
      <c r="D19" s="87"/>
      <c r="E19" s="87"/>
      <c r="F19" s="87"/>
      <c r="G19" s="87"/>
      <c r="H19" s="87"/>
      <c r="I19" s="87"/>
      <c r="J19" s="87"/>
      <c r="K19" s="87"/>
      <c r="L19" s="98"/>
      <c r="M19" s="87"/>
      <c r="N19" s="87"/>
      <c r="O19" s="87"/>
      <c r="P19" s="87"/>
      <c r="Q19" s="87"/>
      <c r="R19" s="87"/>
      <c r="S19" s="87"/>
      <c r="T19" s="87"/>
      <c r="U19" s="87"/>
      <c r="V19" s="87"/>
    </row>
    <row r="20" spans="1:22" ht="20.100000000000001" customHeight="1" x14ac:dyDescent="0.2">
      <c r="A20" s="5" t="str">
        <f>HYPERLINK("#'Input - Crop pasture farm input'!A1", "Crop pasture farm input")</f>
        <v>Crop pasture farm input</v>
      </c>
      <c r="D20" s="2" t="s">
        <v>1342</v>
      </c>
    </row>
    <row r="21" spans="1:22" ht="20.100000000000001" customHeight="1" x14ac:dyDescent="0.2">
      <c r="A21" s="5" t="str">
        <f>HYPERLINK("#'Input - Livestock farm Inputs'!A1", "Livestock farm Inputs")</f>
        <v>Livestock farm Inputs</v>
      </c>
      <c r="D21" s="17" t="s">
        <v>1343</v>
      </c>
    </row>
    <row r="22" spans="1:22" ht="20.100000000000001" customHeight="1" x14ac:dyDescent="0.2">
      <c r="A22" s="5" t="str">
        <f>HYPERLINK("#'Input - Freight'!A1", "Freight")</f>
        <v>Freight</v>
      </c>
      <c r="D22" s="103"/>
      <c r="E22" s="103"/>
    </row>
    <row r="23" spans="1:22" ht="20.100000000000001" customHeight="1" x14ac:dyDescent="0.2">
      <c r="A23" s="5" t="str">
        <f>HYPERLINK("#'Input - Solid waste'!A1", "Solid waste")</f>
        <v>Solid waste</v>
      </c>
    </row>
    <row r="24" spans="1:22" ht="20.100000000000001" customHeight="1" x14ac:dyDescent="0.2">
      <c r="A24" s="5" t="str">
        <f>HYPERLINK("#'Input - Manure sent off-site'!A1", "Manure sent off-site")</f>
        <v>Manure sent off-site</v>
      </c>
    </row>
    <row r="25" spans="1:22" ht="20.100000000000001" customHeight="1" x14ac:dyDescent="0.2">
      <c r="A25" s="5" t="str">
        <f>HYPERLINK("#'Input - Data quality'!A1", "Data quality")</f>
        <v>Data quality</v>
      </c>
      <c r="D25" s="77" t="s">
        <v>373</v>
      </c>
      <c r="E25" s="1" t="s">
        <v>1344</v>
      </c>
    </row>
    <row r="26" spans="1:22" ht="20.100000000000001" customHeight="1" x14ac:dyDescent="0.2">
      <c r="D26" s="77" t="s">
        <v>121</v>
      </c>
      <c r="E26" s="9" t="s">
        <v>12</v>
      </c>
    </row>
    <row r="28" spans="1:22" ht="20.100000000000001" customHeight="1" x14ac:dyDescent="0.2">
      <c r="A28" s="6" t="s">
        <v>2</v>
      </c>
      <c r="D28" s="105" t="s">
        <v>1337</v>
      </c>
      <c r="E28" s="106" t="s">
        <v>1345</v>
      </c>
      <c r="F28" s="108"/>
      <c r="G28" s="105" t="s">
        <v>1055</v>
      </c>
      <c r="H28" s="110" t="s">
        <v>1355</v>
      </c>
      <c r="I28" s="105" t="e">
        <f ca="1">E16</f>
        <v>#N/A</v>
      </c>
      <c r="N28" s="105" t="s">
        <v>1337</v>
      </c>
      <c r="O28" s="106" t="s">
        <v>1345</v>
      </c>
      <c r="P28" s="108"/>
      <c r="Q28" s="105" t="s">
        <v>1055</v>
      </c>
      <c r="R28" s="110" t="s">
        <v>1355</v>
      </c>
      <c r="S28" s="116" t="e">
        <f ca="1">O16</f>
        <v>#N/A</v>
      </c>
    </row>
    <row r="29" spans="1:22" ht="20.100000000000001" customHeight="1" x14ac:dyDescent="0.2">
      <c r="A29" s="5" t="str">
        <f>HYPERLINK("#'3.2.1.1-2 Enteric Methane'!A1", "3.2.1.1-2 Enteric Methane")</f>
        <v>3.2.1.1-2 Enteric Methane</v>
      </c>
      <c r="D29" s="105" t="s">
        <v>1346</v>
      </c>
      <c r="E29" s="106" t="s">
        <v>1347</v>
      </c>
      <c r="F29" s="108"/>
      <c r="G29" s="105" t="s">
        <v>1356</v>
      </c>
      <c r="H29" s="110" t="s">
        <v>1220</v>
      </c>
      <c r="I29" s="105" t="e">
        <f>Common_InputFunctions.Utility_LookupN2OEFFromProdIrrigationRainfall($I$31,$I$32,$I$33,Table_SourceData_Common_EFN2O[Production system only],Table_SourceData_Common_EFN2O[Irrigation method],Table_SourceData_Common_EFN2O[Rainfall zone],Table_SourceData_Common_EFN2O[EFN2O])</f>
        <v>#N/A</v>
      </c>
      <c r="N29" s="105" t="s">
        <v>1346</v>
      </c>
      <c r="O29" s="106" t="s">
        <v>1347</v>
      </c>
      <c r="P29" s="108"/>
      <c r="Q29" s="105" t="s">
        <v>1356</v>
      </c>
      <c r="R29" s="110" t="s">
        <v>1220</v>
      </c>
      <c r="S29" s="116"/>
    </row>
    <row r="30" spans="1:22" ht="20.100000000000001" customHeight="1" x14ac:dyDescent="0.2">
      <c r="A30" s="5" t="str">
        <f>HYPERLINK("#'4.2.1.1-2 Methane'!A1", "4.2.1.1-2 Manure methane")</f>
        <v>4.2.1.1-2 Manure methane</v>
      </c>
      <c r="D30" s="105" t="s">
        <v>1348</v>
      </c>
      <c r="E30" s="106" t="s">
        <v>1349</v>
      </c>
      <c r="F30" s="108"/>
      <c r="G30" s="105"/>
      <c r="H30" s="110" t="s">
        <v>1220</v>
      </c>
      <c r="I30" s="105">
        <f>Common_InputFunctions.Utility_LookupValueInTableNumber("N2O",Table_GasToMolecularConversionFactor[Gas],Table_GasToMolecularConversionFactor[Conversion factor combined])</f>
        <v>1.5714285714285714</v>
      </c>
      <c r="N30" s="105" t="s">
        <v>1348</v>
      </c>
      <c r="O30" s="106" t="s">
        <v>1349</v>
      </c>
      <c r="P30" s="108"/>
      <c r="Q30" s="105"/>
      <c r="R30" s="110" t="s">
        <v>1220</v>
      </c>
      <c r="S30" s="116"/>
    </row>
    <row r="31" spans="1:22" ht="20.100000000000001" customHeight="1" x14ac:dyDescent="0.2">
      <c r="A31" s="5" t="str">
        <f>HYPERLINK("#'4.2.1.3-4 Soil direct N20'!A1", "4.2.1.3-4 Soil direct N2O")</f>
        <v>4.2.1.3-4 Soil direct N2O</v>
      </c>
      <c r="D31" s="105" t="s">
        <v>1350</v>
      </c>
      <c r="E31" s="106" t="s">
        <v>1351</v>
      </c>
      <c r="F31" s="108"/>
      <c r="G31" s="105"/>
      <c r="H31" s="109" t="s">
        <v>1219</v>
      </c>
      <c r="I31" s="105">
        <f>X_Cell_PastureBeef_GrazingProductionSystem</f>
        <v>0</v>
      </c>
      <c r="N31" s="105" t="s">
        <v>1350</v>
      </c>
      <c r="O31" s="106" t="s">
        <v>1351</v>
      </c>
      <c r="P31" s="108"/>
      <c r="Q31" s="105"/>
      <c r="R31" s="109" t="s">
        <v>1219</v>
      </c>
      <c r="S31" s="116"/>
    </row>
    <row r="32" spans="1:22" ht="20.100000000000001" customHeight="1" x14ac:dyDescent="0.2">
      <c r="A32" s="104" t="str">
        <f>HYPERLINK("#'4.2.1.5-6 Soil Atmos Dep'!A1", "4.2.1.5-6 Soil atm. deposition")</f>
        <v>4.2.1.5-6 Soil atm. deposition</v>
      </c>
      <c r="D32" s="105" t="s">
        <v>1267</v>
      </c>
      <c r="E32" s="106" t="s">
        <v>1352</v>
      </c>
      <c r="F32" s="108"/>
      <c r="G32" s="105"/>
      <c r="H32" s="109" t="s">
        <v>1219</v>
      </c>
      <c r="I32" s="105">
        <f>X_Cell_PastureBeef_GrazingIrrigationMethod</f>
        <v>0</v>
      </c>
      <c r="N32" s="105" t="s">
        <v>1267</v>
      </c>
      <c r="O32" s="106" t="s">
        <v>1352</v>
      </c>
      <c r="P32" s="108"/>
      <c r="Q32" s="105"/>
      <c r="R32" s="109" t="s">
        <v>1219</v>
      </c>
      <c r="S32" s="116"/>
    </row>
    <row r="33" spans="1:19" ht="20.100000000000001" customHeight="1" x14ac:dyDescent="0.2">
      <c r="A33" s="5" t="str">
        <f>HYPERLINK("#'4.2.1.7-8 Soil leach runoff'!A1", "4.2.1.7-8 Soil leach &amp; runoff")</f>
        <v>4.2.1.7-8 Soil leach &amp; runoff</v>
      </c>
      <c r="D33" s="105" t="s">
        <v>1353</v>
      </c>
      <c r="E33" s="106" t="s">
        <v>1354</v>
      </c>
      <c r="F33" s="108"/>
      <c r="G33" s="105"/>
      <c r="H33" s="109" t="s">
        <v>1219</v>
      </c>
      <c r="I33" s="105" t="str">
        <f>X_Cell_Site_RainfallZone</f>
        <v>Low rainfall</v>
      </c>
      <c r="N33" s="105" t="s">
        <v>1353</v>
      </c>
      <c r="O33" s="106" t="s">
        <v>1354</v>
      </c>
      <c r="P33" s="108"/>
      <c r="Q33" s="105"/>
      <c r="R33" s="109" t="s">
        <v>1219</v>
      </c>
      <c r="S33" s="116"/>
    </row>
    <row r="34" spans="1:19" ht="20.100000000000001" customHeight="1" x14ac:dyDescent="0.2">
      <c r="A34" s="5" t="str">
        <f>HYPERLINK("#'5.1.1.1-2 Inorganic fert N2O'!A1", "5.1.1.1-2 Inorganic fert N2O")</f>
        <v>5.1.1.1-2 Inorganic fert N2O</v>
      </c>
    </row>
    <row r="35" spans="1:19" ht="20.100000000000001" customHeight="1" x14ac:dyDescent="0.2">
      <c r="A35" s="5" t="str">
        <f>HYPERLINK("#'5.1.1.3-4 Inorganic fert CO2'!A1", "5.1.1.3-4 Inorganic fert CO2")</f>
        <v>5.1.1.3-4 Inorganic fert CO2</v>
      </c>
      <c r="D35" s="93" t="s">
        <v>478</v>
      </c>
      <c r="E35" s="87" t="e">
        <f ca="1">(I28 * I29 * I30 * 10 ^ -3)</f>
        <v>#N/A</v>
      </c>
      <c r="F35" s="94" t="str">
        <f>$E$26</f>
        <v>t N2O</v>
      </c>
      <c r="N35" s="93" t="s">
        <v>478</v>
      </c>
      <c r="O35" s="87" t="e">
        <f ca="1">(S28 * I29 * I30 * 10 ^ -3)</f>
        <v>#N/A</v>
      </c>
      <c r="P35" s="94" t="str">
        <f>$E$26</f>
        <v>t N2O</v>
      </c>
    </row>
    <row r="36" spans="1:19" ht="20.100000000000001" customHeight="1" x14ac:dyDescent="0.2">
      <c r="A36" s="5" t="str">
        <f>HYPERLINK("#'5.2.1.1-2 Organic Fert N2O'!A1", "5.2.1.1-2 Organic fert N2O")</f>
        <v>5.2.1.1-2 Organic fert N2O</v>
      </c>
    </row>
    <row r="37" spans="1:19" ht="20.100000000000001" customHeight="1" x14ac:dyDescent="0.2">
      <c r="A37" s="5" t="str">
        <f>HYPERLINK("#'5.3.1.1-2 Lime CO2'!A1", "5.3.1.1-2 Lime CO2")</f>
        <v>5.3.1.1-2 Lime CO2</v>
      </c>
      <c r="D37" s="116" t="str" cm="1">
        <f t="array" ref="D37:E38">Common_Equations.Common_ConvertN2OToCO2e_Arguments()</f>
        <v>EN2O</v>
      </c>
      <c r="E37" s="117" t="str">
        <v>Nitrous oxide emissions (t N2O)</v>
      </c>
      <c r="F37" s="118"/>
      <c r="G37" s="15" t="e">
        <f ca="1">VEERG_4_2_1_5__1_AtmosphericDepositionEmissionsFromUrineAndDungOnPasture_Result_Method1</f>
        <v>#N/A</v>
      </c>
      <c r="N37" s="116" t="str" cm="1">
        <f t="array" ref="N37:O38">Common_Equations.Common_ConvertN2OToCO2e_Arguments()</f>
        <v>EN2O</v>
      </c>
      <c r="O37" s="117" t="str">
        <v>Nitrous oxide emissions (t N2O)</v>
      </c>
      <c r="P37" s="118"/>
      <c r="Q37" s="15" t="e">
        <f ca="1">VEERG_4_2_1_5__1_AtmosphericDepositionEmissionsFromUrineAndDungOnPasture_Result_Method2</f>
        <v>#N/A</v>
      </c>
    </row>
    <row r="38" spans="1:19" ht="20.100000000000001" customHeight="1" x14ac:dyDescent="0.2">
      <c r="A38" s="5" t="str">
        <f>HYPERLINK("#'5.4.1.1-4 Atmos deposition'!A1", "5.4.1.1-4 Atmos. deposition")</f>
        <v>5.4.1.1-4 Atmos. deposition</v>
      </c>
      <c r="D38" s="116" t="str">
        <v>GWPN2O</v>
      </c>
      <c r="E38" s="117" t="str">
        <v>Global warming potential for nitrous oxide (t CO2-e / t N2O)</v>
      </c>
      <c r="F38" s="118"/>
      <c r="G38" s="15">
        <f>Common_InputFunctions.Utility_LookupValueInTableNumber("N2O",Table_GWPData[Gas],Table_GWPData[CO2-e factor])</f>
        <v>265</v>
      </c>
      <c r="N38" s="116" t="str">
        <v>GWPN2O</v>
      </c>
      <c r="O38" s="117" t="str">
        <v>Global warming potential for nitrous oxide (t CO2-e / t N2O)</v>
      </c>
      <c r="P38" s="118"/>
      <c r="Q38" s="15">
        <f>Common_InputFunctions.Utility_LookupValueInTableNumber("N2O",Table_GWPData[Gas],Table_GWPData[CO2-e factor])</f>
        <v>265</v>
      </c>
    </row>
    <row r="39" spans="1:19" ht="20.100000000000001" customHeight="1" x14ac:dyDescent="0.2">
      <c r="A39" s="5" t="str">
        <f>HYPERLINK("#'5.5.1.1-2 Leaching and runoff'!A1", "5.5.1.1-2 Leaching &amp; runoff")</f>
        <v>5.5.1.1-2 Leaching &amp; runoff</v>
      </c>
    </row>
    <row r="40" spans="1:19" ht="20.100000000000001" customHeight="1" x14ac:dyDescent="0.2">
      <c r="A40" s="5" t="str">
        <f>HYPERLINK("#'6.2.1.1-2 Pasture residue N2O'!A1", "6.2.1.1-2 Pasture residue N2O")</f>
        <v>6.2.1.1-2 Pasture residue N2O</v>
      </c>
      <c r="D40" s="87" t="s">
        <v>435</v>
      </c>
      <c r="E40" s="87" t="e" cm="1">
        <f t="array" aca="1" ref="E40" ca="1">Common_Equations.Common_ConvertN2OToCO2e(G37,G38)</f>
        <v>#N/A</v>
      </c>
      <c r="F40" s="94" t="str" cm="1">
        <f t="array" ref="F40">Common_Equations.Common_ConvertN2OToCO2e_Unit()</f>
        <v>t CO2e</v>
      </c>
      <c r="N40" s="87" t="s">
        <v>435</v>
      </c>
      <c r="O40" s="87" t="e" cm="1">
        <f t="array" aca="1" ref="O40" ca="1">Common_Equations.Common_ConvertN2OToCO2e(Q37,Q38)</f>
        <v>#N/A</v>
      </c>
      <c r="P40" s="94" t="str" cm="1">
        <f t="array" ref="P40">Common_Equations.Common_ConvertN2OToCO2e_Unit()</f>
        <v>t CO2e</v>
      </c>
    </row>
    <row r="41" spans="1:19" ht="20.100000000000001" customHeight="1" x14ac:dyDescent="0.2">
      <c r="A41" s="5" t="str">
        <f>HYPERLINK("#'6.3.1.1-2 Leach runoff pasture'!A1", "6.3.1.1-2 Leach &amp; runoff (pasture)")</f>
        <v>6.3.1.1-2 Leach &amp; runoff (pasture)</v>
      </c>
    </row>
    <row r="42" spans="1:19" ht="20.100000000000001" customHeight="1" x14ac:dyDescent="0.2">
      <c r="A42" s="5" t="str">
        <f>HYPERLINK("#'8.1.1.1-2 Transport fuel'!A1", "8.1.1.1-2 Transport fuel")</f>
        <v>8.1.1.1-2 Transport fuel</v>
      </c>
    </row>
    <row r="43" spans="1:19" ht="20.100000000000001" customHeight="1" x14ac:dyDescent="0.2">
      <c r="A43" s="5" t="str">
        <f>HYPERLINK("#'8.2.1.1-2 Stationary fuel'!A1", "8.2.1.1-2 Stationary fuel")</f>
        <v>8.2.1.1-2 Stationary fuel</v>
      </c>
    </row>
    <row r="44" spans="1:19" ht="20.100000000000001" customHeight="1" x14ac:dyDescent="0.2">
      <c r="A44" s="5" t="str">
        <f>HYPERLINK("#'10.1.1-2 Solid waste treatment'!A1", "10.1.1.1-2 Solid waste")</f>
        <v>10.1.1.1-2 Solid waste</v>
      </c>
    </row>
    <row r="45" spans="1:19" ht="20.100000000000001" customHeight="1" x14ac:dyDescent="0.2">
      <c r="A45" s="5" t="str">
        <f>HYPERLINK("#'14.1.1-2 Purchased electricity'!A1", "14.1.1-2 Purchased electricity")</f>
        <v>14.1.1-2 Purchased electricity</v>
      </c>
    </row>
    <row r="46" spans="1:19" ht="20.100000000000001" customHeight="1" x14ac:dyDescent="0.2">
      <c r="A46" s="5" t="str">
        <f>HYPERLINK("#'15 Scope 3'!A1", "15 Scope 3")</f>
        <v>15 Scope 3</v>
      </c>
    </row>
    <row r="47" spans="1:19" ht="20.100000000000001" customHeight="1" x14ac:dyDescent="0.2">
      <c r="A47" s="5" t="str">
        <f>HYPERLINK("#'Calcs - Manure sent off-site'!A1", "Calcs - Manure sent off-site")</f>
        <v>Calcs - Manure sent off-site</v>
      </c>
    </row>
    <row r="50" spans="1:1" ht="20.100000000000001" customHeight="1" x14ac:dyDescent="0.2">
      <c r="A50" s="85" t="s">
        <v>1</v>
      </c>
    </row>
    <row r="51" spans="1:1" ht="20.100000000000001" customHeight="1" x14ac:dyDescent="0.2">
      <c r="A51" s="5" t="str">
        <f>HYPERLINK("#'Constants - Pasture Beef'!A1", "Constants - Pasture Beef")</f>
        <v>Constants - Pasture Beef</v>
      </c>
    </row>
    <row r="52" spans="1:1" ht="20.100000000000001" customHeight="1" x14ac:dyDescent="0.2">
      <c r="A52" s="5" t="str">
        <f>HYPERLINK("#'Constants - Ag Residue'!A1", "Constants - Ag residue")</f>
        <v>Constants - Ag residue</v>
      </c>
    </row>
    <row r="53" spans="1:1" ht="20.100000000000001" customHeight="1" x14ac:dyDescent="0.2">
      <c r="A53" s="5" t="str">
        <f>HYPERLINK("#'Constants - Common Livestock'!A1", "Constants - Common Livestock")</f>
        <v>Constants - Common Livestock</v>
      </c>
    </row>
    <row r="54" spans="1:1" ht="20.100000000000001" customHeight="1" x14ac:dyDescent="0.2">
      <c r="A54" s="5" t="str">
        <f>HYPERLINK("#'Constants - Electricity'!A1", "Constants - Electricity")</f>
        <v>Constants - Electricity</v>
      </c>
    </row>
    <row r="55" spans="1:1" ht="20.100000000000001" customHeight="1" x14ac:dyDescent="0.2">
      <c r="A55" s="5" t="str">
        <f>HYPERLINK("#'Constants - Fertiliser'!A1", "Constants - Fertiliser")</f>
        <v>Constants - Fertiliser</v>
      </c>
    </row>
    <row r="56" spans="1:1" ht="20.100000000000001" customHeight="1" x14ac:dyDescent="0.2">
      <c r="A56" s="5" t="str">
        <f>HYPERLINK("#'Constants - Fuel'!A1", "Constants - Fuel")</f>
        <v>Constants - Fuel</v>
      </c>
    </row>
    <row r="57" spans="1:1" ht="20.100000000000001" customHeight="1" x14ac:dyDescent="0.2">
      <c r="A57" s="5" t="str">
        <f>HYPERLINK("#'Constants - Scope 3'!A1", "Constants - Scope 3")</f>
        <v>Constants - Scope 3</v>
      </c>
    </row>
    <row r="58" spans="1:1" ht="20.100000000000001" customHeight="1" x14ac:dyDescent="0.2">
      <c r="A58" s="5" t="str">
        <f>HYPERLINK("#'Constants - Solid Waste'!A1", "Constants - Solid Waste")</f>
        <v>Constants - Solid Waste</v>
      </c>
    </row>
    <row r="59" spans="1:1" ht="20.100000000000001" customHeight="1" x14ac:dyDescent="0.2">
      <c r="A59" s="5" t="str">
        <f>HYPERLINK("#'Constants - Common'!A1", "Constants - Common")</f>
        <v>Constants - Common</v>
      </c>
    </row>
    <row r="60" spans="1:1" ht="20.100000000000001" customHeight="1" x14ac:dyDescent="0.2">
      <c r="A60" s="5" t="str">
        <f>HYPERLINK("#'Acknowledgements'!A1", "Acknowledgements")</f>
        <v>Acknowledgements</v>
      </c>
    </row>
  </sheetData>
  <dataValidations count="1">
    <dataValidation operator="equal" allowBlank="1" showInputMessage="1" showErrorMessage="1" sqref="E19 O19 E24 O24" xr:uid="{1AD310B0-3DE9-461E-A070-52CDAAB8B2B4}"/>
  </dataValidations>
  <pageMargins left="0.7" right="0.7" top="0.75" bottom="0.75" header="0.3" footer="0.3"/>
  <pageSetup paperSize="9" orientation="portrait" r:id="rId1"/>
  <drawing r:id="rId2"/>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6D5881-F24D-4F7D-A4BD-3DA35A7726F6}">
  <sheetPr>
    <tabColor rgb="FF008000"/>
  </sheetPr>
  <dimension ref="A1:S60"/>
  <sheetViews>
    <sheetView showGridLines="0" zoomScaleNormal="100" workbookViewId="0">
      <pane xSplit="1" topLeftCell="B1" activePane="topRight" state="frozen"/>
      <selection pane="topRight" activeCell="A59" sqref="A59"/>
    </sheetView>
  </sheetViews>
  <sheetFormatPr defaultRowHeight="20.100000000000001" customHeight="1" x14ac:dyDescent="0.2"/>
  <cols>
    <col min="1" max="1" width="36.7109375" customWidth="1"/>
    <col min="2" max="2" width="4.7109375" customWidth="1"/>
    <col min="3" max="3" width="4.7109375" style="1" customWidth="1"/>
    <col min="4" max="9" width="30.7109375" style="1" customWidth="1"/>
    <col min="10" max="10" width="4.7109375" style="1" customWidth="1"/>
    <col min="11" max="11" width="4.7109375" customWidth="1"/>
    <col min="12" max="12" width="4.7109375" style="1" customWidth="1"/>
    <col min="13" max="18" width="30.7109375" style="1" customWidth="1"/>
    <col min="19" max="19" width="4.7109375" style="1" customWidth="1"/>
  </cols>
  <sheetData>
    <row r="1" spans="1:19" s="21" customFormat="1" ht="30" customHeight="1" x14ac:dyDescent="0.35">
      <c r="A1" s="10" t="e" vm="1">
        <v>#VALUE!</v>
      </c>
      <c r="C1" s="21" t="s">
        <v>479</v>
      </c>
    </row>
    <row r="2" spans="1:19" s="3" customFormat="1" ht="20.100000000000001" customHeight="1" x14ac:dyDescent="0.2">
      <c r="A2"/>
    </row>
    <row r="3" spans="1:19" ht="20.100000000000001" customHeight="1" x14ac:dyDescent="0.2">
      <c r="A3" s="5" t="str">
        <f>HYPERLINK("#'Home'!A1", "Home")</f>
        <v>Home</v>
      </c>
      <c r="C3" s="23"/>
      <c r="D3" s="23" t="s">
        <v>136</v>
      </c>
      <c r="E3" s="23"/>
      <c r="F3" s="23"/>
      <c r="G3" s="23"/>
      <c r="H3" s="23"/>
      <c r="I3" s="23"/>
      <c r="J3" s="23"/>
      <c r="L3" s="23"/>
      <c r="M3" s="23" t="s">
        <v>137</v>
      </c>
      <c r="N3" s="23"/>
      <c r="O3" s="23"/>
      <c r="P3" s="23"/>
      <c r="Q3" s="23"/>
      <c r="R3" s="23"/>
      <c r="S3" s="23"/>
    </row>
    <row r="4" spans="1:19" ht="20.100000000000001" customHeight="1" x14ac:dyDescent="0.2">
      <c r="A4" s="5" t="str">
        <f>HYPERLINK("#'Results - Activity period'!A1", "Results - Activity period")</f>
        <v>Results - Activity period</v>
      </c>
    </row>
    <row r="5" spans="1:19" ht="20.100000000000001" customHeight="1" x14ac:dyDescent="0.2">
      <c r="A5" s="5" t="str">
        <f>HYPERLINK("#'Results - Product EI'!A1", "Results - Product Emissions Intensity")</f>
        <v>Results - Product Emissions Intensity</v>
      </c>
      <c r="D5" s="2" t="s">
        <v>1357</v>
      </c>
    </row>
    <row r="6" spans="1:19" ht="20.100000000000001" customHeight="1" x14ac:dyDescent="0.2">
      <c r="D6" s="17" t="s">
        <v>1358</v>
      </c>
    </row>
    <row r="7" spans="1:19" ht="20.100000000000001" customHeight="1" x14ac:dyDescent="0.2">
      <c r="D7" s="103"/>
      <c r="E7" s="103"/>
    </row>
    <row r="8" spans="1:19" ht="20.100000000000001" customHeight="1" x14ac:dyDescent="0.2">
      <c r="A8" s="7" t="s">
        <v>0</v>
      </c>
    </row>
    <row r="9" spans="1:19" ht="20.100000000000001" customHeight="1" x14ac:dyDescent="0.2">
      <c r="A9" s="5" t="str">
        <f>HYPERLINK("#'Input - Enterprise'!A1", "Enterprise")</f>
        <v>Enterprise</v>
      </c>
    </row>
    <row r="10" spans="1:19" ht="20.100000000000001" customHeight="1" x14ac:dyDescent="0.2">
      <c r="A10" s="5" t="str">
        <f>HYPERLINK("#'Input - Site'!A1", "Site")</f>
        <v>Site</v>
      </c>
      <c r="D10" s="77" t="s">
        <v>373</v>
      </c>
      <c r="E10" s="1" t="s">
        <v>1359</v>
      </c>
    </row>
    <row r="11" spans="1:19" ht="20.100000000000001" customHeight="1" x14ac:dyDescent="0.2">
      <c r="A11" s="5" t="str">
        <f>HYPERLINK("#'Input - Pasture Beef'!A1", "Pasture Beef")</f>
        <v>Pasture Beef</v>
      </c>
      <c r="D11" s="77" t="s">
        <v>121</v>
      </c>
      <c r="E11" s="9" t="s">
        <v>1055</v>
      </c>
    </row>
    <row r="12" spans="1:19" ht="20.100000000000001" customHeight="1" x14ac:dyDescent="0.2">
      <c r="A12" s="5" t="str">
        <f>HYPERLINK("#'Input - Livestock sales'!A1", "Livestock sales")</f>
        <v>Livestock sales</v>
      </c>
    </row>
    <row r="13" spans="1:19" ht="20.100000000000001" customHeight="1" x14ac:dyDescent="0.2">
      <c r="A13" s="5" t="str">
        <f>HYPERLINK("#'Input - Beef cattle purchases'!A1", "Beef cattle purchases")</f>
        <v>Beef cattle purchases</v>
      </c>
      <c r="D13" s="105" t="s">
        <v>472</v>
      </c>
      <c r="E13" s="106" t="s">
        <v>1338</v>
      </c>
      <c r="F13" s="108"/>
      <c r="G13" s="105" t="s">
        <v>1055</v>
      </c>
      <c r="H13" s="110" t="s">
        <v>1341</v>
      </c>
      <c r="I13" s="105" t="e">
        <f ca="1">VEERG_4_2_1_3__2_TotalNitrogenExcretedToPastureRangeAndPaddock_Result_Method1</f>
        <v>#N/A</v>
      </c>
      <c r="M13" s="105" t="s">
        <v>472</v>
      </c>
      <c r="N13" s="106" t="s">
        <v>1338</v>
      </c>
      <c r="O13" s="108"/>
      <c r="P13" s="105" t="s">
        <v>1055</v>
      </c>
      <c r="Q13" s="110" t="s">
        <v>1341</v>
      </c>
      <c r="R13" s="105" t="e">
        <f ca="1">VEERG_4_2_1_3__2_TotalNitrogenExcretedToPastureRangeAndPaddock_Result_Method2</f>
        <v>#N/A</v>
      </c>
    </row>
    <row r="14" spans="1:19" ht="20.100000000000001" customHeight="1" x14ac:dyDescent="0.2">
      <c r="A14" s="5" t="str">
        <f>HYPERLINK("#'Input - Pasture'!A1", "Pasture")</f>
        <v>Pasture</v>
      </c>
      <c r="D14" s="105" t="s">
        <v>1360</v>
      </c>
      <c r="E14" s="106" t="s">
        <v>1361</v>
      </c>
      <c r="F14" s="108"/>
      <c r="G14" s="105" t="s">
        <v>346</v>
      </c>
      <c r="H14" s="110" t="s">
        <v>1220</v>
      </c>
      <c r="I14" s="105">
        <f>Common_InputFunctions.CommonCropping_GetFracWET(I16,I18,Table_SourceData_FracWET[Is in leaching zone],Table_SourceData_FracWET[FracWET],Table_SourceData_FracWETIrrigation[Irrigation type i],Table_SourceData_FracWETIrrigation[FracWET])</f>
        <v>0</v>
      </c>
      <c r="M14" s="105" t="s">
        <v>1360</v>
      </c>
      <c r="N14" s="106" t="s">
        <v>1361</v>
      </c>
      <c r="O14" s="108"/>
      <c r="P14" s="105" t="s">
        <v>346</v>
      </c>
      <c r="Q14" s="110" t="s">
        <v>1220</v>
      </c>
      <c r="R14" s="105"/>
    </row>
    <row r="15" spans="1:19" ht="20.100000000000001" customHeight="1" x14ac:dyDescent="0.2">
      <c r="A15" s="5" t="str">
        <f>HYPERLINK("#'Input - Fert Prod System'!A1", "Fert Prod System")</f>
        <v>Fert Prod System</v>
      </c>
      <c r="D15" s="105" t="s">
        <v>1362</v>
      </c>
      <c r="E15" s="106" t="s">
        <v>1363</v>
      </c>
      <c r="F15" s="108"/>
      <c r="G15" s="105" t="s">
        <v>346</v>
      </c>
      <c r="H15" s="110" t="s">
        <v>1220</v>
      </c>
      <c r="I15" s="105">
        <f>SourceData_PastureBeef_FracLEACH_Data</f>
        <v>0.24</v>
      </c>
      <c r="M15" s="105" t="s">
        <v>1362</v>
      </c>
      <c r="N15" s="106" t="s">
        <v>1363</v>
      </c>
      <c r="O15" s="108"/>
      <c r="P15" s="105" t="s">
        <v>346</v>
      </c>
      <c r="Q15" s="110" t="s">
        <v>1220</v>
      </c>
      <c r="R15" s="105"/>
    </row>
    <row r="16" spans="1:19" ht="20.100000000000001" customHeight="1" x14ac:dyDescent="0.2">
      <c r="A16" s="5" t="str">
        <f>HYPERLINK("#'Input - Fertiliser'!A1", "Fertiliser")</f>
        <v>Fertiliser</v>
      </c>
      <c r="D16" s="105" t="s">
        <v>1364</v>
      </c>
      <c r="E16" s="106" t="s">
        <v>1365</v>
      </c>
      <c r="F16" s="108"/>
      <c r="G16" s="105"/>
      <c r="H16" s="109" t="s">
        <v>1219</v>
      </c>
      <c r="I16" s="105">
        <f>X_Cell_Site_LeachingZone</f>
        <v>0</v>
      </c>
      <c r="M16" s="105" t="s">
        <v>1364</v>
      </c>
      <c r="N16" s="106" t="s">
        <v>1365</v>
      </c>
      <c r="O16" s="108"/>
      <c r="P16" s="105"/>
      <c r="Q16" s="109" t="s">
        <v>1219</v>
      </c>
      <c r="R16" s="105"/>
    </row>
    <row r="17" spans="1:19" ht="20.100000000000001" customHeight="1" x14ac:dyDescent="0.2">
      <c r="A17" s="5" t="str">
        <f>HYPERLINK("#'Input - Fuel'!A1", "Fuel")</f>
        <v>Fuel</v>
      </c>
      <c r="D17" s="105" t="s">
        <v>1350</v>
      </c>
      <c r="E17" s="106" t="s">
        <v>1351</v>
      </c>
      <c r="F17" s="108"/>
      <c r="G17" s="105"/>
      <c r="H17" s="109" t="s">
        <v>1219</v>
      </c>
      <c r="I17" s="105">
        <f>X_Cell_PastureBeef_GrazingProductionSystem</f>
        <v>0</v>
      </c>
      <c r="M17" s="105" t="s">
        <v>1350</v>
      </c>
      <c r="N17" s="106" t="s">
        <v>1351</v>
      </c>
      <c r="O17" s="108"/>
      <c r="P17" s="105"/>
      <c r="Q17" s="109" t="s">
        <v>1219</v>
      </c>
      <c r="R17" s="105"/>
    </row>
    <row r="18" spans="1:19" ht="20.100000000000001" customHeight="1" x14ac:dyDescent="0.2">
      <c r="A18" s="5" t="str">
        <f>HYPERLINK("#'Input - Electricity'!A1", "Electricity")</f>
        <v>Electricity</v>
      </c>
      <c r="D18" s="105" t="s">
        <v>1366</v>
      </c>
      <c r="E18" s="106" t="s">
        <v>1352</v>
      </c>
      <c r="F18" s="108"/>
      <c r="G18" s="105"/>
      <c r="H18" s="109" t="s">
        <v>1219</v>
      </c>
      <c r="I18" s="105">
        <f>X_Cell_PastureBeef_GrazingIrrigationMethod</f>
        <v>0</v>
      </c>
      <c r="M18" s="105" t="s">
        <v>1366</v>
      </c>
      <c r="N18" s="106" t="s">
        <v>1352</v>
      </c>
      <c r="O18" s="108"/>
      <c r="P18" s="105"/>
      <c r="Q18" s="109" t="s">
        <v>1219</v>
      </c>
      <c r="R18" s="105"/>
    </row>
    <row r="19" spans="1:19" ht="20.100000000000001" customHeight="1" x14ac:dyDescent="0.2">
      <c r="A19" s="5" t="str">
        <f>HYPERLINK("#'Input - Common farm inputs'!A1", "Common farm inputs")</f>
        <v>Common farm inputs</v>
      </c>
    </row>
    <row r="20" spans="1:19" ht="20.100000000000001" customHeight="1" x14ac:dyDescent="0.2">
      <c r="A20" s="5" t="str">
        <f>HYPERLINK("#'Input - Crop pasture farm input'!A1", "Crop pasture farm input")</f>
        <v>Crop pasture farm input</v>
      </c>
      <c r="D20" s="93" t="s">
        <v>480</v>
      </c>
      <c r="E20" s="87" t="e">
        <f ca="1">($I$13 * $I$14 * $I$15)</f>
        <v>#N/A</v>
      </c>
      <c r="F20" s="94" t="str">
        <f>$E$11</f>
        <v>kg N</v>
      </c>
      <c r="K20" s="98"/>
      <c r="M20" s="93" t="s">
        <v>480</v>
      </c>
      <c r="N20" s="87" t="e">
        <f ca="1">($R$13 * $I$14 * $I$15)</f>
        <v>#N/A</v>
      </c>
      <c r="O20" s="94" t="str">
        <f>$E$11</f>
        <v>kg N</v>
      </c>
    </row>
    <row r="21" spans="1:19" ht="20.100000000000001" customHeight="1" x14ac:dyDescent="0.2">
      <c r="A21" s="5" t="str">
        <f>HYPERLINK("#'Input - Livestock farm Inputs'!A1", "Livestock farm Inputs")</f>
        <v>Livestock farm Inputs</v>
      </c>
      <c r="K21" s="98"/>
    </row>
    <row r="22" spans="1:19" ht="20.100000000000001" customHeight="1" x14ac:dyDescent="0.2">
      <c r="A22" s="5" t="str">
        <f>HYPERLINK("#'Input - Freight'!A1", "Freight")</f>
        <v>Freight</v>
      </c>
      <c r="K22" s="98"/>
    </row>
    <row r="23" spans="1:19" ht="20.100000000000001" customHeight="1" x14ac:dyDescent="0.2">
      <c r="A23" s="5" t="str">
        <f>HYPERLINK("#'Input - Solid waste'!A1", "Solid waste")</f>
        <v>Solid waste</v>
      </c>
      <c r="C23" s="87"/>
      <c r="D23" s="87"/>
      <c r="E23" s="87"/>
      <c r="F23" s="87"/>
      <c r="G23" s="87"/>
      <c r="H23" s="87"/>
      <c r="I23" s="87"/>
      <c r="J23" s="87"/>
      <c r="K23" s="98"/>
      <c r="L23" s="87"/>
      <c r="M23" s="87"/>
      <c r="N23" s="87"/>
      <c r="O23" s="87"/>
      <c r="P23" s="87"/>
      <c r="Q23" s="87"/>
      <c r="R23" s="87"/>
      <c r="S23" s="87"/>
    </row>
    <row r="24" spans="1:19" ht="20.100000000000001" customHeight="1" x14ac:dyDescent="0.2">
      <c r="A24" s="5" t="str">
        <f>HYPERLINK("#'Input - Manure sent off-site'!A1", "Manure sent off-site")</f>
        <v>Manure sent off-site</v>
      </c>
      <c r="D24" s="2" t="s">
        <v>1367</v>
      </c>
    </row>
    <row r="25" spans="1:19" ht="20.100000000000001" customHeight="1" x14ac:dyDescent="0.2">
      <c r="A25" s="5" t="str">
        <f>HYPERLINK("#'Input - Data quality'!A1", "Data quality")</f>
        <v>Data quality</v>
      </c>
      <c r="D25" s="17" t="s">
        <v>1368</v>
      </c>
    </row>
    <row r="26" spans="1:19" ht="20.100000000000001" customHeight="1" x14ac:dyDescent="0.2">
      <c r="D26" s="103"/>
      <c r="E26" s="103"/>
    </row>
    <row r="28" spans="1:19" ht="20.100000000000001" customHeight="1" x14ac:dyDescent="0.2">
      <c r="A28" s="6" t="s">
        <v>2</v>
      </c>
    </row>
    <row r="29" spans="1:19" ht="20.100000000000001" customHeight="1" x14ac:dyDescent="0.2">
      <c r="A29" s="5" t="str">
        <f>HYPERLINK("#'3.2.1.1-2 Enteric Methane'!A1", "3.2.1.1-2 Enteric Methane")</f>
        <v>3.2.1.1-2 Enteric Methane</v>
      </c>
      <c r="D29" s="77" t="s">
        <v>373</v>
      </c>
      <c r="E29" s="1" t="s">
        <v>1369</v>
      </c>
    </row>
    <row r="30" spans="1:19" ht="20.100000000000001" customHeight="1" x14ac:dyDescent="0.2">
      <c r="A30" s="5" t="str">
        <f>HYPERLINK("#'4.2.1.1-2 Methane'!A1", "4.2.1.1-2 Manure methane")</f>
        <v>4.2.1.1-2 Manure methane</v>
      </c>
      <c r="D30" s="77" t="s">
        <v>121</v>
      </c>
      <c r="E30" s="9" t="s">
        <v>12</v>
      </c>
    </row>
    <row r="31" spans="1:19" ht="20.100000000000001" customHeight="1" x14ac:dyDescent="0.2">
      <c r="A31" s="5" t="str">
        <f>HYPERLINK("#'4.2.1.3-4 Soil direct N20'!A1", "4.2.1.3-4 Soil direct N2O")</f>
        <v>4.2.1.3-4 Soil direct N2O</v>
      </c>
    </row>
    <row r="32" spans="1:19" ht="20.100000000000001" customHeight="1" x14ac:dyDescent="0.2">
      <c r="A32" s="5" t="str">
        <f>HYPERLINK("#'4.2.1.5-6 Soil Atmos Dep'!A1", "4.2.1.5-6 Soil atm. deposition")</f>
        <v>4.2.1.5-6 Soil atm. deposition</v>
      </c>
      <c r="D32" s="105" t="s">
        <v>1359</v>
      </c>
      <c r="E32" s="106" t="s">
        <v>1370</v>
      </c>
      <c r="F32" s="108"/>
      <c r="G32" s="105" t="s">
        <v>1055</v>
      </c>
      <c r="H32" s="110" t="s">
        <v>1373</v>
      </c>
      <c r="I32" s="105" t="e">
        <f ca="1">$E$20</f>
        <v>#N/A</v>
      </c>
      <c r="M32" s="105" t="s">
        <v>1359</v>
      </c>
      <c r="N32" s="106" t="s">
        <v>1370</v>
      </c>
      <c r="O32" s="108"/>
      <c r="P32" s="105" t="s">
        <v>1055</v>
      </c>
      <c r="Q32" s="110" t="s">
        <v>1373</v>
      </c>
      <c r="R32" s="105" t="e">
        <f ca="1">$N$20</f>
        <v>#N/A</v>
      </c>
    </row>
    <row r="33" spans="1:18" ht="20.100000000000001" customHeight="1" x14ac:dyDescent="0.2">
      <c r="A33" s="104" t="str">
        <f>HYPERLINK("#'4.2.1.7-8 Soil leach runoff'!A1", "4.2.1.7-8 Soil leach &amp; runoff")</f>
        <v>4.2.1.7-8 Soil leach &amp; runoff</v>
      </c>
      <c r="D33" s="105" t="s">
        <v>1371</v>
      </c>
      <c r="E33" s="106" t="s">
        <v>1372</v>
      </c>
      <c r="F33" s="108"/>
      <c r="G33" s="105" t="s">
        <v>1356</v>
      </c>
      <c r="H33" s="110" t="s">
        <v>1220</v>
      </c>
      <c r="I33" s="105">
        <f>'Constants - Common'!$E$170</f>
        <v>1.0999999999999999E-2</v>
      </c>
      <c r="M33" s="105" t="s">
        <v>1371</v>
      </c>
      <c r="N33" s="106" t="s">
        <v>1372</v>
      </c>
      <c r="O33" s="108"/>
      <c r="P33" s="105" t="s">
        <v>1356</v>
      </c>
      <c r="Q33" s="110" t="s">
        <v>1220</v>
      </c>
      <c r="R33" s="105"/>
    </row>
    <row r="34" spans="1:18" ht="20.100000000000001" customHeight="1" x14ac:dyDescent="0.2">
      <c r="A34" s="5" t="str">
        <f>HYPERLINK("#'5.1.1.1-2 Inorganic fert N2O'!A1", "5.1.1.1-2 Inorganic fert N2O")</f>
        <v>5.1.1.1-2 Inorganic fert N2O</v>
      </c>
      <c r="D34" s="105" t="s">
        <v>1348</v>
      </c>
      <c r="E34" s="106" t="s">
        <v>1349</v>
      </c>
      <c r="F34" s="108"/>
      <c r="G34" s="105"/>
      <c r="H34" s="110" t="s">
        <v>1220</v>
      </c>
      <c r="I34" s="105">
        <f>Common_InputFunctions.Utility_LookupValueInTableNumber("N2O",Table_GasToMolecularConversionFactor[Gas],Table_GasToMolecularConversionFactor[Conversion factor combined])</f>
        <v>1.5714285714285714</v>
      </c>
      <c r="M34" s="105" t="s">
        <v>1348</v>
      </c>
      <c r="N34" s="106" t="s">
        <v>1349</v>
      </c>
      <c r="O34" s="108"/>
      <c r="P34" s="105"/>
      <c r="Q34" s="110" t="s">
        <v>1220</v>
      </c>
      <c r="R34" s="105"/>
    </row>
    <row r="35" spans="1:18" ht="20.100000000000001" customHeight="1" x14ac:dyDescent="0.2">
      <c r="A35" s="5" t="str">
        <f>HYPERLINK("#'5.1.1.3-4 Inorganic fert CO2'!A1", "5.1.1.3-4 Inorganic fert CO2")</f>
        <v>5.1.1.3-4 Inorganic fert CO2</v>
      </c>
    </row>
    <row r="36" spans="1:18" ht="20.100000000000001" customHeight="1" x14ac:dyDescent="0.2">
      <c r="A36" s="5" t="str">
        <f>HYPERLINK("#'5.2.1.1-2 Organic Fert N2O'!A1", "5.2.1.1-2 Organic fert N2O")</f>
        <v>5.2.1.1-2 Organic fert N2O</v>
      </c>
      <c r="D36" s="93" t="s">
        <v>481</v>
      </c>
      <c r="E36" s="87" t="e">
        <f ca="1">(I32 * I33 * I34 * 10 ^ -3)</f>
        <v>#N/A</v>
      </c>
      <c r="F36" s="94" t="str">
        <f>$E$30</f>
        <v>t N2O</v>
      </c>
      <c r="M36" s="93" t="s">
        <v>481</v>
      </c>
      <c r="N36" s="87" t="e">
        <f ca="1">(R32 * I33 * I34 * 10 ^ -3)</f>
        <v>#N/A</v>
      </c>
      <c r="O36" s="94" t="str">
        <f>$E$30</f>
        <v>t N2O</v>
      </c>
    </row>
    <row r="37" spans="1:18" ht="20.100000000000001" customHeight="1" x14ac:dyDescent="0.2">
      <c r="A37" s="5" t="str">
        <f>HYPERLINK("#'5.3.1.1-2 Lime CO2'!A1", "5.3.1.1-2 Lime CO2")</f>
        <v>5.3.1.1-2 Lime CO2</v>
      </c>
    </row>
    <row r="38" spans="1:18" ht="20.100000000000001" customHeight="1" x14ac:dyDescent="0.2">
      <c r="A38" s="5" t="str">
        <f>HYPERLINK("#'5.4.1.1-4 Atmos deposition'!A1", "5.4.1.1-4 Atmos. deposition")</f>
        <v>5.4.1.1-4 Atmos. deposition</v>
      </c>
      <c r="D38" s="116" t="str" cm="1">
        <f t="array" ref="D38:E39">Common_Equations.Common_ConvertN2OToCO2e_Arguments()</f>
        <v>EN2O</v>
      </c>
      <c r="E38" s="117" t="str">
        <v>Nitrous oxide emissions (t N2O)</v>
      </c>
      <c r="F38" s="118"/>
      <c r="G38" s="15" t="e">
        <f ca="1">VEERG_4_2_1_7__1_LeachingAndRunoffEmissionsFromUrineAndDungOnPasture_Result_Method1</f>
        <v>#N/A</v>
      </c>
      <c r="M38" s="116" t="str" cm="1">
        <f t="array" ref="M38:N39">Common_Equations.Common_ConvertN2OToCO2e_Arguments()</f>
        <v>EN2O</v>
      </c>
      <c r="N38" s="117" t="str">
        <v>Nitrous oxide emissions (t N2O)</v>
      </c>
      <c r="O38" s="118"/>
      <c r="P38" s="15" t="e">
        <f ca="1">VEERG_4_2_1_7__1_LeachingAndRunoffEmissionsFromUrineAndDungOnPasture_Result_Method2</f>
        <v>#N/A</v>
      </c>
    </row>
    <row r="39" spans="1:18" ht="20.100000000000001" customHeight="1" x14ac:dyDescent="0.2">
      <c r="A39" s="5" t="str">
        <f>HYPERLINK("#'5.5.1.1-2 Leaching and runoff'!A1", "5.5.1.1-2 Leaching &amp; runoff")</f>
        <v>5.5.1.1-2 Leaching &amp; runoff</v>
      </c>
      <c r="D39" s="116" t="str">
        <v>GWPN2O</v>
      </c>
      <c r="E39" s="117" t="str">
        <v>Global warming potential for nitrous oxide (t CO2-e / t N2O)</v>
      </c>
      <c r="F39" s="118"/>
      <c r="G39" s="15">
        <f>Common_InputFunctions.Utility_LookupValueInTableNumber("N2O",Table_GWPData[Gas],Table_GWPData[CO2-e factor])</f>
        <v>265</v>
      </c>
      <c r="M39" s="116" t="str">
        <v>GWPN2O</v>
      </c>
      <c r="N39" s="117" t="str">
        <v>Global warming potential for nitrous oxide (t CO2-e / t N2O)</v>
      </c>
      <c r="O39" s="118"/>
      <c r="P39" s="15">
        <f>Common_InputFunctions.Utility_LookupValueInTableNumber("N2O",Table_GWPData[Gas],Table_GWPData[CO2-e factor])</f>
        <v>265</v>
      </c>
    </row>
    <row r="40" spans="1:18" ht="20.100000000000001" customHeight="1" x14ac:dyDescent="0.2">
      <c r="A40" s="5" t="str">
        <f>HYPERLINK("#'6.2.1.1-2 Pasture residue N2O'!A1", "6.2.1.1-2 Pasture residue N2O")</f>
        <v>6.2.1.1-2 Pasture residue N2O</v>
      </c>
    </row>
    <row r="41" spans="1:18" ht="20.100000000000001" customHeight="1" x14ac:dyDescent="0.2">
      <c r="A41" s="5" t="str">
        <f>HYPERLINK("#'6.3.1.1-2 Leach runoff pasture'!A1", "6.3.1.1-2 Leach &amp; runoff (pasture)")</f>
        <v>6.3.1.1-2 Leach &amp; runoff (pasture)</v>
      </c>
      <c r="D41" s="87" t="s">
        <v>435</v>
      </c>
      <c r="E41" s="87" t="e" cm="1">
        <f t="array" aca="1" ref="E41" ca="1">Common_Equations.Common_ConvertN2OToCO2e(G38,G39)</f>
        <v>#N/A</v>
      </c>
      <c r="F41" s="94" t="str" cm="1">
        <f t="array" ref="F41">Common_Equations.Common_ConvertN2OToCO2e_Unit()</f>
        <v>t CO2e</v>
      </c>
      <c r="M41" s="87" t="s">
        <v>435</v>
      </c>
      <c r="N41" s="87" t="e" cm="1">
        <f t="array" aca="1" ref="N41" ca="1">Common_Equations.Common_ConvertN2OToCO2e(P38,P39)</f>
        <v>#N/A</v>
      </c>
      <c r="O41" s="94" t="str" cm="1">
        <f t="array" ref="O41">Common_Equations.Common_ConvertN2OToCO2e_Unit()</f>
        <v>t CO2e</v>
      </c>
    </row>
    <row r="42" spans="1:18" ht="20.100000000000001" customHeight="1" x14ac:dyDescent="0.2">
      <c r="A42" s="5" t="str">
        <f>HYPERLINK("#'8.1.1.1-2 Transport fuel'!A1", "8.1.1.1-2 Transport fuel")</f>
        <v>8.1.1.1-2 Transport fuel</v>
      </c>
    </row>
    <row r="43" spans="1:18" ht="20.100000000000001" customHeight="1" x14ac:dyDescent="0.2">
      <c r="A43" s="5" t="str">
        <f>HYPERLINK("#'8.2.1.1-2 Stationary fuel'!A1", "8.2.1.1-2 Stationary fuel")</f>
        <v>8.2.1.1-2 Stationary fuel</v>
      </c>
    </row>
    <row r="44" spans="1:18" ht="20.100000000000001" customHeight="1" x14ac:dyDescent="0.2">
      <c r="A44" s="5" t="str">
        <f>HYPERLINK("#'10.1.1-2 Solid waste treatment'!A1", "10.1.1.1-2 Solid waste")</f>
        <v>10.1.1.1-2 Solid waste</v>
      </c>
    </row>
    <row r="45" spans="1:18" ht="20.100000000000001" customHeight="1" x14ac:dyDescent="0.2">
      <c r="A45" s="5" t="str">
        <f>HYPERLINK("#'14.1.1-2 Purchased electricity'!A1", "14.1.1-2 Purchased electricity")</f>
        <v>14.1.1-2 Purchased electricity</v>
      </c>
    </row>
    <row r="46" spans="1:18" ht="20.100000000000001" customHeight="1" x14ac:dyDescent="0.2">
      <c r="A46" s="5" t="str">
        <f>HYPERLINK("#'15 Scope 3'!A1", "15 Scope 3")</f>
        <v>15 Scope 3</v>
      </c>
    </row>
    <row r="47" spans="1:18" ht="20.100000000000001" customHeight="1" x14ac:dyDescent="0.2">
      <c r="A47" s="5" t="str">
        <f>HYPERLINK("#'Calcs - Manure sent off-site'!A1", "Calcs - Manure sent off-site")</f>
        <v>Calcs - Manure sent off-site</v>
      </c>
    </row>
    <row r="50" spans="1:1" ht="20.100000000000001" customHeight="1" x14ac:dyDescent="0.2">
      <c r="A50" s="85" t="s">
        <v>1</v>
      </c>
    </row>
    <row r="51" spans="1:1" ht="20.100000000000001" customHeight="1" x14ac:dyDescent="0.2">
      <c r="A51" s="5" t="str">
        <f>HYPERLINK("#'Constants - Pasture Beef'!A1", "Constants - Pasture Beef")</f>
        <v>Constants - Pasture Beef</v>
      </c>
    </row>
    <row r="52" spans="1:1" ht="20.100000000000001" customHeight="1" x14ac:dyDescent="0.2">
      <c r="A52" s="5" t="str">
        <f>HYPERLINK("#'Constants - Ag Residue'!A1", "Constants - Ag residue")</f>
        <v>Constants - Ag residue</v>
      </c>
    </row>
    <row r="53" spans="1:1" ht="20.100000000000001" customHeight="1" x14ac:dyDescent="0.2">
      <c r="A53" s="5" t="str">
        <f>HYPERLINK("#'Constants - Common Livestock'!A1", "Constants - Common Livestock")</f>
        <v>Constants - Common Livestock</v>
      </c>
    </row>
    <row r="54" spans="1:1" ht="20.100000000000001" customHeight="1" x14ac:dyDescent="0.2">
      <c r="A54" s="5" t="str">
        <f>HYPERLINK("#'Constants - Electricity'!A1", "Constants - Electricity")</f>
        <v>Constants - Electricity</v>
      </c>
    </row>
    <row r="55" spans="1:1" ht="20.100000000000001" customHeight="1" x14ac:dyDescent="0.2">
      <c r="A55" s="5" t="str">
        <f>HYPERLINK("#'Constants - Fertiliser'!A1", "Constants - Fertiliser")</f>
        <v>Constants - Fertiliser</v>
      </c>
    </row>
    <row r="56" spans="1:1" ht="20.100000000000001" customHeight="1" x14ac:dyDescent="0.2">
      <c r="A56" s="5" t="str">
        <f>HYPERLINK("#'Constants - Fuel'!A1", "Constants - Fuel")</f>
        <v>Constants - Fuel</v>
      </c>
    </row>
    <row r="57" spans="1:1" ht="20.100000000000001" customHeight="1" x14ac:dyDescent="0.2">
      <c r="A57" s="5" t="str">
        <f>HYPERLINK("#'Constants - Scope 3'!A1", "Constants - Scope 3")</f>
        <v>Constants - Scope 3</v>
      </c>
    </row>
    <row r="58" spans="1:1" ht="20.100000000000001" customHeight="1" x14ac:dyDescent="0.2">
      <c r="A58" s="5" t="str">
        <f>HYPERLINK("#'Constants - Solid Waste'!A1", "Constants - Solid Waste")</f>
        <v>Constants - Solid Waste</v>
      </c>
    </row>
    <row r="59" spans="1:1" ht="20.100000000000001" customHeight="1" x14ac:dyDescent="0.2">
      <c r="A59" s="5" t="str">
        <f>HYPERLINK("#'Constants - Common'!A1", "Constants - Common")</f>
        <v>Constants - Common</v>
      </c>
    </row>
    <row r="60" spans="1:1" ht="20.100000000000001" customHeight="1" x14ac:dyDescent="0.2">
      <c r="A60" s="5" t="str">
        <f>HYPERLINK("#'Acknowledgements'!A1", "Acknowledgements")</f>
        <v>Acknowledgements</v>
      </c>
    </row>
  </sheetData>
  <dataValidations count="1">
    <dataValidation operator="equal" allowBlank="1" showInputMessage="1" showErrorMessage="1" sqref="E23 N23 E28 N28" xr:uid="{2C8DB9EC-6644-4B6A-9479-2AAE87300C23}"/>
  </dataValidations>
  <pageMargins left="0.7" right="0.7" top="0.75" bottom="0.75" header="0.3" footer="0.3"/>
  <pageSetup paperSize="9" orientation="portrait" r:id="rId1"/>
  <drawing r:id="rId2"/>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5B6304-627B-4113-B002-5C30A9AD69B8}">
  <sheetPr>
    <tabColor rgb="FF008000"/>
  </sheetPr>
  <dimension ref="A1:X342"/>
  <sheetViews>
    <sheetView showGridLines="0" zoomScaleNormal="100" workbookViewId="0">
      <pane xSplit="1" topLeftCell="B1" activePane="topRight" state="frozen"/>
      <selection pane="topRight" activeCell="A59" sqref="A59"/>
    </sheetView>
  </sheetViews>
  <sheetFormatPr defaultRowHeight="20.100000000000001" customHeight="1" x14ac:dyDescent="0.2"/>
  <cols>
    <col min="1" max="1" width="36.7109375" customWidth="1"/>
    <col min="2" max="2" width="4.7109375" customWidth="1"/>
    <col min="3" max="3" width="4.7109375" style="1" customWidth="1"/>
    <col min="4" max="9" width="30.7109375" style="1" customWidth="1"/>
    <col min="10" max="10" width="25.28515625" style="1" customWidth="1"/>
    <col min="11" max="11" width="4.7109375" customWidth="1"/>
    <col min="12" max="12" width="4.7109375" style="1" customWidth="1"/>
    <col min="13" max="23" width="30.7109375" style="1" customWidth="1"/>
    <col min="24" max="24" width="4.7109375" style="1" customWidth="1"/>
  </cols>
  <sheetData>
    <row r="1" spans="1:24" s="21" customFormat="1" ht="30" customHeight="1" x14ac:dyDescent="0.35">
      <c r="A1" s="10" t="e" vm="1">
        <v>#VALUE!</v>
      </c>
      <c r="C1" s="21" t="s">
        <v>629</v>
      </c>
      <c r="K1"/>
    </row>
    <row r="2" spans="1:24" s="3" customFormat="1" ht="20.100000000000001" customHeight="1" x14ac:dyDescent="0.2">
      <c r="A2"/>
      <c r="K2"/>
    </row>
    <row r="3" spans="1:24" ht="20.100000000000001" customHeight="1" x14ac:dyDescent="0.2">
      <c r="A3" s="5" t="str">
        <f>HYPERLINK("#'Home'!A1", "Home")</f>
        <v>Home</v>
      </c>
      <c r="C3" s="23"/>
      <c r="D3" s="23" t="s">
        <v>136</v>
      </c>
      <c r="E3" s="23"/>
      <c r="F3" s="23"/>
      <c r="G3" s="23"/>
      <c r="H3" s="23"/>
      <c r="I3" s="23"/>
      <c r="J3" s="23"/>
      <c r="L3" s="23"/>
      <c r="M3" s="23" t="s">
        <v>137</v>
      </c>
      <c r="N3" s="23"/>
      <c r="O3" s="23"/>
      <c r="P3" s="23"/>
      <c r="Q3" s="23"/>
      <c r="R3" s="23"/>
      <c r="S3" s="23"/>
      <c r="T3" s="23"/>
      <c r="U3" s="23"/>
      <c r="V3" s="23"/>
      <c r="W3" s="23"/>
      <c r="X3" s="23"/>
    </row>
    <row r="4" spans="1:24" ht="20.100000000000001" customHeight="1" x14ac:dyDescent="0.2">
      <c r="A4" s="5" t="str">
        <f>HYPERLINK("#'Results - Activity period'!A1", "Results - Activity period")</f>
        <v>Results - Activity period</v>
      </c>
    </row>
    <row r="5" spans="1:24" ht="20.100000000000001" customHeight="1" x14ac:dyDescent="0.2">
      <c r="A5" s="5" t="str">
        <f>HYPERLINK("#'Results - Product EI'!A1", "Results - Product Emissions Intensity")</f>
        <v>Results - Product Emissions Intensity</v>
      </c>
      <c r="D5" s="2" t="s">
        <v>1374</v>
      </c>
      <c r="M5" s="80" t="s">
        <v>630</v>
      </c>
    </row>
    <row r="6" spans="1:24" ht="20.100000000000001" customHeight="1" x14ac:dyDescent="0.2">
      <c r="D6" s="17" t="s">
        <v>1375</v>
      </c>
      <c r="M6" s="70" t="s">
        <v>631</v>
      </c>
      <c r="N6" s="70"/>
      <c r="O6" s="70"/>
      <c r="P6" s="70"/>
      <c r="Q6" s="70"/>
      <c r="R6" s="70"/>
      <c r="S6" s="70"/>
    </row>
    <row r="7" spans="1:24" ht="20.100000000000001" customHeight="1" x14ac:dyDescent="0.2">
      <c r="D7" s="103"/>
      <c r="E7" s="103"/>
      <c r="M7" s="112" t="s">
        <v>632</v>
      </c>
    </row>
    <row r="8" spans="1:24" ht="20.100000000000001" customHeight="1" x14ac:dyDescent="0.2">
      <c r="A8" s="7" t="s">
        <v>0</v>
      </c>
      <c r="M8" s="113" t="s">
        <v>633</v>
      </c>
    </row>
    <row r="9" spans="1:24" ht="20.100000000000001" customHeight="1" x14ac:dyDescent="0.2">
      <c r="A9" s="5" t="str">
        <f>HYPERLINK("#'Input - Enterprise'!A1", "Enterprise")</f>
        <v>Enterprise</v>
      </c>
      <c r="O9" s="161" t="s">
        <v>634</v>
      </c>
      <c r="P9" s="161" t="s">
        <v>635</v>
      </c>
      <c r="Q9" s="161" t="s">
        <v>636</v>
      </c>
    </row>
    <row r="10" spans="1:24" ht="20.100000000000001" customHeight="1" x14ac:dyDescent="0.2">
      <c r="A10" s="5" t="str">
        <f>HYPERLINK("#'Input - Site'!A1", "Site")</f>
        <v>Site</v>
      </c>
      <c r="D10" s="77" t="s">
        <v>373</v>
      </c>
      <c r="E10" s="1" t="s">
        <v>1376</v>
      </c>
      <c r="M10" s="114" t="s">
        <v>637</v>
      </c>
      <c r="N10" s="82" t="s">
        <v>637</v>
      </c>
      <c r="O10" s="82" t="s">
        <v>638</v>
      </c>
      <c r="P10" s="82" t="s">
        <v>639</v>
      </c>
      <c r="Q10" s="114" t="s">
        <v>640</v>
      </c>
    </row>
    <row r="11" spans="1:24" ht="20.100000000000001" customHeight="1" x14ac:dyDescent="0.2">
      <c r="A11" s="5" t="str">
        <f>HYPERLINK("#'Input - Pasture Beef'!A1", "Pasture Beef")</f>
        <v>Pasture Beef</v>
      </c>
      <c r="D11" s="77" t="s">
        <v>121</v>
      </c>
      <c r="E11" s="9" t="s">
        <v>1055</v>
      </c>
      <c r="M11" s="15" t="s">
        <v>641</v>
      </c>
      <c r="N11" s="15" cm="1">
        <f t="array" ref="N11:N20">Table_Input_InorganicFertiliser_Brands[Product (select)]</f>
        <v>0</v>
      </c>
      <c r="O11" s="15" cm="1">
        <f t="array" ref="O11:O20">Table_Input_InorganicFertiliser_Brands[N application rate (kg/ha)]</f>
        <v>0</v>
      </c>
      <c r="P11" s="15" cm="1">
        <f t="array" ref="P11:P20">IF(Table_Input_InorganicFertiliser_Brands[N application rate (kg/ha)]&gt;0, Table_Input_InorganicFertiliser_Brands[Application area (ha)], 0)</f>
        <v>0</v>
      </c>
      <c r="Q11" s="15">
        <f>O11*P11</f>
        <v>0</v>
      </c>
    </row>
    <row r="12" spans="1:24" ht="20.100000000000001" customHeight="1" x14ac:dyDescent="0.2">
      <c r="A12" s="5" t="str">
        <f>HYPERLINK("#'Input - Livestock sales'!A1", "Livestock sales")</f>
        <v>Livestock sales</v>
      </c>
      <c r="M12" s="15" t="s">
        <v>641</v>
      </c>
      <c r="N12" s="15">
        <v>0</v>
      </c>
      <c r="O12" s="15">
        <v>0</v>
      </c>
      <c r="P12" s="15">
        <v>0</v>
      </c>
      <c r="Q12" s="15">
        <f>O12*P12</f>
        <v>0</v>
      </c>
    </row>
    <row r="13" spans="1:24" ht="20.100000000000001" customHeight="1" x14ac:dyDescent="0.2">
      <c r="A13" s="5" t="str">
        <f>HYPERLINK("#'Input - Beef cattle purchases'!A1", "Beef cattle purchases")</f>
        <v>Beef cattle purchases</v>
      </c>
      <c r="D13" s="116" t="s">
        <v>1377</v>
      </c>
      <c r="E13" s="116" t="s">
        <v>1378</v>
      </c>
      <c r="F13" s="116"/>
      <c r="G13" s="116" t="s">
        <v>636</v>
      </c>
      <c r="H13" s="109" t="s">
        <v>1219</v>
      </c>
      <c r="I13" s="111" t="str" cm="1">
        <f t="array" aca="1" ref="I13" ca="1">HYPERLINK(Common_InputFunctions.Utility_SourceHyperlink($D$16), $D$16)</f>
        <v>Table_MN_j_f</v>
      </c>
      <c r="M13" s="15" t="s">
        <v>641</v>
      </c>
      <c r="N13" s="15">
        <v>0</v>
      </c>
      <c r="O13" s="15">
        <v>0</v>
      </c>
      <c r="P13" s="15">
        <v>0</v>
      </c>
      <c r="Q13" s="15">
        <f t="shared" ref="Q13:Q15" si="0">O13*P13</f>
        <v>0</v>
      </c>
    </row>
    <row r="14" spans="1:24" ht="20.100000000000001" customHeight="1" x14ac:dyDescent="0.2">
      <c r="A14" s="5" t="str">
        <f>HYPERLINK("#'Input - Pasture'!A1", "Pasture")</f>
        <v>Pasture</v>
      </c>
      <c r="D14" s="116" t="s">
        <v>1379</v>
      </c>
      <c r="E14" s="117" t="s">
        <v>1380</v>
      </c>
      <c r="F14" s="162"/>
      <c r="G14" s="116" t="s">
        <v>1381</v>
      </c>
      <c r="H14" s="110" t="s">
        <v>1220</v>
      </c>
      <c r="I14" s="111" t="str" cm="1">
        <f t="array" aca="1" ref="I14" ca="1">HYPERLINK(Common_InputFunctions.Utility_SourceHyperlink($D$16), $D$16)</f>
        <v>Table_MN_j_f</v>
      </c>
      <c r="M14" s="15" t="s">
        <v>641</v>
      </c>
      <c r="N14" s="15">
        <v>0</v>
      </c>
      <c r="O14" s="15">
        <v>0</v>
      </c>
      <c r="P14" s="15">
        <v>0</v>
      </c>
      <c r="Q14" s="15">
        <f t="shared" si="0"/>
        <v>0</v>
      </c>
    </row>
    <row r="15" spans="1:24" ht="20.100000000000001" customHeight="1" x14ac:dyDescent="0.2">
      <c r="A15" s="5" t="str">
        <f>HYPERLINK("#'Input - Fert Prod System'!A1", "Fert Prod System")</f>
        <v>Fert Prod System</v>
      </c>
      <c r="M15" s="15" t="s">
        <v>641</v>
      </c>
      <c r="N15" s="15">
        <v>0</v>
      </c>
      <c r="O15" s="15">
        <v>0</v>
      </c>
      <c r="P15" s="15">
        <v>0</v>
      </c>
      <c r="Q15" s="15">
        <f t="shared" si="0"/>
        <v>0</v>
      </c>
    </row>
    <row r="16" spans="1:24" ht="20.100000000000001" customHeight="1" x14ac:dyDescent="0.2">
      <c r="A16" s="5" t="str">
        <f>HYPERLINK("#'Input - Fertiliser'!A1", "Fertiliser")</f>
        <v>Fertiliser</v>
      </c>
      <c r="D16" s="112" t="s">
        <v>642</v>
      </c>
      <c r="M16" s="15" t="s">
        <v>641</v>
      </c>
      <c r="N16" s="15">
        <v>0</v>
      </c>
      <c r="O16" s="15">
        <v>0</v>
      </c>
      <c r="P16" s="15">
        <v>0</v>
      </c>
      <c r="Q16" s="15"/>
    </row>
    <row r="17" spans="1:17" ht="20.100000000000001" customHeight="1" x14ac:dyDescent="0.2">
      <c r="A17" s="5" t="str">
        <f>HYPERLINK("#'Input - Fuel'!A1", "Fuel")</f>
        <v>Fuel</v>
      </c>
      <c r="D17" s="113" t="s">
        <v>643</v>
      </c>
      <c r="M17" s="15" t="s">
        <v>641</v>
      </c>
      <c r="N17" s="15">
        <v>0</v>
      </c>
      <c r="O17" s="15">
        <v>0</v>
      </c>
      <c r="P17" s="15">
        <v>0</v>
      </c>
      <c r="Q17" s="15"/>
    </row>
    <row r="18" spans="1:17" ht="20.100000000000001" customHeight="1" x14ac:dyDescent="0.2">
      <c r="A18" s="5" t="str">
        <f>HYPERLINK("#'Input - Electricity'!A1", "Electricity")</f>
        <v>Electricity</v>
      </c>
      <c r="D18" s="114" t="s">
        <v>644</v>
      </c>
      <c r="E18" s="82" t="s">
        <v>645</v>
      </c>
      <c r="F18" s="114" t="s">
        <v>646</v>
      </c>
      <c r="G18" s="114" t="s">
        <v>647</v>
      </c>
      <c r="M18" s="15" t="s">
        <v>641</v>
      </c>
      <c r="N18" s="15">
        <v>0</v>
      </c>
      <c r="O18" s="15">
        <v>0</v>
      </c>
      <c r="P18" s="15">
        <v>0</v>
      </c>
      <c r="Q18" s="15"/>
    </row>
    <row r="19" spans="1:17" ht="20.100000000000001" customHeight="1" x14ac:dyDescent="0.2">
      <c r="A19" s="5" t="str">
        <f>HYPERLINK("#'Input - Common farm inputs'!A1", "Common farm inputs")</f>
        <v>Common farm inputs</v>
      </c>
      <c r="D19" s="15" t="str" cm="1">
        <f t="array" ref="D19:D37">Table_Fertiliser_ChemicalCompounds[Fertiliser type f]</f>
        <v>Monoammonium phosphate (MAP)</v>
      </c>
      <c r="E19" s="15" cm="1">
        <f t="array" ref="E19">Fertiliser_InputFunctions.Fertiliser_TotalChemicalCompoundAppliedAllIngredients($D19,Table_Input_InorganicFertiliser_Brands[Total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Fertiliser_InputFunctions.Fertiliser_TotalChemicalCompoundAppliedAllIngredients($D19,Table_Input_InorganicFertiliser_Custom[Total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19" s="15" cm="1">
        <f t="array" ref="F19">Common_InputFunctions.Utility_LookupValueInTableNumber(D19,Table_Fertiliser_ChemicalCompounds[Fertiliser type f],Table_Fertiliser_ChemicalCompounds[FNinorganic f])</f>
        <v>0.1</v>
      </c>
      <c r="G19" s="15">
        <f>(E19 * F19)</f>
        <v>0</v>
      </c>
      <c r="M19" s="15" t="s">
        <v>641</v>
      </c>
      <c r="N19" s="15">
        <v>0</v>
      </c>
      <c r="O19" s="15">
        <v>0</v>
      </c>
      <c r="P19" s="15">
        <v>0</v>
      </c>
      <c r="Q19" s="15"/>
    </row>
    <row r="20" spans="1:17" ht="20.100000000000001" customHeight="1" x14ac:dyDescent="0.2">
      <c r="A20" s="5" t="str">
        <f>HYPERLINK("#'Input - Crop pasture farm input'!A1", "Crop pasture farm input")</f>
        <v>Crop pasture farm input</v>
      </c>
      <c r="D20" s="15" t="str">
        <v>Diammonium phosphate (DAP)</v>
      </c>
      <c r="E20" s="15" cm="1">
        <f t="array" ref="E20">Fertiliser_InputFunctions.Fertiliser_TotalChemicalCompoundAppliedAllIngredients($D20,Table_Input_InorganicFertiliser_Brands[Total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Fertiliser_InputFunctions.Fertiliser_TotalChemicalCompoundAppliedAllIngredients($D20,Table_Input_InorganicFertiliser_Custom[Total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0" s="15" cm="1">
        <f t="array" ref="F20">Common_InputFunctions.Utility_LookupValueInTableNumber(D20,Table_Fertiliser_ChemicalCompounds[Fertiliser type f],Table_Fertiliser_ChemicalCompounds[FNinorganic f])</f>
        <v>0.18</v>
      </c>
      <c r="G20" s="15">
        <f>(E20 * F20)</f>
        <v>0</v>
      </c>
      <c r="M20" s="15" t="s">
        <v>641</v>
      </c>
      <c r="N20" s="15">
        <v>0</v>
      </c>
      <c r="O20" s="15">
        <v>0</v>
      </c>
      <c r="P20" s="15">
        <v>0</v>
      </c>
      <c r="Q20" s="15"/>
    </row>
    <row r="21" spans="1:17" ht="20.100000000000001" customHeight="1" x14ac:dyDescent="0.2">
      <c r="A21" s="5" t="str">
        <f>HYPERLINK("#'Input - Livestock farm Inputs'!A1", "Livestock farm Inputs")</f>
        <v>Livestock farm Inputs</v>
      </c>
      <c r="D21" s="15" t="str">
        <v>Urea</v>
      </c>
      <c r="E21" s="15" cm="1">
        <f t="array" ref="E21">Fertiliser_InputFunctions.Fertiliser_TotalChemicalCompoundAppliedAllIngredients($D21,Table_Input_InorganicFertiliser_Brands[Total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Fertiliser_InputFunctions.Fertiliser_TotalChemicalCompoundAppliedAllIngredients($D21,Table_Input_InorganicFertiliser_Custom[Total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1" s="15" cm="1">
        <f t="array" ref="F21">Common_InputFunctions.Utility_LookupValueInTableNumber(D21,Table_Fertiliser_ChemicalCompounds[Fertiliser type f],Table_Fertiliser_ChemicalCompounds[FNinorganic f])</f>
        <v>0.46</v>
      </c>
      <c r="G21" s="15">
        <f>(E21 * F21)</f>
        <v>0</v>
      </c>
      <c r="M21" s="15" t="s">
        <v>648</v>
      </c>
      <c r="N21" s="15" cm="1">
        <f t="array" ref="N21:N30">Table_Input_InorganicFertiliser_Custom[Custom blend name]</f>
        <v>0</v>
      </c>
      <c r="O21" s="15" cm="1">
        <f t="array" ref="O21:O30">Table_Input_InorganicFertiliser_Custom[N application rate (kg/ha)]</f>
        <v>0</v>
      </c>
      <c r="P21" s="15" cm="1">
        <f t="array" ref="P21:P30">IF(Table_Input_InorganicFertiliser_Custom[N application rate (kg/ha)]&gt;0, Table_Input_InorganicFertiliser_Custom[Application area (ha)],0)</f>
        <v>0</v>
      </c>
      <c r="Q21" s="15">
        <f>O21*P21</f>
        <v>0</v>
      </c>
    </row>
    <row r="22" spans="1:17" ht="20.100000000000001" customHeight="1" x14ac:dyDescent="0.2">
      <c r="A22" s="5" t="str">
        <f>HYPERLINK("#'Input - Freight'!A1", "Freight")</f>
        <v>Freight</v>
      </c>
      <c r="D22" s="15" t="str">
        <v>Sulphate of ammonia (SOA)</v>
      </c>
      <c r="E22" s="15" cm="1">
        <f t="array" ref="E22">Fertiliser_InputFunctions.Fertiliser_TotalChemicalCompoundAppliedAllIngredients($D22,Table_Input_InorganicFertiliser_Brands[Total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Fertiliser_InputFunctions.Fertiliser_TotalChemicalCompoundAppliedAllIngredients($D22,Table_Input_InorganicFertiliser_Custom[Total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2" s="15" cm="1">
        <f t="array" ref="F22">Common_InputFunctions.Utility_LookupValueInTableNumber(D22,Table_Fertiliser_ChemicalCompounds[Fertiliser type f],Table_Fertiliser_ChemicalCompounds[FNinorganic f])</f>
        <v>0.21</v>
      </c>
      <c r="G22" s="15">
        <f>(E22 * F22)</f>
        <v>0</v>
      </c>
      <c r="M22" s="15" t="s">
        <v>648</v>
      </c>
      <c r="N22" s="15">
        <v>0</v>
      </c>
      <c r="O22" s="15">
        <v>0</v>
      </c>
      <c r="P22" s="15">
        <v>0</v>
      </c>
      <c r="Q22" s="15">
        <f>O22*P22</f>
        <v>0</v>
      </c>
    </row>
    <row r="23" spans="1:17" ht="20.100000000000001" customHeight="1" x14ac:dyDescent="0.2">
      <c r="A23" s="5" t="str">
        <f>HYPERLINK("#'Input - Solid waste'!A1", "Solid waste")</f>
        <v>Solid waste</v>
      </c>
      <c r="D23" s="15" t="str">
        <v>Urea-ammonium nitrate (UAN)</v>
      </c>
      <c r="E23" s="15" cm="1">
        <f t="array" ref="E23">Fertiliser_InputFunctions.Fertiliser_TotalChemicalCompoundAppliedAllIngredients($D23,Table_Input_InorganicFertiliser_Brands[Total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Fertiliser_InputFunctions.Fertiliser_TotalChemicalCompoundAppliedAllIngredients($D23,Table_Input_InorganicFertiliser_Custom[Total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3" s="15" cm="1">
        <f t="array" ref="F23">Common_InputFunctions.Utility_LookupValueInTableNumber(D23,Table_Fertiliser_ChemicalCompounds[Fertiliser type f],Table_Fertiliser_ChemicalCompounds[FNinorganic f])</f>
        <v>0.32</v>
      </c>
      <c r="G23" s="15">
        <f>(E23 * F23)</f>
        <v>0</v>
      </c>
      <c r="M23" s="15" t="s">
        <v>648</v>
      </c>
      <c r="N23" s="15">
        <v>0</v>
      </c>
      <c r="O23" s="15">
        <v>0</v>
      </c>
      <c r="P23" s="15">
        <v>0</v>
      </c>
      <c r="Q23" s="15">
        <f>O23*P23</f>
        <v>0</v>
      </c>
    </row>
    <row r="24" spans="1:17" ht="20.100000000000001" customHeight="1" x14ac:dyDescent="0.2">
      <c r="A24" s="5" t="str">
        <f>HYPERLINK("#'Input - Manure sent off-site'!A1", "Manure sent off-site")</f>
        <v>Manure sent off-site</v>
      </c>
      <c r="D24" s="15" t="str">
        <v>Ammonium nitrate (AN)</v>
      </c>
      <c r="E24" s="15" cm="1">
        <f t="array" ref="E24">Fertiliser_InputFunctions.Fertiliser_TotalChemicalCompoundAppliedAllIngredients($D24,Table_Input_InorganicFertiliser_Brands[Total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Fertiliser_InputFunctions.Fertiliser_TotalChemicalCompoundAppliedAllIngredients($D24,Table_Input_InorganicFertiliser_Custom[Total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4" s="15" cm="1">
        <f t="array" ref="F24">Common_InputFunctions.Utility_LookupValueInTableNumber(D24,Table_Fertiliser_ChemicalCompounds[Fertiliser type f],Table_Fertiliser_ChemicalCompounds[FNinorganic f])</f>
        <v>0.33700000000000002</v>
      </c>
      <c r="G24" s="15">
        <f>(E24 * F24)</f>
        <v>0</v>
      </c>
      <c r="J24" s="16"/>
      <c r="M24" s="15" t="s">
        <v>648</v>
      </c>
      <c r="N24" s="15">
        <v>0</v>
      </c>
      <c r="O24" s="15">
        <v>0</v>
      </c>
      <c r="P24" s="15">
        <v>0</v>
      </c>
      <c r="Q24" s="15">
        <f>O24*P24</f>
        <v>0</v>
      </c>
    </row>
    <row r="25" spans="1:17" ht="20.100000000000001" customHeight="1" x14ac:dyDescent="0.2">
      <c r="A25" s="5" t="str">
        <f>HYPERLINK("#'Input - Data quality'!A1", "Data quality")</f>
        <v>Data quality</v>
      </c>
      <c r="D25" s="15" t="str">
        <v>Calcium ammonium nitrate (CAN)</v>
      </c>
      <c r="E25" s="15" cm="1">
        <f t="array" ref="E25">Fertiliser_InputFunctions.Fertiliser_TotalChemicalCompoundAppliedAllIngredients($D25,Table_Input_InorganicFertiliser_Brands[Total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Fertiliser_InputFunctions.Fertiliser_TotalChemicalCompoundAppliedAllIngredients($D25,Table_Input_InorganicFertiliser_Custom[Total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5" s="15" cm="1">
        <f t="array" ref="F25">Common_InputFunctions.Utility_LookupValueInTableNumber(D25,Table_Fertiliser_ChemicalCompounds[Fertiliser type f],Table_Fertiliser_ChemicalCompounds[FNinorganic f])</f>
        <v>0.27</v>
      </c>
      <c r="G25" s="15">
        <f>(E25 * F25)</f>
        <v>0</v>
      </c>
      <c r="J25" s="16"/>
      <c r="M25" s="15" t="s">
        <v>648</v>
      </c>
      <c r="N25" s="15">
        <v>0</v>
      </c>
      <c r="O25" s="15">
        <v>0</v>
      </c>
      <c r="P25" s="15">
        <v>0</v>
      </c>
      <c r="Q25" s="15">
        <f>O25*P25</f>
        <v>0</v>
      </c>
    </row>
    <row r="26" spans="1:17" ht="20.100000000000001" customHeight="1" x14ac:dyDescent="0.2">
      <c r="D26" s="15" t="str">
        <v>Nitrogen - Ammoniacal</v>
      </c>
      <c r="E26" s="15" cm="1">
        <f t="array" ref="E26">Fertiliser_InputFunctions.Fertiliser_TotalChemicalCompoundAppliedAllIngredients($D26,Table_Input_InorganicFertiliser_Brands[Total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Fertiliser_InputFunctions.Fertiliser_TotalChemicalCompoundAppliedAllIngredients($D26,Table_Input_InorganicFertiliser_Custom[Total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6" s="15" cm="1">
        <f t="array" ref="F26">Common_InputFunctions.Utility_LookupValueInTableNumber(D26,Table_Fertiliser_ChemicalCompounds[Fertiliser type f],Table_Fertiliser_ChemicalCompounds[FNinorganic f])</f>
        <v>1</v>
      </c>
      <c r="G26" s="15">
        <f>(E26 * F26)</f>
        <v>0</v>
      </c>
      <c r="M26" s="15" t="s">
        <v>648</v>
      </c>
      <c r="N26" s="15">
        <v>0</v>
      </c>
      <c r="O26" s="15">
        <v>0</v>
      </c>
      <c r="P26" s="15">
        <v>0</v>
      </c>
      <c r="Q26" s="15"/>
    </row>
    <row r="27" spans="1:17" ht="20.100000000000001" customHeight="1" x14ac:dyDescent="0.2">
      <c r="D27" s="15" t="str">
        <v>Nitrogen - Nitrate</v>
      </c>
      <c r="E27" s="15" cm="1">
        <f t="array" ref="E27">Fertiliser_InputFunctions.Fertiliser_TotalChemicalCompoundAppliedAllIngredients($D27,Table_Input_InorganicFertiliser_Brands[Total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Fertiliser_InputFunctions.Fertiliser_TotalChemicalCompoundAppliedAllIngredients($D27,Table_Input_InorganicFertiliser_Custom[Total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7" s="15" cm="1">
        <f t="array" ref="F27">Common_InputFunctions.Utility_LookupValueInTableNumber(D27,Table_Fertiliser_ChemicalCompounds[Fertiliser type f],Table_Fertiliser_ChemicalCompounds[FNinorganic f])</f>
        <v>1</v>
      </c>
      <c r="G27" s="15">
        <f>(E27 * F27)</f>
        <v>0</v>
      </c>
      <c r="M27" s="15" t="s">
        <v>648</v>
      </c>
      <c r="N27" s="15">
        <v>0</v>
      </c>
      <c r="O27" s="15">
        <v>0</v>
      </c>
      <c r="P27" s="15">
        <v>0</v>
      </c>
      <c r="Q27" s="15"/>
    </row>
    <row r="28" spans="1:17" ht="20.100000000000001" customHeight="1" x14ac:dyDescent="0.2">
      <c r="A28" s="6" t="s">
        <v>2</v>
      </c>
      <c r="D28" s="15" t="str">
        <v>Nitrogen - Generic</v>
      </c>
      <c r="E28" s="15" cm="1">
        <f t="array" ref="E28">Fertiliser_InputFunctions.Fertiliser_TotalChemicalCompoundAppliedAllIngredients($D28,Table_Input_InorganicFertiliser_Brands[Total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Fertiliser_InputFunctions.Fertiliser_TotalChemicalCompoundAppliedAllIngredients($D28,Table_Input_InorganicFertiliser_Custom[Total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8" s="15" cm="1">
        <f t="array" ref="F28">Common_InputFunctions.Utility_LookupValueInTableNumber(D28,Table_Fertiliser_ChemicalCompounds[Fertiliser type f],Table_Fertiliser_ChemicalCompounds[FNinorganic f])</f>
        <v>1</v>
      </c>
      <c r="G28" s="15">
        <f>(E28 * F28)</f>
        <v>0</v>
      </c>
      <c r="M28" s="15" t="s">
        <v>648</v>
      </c>
      <c r="N28" s="15">
        <v>0</v>
      </c>
      <c r="O28" s="15">
        <v>0</v>
      </c>
      <c r="P28" s="15">
        <v>0</v>
      </c>
      <c r="Q28" s="15"/>
    </row>
    <row r="29" spans="1:17" ht="20.100000000000001" customHeight="1" x14ac:dyDescent="0.2">
      <c r="A29" s="5" t="str">
        <f>HYPERLINK("#'3.2.1.1-2 Enteric Methane'!A1", "3.2.1.1-2 Enteric Methane")</f>
        <v>3.2.1.1-2 Enteric Methane</v>
      </c>
      <c r="D29" s="15" t="str">
        <v>Phosphorus - Generic</v>
      </c>
      <c r="E29" s="15" cm="1">
        <f t="array" ref="E29">Fertiliser_InputFunctions.Fertiliser_TotalChemicalCompoundAppliedAllIngredients($D29,Table_Input_InorganicFertiliser_Brands[Total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Fertiliser_InputFunctions.Fertiliser_TotalChemicalCompoundAppliedAllIngredients($D29,Table_Input_InorganicFertiliser_Custom[Total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9" s="15" cm="1">
        <f t="array" ref="F29">Common_InputFunctions.Utility_LookupValueInTableNumber(D29,Table_Fertiliser_ChemicalCompounds[Fertiliser type f],Table_Fertiliser_ChemicalCompounds[FNinorganic f])</f>
        <v>0</v>
      </c>
      <c r="G29" s="15">
        <f>(E29 * F29)</f>
        <v>0</v>
      </c>
      <c r="M29" s="15" t="s">
        <v>648</v>
      </c>
      <c r="N29" s="15">
        <v>0</v>
      </c>
      <c r="O29" s="15">
        <v>0</v>
      </c>
      <c r="P29" s="15">
        <v>0</v>
      </c>
      <c r="Q29" s="15"/>
    </row>
    <row r="30" spans="1:17" ht="20.100000000000001" customHeight="1" x14ac:dyDescent="0.2">
      <c r="A30" s="5" t="str">
        <f>HYPERLINK("#'4.2.1.1-2 Methane'!A1", "4.2.1.1-2 Manure methane")</f>
        <v>4.2.1.1-2 Manure methane</v>
      </c>
      <c r="D30" s="15" t="str">
        <v>Potassium - Generic</v>
      </c>
      <c r="E30" s="15" cm="1">
        <f t="array" ref="E30">Fertiliser_InputFunctions.Fertiliser_TotalChemicalCompoundAppliedAllIngredients($D30,Table_Input_InorganicFertiliser_Brands[Total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Fertiliser_InputFunctions.Fertiliser_TotalChemicalCompoundAppliedAllIngredients($D30,Table_Input_InorganicFertiliser_Custom[Total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30" s="15" cm="1">
        <f t="array" ref="F30">Common_InputFunctions.Utility_LookupValueInTableNumber(D30,Table_Fertiliser_ChemicalCompounds[Fertiliser type f],Table_Fertiliser_ChemicalCompounds[FNinorganic f])</f>
        <v>0</v>
      </c>
      <c r="G30" s="15">
        <f>(E30 * F30)</f>
        <v>0</v>
      </c>
      <c r="M30" s="15" t="s">
        <v>648</v>
      </c>
      <c r="N30" s="15">
        <v>0</v>
      </c>
      <c r="O30" s="15">
        <v>0</v>
      </c>
      <c r="P30" s="15">
        <v>0</v>
      </c>
      <c r="Q30" s="15"/>
    </row>
    <row r="31" spans="1:17" ht="20.100000000000001" customHeight="1" x14ac:dyDescent="0.2">
      <c r="A31" s="5" t="str">
        <f>HYPERLINK("#'4.2.1.3-4 Soil direct N20'!A1", "4.2.1.3-4 Soil direct N2O")</f>
        <v>4.2.1.3-4 Soil direct N2O</v>
      </c>
      <c r="D31" s="15" t="str">
        <v>Sulfur - Generic</v>
      </c>
      <c r="E31" s="15" cm="1">
        <f t="array" ref="E31">Fertiliser_InputFunctions.Fertiliser_TotalChemicalCompoundAppliedAllIngredients($D31,Table_Input_InorganicFertiliser_Brands[Total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Fertiliser_InputFunctions.Fertiliser_TotalChemicalCompoundAppliedAllIngredients($D31,Table_Input_InorganicFertiliser_Custom[Total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31" s="15" cm="1">
        <f t="array" ref="F31">Common_InputFunctions.Utility_LookupValueInTableNumber(D31,Table_Fertiliser_ChemicalCompounds[Fertiliser type f],Table_Fertiliser_ChemicalCompounds[FNinorganic f])</f>
        <v>0</v>
      </c>
      <c r="G31" s="15">
        <f>(E31 * F31)</f>
        <v>0</v>
      </c>
    </row>
    <row r="32" spans="1:17" ht="20.100000000000001" customHeight="1" x14ac:dyDescent="0.2">
      <c r="A32" s="5" t="str">
        <f>HYPERLINK("#'4.2.1.5-6 Soil Atmos Dep'!A1", "4.2.1.5-6 Soil atm. deposition")</f>
        <v>4.2.1.5-6 Soil atm. deposition</v>
      </c>
      <c r="D32" s="15" t="str">
        <v>Zinc - Generic</v>
      </c>
      <c r="E32" s="15" cm="1">
        <f t="array" ref="E32">Fertiliser_InputFunctions.Fertiliser_TotalChemicalCompoundAppliedAllIngredients($D32,Table_Input_InorganicFertiliser_Brands[Total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Fertiliser_InputFunctions.Fertiliser_TotalChemicalCompoundAppliedAllIngredients($D32,Table_Input_InorganicFertiliser_Custom[Total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32" s="15" cm="1">
        <f t="array" ref="F32">Common_InputFunctions.Utility_LookupValueInTableNumber(D32,Table_Fertiliser_ChemicalCompounds[Fertiliser type f],Table_Fertiliser_ChemicalCompounds[FNinorganic f])</f>
        <v>0</v>
      </c>
      <c r="G32" s="15">
        <f>(E32 * F32)</f>
        <v>0</v>
      </c>
    </row>
    <row r="33" spans="1:24" ht="20.100000000000001" customHeight="1" x14ac:dyDescent="0.2">
      <c r="A33" s="5" t="str">
        <f>HYPERLINK("#'4.2.1.7-8 Soil leach runoff'!A1", "4.2.1.7-8 Soil leach &amp; runoff")</f>
        <v>4.2.1.7-8 Soil leach &amp; runoff</v>
      </c>
      <c r="D33" s="15" t="str">
        <v>Muriate of potash (MOP)</v>
      </c>
      <c r="E33" s="15" cm="1">
        <f t="array" ref="E33">Fertiliser_InputFunctions.Fertiliser_TotalChemicalCompoundAppliedAllIngredients($D33,Table_Input_InorganicFertiliser_Brands[Total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Fertiliser_InputFunctions.Fertiliser_TotalChemicalCompoundAppliedAllIngredients($D33,Table_Input_InorganicFertiliser_Custom[Total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33" s="15" cm="1">
        <f t="array" ref="F33">Common_InputFunctions.Utility_LookupValueInTableNumber(D33,Table_Fertiliser_ChemicalCompounds[Fertiliser type f],Table_Fertiliser_ChemicalCompounds[FNinorganic f])</f>
        <v>0</v>
      </c>
      <c r="G33" s="15">
        <f>(E33 * F33)</f>
        <v>0</v>
      </c>
      <c r="M33" s="93" t="s">
        <v>649</v>
      </c>
      <c r="N33" s="87">
        <f>SUM(Q11:Q30)</f>
        <v>0</v>
      </c>
    </row>
    <row r="34" spans="1:24" ht="20.100000000000001" customHeight="1" x14ac:dyDescent="0.2">
      <c r="A34" s="104" t="str">
        <f>HYPERLINK("#'5.1.1.1-2 Inorganic fert N2O'!A1", "5.1.1.1-2 Inorganic fert N2O")</f>
        <v>5.1.1.1-2 Inorganic fert N2O</v>
      </c>
      <c r="D34" s="15" t="str">
        <v>Double superphosphate</v>
      </c>
      <c r="E34" s="15" cm="1">
        <f t="array" ref="E34">Fertiliser_InputFunctions.Fertiliser_TotalChemicalCompoundAppliedAllIngredients($D34,Table_Input_InorganicFertiliser_Brands[Total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Fertiliser_InputFunctions.Fertiliser_TotalChemicalCompoundAppliedAllIngredients($D34,Table_Input_InorganicFertiliser_Custom[Total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34" s="15" cm="1">
        <f t="array" ref="F34">Common_InputFunctions.Utility_LookupValueInTableNumber(D34,Table_Fertiliser_ChemicalCompounds[Fertiliser type f],Table_Fertiliser_ChemicalCompounds[FNinorganic f])</f>
        <v>0</v>
      </c>
      <c r="G34" s="15">
        <f>(E34 * F34)</f>
        <v>0</v>
      </c>
      <c r="M34" s="77" t="s">
        <v>650</v>
      </c>
      <c r="N34" s="1">
        <f>MAX(P11:P30)</f>
        <v>0</v>
      </c>
    </row>
    <row r="35" spans="1:24" ht="20.100000000000001" customHeight="1" x14ac:dyDescent="0.2">
      <c r="A35" s="5" t="str">
        <f>HYPERLINK("#'5.1.1.3-4 Inorganic fert CO2'!A1", "5.1.1.3-4 Inorganic fert CO2")</f>
        <v>5.1.1.3-4 Inorganic fert CO2</v>
      </c>
      <c r="D35" s="15" t="str">
        <v>Single superphosphate (SSP)</v>
      </c>
      <c r="E35" s="15" cm="1">
        <f t="array" ref="E35">Fertiliser_InputFunctions.Fertiliser_TotalChemicalCompoundAppliedAllIngredients($D35,Table_Input_InorganicFertiliser_Brands[Total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Fertiliser_InputFunctions.Fertiliser_TotalChemicalCompoundAppliedAllIngredients($D35,Table_Input_InorganicFertiliser_Custom[Total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35" s="15" cm="1">
        <f t="array" ref="F35">Common_InputFunctions.Utility_LookupValueInTableNumber(D35,Table_Fertiliser_ChemicalCompounds[Fertiliser type f],Table_Fertiliser_ChemicalCompounds[FNinorganic f])</f>
        <v>0</v>
      </c>
      <c r="G35" s="15">
        <f>(E35 * F35)</f>
        <v>0</v>
      </c>
      <c r="M35" s="77" t="s">
        <v>651</v>
      </c>
      <c r="N35" s="1" t="e">
        <f>N33/N34</f>
        <v>#DIV/0!</v>
      </c>
    </row>
    <row r="36" spans="1:24" ht="20.100000000000001" customHeight="1" x14ac:dyDescent="0.2">
      <c r="A36" s="5" t="str">
        <f>HYPERLINK("#'5.2.1.1-2 Organic Fert N2O'!A1", "5.2.1.1-2 Organic fert N2O")</f>
        <v>5.2.1.1-2 Organic fert N2O</v>
      </c>
      <c r="D36" s="15" t="str">
        <v>Ammonia</v>
      </c>
      <c r="E36" s="15" cm="1">
        <f t="array" ref="E36">Fertiliser_InputFunctions.Fertiliser_TotalChemicalCompoundAppliedAllIngredients($D36,Table_Input_InorganicFertiliser_Brands[Total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Fertiliser_InputFunctions.Fertiliser_TotalChemicalCompoundAppliedAllIngredients($D36,Table_Input_InorganicFertiliser_Custom[Total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36" s="15" cm="1">
        <f t="array" ref="F36">Common_InputFunctions.Utility_LookupValueInTableNumber(D36,Table_Fertiliser_ChemicalCompounds[Fertiliser type f],Table_Fertiliser_ChemicalCompounds[FNinorganic f])</f>
        <v>0.82350000000000001</v>
      </c>
      <c r="G36" s="15">
        <f>(E36 * F36)</f>
        <v>0</v>
      </c>
    </row>
    <row r="37" spans="1:24" ht="20.100000000000001" customHeight="1" x14ac:dyDescent="0.2">
      <c r="A37" s="5" t="str">
        <f>HYPERLINK("#'5.3.1.1-2 Lime CO2'!A1", "5.3.1.1-2 Lime CO2")</f>
        <v>5.3.1.1-2 Lime CO2</v>
      </c>
      <c r="D37" s="15" t="str">
        <v>Calcium nitrate</v>
      </c>
      <c r="E37" s="15" cm="1">
        <f t="array" ref="E37">Fertiliser_InputFunctions.Fertiliser_TotalChemicalCompoundAppliedAllIngredients($D37,Table_Input_InorganicFertiliser_Brands[Total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Fertiliser_InputFunctions.Fertiliser_TotalChemicalCompoundAppliedAllIngredients($D37,Table_Input_InorganicFertiliser_Custom[Total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37" s="15" cm="1">
        <f t="array" ref="F37">Common_InputFunctions.Utility_LookupValueInTableNumber(D37,Table_Fertiliser_ChemicalCompounds[Fertiliser type f],Table_Fertiliser_ChemicalCompounds[FNinorganic f])</f>
        <v>0.155</v>
      </c>
      <c r="G37" s="15">
        <f>(E37 * F37)</f>
        <v>0</v>
      </c>
      <c r="L37" s="87"/>
      <c r="M37" s="87"/>
      <c r="N37" s="87"/>
      <c r="O37" s="87"/>
      <c r="P37" s="87"/>
      <c r="Q37" s="87"/>
      <c r="R37" s="87"/>
      <c r="S37" s="87"/>
      <c r="T37" s="87"/>
      <c r="U37" s="87"/>
      <c r="V37" s="87"/>
      <c r="W37" s="87"/>
      <c r="X37" s="87"/>
    </row>
    <row r="38" spans="1:24" ht="20.100000000000001" customHeight="1" x14ac:dyDescent="0.2">
      <c r="A38" s="5" t="str">
        <f>HYPERLINK("#'5.4.1.1-4 Atmos deposition'!A1", "5.4.1.1-4 Atmos. deposition")</f>
        <v>5.4.1.1-4 Atmos. deposition</v>
      </c>
    </row>
    <row r="39" spans="1:24" ht="20.100000000000001" customHeight="1" x14ac:dyDescent="0.2">
      <c r="A39" s="5" t="str">
        <f>HYPERLINK("#'5.5.1.1-2 Leaching and runoff'!A1", "5.5.1.1-2 Leaching &amp; runoff")</f>
        <v>5.5.1.1-2 Leaching &amp; runoff</v>
      </c>
      <c r="C39" s="87"/>
      <c r="D39" s="87"/>
      <c r="E39" s="87"/>
      <c r="F39" s="87"/>
      <c r="G39" s="87"/>
      <c r="H39" s="87"/>
      <c r="I39" s="87"/>
      <c r="J39" s="87"/>
      <c r="M39" s="2" t="s">
        <v>1382</v>
      </c>
    </row>
    <row r="40" spans="1:24" ht="20.100000000000001" customHeight="1" x14ac:dyDescent="0.2">
      <c r="A40" s="5" t="str">
        <f>HYPERLINK("#'6.2.1.1-2 Pasture residue N2O'!A1", "6.2.1.1-2 Pasture residue N2O")</f>
        <v>6.2.1.1-2 Pasture residue N2O</v>
      </c>
      <c r="D40" s="2" t="s">
        <v>1384</v>
      </c>
      <c r="M40" s="17" t="s">
        <v>1383</v>
      </c>
    </row>
    <row r="41" spans="1:24" ht="20.100000000000001" customHeight="1" x14ac:dyDescent="0.2">
      <c r="A41" s="5" t="str">
        <f>HYPERLINK("#'6.3.1.1-2 Leach runoff pasture'!A1", "6.3.1.1-2 Leach &amp; runoff (pasture)")</f>
        <v>6.3.1.1-2 Leach &amp; runoff (pasture)</v>
      </c>
      <c r="D41" s="17" t="s">
        <v>1385</v>
      </c>
    </row>
    <row r="42" spans="1:24" ht="20.100000000000001" customHeight="1" x14ac:dyDescent="0.2">
      <c r="A42" s="5" t="str">
        <f>HYPERLINK("#'8.1.1.1-2 Transport fuel'!A1", "8.1.1.1-2 Transport fuel")</f>
        <v>8.1.1.1-2 Transport fuel</v>
      </c>
      <c r="D42" s="103"/>
      <c r="E42" s="103"/>
      <c r="F42" s="16"/>
    </row>
    <row r="43" spans="1:24" ht="20.100000000000001" customHeight="1" x14ac:dyDescent="0.2">
      <c r="A43" s="5" t="str">
        <f>HYPERLINK("#'8.2.1.1-2 Stationary fuel'!A1", "8.2.1.1-2 Stationary fuel")</f>
        <v>8.2.1.1-2 Stationary fuel</v>
      </c>
      <c r="F43" s="16"/>
      <c r="M43" s="77" t="s">
        <v>373</v>
      </c>
      <c r="N43" s="1" t="s">
        <v>1386</v>
      </c>
    </row>
    <row r="44" spans="1:24" ht="20.100000000000001" customHeight="1" x14ac:dyDescent="0.2">
      <c r="A44" s="5" t="str">
        <f>HYPERLINK("#'10.1.1-2 Solid waste treatment'!A1", "10.1.1.1-2 Solid waste")</f>
        <v>10.1.1.1-2 Solid waste</v>
      </c>
      <c r="F44" s="16"/>
      <c r="M44" s="77" t="s">
        <v>121</v>
      </c>
      <c r="N44" s="9" t="s">
        <v>1387</v>
      </c>
    </row>
    <row r="45" spans="1:24" ht="20.100000000000001" customHeight="1" x14ac:dyDescent="0.2">
      <c r="A45" s="5" t="str">
        <f>HYPERLINK("#'14.1.1-2 Purchased electricity'!A1", "14.1.1-2 Purchased electricity")</f>
        <v>14.1.1-2 Purchased electricity</v>
      </c>
      <c r="F45" s="16"/>
    </row>
    <row r="46" spans="1:24" ht="20.100000000000001" customHeight="1" x14ac:dyDescent="0.2">
      <c r="A46" s="5" t="str">
        <f>HYPERLINK("#'15 Scope 3'!A1", "15 Scope 3")</f>
        <v>15 Scope 3</v>
      </c>
      <c r="D46" s="77" t="s">
        <v>373</v>
      </c>
      <c r="E46" s="1" t="s">
        <v>956</v>
      </c>
      <c r="F46" s="16"/>
      <c r="M46" s="116" t="s">
        <v>1388</v>
      </c>
      <c r="N46" s="117" t="s">
        <v>1389</v>
      </c>
      <c r="O46" s="163"/>
      <c r="P46" s="116" t="s">
        <v>1392</v>
      </c>
      <c r="Q46" s="109" t="s">
        <v>1219</v>
      </c>
      <c r="R46" s="106" t="e">
        <f>$N$35</f>
        <v>#DIV/0!</v>
      </c>
      <c r="S46" s="164"/>
    </row>
    <row r="47" spans="1:24" ht="20.100000000000001" customHeight="1" x14ac:dyDescent="0.2">
      <c r="A47" s="5" t="str">
        <f>HYPERLINK("#'Calcs - Manure sent off-site'!A1", "Calcs - Manure sent off-site")</f>
        <v>Calcs - Manure sent off-site</v>
      </c>
      <c r="D47" s="77" t="s">
        <v>121</v>
      </c>
      <c r="E47" s="9" t="s">
        <v>12</v>
      </c>
      <c r="F47" s="16"/>
      <c r="M47" s="116" t="s">
        <v>1390</v>
      </c>
      <c r="N47" s="117" t="s">
        <v>1391</v>
      </c>
      <c r="O47" s="163"/>
      <c r="P47" s="116"/>
      <c r="Q47" s="110" t="s">
        <v>1220</v>
      </c>
      <c r="R47" s="117" t="s">
        <v>652</v>
      </c>
      <c r="S47" s="164"/>
    </row>
    <row r="48" spans="1:24" ht="20.100000000000001" customHeight="1" x14ac:dyDescent="0.2">
      <c r="F48" s="16"/>
    </row>
    <row r="49" spans="1:19" ht="20.100000000000001" customHeight="1" x14ac:dyDescent="0.2">
      <c r="D49" s="116" t="s">
        <v>1376</v>
      </c>
      <c r="E49" s="117" t="s">
        <v>1393</v>
      </c>
      <c r="F49" s="163"/>
      <c r="G49" s="116" t="s">
        <v>1055</v>
      </c>
      <c r="H49" s="110" t="s">
        <v>1397</v>
      </c>
      <c r="I49" s="111" t="str" cm="1">
        <f t="array" aca="1" ref="I49" ca="1">HYPERLINK(Common_InputFunctions.Utility_SourceHyperlink(D16), D16)</f>
        <v>Table_MN_j_f</v>
      </c>
      <c r="M49" s="1" t="s">
        <v>653</v>
      </c>
      <c r="N49" s="1" t="e">
        <f>((-0.1474 + (0.0061 * R46)) * 10 ^ -2)</f>
        <v>#DIV/0!</v>
      </c>
      <c r="O49" s="9" t="str">
        <f>N44</f>
        <v>kg N2O-N/kg N applied</v>
      </c>
    </row>
    <row r="50" spans="1:19" ht="20.100000000000001" customHeight="1" x14ac:dyDescent="0.2">
      <c r="A50" s="85" t="s">
        <v>1</v>
      </c>
      <c r="D50" s="116" t="s">
        <v>1394</v>
      </c>
      <c r="E50" s="117" t="s">
        <v>1395</v>
      </c>
      <c r="F50" s="163"/>
      <c r="G50" s="116" t="s">
        <v>1387</v>
      </c>
      <c r="H50" s="110" t="s">
        <v>1220</v>
      </c>
      <c r="I50" s="116" t="e">
        <f>Common_InputFunctions.Utility_LookupN2OEFFromProdIrrigationRainfall(I52,I54,I55,Table_SourceData_Common_EFN2O[Production system only],Table_SourceData_Common_EFN2O[Irrigation method],Table_SourceData_Common_EFN2O[Rainfall zone],Table_SourceData_Common_EFN2O[EFN2O])</f>
        <v>#N/A</v>
      </c>
    </row>
    <row r="51" spans="1:19" ht="20.100000000000001" customHeight="1" x14ac:dyDescent="0.2">
      <c r="A51" s="5" t="str">
        <f>HYPERLINK("#'Constants - Pasture Beef'!A1", "Constants - Pasture Beef")</f>
        <v>Constants - Pasture Beef</v>
      </c>
      <c r="D51" s="116" t="s">
        <v>1348</v>
      </c>
      <c r="E51" s="117" t="s">
        <v>1396</v>
      </c>
      <c r="F51" s="163"/>
      <c r="G51" s="116"/>
      <c r="H51" s="110" t="s">
        <v>1220</v>
      </c>
      <c r="I51" s="116">
        <f>Common_InputFunctions.Utility_LookupValueInTableNumber("N2O",Table_GasToMolecularConversionFactor[Gas],Table_GasToMolecularConversionFactor[Conversion factor combined])</f>
        <v>1.5714285714285714</v>
      </c>
    </row>
    <row r="52" spans="1:19" ht="20.100000000000001" customHeight="1" x14ac:dyDescent="0.2">
      <c r="A52" s="5" t="str">
        <f>HYPERLINK("#'Constants - Ag Residue'!A1", "Constants - Ag residue")</f>
        <v>Constants - Ag residue</v>
      </c>
      <c r="D52" s="116" t="s">
        <v>1350</v>
      </c>
      <c r="E52" s="117" t="s">
        <v>171</v>
      </c>
      <c r="F52" s="163"/>
      <c r="G52" s="116"/>
      <c r="H52" s="109" t="s">
        <v>1219</v>
      </c>
      <c r="I52" s="116">
        <f>X_Cell_Fertiliser_ProductionSystem</f>
        <v>0</v>
      </c>
    </row>
    <row r="53" spans="1:19" ht="20.100000000000001" customHeight="1" x14ac:dyDescent="0.2">
      <c r="A53" s="5" t="str">
        <f>HYPERLINK("#'Constants - Common Livestock'!A1", "Constants - Common Livestock")</f>
        <v>Constants - Common Livestock</v>
      </c>
      <c r="D53" s="116" t="s">
        <v>1390</v>
      </c>
      <c r="E53" s="117" t="s">
        <v>1391</v>
      </c>
      <c r="F53" s="163"/>
      <c r="G53" s="116"/>
      <c r="H53" s="110" t="s">
        <v>1220</v>
      </c>
      <c r="I53" s="116" t="str">
        <f>"See " &amp; D57</f>
        <v>See M1_Table_E_N2O</v>
      </c>
      <c r="M53" s="2" t="s">
        <v>1398</v>
      </c>
    </row>
    <row r="54" spans="1:19" ht="20.100000000000001" customHeight="1" x14ac:dyDescent="0.2">
      <c r="A54" s="5" t="str">
        <f>HYPERLINK("#'Constants - Electricity'!A1", "Constants - Electricity")</f>
        <v>Constants - Electricity</v>
      </c>
      <c r="D54" s="116" t="s">
        <v>1366</v>
      </c>
      <c r="E54" s="117" t="s">
        <v>1352</v>
      </c>
      <c r="F54" s="163"/>
      <c r="G54" s="116"/>
      <c r="H54" s="109" t="s">
        <v>1219</v>
      </c>
      <c r="I54" s="116">
        <f>X_Cell_Fertiliser_IrrigationMethod</f>
        <v>0</v>
      </c>
      <c r="M54" s="17" t="s">
        <v>1399</v>
      </c>
    </row>
    <row r="55" spans="1:19" ht="20.100000000000001" customHeight="1" x14ac:dyDescent="0.2">
      <c r="A55" s="5" t="str">
        <f>HYPERLINK("#'Constants - Fertiliser'!A1", "Constants - Fertiliser")</f>
        <v>Constants - Fertiliser</v>
      </c>
      <c r="D55" s="116" t="s">
        <v>1364</v>
      </c>
      <c r="E55" s="117" t="s">
        <v>1354</v>
      </c>
      <c r="F55" s="163"/>
      <c r="G55" s="116"/>
      <c r="H55" s="109" t="s">
        <v>1219</v>
      </c>
      <c r="I55" s="116" t="str">
        <f>X_Cell_Site_RainfallZone</f>
        <v>Low rainfall</v>
      </c>
    </row>
    <row r="56" spans="1:19" ht="20.100000000000001" customHeight="1" x14ac:dyDescent="0.2">
      <c r="A56" s="5" t="str">
        <f>HYPERLINK("#'Constants - Fuel'!A1", "Constants - Fuel")</f>
        <v>Constants - Fuel</v>
      </c>
      <c r="F56" s="16"/>
    </row>
    <row r="57" spans="1:19" ht="20.100000000000001" customHeight="1" x14ac:dyDescent="0.2">
      <c r="A57" s="5" t="str">
        <f>HYPERLINK("#'Constants - Scope 3'!A1", "Constants - Scope 3")</f>
        <v>Constants - Scope 3</v>
      </c>
      <c r="D57" s="112" t="s">
        <v>654</v>
      </c>
      <c r="F57" s="16"/>
      <c r="M57" s="77" t="s">
        <v>373</v>
      </c>
      <c r="N57" s="1" t="s">
        <v>1400</v>
      </c>
    </row>
    <row r="58" spans="1:19" ht="20.100000000000001" customHeight="1" x14ac:dyDescent="0.2">
      <c r="A58" s="5" t="str">
        <f>HYPERLINK("#'Constants - Solid Waste'!A1", "Constants - Solid Waste")</f>
        <v>Constants - Solid Waste</v>
      </c>
      <c r="D58" s="113" t="s">
        <v>655</v>
      </c>
      <c r="F58" s="16"/>
      <c r="M58" s="77" t="s">
        <v>121</v>
      </c>
      <c r="N58" s="9" t="s">
        <v>1387</v>
      </c>
    </row>
    <row r="59" spans="1:19" ht="20.100000000000001" customHeight="1" x14ac:dyDescent="0.2">
      <c r="A59" s="5" t="str">
        <f>HYPERLINK("#'Constants - Common'!A1", "Constants - Common")</f>
        <v>Constants - Common</v>
      </c>
      <c r="D59" s="114" t="s">
        <v>644</v>
      </c>
      <c r="E59" s="114" t="s">
        <v>656</v>
      </c>
    </row>
    <row r="60" spans="1:19" ht="20.100000000000001" customHeight="1" x14ac:dyDescent="0.2">
      <c r="A60" s="5" t="str">
        <f>HYPERLINK("#'Acknowledgements'!A1", "Acknowledgements")</f>
        <v>Acknowledgements</v>
      </c>
      <c r="D60" s="15" t="str" cm="1">
        <f t="array" ref="D60:D78">Table_Fertiliser_ChemicalCompounds[Fertiliser type f]</f>
        <v>Monoammonium phosphate (MAP)</v>
      </c>
      <c r="E60" s="15" t="e">
        <f>((G19 * $I$50 * $I$51) * 10 ^ -3)</f>
        <v>#N/A</v>
      </c>
      <c r="F60" s="16" t="str">
        <f>E47</f>
        <v>t N2O</v>
      </c>
      <c r="M60" s="116" t="s">
        <v>1401</v>
      </c>
      <c r="N60" s="117" t="s">
        <v>1402</v>
      </c>
      <c r="O60" s="163"/>
      <c r="P60" s="116" t="s">
        <v>1392</v>
      </c>
      <c r="Q60" s="109" t="s">
        <v>1219</v>
      </c>
      <c r="R60" s="106" t="e">
        <f>$N$35</f>
        <v>#DIV/0!</v>
      </c>
      <c r="S60" s="164"/>
    </row>
    <row r="61" spans="1:19" ht="20.100000000000001" customHeight="1" x14ac:dyDescent="0.2">
      <c r="D61" s="15" t="str">
        <v>Diammonium phosphate (DAP)</v>
      </c>
      <c r="E61" s="15" t="e">
        <f>((G20 * $I$50 * $I$51) * 10 ^ -3)</f>
        <v>#N/A</v>
      </c>
      <c r="M61" s="116" t="s">
        <v>1390</v>
      </c>
      <c r="N61" s="117" t="s">
        <v>1391</v>
      </c>
      <c r="O61" s="163"/>
      <c r="P61" s="116"/>
      <c r="Q61" s="110" t="s">
        <v>1220</v>
      </c>
      <c r="R61" s="117" t="s">
        <v>652</v>
      </c>
      <c r="S61" s="162"/>
    </row>
    <row r="62" spans="1:19" ht="20.100000000000001" customHeight="1" x14ac:dyDescent="0.2">
      <c r="D62" s="15" t="str">
        <v>Urea</v>
      </c>
      <c r="E62" s="15" t="e">
        <f>((G21 * $I$50 * $I$51) * 10 ^ -3)</f>
        <v>#N/A</v>
      </c>
    </row>
    <row r="63" spans="1:19" ht="20.100000000000001" customHeight="1" x14ac:dyDescent="0.2">
      <c r="D63" s="15" t="str">
        <v>Sulphate of ammonia (SOA)</v>
      </c>
      <c r="E63" s="15" t="e">
        <f>((G22 * $I$50 * $I$51) * 10 ^ -3)</f>
        <v>#N/A</v>
      </c>
      <c r="M63" s="77" t="s">
        <v>657</v>
      </c>
      <c r="N63" s="1" t="e">
        <f>((0.0781 + (0.0075 * R60)) * 10 ^ -2)</f>
        <v>#DIV/0!</v>
      </c>
      <c r="O63" s="9" t="str">
        <f>N58</f>
        <v>kg N2O-N/kg N applied</v>
      </c>
    </row>
    <row r="64" spans="1:19" ht="20.100000000000001" customHeight="1" x14ac:dyDescent="0.2">
      <c r="D64" s="15" t="str">
        <v>Urea-ammonium nitrate (UAN)</v>
      </c>
      <c r="E64" s="15" t="e">
        <f>((G23 * $I$50 * $I$51) * 10 ^ -3)</f>
        <v>#N/A</v>
      </c>
    </row>
    <row r="65" spans="4:20" ht="20.100000000000001" customHeight="1" x14ac:dyDescent="0.2">
      <c r="D65" s="15" t="str">
        <v>Ammonium nitrate (AN)</v>
      </c>
      <c r="E65" s="15" t="e">
        <f>((G24 * $I$50 * $I$51) * 10 ^ -3)</f>
        <v>#N/A</v>
      </c>
    </row>
    <row r="66" spans="4:20" ht="20.100000000000001" customHeight="1" x14ac:dyDescent="0.2">
      <c r="D66" s="15" t="str">
        <v>Calcium ammonium nitrate (CAN)</v>
      </c>
      <c r="E66" s="15" t="e">
        <f>((G25 * $I$50 * $I$51) * 10 ^ -3)</f>
        <v>#N/A</v>
      </c>
      <c r="M66" s="2" t="s">
        <v>1403</v>
      </c>
    </row>
    <row r="67" spans="4:20" ht="20.100000000000001" customHeight="1" x14ac:dyDescent="0.2">
      <c r="D67" s="15" t="str">
        <v>Nitrogen - Ammoniacal</v>
      </c>
      <c r="E67" s="15" t="e">
        <f>((G26 * $I$50 * $I$51) * 10 ^ -3)</f>
        <v>#N/A</v>
      </c>
      <c r="M67" s="17" t="s">
        <v>1404</v>
      </c>
    </row>
    <row r="68" spans="4:20" ht="20.100000000000001" customHeight="1" x14ac:dyDescent="0.2">
      <c r="D68" s="15" t="str">
        <v>Nitrogen - Nitrate</v>
      </c>
      <c r="E68" s="15" t="e">
        <f>((G27 * $I$50 * $I$51) * 10 ^ -3)</f>
        <v>#N/A</v>
      </c>
    </row>
    <row r="69" spans="4:20" ht="20.100000000000001" customHeight="1" x14ac:dyDescent="0.2">
      <c r="D69" s="15" t="str">
        <v>Nitrogen - Generic</v>
      </c>
      <c r="E69" s="15" t="e">
        <f>((G28 * $I$50 * $I$51) * 10 ^ -3)</f>
        <v>#N/A</v>
      </c>
    </row>
    <row r="70" spans="4:20" ht="20.100000000000001" customHeight="1" x14ac:dyDescent="0.2">
      <c r="D70" s="15" t="str">
        <v>Phosphorus - Generic</v>
      </c>
      <c r="E70" s="15" t="e">
        <f>((G29 * $I$50 * $I$51) * 10 ^ -3)</f>
        <v>#N/A</v>
      </c>
    </row>
    <row r="71" spans="4:20" ht="20.100000000000001" customHeight="1" x14ac:dyDescent="0.2">
      <c r="D71" s="15" t="str">
        <v>Potassium - Generic</v>
      </c>
      <c r="E71" s="15" t="e">
        <f>((G30 * $I$50 * $I$51) * 10 ^ -3)</f>
        <v>#N/A</v>
      </c>
      <c r="M71" s="77" t="s">
        <v>373</v>
      </c>
      <c r="N71" s="1" t="s">
        <v>1405</v>
      </c>
    </row>
    <row r="72" spans="4:20" ht="20.100000000000001" customHeight="1" x14ac:dyDescent="0.2">
      <c r="D72" s="15" t="str">
        <v>Sulfur - Generic</v>
      </c>
      <c r="E72" s="15" t="e">
        <f>((G31 * $I$50 * $I$51) * 10 ^ -3)</f>
        <v>#N/A</v>
      </c>
      <c r="M72" s="77" t="s">
        <v>121</v>
      </c>
      <c r="N72" s="9" t="s">
        <v>1387</v>
      </c>
    </row>
    <row r="73" spans="4:20" ht="20.100000000000001" customHeight="1" x14ac:dyDescent="0.2">
      <c r="D73" s="15" t="str">
        <v>Zinc - Generic</v>
      </c>
      <c r="E73" s="15" t="e">
        <f>((G32 * $I$50 * $I$51) * 10 ^ -3)</f>
        <v>#N/A</v>
      </c>
    </row>
    <row r="74" spans="4:20" ht="20.100000000000001" customHeight="1" x14ac:dyDescent="0.2">
      <c r="D74" s="15" t="str">
        <v>Muriate of potash (MOP)</v>
      </c>
      <c r="E74" s="15" t="e">
        <f>((G33 * $I$50 * $I$51) * 10 ^ -3)</f>
        <v>#N/A</v>
      </c>
      <c r="M74" s="70" t="s">
        <v>658</v>
      </c>
      <c r="N74" s="70"/>
      <c r="O74" s="70"/>
      <c r="P74" s="70"/>
      <c r="Q74" s="70"/>
      <c r="R74" s="70"/>
      <c r="S74" s="70"/>
      <c r="T74" s="70"/>
    </row>
    <row r="75" spans="4:20" ht="20.100000000000001" customHeight="1" x14ac:dyDescent="0.2">
      <c r="D75" s="15" t="str">
        <v>Double superphosphate</v>
      </c>
      <c r="E75" s="15" t="e">
        <f>((G34 * $I$50 * $I$51) * 10 ^ -3)</f>
        <v>#N/A</v>
      </c>
    </row>
    <row r="76" spans="4:20" ht="20.100000000000001" customHeight="1" x14ac:dyDescent="0.2">
      <c r="D76" s="15" t="str">
        <v>Single superphosphate (SSP)</v>
      </c>
      <c r="E76" s="15" t="e">
        <f>((G35 * $I$50 * $I$51) * 10 ^ -3)</f>
        <v>#N/A</v>
      </c>
      <c r="M76" s="116" t="s">
        <v>1406</v>
      </c>
      <c r="N76" s="117" t="s">
        <v>1407</v>
      </c>
      <c r="O76" s="163"/>
      <c r="P76" s="117" t="s">
        <v>1392</v>
      </c>
      <c r="Q76" s="109" t="s">
        <v>1219</v>
      </c>
      <c r="R76" s="106" t="e">
        <f>MIN(300, $N$35)</f>
        <v>#DIV/0!</v>
      </c>
      <c r="S76" s="164"/>
    </row>
    <row r="77" spans="4:20" ht="20.100000000000001" customHeight="1" x14ac:dyDescent="0.2">
      <c r="D77" s="15" t="str">
        <v>Ammonia</v>
      </c>
      <c r="E77" s="15" t="e">
        <f>((G36 * $I$50 * $I$51) * 10 ^ -3)</f>
        <v>#N/A</v>
      </c>
      <c r="M77" s="116" t="s">
        <v>1390</v>
      </c>
      <c r="N77" s="117" t="s">
        <v>1391</v>
      </c>
      <c r="O77" s="163"/>
      <c r="P77" s="117"/>
      <c r="Q77" s="110" t="s">
        <v>1220</v>
      </c>
      <c r="R77" s="117" t="s">
        <v>652</v>
      </c>
      <c r="S77" s="162"/>
    </row>
    <row r="78" spans="4:20" ht="20.100000000000001" customHeight="1" x14ac:dyDescent="0.2">
      <c r="D78" s="15" t="str">
        <v>Calcium nitrate</v>
      </c>
      <c r="E78" s="15" t="e">
        <f>((G37 * $I$50 * $I$51) * 10 ^ -3)</f>
        <v>#N/A</v>
      </c>
    </row>
    <row r="79" spans="4:20" ht="20.100000000000001" customHeight="1" x14ac:dyDescent="0.2">
      <c r="M79" s="77" t="s">
        <v>657</v>
      </c>
      <c r="N79" s="1" t="e">
        <f>((0.01 * (0.29 + ((0.007 * (EXP(0.037 * R76) - 1)) / R76))) * 10 ^ -2)</f>
        <v>#DIV/0!</v>
      </c>
      <c r="O79" s="9" t="str">
        <f>N72</f>
        <v>kg N2O-N/kg N applied</v>
      </c>
    </row>
    <row r="80" spans="4:20" ht="20.100000000000001" customHeight="1" x14ac:dyDescent="0.2">
      <c r="D80" s="90" t="s">
        <v>659</v>
      </c>
      <c r="E80" s="91" t="e">
        <f>SUM(E60:E78)</f>
        <v>#N/A</v>
      </c>
      <c r="F80" s="95" t="str">
        <f>$E$47</f>
        <v>t N2O</v>
      </c>
    </row>
    <row r="82" spans="4:24" ht="20.100000000000001" customHeight="1" x14ac:dyDescent="0.2">
      <c r="D82" s="116" t="str" cm="1">
        <f t="array" ref="D82:E83">Common_Equations.Common_ConvertN2OToCO2e_Arguments()</f>
        <v>EN2O</v>
      </c>
      <c r="E82" s="117" t="str">
        <v>Nitrous oxide emissions (t N2O)</v>
      </c>
      <c r="F82" s="118"/>
      <c r="G82" s="15" t="e">
        <f>VEERG_5_1_1_1__1_InorganicFertiliserApplicationN2OEmissions_Result_Method1</f>
        <v>#N/A</v>
      </c>
      <c r="L82" s="87"/>
      <c r="M82" s="87"/>
      <c r="N82" s="87"/>
      <c r="O82" s="87"/>
      <c r="P82" s="87"/>
      <c r="Q82" s="87"/>
      <c r="R82" s="87"/>
      <c r="S82" s="87"/>
      <c r="T82" s="87"/>
      <c r="U82" s="87"/>
      <c r="V82" s="87"/>
      <c r="W82" s="87"/>
      <c r="X82" s="87"/>
    </row>
    <row r="83" spans="4:24" ht="20.100000000000001" customHeight="1" x14ac:dyDescent="0.2">
      <c r="D83" s="116" t="str">
        <v>GWPN2O</v>
      </c>
      <c r="E83" s="117" t="str">
        <v>Global warming potential for nitrous oxide (t CO2-e / t N2O)</v>
      </c>
      <c r="F83" s="118"/>
      <c r="G83" s="15">
        <f>Common_InputFunctions.Utility_LookupValueInTableNumber("N2O",Table_GWPData[Gas],Table_GWPData[CO2-e factor])</f>
        <v>265</v>
      </c>
      <c r="M83" s="2" t="s">
        <v>1384</v>
      </c>
    </row>
    <row r="84" spans="4:24" ht="20.100000000000001" customHeight="1" x14ac:dyDescent="0.2">
      <c r="M84" s="17" t="s">
        <v>1385</v>
      </c>
    </row>
    <row r="85" spans="4:24" ht="20.100000000000001" customHeight="1" x14ac:dyDescent="0.2">
      <c r="D85" s="87" t="s">
        <v>435</v>
      </c>
      <c r="E85" s="87" t="e" cm="1">
        <f t="array" ref="E85">Common_Equations.Common_ConvertN2OToCO2e(G82,G83)</f>
        <v>#N/A</v>
      </c>
      <c r="F85" s="94" t="str" cm="1">
        <f t="array" ref="F85">Common_Equations.Common_ConvertN2OToCO2e_Unit()</f>
        <v>t CO2e</v>
      </c>
      <c r="M85" s="103"/>
      <c r="N85" s="103"/>
    </row>
    <row r="89" spans="4:24" ht="20.100000000000001" customHeight="1" x14ac:dyDescent="0.2">
      <c r="M89" s="77" t="s">
        <v>373</v>
      </c>
      <c r="N89" s="1" t="s">
        <v>956</v>
      </c>
    </row>
    <row r="90" spans="4:24" ht="20.100000000000001" customHeight="1" x14ac:dyDescent="0.2">
      <c r="M90" s="77" t="s">
        <v>121</v>
      </c>
      <c r="N90" s="9" t="s">
        <v>12</v>
      </c>
    </row>
    <row r="92" spans="4:24" ht="20.100000000000001" customHeight="1" x14ac:dyDescent="0.2">
      <c r="M92" s="116" t="s">
        <v>1376</v>
      </c>
      <c r="N92" s="117" t="s">
        <v>1393</v>
      </c>
      <c r="O92" s="163"/>
      <c r="P92" s="162"/>
      <c r="Q92" s="116" t="s">
        <v>1055</v>
      </c>
      <c r="R92" s="110" t="s">
        <v>1397</v>
      </c>
      <c r="S92" s="105">
        <f>N33</f>
        <v>0</v>
      </c>
    </row>
    <row r="93" spans="4:24" ht="20.100000000000001" customHeight="1" x14ac:dyDescent="0.2">
      <c r="M93" s="116" t="s">
        <v>1394</v>
      </c>
      <c r="N93" s="117" t="s">
        <v>1395</v>
      </c>
      <c r="O93" s="163"/>
      <c r="P93" s="162"/>
      <c r="Q93" s="116" t="s">
        <v>1387</v>
      </c>
      <c r="R93" s="110" t="s">
        <v>1409</v>
      </c>
      <c r="S93" s="105" t="e">
        <f>_xlfn.XLOOKUP(TRUE,N105:N108,O105:O108)</f>
        <v>#N/A</v>
      </c>
    </row>
    <row r="94" spans="4:24" ht="20.100000000000001" customHeight="1" x14ac:dyDescent="0.2">
      <c r="M94" s="116" t="s">
        <v>1348</v>
      </c>
      <c r="N94" s="117" t="s">
        <v>1396</v>
      </c>
      <c r="O94" s="163"/>
      <c r="P94" s="162"/>
      <c r="Q94" s="116"/>
      <c r="R94" s="110" t="s">
        <v>1220</v>
      </c>
      <c r="S94" s="116">
        <f>Common_InputFunctions.Utility_LookupValueInTableNumber("N2O",Table_GasToMolecularConversionFactor[Gas],Table_GasToMolecularConversionFactor[Conversion factor combined])</f>
        <v>1.5714285714285714</v>
      </c>
    </row>
    <row r="95" spans="4:24" ht="20.100000000000001" customHeight="1" x14ac:dyDescent="0.2">
      <c r="M95" s="116" t="s">
        <v>1350</v>
      </c>
      <c r="N95" s="117" t="s">
        <v>171</v>
      </c>
      <c r="O95" s="163"/>
      <c r="P95" s="162"/>
      <c r="Q95" s="116"/>
      <c r="R95" s="109" t="s">
        <v>1219</v>
      </c>
      <c r="S95" s="116">
        <f>X_Cell_Fertiliser_ProductionSystem</f>
        <v>0</v>
      </c>
    </row>
    <row r="96" spans="4:24" ht="20.100000000000001" customHeight="1" x14ac:dyDescent="0.2">
      <c r="M96" s="116" t="s">
        <v>1408</v>
      </c>
      <c r="N96" s="117" t="s">
        <v>172</v>
      </c>
      <c r="O96" s="163"/>
      <c r="P96" s="162"/>
      <c r="Q96" s="116"/>
      <c r="R96" s="109" t="s">
        <v>1219</v>
      </c>
      <c r="S96" s="116">
        <f>X_Cell_Fertiliser_CropType</f>
        <v>0</v>
      </c>
    </row>
    <row r="97" spans="13:19" ht="20.100000000000001" customHeight="1" x14ac:dyDescent="0.2">
      <c r="M97" s="116" t="s">
        <v>1390</v>
      </c>
      <c r="N97" s="117" t="s">
        <v>1391</v>
      </c>
      <c r="O97" s="163"/>
      <c r="P97" s="162"/>
      <c r="Q97" s="116"/>
      <c r="R97" s="110" t="s">
        <v>1220</v>
      </c>
      <c r="S97" s="116" t="s">
        <v>660</v>
      </c>
    </row>
    <row r="98" spans="13:19" ht="20.100000000000001" customHeight="1" x14ac:dyDescent="0.2">
      <c r="M98" s="116" t="s">
        <v>1366</v>
      </c>
      <c r="N98" s="117" t="s">
        <v>1352</v>
      </c>
      <c r="O98" s="163"/>
      <c r="P98" s="162"/>
      <c r="Q98" s="116"/>
      <c r="R98" s="109" t="s">
        <v>1219</v>
      </c>
      <c r="S98" s="116">
        <f>X_Cell_Fertiliser_IrrigationMethod</f>
        <v>0</v>
      </c>
    </row>
    <row r="99" spans="13:19" ht="20.100000000000001" customHeight="1" x14ac:dyDescent="0.2">
      <c r="M99" s="117" t="s">
        <v>1364</v>
      </c>
      <c r="N99" s="117" t="s">
        <v>1354</v>
      </c>
      <c r="O99" s="163"/>
      <c r="P99" s="163"/>
      <c r="Q99" s="116"/>
      <c r="R99" s="109" t="s">
        <v>1219</v>
      </c>
      <c r="S99" s="116" t="str">
        <f>X_Cell_Site_RainfallZone</f>
        <v>Low rainfall</v>
      </c>
    </row>
    <row r="102" spans="13:19" ht="20.100000000000001" customHeight="1" x14ac:dyDescent="0.2">
      <c r="M102" s="112" t="s">
        <v>661</v>
      </c>
    </row>
    <row r="103" spans="13:19" ht="20.100000000000001" customHeight="1" x14ac:dyDescent="0.2">
      <c r="M103" s="113" t="s">
        <v>662</v>
      </c>
    </row>
    <row r="104" spans="13:19" ht="20.100000000000001" customHeight="1" x14ac:dyDescent="0.2">
      <c r="M104" s="114" t="s">
        <v>171</v>
      </c>
      <c r="N104" s="114" t="s">
        <v>663</v>
      </c>
      <c r="O104" s="114" t="s">
        <v>664</v>
      </c>
    </row>
    <row r="105" spans="13:19" ht="20.100000000000001" customHeight="1" x14ac:dyDescent="0.2">
      <c r="M105" s="15" t="s">
        <v>665</v>
      </c>
      <c r="N105" s="15" t="b">
        <f>IF(AND(S96="Maize", NOT(S98="Not irrigated")), TRUE)</f>
        <v>0</v>
      </c>
      <c r="O105" s="15" t="e">
        <f>N49</f>
        <v>#DIV/0!</v>
      </c>
    </row>
    <row r="106" spans="13:19" ht="20.100000000000001" customHeight="1" x14ac:dyDescent="0.2">
      <c r="M106" s="15" t="s">
        <v>666</v>
      </c>
      <c r="N106" s="15" t="b">
        <f>IF(AND(S96="Grains", S98="Not irrigated", S99="High rainfall"), TRUE)</f>
        <v>0</v>
      </c>
      <c r="O106" s="15" t="e">
        <f>N63</f>
        <v>#DIV/0!</v>
      </c>
    </row>
    <row r="107" spans="13:19" ht="20.100000000000001" customHeight="1" x14ac:dyDescent="0.2">
      <c r="M107" s="15" t="s">
        <v>667</v>
      </c>
      <c r="N107" s="15" t="b">
        <f>IF(S96="Cotton", TRUE)</f>
        <v>0</v>
      </c>
      <c r="O107" s="165" t="e">
        <f>N79</f>
        <v>#DIV/0!</v>
      </c>
    </row>
    <row r="108" spans="13:19" ht="20.100000000000001" customHeight="1" x14ac:dyDescent="0.2">
      <c r="M108" s="15" t="s">
        <v>668</v>
      </c>
      <c r="N108" s="15" t="b">
        <f>IF(AND(N105=FALSE, N107=FALSE, N106=FALSE),TRUE)</f>
        <v>1</v>
      </c>
      <c r="O108" s="15" t="e" cm="1">
        <f t="array" ref="O108">Common_InputFunctions.Utility_LookupN2OEFFromProdIrrigationRainfall($S$95,$S$98,$S$99,Table_SourceData_Common_EFN2O[Production system only],Table_SourceData_Common_EFN2O[Irrigation method],Table_SourceData_Common_EFN2O[Rainfall zone],Table_SourceData_Common_EFN2O[EFN2O])</f>
        <v>#N/A</v>
      </c>
    </row>
    <row r="110" spans="13:19" ht="20.100000000000001" customHeight="1" x14ac:dyDescent="0.2">
      <c r="M110" s="90" t="s">
        <v>659</v>
      </c>
      <c r="N110" s="91" t="e">
        <f>((S92 * S93 * $S$94) * 10 ^ -3)</f>
        <v>#N/A</v>
      </c>
      <c r="O110" s="95" t="str">
        <f>$E$47</f>
        <v>t N2O</v>
      </c>
    </row>
    <row r="112" spans="13:19" ht="20.100000000000001" customHeight="1" x14ac:dyDescent="0.2">
      <c r="M112" s="116" t="str" cm="1">
        <f t="array" ref="M112:N113">Common_Equations.Common_ConvertN2OToCO2e_Arguments()</f>
        <v>EN2O</v>
      </c>
      <c r="N112" s="117" t="str">
        <v>Nitrous oxide emissions (t N2O)</v>
      </c>
      <c r="O112" s="118"/>
      <c r="P112" s="15" t="e">
        <f>VEERG_5_1_1_1__1_InorganicFertiliserApplicationN2OEmissions_Result_Method2</f>
        <v>#N/A</v>
      </c>
    </row>
    <row r="113" spans="13:16" ht="20.100000000000001" customHeight="1" x14ac:dyDescent="0.2">
      <c r="M113" s="116" t="str">
        <v>GWPN2O</v>
      </c>
      <c r="N113" s="117" t="str">
        <v>Global warming potential for nitrous oxide (t CO2-e / t N2O)</v>
      </c>
      <c r="O113" s="118"/>
      <c r="P113" s="15">
        <f>Common_InputFunctions.Utility_LookupValueInTableNumber("N2O",Table_GWPData[Gas],Table_GWPData[CO2-e factor])</f>
        <v>265</v>
      </c>
    </row>
    <row r="115" spans="13:16" ht="20.100000000000001" customHeight="1" x14ac:dyDescent="0.2">
      <c r="M115" s="87" t="s">
        <v>435</v>
      </c>
      <c r="N115" s="87" t="e" cm="1">
        <f t="array" ref="N115">Common_Equations.Common_ConvertN2OToCO2e(P112,P113)</f>
        <v>#N/A</v>
      </c>
      <c r="O115" s="94" t="str" cm="1">
        <f t="array" ref="O115">Common_Equations.Common_ConvertN2OToCO2e_Unit()</f>
        <v>t CO2e</v>
      </c>
    </row>
    <row r="341" spans="8:8" ht="20.100000000000001" customHeight="1" x14ac:dyDescent="0.2">
      <c r="H341" s="8"/>
    </row>
    <row r="342" spans="8:8" ht="20.100000000000001" customHeight="1" x14ac:dyDescent="0.2">
      <c r="H342" s="8"/>
    </row>
  </sheetData>
  <dataValidations count="1">
    <dataValidation operator="equal" allowBlank="1" showInputMessage="1" showErrorMessage="1" sqref="N172:W172 E269 E228 R167:W167 G132 I129:I133 F134:I134 F129:F132 H128:H132 G129 F148:I148 I149 F150:I150" xr:uid="{BD5553E5-C687-4402-B9C9-85B727C13EAE}"/>
  </dataValidations>
  <pageMargins left="0.7" right="0.7" top="0.75" bottom="0.75" header="0.3" footer="0.3"/>
  <pageSetup paperSize="9" orientation="portrait" r:id="rId1"/>
  <drawing r:id="rId2"/>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03F09D-DB77-48D5-845E-29B6A8903E1B}">
  <sheetPr>
    <tabColor rgb="FF008000"/>
  </sheetPr>
  <dimension ref="A1:U78"/>
  <sheetViews>
    <sheetView showGridLines="0" zoomScaleNormal="100" workbookViewId="0">
      <pane xSplit="1" topLeftCell="B1" activePane="topRight" state="frozen"/>
      <selection pane="topRight" activeCell="A59" sqref="A59"/>
    </sheetView>
  </sheetViews>
  <sheetFormatPr defaultRowHeight="20.100000000000001" customHeight="1" x14ac:dyDescent="0.2"/>
  <cols>
    <col min="1" max="1" width="36.7109375" customWidth="1"/>
    <col min="2" max="2" width="4.7109375" customWidth="1"/>
    <col min="3" max="3" width="4.7109375" style="1" customWidth="1"/>
    <col min="4" max="11" width="30.7109375" style="1" customWidth="1"/>
    <col min="12" max="12" width="4.7109375" style="1" customWidth="1"/>
    <col min="13" max="13" width="4.7109375" customWidth="1"/>
    <col min="14" max="14" width="4.7109375" style="1" customWidth="1"/>
    <col min="15" max="20" width="30.7109375" style="1" customWidth="1"/>
    <col min="21" max="21" width="4.7109375" style="1" customWidth="1"/>
  </cols>
  <sheetData>
    <row r="1" spans="1:21" s="21" customFormat="1" ht="30" customHeight="1" x14ac:dyDescent="0.35">
      <c r="A1" s="10" t="e" vm="1">
        <v>#VALUE!</v>
      </c>
      <c r="C1" s="21" t="s">
        <v>669</v>
      </c>
    </row>
    <row r="2" spans="1:21" s="3" customFormat="1" ht="20.100000000000001" customHeight="1" x14ac:dyDescent="0.2">
      <c r="A2"/>
    </row>
    <row r="3" spans="1:21" ht="20.100000000000001" customHeight="1" x14ac:dyDescent="0.2">
      <c r="A3" s="5" t="str">
        <f>HYPERLINK("#'Home'!A1", "Home")</f>
        <v>Home</v>
      </c>
      <c r="C3" s="23"/>
      <c r="D3" s="23" t="s">
        <v>136</v>
      </c>
      <c r="E3" s="23"/>
      <c r="F3" s="23"/>
      <c r="G3" s="23"/>
      <c r="H3" s="23"/>
      <c r="I3" s="23"/>
      <c r="J3" s="23"/>
      <c r="K3" s="23"/>
      <c r="L3" s="23"/>
      <c r="N3" s="23"/>
      <c r="O3" s="23" t="s">
        <v>137</v>
      </c>
      <c r="P3" s="23"/>
      <c r="Q3" s="23"/>
      <c r="R3" s="23"/>
      <c r="S3" s="23"/>
      <c r="T3" s="23"/>
      <c r="U3" s="23"/>
    </row>
    <row r="4" spans="1:21" ht="20.100000000000001" customHeight="1" x14ac:dyDescent="0.2">
      <c r="A4" s="5" t="str">
        <f>HYPERLINK("#'Results - Activity period'!A1", "Results - Activity period")</f>
        <v>Results - Activity period</v>
      </c>
    </row>
    <row r="5" spans="1:21" ht="20.100000000000001" customHeight="1" x14ac:dyDescent="0.2">
      <c r="A5" s="5" t="str">
        <f>HYPERLINK("#'Results - Product EI'!A1", "Results - Product Emissions Intensity")</f>
        <v>Results - Product Emissions Intensity</v>
      </c>
      <c r="D5" s="2" t="s">
        <v>1410</v>
      </c>
    </row>
    <row r="6" spans="1:21" ht="20.100000000000001" customHeight="1" x14ac:dyDescent="0.2">
      <c r="D6" s="17" t="s">
        <v>1411</v>
      </c>
    </row>
    <row r="7" spans="1:21" ht="20.100000000000001" customHeight="1" x14ac:dyDescent="0.2">
      <c r="D7" s="103"/>
      <c r="E7" s="103"/>
    </row>
    <row r="8" spans="1:21" ht="20.100000000000001" customHeight="1" x14ac:dyDescent="0.2">
      <c r="A8" s="7" t="s">
        <v>0</v>
      </c>
    </row>
    <row r="9" spans="1:21" ht="20.100000000000001" customHeight="1" x14ac:dyDescent="0.2">
      <c r="A9" s="5" t="str">
        <f>HYPERLINK("#'Input - Enterprise'!A1", "Enterprise")</f>
        <v>Enterprise</v>
      </c>
    </row>
    <row r="10" spans="1:21" ht="20.100000000000001" customHeight="1" x14ac:dyDescent="0.2">
      <c r="A10" s="5" t="str">
        <f>HYPERLINK("#'Input - Site'!A1", "Site")</f>
        <v>Site</v>
      </c>
      <c r="D10" s="77" t="s">
        <v>373</v>
      </c>
      <c r="E10" s="1" t="s">
        <v>1412</v>
      </c>
    </row>
    <row r="11" spans="1:21" ht="20.100000000000001" customHeight="1" x14ac:dyDescent="0.2">
      <c r="A11" s="5" t="str">
        <f>HYPERLINK("#'Input - Pasture Beef'!A1", "Pasture Beef")</f>
        <v>Pasture Beef</v>
      </c>
      <c r="D11" s="77" t="s">
        <v>121</v>
      </c>
      <c r="E11" s="9" t="s">
        <v>1413</v>
      </c>
    </row>
    <row r="12" spans="1:21" ht="20.100000000000001" customHeight="1" x14ac:dyDescent="0.2">
      <c r="A12" s="5" t="str">
        <f>HYPERLINK("#'Input - Livestock sales'!A1", "Livestock sales")</f>
        <v>Livestock sales</v>
      </c>
    </row>
    <row r="13" spans="1:21" ht="20.100000000000001" customHeight="1" x14ac:dyDescent="0.2">
      <c r="A13" s="5" t="str">
        <f>HYPERLINK("#'Input - Beef cattle purchases'!A1", "Beef cattle purchases")</f>
        <v>Beef cattle purchases</v>
      </c>
      <c r="D13" s="116" t="s">
        <v>1377</v>
      </c>
      <c r="E13" s="117" t="s">
        <v>1378</v>
      </c>
      <c r="F13" s="162"/>
      <c r="G13" s="116" t="s">
        <v>636</v>
      </c>
      <c r="H13" s="109" t="s">
        <v>1219</v>
      </c>
      <c r="I13" s="111" t="str" cm="1">
        <f t="array" aca="1" ref="I13" ca="1">HYPERLINK(Common_InputFunctions.Utility_SourceHyperlink($D$16), $D$16)</f>
        <v>Table_MU_j_f</v>
      </c>
    </row>
    <row r="14" spans="1:21" ht="20.100000000000001" customHeight="1" x14ac:dyDescent="0.2">
      <c r="A14" s="5" t="str">
        <f>HYPERLINK("#'Input - Pasture'!A1", "Pasture")</f>
        <v>Pasture</v>
      </c>
      <c r="D14" s="116" t="s">
        <v>1414</v>
      </c>
      <c r="E14" s="117" t="s">
        <v>1415</v>
      </c>
      <c r="F14" s="162"/>
      <c r="G14" s="116" t="s">
        <v>1416</v>
      </c>
      <c r="H14" s="110" t="s">
        <v>1417</v>
      </c>
      <c r="I14" s="111" t="str" cm="1">
        <f t="array" aca="1" ref="I14" ca="1">HYPERLINK(Common_InputFunctions.Utility_SourceHyperlink($D$16), $D$16)</f>
        <v>Table_MU_j_f</v>
      </c>
    </row>
    <row r="15" spans="1:21" ht="20.100000000000001" customHeight="1" x14ac:dyDescent="0.2">
      <c r="A15" s="5" t="str">
        <f>HYPERLINK("#'Input - Fert Prod System'!A1", "Fert Prod System")</f>
        <v>Fert Prod System</v>
      </c>
    </row>
    <row r="16" spans="1:21" ht="20.100000000000001" customHeight="1" x14ac:dyDescent="0.2">
      <c r="A16" s="5" t="str">
        <f>HYPERLINK("#'Input - Fertiliser'!A1", "Fertiliser")</f>
        <v>Fertiliser</v>
      </c>
      <c r="D16" s="112" t="s">
        <v>670</v>
      </c>
    </row>
    <row r="17" spans="1:7" ht="20.100000000000001" customHeight="1" x14ac:dyDescent="0.2">
      <c r="A17" s="5" t="str">
        <f>HYPERLINK("#'Input - Fuel'!A1", "Fuel")</f>
        <v>Fuel</v>
      </c>
      <c r="D17" s="113" t="s">
        <v>671</v>
      </c>
    </row>
    <row r="18" spans="1:7" ht="20.100000000000001" customHeight="1" x14ac:dyDescent="0.2">
      <c r="A18" s="5" t="str">
        <f>HYPERLINK("#'Input - Electricity'!A1", "Electricity")</f>
        <v>Electricity</v>
      </c>
      <c r="D18" s="114" t="s">
        <v>644</v>
      </c>
      <c r="E18" s="82" t="s">
        <v>645</v>
      </c>
      <c r="F18" s="114" t="s">
        <v>672</v>
      </c>
      <c r="G18" s="114" t="s">
        <v>673</v>
      </c>
    </row>
    <row r="19" spans="1:7" ht="20.100000000000001" customHeight="1" x14ac:dyDescent="0.2">
      <c r="A19" s="5" t="str">
        <f>HYPERLINK("#'Input - Common farm inputs'!A1", "Common farm inputs")</f>
        <v>Common farm inputs</v>
      </c>
      <c r="D19" s="15" t="str" cm="1">
        <f t="array" ref="D19:D37">Table_Fertiliser_ChemicalCompounds[Fertiliser type f]</f>
        <v>Monoammonium phosphate (MAP)</v>
      </c>
      <c r="E19" s="15" cm="1">
        <f t="array" ref="E19">Fertiliser_InputFunctions.Fertiliser_TotalChemicalCompoundAppliedAllIngredients($D19,(Table_Input_InorganicFertiliser_Brands[Total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Fertiliser_InputFunctions.Fertiliser_TotalChemicalCompoundAppliedAllIngredients($D19,Table_Input_InorganicFertiliser_Custom[Total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19" s="15" cm="1">
        <f t="array" ref="F19">Common_InputFunctions.Utility_LookupValueInTableNumber(D19,Table_Fertiliser_ChemicalCompounds[Fertiliser type f],Table_Fertiliser_ChemicalCompounds[FU f])</f>
        <v>0</v>
      </c>
      <c r="G19" s="15">
        <f>(E19 * F19)</f>
        <v>0</v>
      </c>
    </row>
    <row r="20" spans="1:7" ht="20.100000000000001" customHeight="1" x14ac:dyDescent="0.2">
      <c r="A20" s="5" t="str">
        <f>HYPERLINK("#'Input - Crop pasture farm input'!A1", "Crop pasture farm input")</f>
        <v>Crop pasture farm input</v>
      </c>
      <c r="D20" s="15" t="str">
        <v>Diammonium phosphate (DAP)</v>
      </c>
      <c r="E20" s="15" cm="1">
        <f t="array" ref="E20">Fertiliser_InputFunctions.Fertiliser_TotalChemicalCompoundAppliedAllIngredients($D20,(Table_Input_InorganicFertiliser_Brands[Total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Fertiliser_InputFunctions.Fertiliser_TotalChemicalCompoundAppliedAllIngredients($D20,Table_Input_InorganicFertiliser_Custom[Total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0" s="15" cm="1">
        <f t="array" ref="F20">Common_InputFunctions.Utility_LookupValueInTableNumber(D20,Table_Fertiliser_ChemicalCompounds[Fertiliser type f],Table_Fertiliser_ChemicalCompounds[FU f])</f>
        <v>0</v>
      </c>
      <c r="G20" s="15">
        <f>(E20 * F20)</f>
        <v>0</v>
      </c>
    </row>
    <row r="21" spans="1:7" ht="20.100000000000001" customHeight="1" x14ac:dyDescent="0.2">
      <c r="A21" s="5" t="str">
        <f>HYPERLINK("#'Input - Livestock farm Inputs'!A1", "Livestock farm Inputs")</f>
        <v>Livestock farm Inputs</v>
      </c>
      <c r="D21" s="15" t="str">
        <v>Urea</v>
      </c>
      <c r="E21" s="15" cm="1">
        <f t="array" ref="E21">Fertiliser_InputFunctions.Fertiliser_TotalChemicalCompoundAppliedAllIngredients($D21,(Table_Input_InorganicFertiliser_Brands[Total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Fertiliser_InputFunctions.Fertiliser_TotalChemicalCompoundAppliedAllIngredients($D21,Table_Input_InorganicFertiliser_Custom[Total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1" s="15" cm="1">
        <f t="array" ref="F21">Common_InputFunctions.Utility_LookupValueInTableNumber(D21,Table_Fertiliser_ChemicalCompounds[Fertiliser type f],Table_Fertiliser_ChemicalCompounds[FU f])</f>
        <v>1</v>
      </c>
      <c r="G21" s="15">
        <f>(E21 * F21)</f>
        <v>0</v>
      </c>
    </row>
    <row r="22" spans="1:7" ht="20.100000000000001" customHeight="1" x14ac:dyDescent="0.2">
      <c r="A22" s="5" t="str">
        <f>HYPERLINK("#'Input - Freight'!A1", "Freight")</f>
        <v>Freight</v>
      </c>
      <c r="D22" s="15" t="str">
        <v>Sulphate of ammonia (SOA)</v>
      </c>
      <c r="E22" s="15" cm="1">
        <f t="array" ref="E22">Fertiliser_InputFunctions.Fertiliser_TotalChemicalCompoundAppliedAllIngredients($D22,(Table_Input_InorganicFertiliser_Brands[Total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Fertiliser_InputFunctions.Fertiliser_TotalChemicalCompoundAppliedAllIngredients($D22,Table_Input_InorganicFertiliser_Custom[Total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2" s="15" cm="1">
        <f t="array" ref="F22">Common_InputFunctions.Utility_LookupValueInTableNumber(D22,Table_Fertiliser_ChemicalCompounds[Fertiliser type f],Table_Fertiliser_ChemicalCompounds[FU f])</f>
        <v>0</v>
      </c>
      <c r="G22" s="15">
        <f>(E22 * F22)</f>
        <v>0</v>
      </c>
    </row>
    <row r="23" spans="1:7" ht="20.100000000000001" customHeight="1" x14ac:dyDescent="0.2">
      <c r="A23" s="5" t="str">
        <f>HYPERLINK("#'Input - Solid waste'!A1", "Solid waste")</f>
        <v>Solid waste</v>
      </c>
      <c r="D23" s="15" t="str">
        <v>Urea-ammonium nitrate (UAN)</v>
      </c>
      <c r="E23" s="15" cm="1">
        <f t="array" ref="E23">Fertiliser_InputFunctions.Fertiliser_TotalChemicalCompoundAppliedAllIngredients($D23,(Table_Input_InorganicFertiliser_Brands[Total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Fertiliser_InputFunctions.Fertiliser_TotalChemicalCompoundAppliedAllIngredients($D23,Table_Input_InorganicFertiliser_Custom[Total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3" s="15" cm="1">
        <f t="array" ref="F23">Common_InputFunctions.Utility_LookupValueInTableNumber(D23,Table_Fertiliser_ChemicalCompounds[Fertiliser type f],Table_Fertiliser_ChemicalCompounds[FU f])</f>
        <v>0.35</v>
      </c>
      <c r="G23" s="15">
        <f>(E23 * F23)</f>
        <v>0</v>
      </c>
    </row>
    <row r="24" spans="1:7" ht="20.100000000000001" customHeight="1" x14ac:dyDescent="0.2">
      <c r="A24" s="5" t="str">
        <f>HYPERLINK("#'Input - Manure sent off-site'!A1", "Manure sent off-site")</f>
        <v>Manure sent off-site</v>
      </c>
      <c r="D24" s="15" t="str">
        <v>Ammonium nitrate (AN)</v>
      </c>
      <c r="E24" s="15" cm="1">
        <f t="array" ref="E24">Fertiliser_InputFunctions.Fertiliser_TotalChemicalCompoundAppliedAllIngredients($D24,(Table_Input_InorganicFertiliser_Brands[Total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Fertiliser_InputFunctions.Fertiliser_TotalChemicalCompoundAppliedAllIngredients($D24,Table_Input_InorganicFertiliser_Custom[Total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4" s="15" cm="1">
        <f t="array" ref="F24">Common_InputFunctions.Utility_LookupValueInTableNumber(D24,Table_Fertiliser_ChemicalCompounds[Fertiliser type f],Table_Fertiliser_ChemicalCompounds[FU f])</f>
        <v>0</v>
      </c>
      <c r="G24" s="15">
        <f>(E24 * F24)</f>
        <v>0</v>
      </c>
    </row>
    <row r="25" spans="1:7" ht="20.100000000000001" customHeight="1" x14ac:dyDescent="0.2">
      <c r="A25" s="5" t="str">
        <f>HYPERLINK("#'Input - Data quality'!A1", "Data quality")</f>
        <v>Data quality</v>
      </c>
      <c r="D25" s="15" t="str">
        <v>Calcium ammonium nitrate (CAN)</v>
      </c>
      <c r="E25" s="15" cm="1">
        <f t="array" ref="E25">Fertiliser_InputFunctions.Fertiliser_TotalChemicalCompoundAppliedAllIngredients($D25,(Table_Input_InorganicFertiliser_Brands[Total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Fertiliser_InputFunctions.Fertiliser_TotalChemicalCompoundAppliedAllIngredients($D25,Table_Input_InorganicFertiliser_Custom[Total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5" s="15" cm="1">
        <f t="array" ref="F25">Common_InputFunctions.Utility_LookupValueInTableNumber(D25,Table_Fertiliser_ChemicalCompounds[Fertiliser type f],Table_Fertiliser_ChemicalCompounds[FU f])</f>
        <v>0</v>
      </c>
      <c r="G25" s="15">
        <f>(E25 * F25)</f>
        <v>0</v>
      </c>
    </row>
    <row r="26" spans="1:7" ht="20.100000000000001" customHeight="1" x14ac:dyDescent="0.2">
      <c r="D26" s="15" t="str">
        <v>Nitrogen - Ammoniacal</v>
      </c>
      <c r="E26" s="15" cm="1">
        <f t="array" ref="E26">Fertiliser_InputFunctions.Fertiliser_TotalChemicalCompoundAppliedAllIngredients($D26,(Table_Input_InorganicFertiliser_Brands[Total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Fertiliser_InputFunctions.Fertiliser_TotalChemicalCompoundAppliedAllIngredients($D26,Table_Input_InorganicFertiliser_Custom[Total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6" s="15" cm="1">
        <f t="array" ref="F26">Common_InputFunctions.Utility_LookupValueInTableNumber(D26,Table_Fertiliser_ChemicalCompounds[Fertiliser type f],Table_Fertiliser_ChemicalCompounds[FU f])</f>
        <v>0</v>
      </c>
      <c r="G26" s="15">
        <f>(E26 * F26)</f>
        <v>0</v>
      </c>
    </row>
    <row r="27" spans="1:7" ht="20.100000000000001" customHeight="1" x14ac:dyDescent="0.2">
      <c r="D27" s="15" t="str">
        <v>Nitrogen - Nitrate</v>
      </c>
      <c r="E27" s="15" cm="1">
        <f t="array" ref="E27">Fertiliser_InputFunctions.Fertiliser_TotalChemicalCompoundAppliedAllIngredients($D27,(Table_Input_InorganicFertiliser_Brands[Total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Fertiliser_InputFunctions.Fertiliser_TotalChemicalCompoundAppliedAllIngredients($D27,Table_Input_InorganicFertiliser_Custom[Total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7" s="15" cm="1">
        <f t="array" ref="F27">Common_InputFunctions.Utility_LookupValueInTableNumber(D27,Table_Fertiliser_ChemicalCompounds[Fertiliser type f],Table_Fertiliser_ChemicalCompounds[FU f])</f>
        <v>0</v>
      </c>
      <c r="G27" s="15">
        <f>(E27 * F27)</f>
        <v>0</v>
      </c>
    </row>
    <row r="28" spans="1:7" ht="20.100000000000001" customHeight="1" x14ac:dyDescent="0.2">
      <c r="A28" s="6" t="s">
        <v>2</v>
      </c>
      <c r="D28" s="15" t="str">
        <v>Nitrogen - Generic</v>
      </c>
      <c r="E28" s="15" cm="1">
        <f t="array" ref="E28">Fertiliser_InputFunctions.Fertiliser_TotalChemicalCompoundAppliedAllIngredients($D28,(Table_Input_InorganicFertiliser_Brands[Total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Fertiliser_InputFunctions.Fertiliser_TotalChemicalCompoundAppliedAllIngredients($D28,Table_Input_InorganicFertiliser_Custom[Total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8" s="15" cm="1">
        <f t="array" ref="F28">Common_InputFunctions.Utility_LookupValueInTableNumber(D28,Table_Fertiliser_ChemicalCompounds[Fertiliser type f],Table_Fertiliser_ChemicalCompounds[FU f])</f>
        <v>0</v>
      </c>
      <c r="G28" s="15">
        <f>(E28 * F28)</f>
        <v>0</v>
      </c>
    </row>
    <row r="29" spans="1:7" ht="20.100000000000001" customHeight="1" x14ac:dyDescent="0.2">
      <c r="A29" s="5" t="str">
        <f>HYPERLINK("#'3.2.1.1-2 Enteric Methane'!A1", "3.2.1.1-2 Enteric Methane")</f>
        <v>3.2.1.1-2 Enteric Methane</v>
      </c>
      <c r="D29" s="15" t="str">
        <v>Phosphorus - Generic</v>
      </c>
      <c r="E29" s="15" cm="1">
        <f t="array" ref="E29">Fertiliser_InputFunctions.Fertiliser_TotalChemicalCompoundAppliedAllIngredients($D29,(Table_Input_InorganicFertiliser_Brands[Total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Fertiliser_InputFunctions.Fertiliser_TotalChemicalCompoundAppliedAllIngredients($D29,Table_Input_InorganicFertiliser_Custom[Total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9" s="15" cm="1">
        <f t="array" ref="F29">Common_InputFunctions.Utility_LookupValueInTableNumber(D29,Table_Fertiliser_ChemicalCompounds[Fertiliser type f],Table_Fertiliser_ChemicalCompounds[FU f])</f>
        <v>0</v>
      </c>
      <c r="G29" s="15">
        <f>(E29 * F29)</f>
        <v>0</v>
      </c>
    </row>
    <row r="30" spans="1:7" ht="20.100000000000001" customHeight="1" x14ac:dyDescent="0.2">
      <c r="A30" s="5" t="str">
        <f>HYPERLINK("#'4.2.1.1-2 Methane'!A1", "4.2.1.1-2 Manure methane")</f>
        <v>4.2.1.1-2 Manure methane</v>
      </c>
      <c r="D30" s="15" t="str">
        <v>Potassium - Generic</v>
      </c>
      <c r="E30" s="15" cm="1">
        <f t="array" ref="E30">Fertiliser_InputFunctions.Fertiliser_TotalChemicalCompoundAppliedAllIngredients($D30,(Table_Input_InorganicFertiliser_Brands[Total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Fertiliser_InputFunctions.Fertiliser_TotalChemicalCompoundAppliedAllIngredients($D30,Table_Input_InorganicFertiliser_Custom[Total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30" s="15" cm="1">
        <f t="array" ref="F30">Common_InputFunctions.Utility_LookupValueInTableNumber(D30,Table_Fertiliser_ChemicalCompounds[Fertiliser type f],Table_Fertiliser_ChemicalCompounds[FU f])</f>
        <v>0</v>
      </c>
      <c r="G30" s="15">
        <f>(E30 * F30)</f>
        <v>0</v>
      </c>
    </row>
    <row r="31" spans="1:7" ht="20.100000000000001" customHeight="1" x14ac:dyDescent="0.2">
      <c r="A31" s="5" t="str">
        <f>HYPERLINK("#'4.2.1.3-4 Soil direct N20'!A1", "4.2.1.3-4 Soil direct N2O")</f>
        <v>4.2.1.3-4 Soil direct N2O</v>
      </c>
      <c r="D31" s="15" t="str">
        <v>Sulfur - Generic</v>
      </c>
      <c r="E31" s="15" cm="1">
        <f t="array" ref="E31">Fertiliser_InputFunctions.Fertiliser_TotalChemicalCompoundAppliedAllIngredients($D31,(Table_Input_InorganicFertiliser_Brands[Total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Fertiliser_InputFunctions.Fertiliser_TotalChemicalCompoundAppliedAllIngredients($D31,Table_Input_InorganicFertiliser_Custom[Total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31" s="15" cm="1">
        <f t="array" ref="F31">Common_InputFunctions.Utility_LookupValueInTableNumber(D31,Table_Fertiliser_ChemicalCompounds[Fertiliser type f],Table_Fertiliser_ChemicalCompounds[FU f])</f>
        <v>0</v>
      </c>
      <c r="G31" s="15">
        <f>(E31 * F31)</f>
        <v>0</v>
      </c>
    </row>
    <row r="32" spans="1:7" ht="20.100000000000001" customHeight="1" x14ac:dyDescent="0.2">
      <c r="A32" s="5" t="str">
        <f>HYPERLINK("#'4.2.1.5-6 Soil Atmos Dep'!A1", "4.2.1.5-6 Soil atm. deposition")</f>
        <v>4.2.1.5-6 Soil atm. deposition</v>
      </c>
      <c r="D32" s="15" t="str">
        <v>Zinc - Generic</v>
      </c>
      <c r="E32" s="15" cm="1">
        <f t="array" ref="E32">Fertiliser_InputFunctions.Fertiliser_TotalChemicalCompoundAppliedAllIngredients($D32,(Table_Input_InorganicFertiliser_Brands[Total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Fertiliser_InputFunctions.Fertiliser_TotalChemicalCompoundAppliedAllIngredients($D32,Table_Input_InorganicFertiliser_Custom[Total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32" s="15" cm="1">
        <f t="array" ref="F32">Common_InputFunctions.Utility_LookupValueInTableNumber(D32,Table_Fertiliser_ChemicalCompounds[Fertiliser type f],Table_Fertiliser_ChemicalCompounds[FU f])</f>
        <v>0</v>
      </c>
      <c r="G32" s="15">
        <f>(E32 * F32)</f>
        <v>0</v>
      </c>
    </row>
    <row r="33" spans="1:12" ht="20.100000000000001" customHeight="1" x14ac:dyDescent="0.2">
      <c r="A33" s="5" t="str">
        <f>HYPERLINK("#'4.2.1.7-8 Soil leach runoff'!A1", "4.2.1.7-8 Soil leach &amp; runoff")</f>
        <v>4.2.1.7-8 Soil leach &amp; runoff</v>
      </c>
      <c r="D33" s="15" t="str">
        <v>Muriate of potash (MOP)</v>
      </c>
      <c r="E33" s="15" cm="1">
        <f t="array" ref="E33">Fertiliser_InputFunctions.Fertiliser_TotalChemicalCompoundAppliedAllIngredients($D33,(Table_Input_InorganicFertiliser_Brands[Total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Fertiliser_InputFunctions.Fertiliser_TotalChemicalCompoundAppliedAllIngredients($D33,Table_Input_InorganicFertiliser_Custom[Total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33" s="15" cm="1">
        <f t="array" ref="F33">Common_InputFunctions.Utility_LookupValueInTableNumber(D33,Table_Fertiliser_ChemicalCompounds[Fertiliser type f],Table_Fertiliser_ChemicalCompounds[FU f])</f>
        <v>0</v>
      </c>
      <c r="G33" s="15">
        <f>(E33 * F33)</f>
        <v>0</v>
      </c>
    </row>
    <row r="34" spans="1:12" ht="20.100000000000001" customHeight="1" x14ac:dyDescent="0.2">
      <c r="A34" s="5" t="str">
        <f>HYPERLINK("#'5.1.1.1-2 Inorganic fert N2O'!A1", "5.1.1.1-2 Inorganic fert N2O")</f>
        <v>5.1.1.1-2 Inorganic fert N2O</v>
      </c>
      <c r="D34" s="15" t="str">
        <v>Double superphosphate</v>
      </c>
      <c r="E34" s="15" cm="1">
        <f t="array" ref="E34">Fertiliser_InputFunctions.Fertiliser_TotalChemicalCompoundAppliedAllIngredients($D34,(Table_Input_InorganicFertiliser_Brands[Total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Fertiliser_InputFunctions.Fertiliser_TotalChemicalCompoundAppliedAllIngredients($D34,Table_Input_InorganicFertiliser_Custom[Total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34" s="15" cm="1">
        <f t="array" ref="F34">Common_InputFunctions.Utility_LookupValueInTableNumber(D34,Table_Fertiliser_ChemicalCompounds[Fertiliser type f],Table_Fertiliser_ChemicalCompounds[FU f])</f>
        <v>0</v>
      </c>
      <c r="G34" s="15">
        <f>(E34 * F34)</f>
        <v>0</v>
      </c>
    </row>
    <row r="35" spans="1:12" ht="20.100000000000001" customHeight="1" x14ac:dyDescent="0.2">
      <c r="A35" s="104" t="str">
        <f>HYPERLINK("#'5.1.1.3-4 Inorganic fert CO2'!A1", "5.1.1.3-4 Inorganic fert CO2")</f>
        <v>5.1.1.3-4 Inorganic fert CO2</v>
      </c>
      <c r="D35" s="15" t="str">
        <v>Single superphosphate (SSP)</v>
      </c>
      <c r="E35" s="15" cm="1">
        <f t="array" ref="E35">Fertiliser_InputFunctions.Fertiliser_TotalChemicalCompoundAppliedAllIngredients($D35,(Table_Input_InorganicFertiliser_Brands[Total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Fertiliser_InputFunctions.Fertiliser_TotalChemicalCompoundAppliedAllIngredients($D35,Table_Input_InorganicFertiliser_Custom[Total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35" s="15" cm="1">
        <f t="array" ref="F35">Common_InputFunctions.Utility_LookupValueInTableNumber(D35,Table_Fertiliser_ChemicalCompounds[Fertiliser type f],Table_Fertiliser_ChemicalCompounds[FU f])</f>
        <v>0</v>
      </c>
      <c r="G35" s="15">
        <f>(E35 * F35)</f>
        <v>0</v>
      </c>
    </row>
    <row r="36" spans="1:12" ht="20.100000000000001" customHeight="1" x14ac:dyDescent="0.2">
      <c r="A36" s="5" t="str">
        <f>HYPERLINK("#'5.2.1.1-2 Organic Fert N2O'!A1", "5.2.1.1-2 Organic fert N2O")</f>
        <v>5.2.1.1-2 Organic fert N2O</v>
      </c>
      <c r="D36" s="15" t="str">
        <v>Ammonia</v>
      </c>
      <c r="E36" s="15" cm="1">
        <f t="array" ref="E36">Fertiliser_InputFunctions.Fertiliser_TotalChemicalCompoundAppliedAllIngredients($D36,(Table_Input_InorganicFertiliser_Brands[Total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Fertiliser_InputFunctions.Fertiliser_TotalChemicalCompoundAppliedAllIngredients($D36,Table_Input_InorganicFertiliser_Custom[Total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36" s="15" cm="1">
        <f t="array" ref="F36">Common_InputFunctions.Utility_LookupValueInTableNumber(D36,Table_Fertiliser_ChemicalCompounds[Fertiliser type f],Table_Fertiliser_ChemicalCompounds[FU f])</f>
        <v>0</v>
      </c>
      <c r="G36" s="15">
        <f>(E36 * F36)</f>
        <v>0</v>
      </c>
    </row>
    <row r="37" spans="1:12" ht="20.100000000000001" customHeight="1" x14ac:dyDescent="0.2">
      <c r="A37" s="5" t="str">
        <f>HYPERLINK("#'5.3.1.1-2 Lime CO2'!A1", "5.3.1.1-2 Lime CO2")</f>
        <v>5.3.1.1-2 Lime CO2</v>
      </c>
      <c r="D37" s="15" t="str">
        <v>Calcium nitrate</v>
      </c>
      <c r="E37" s="15" cm="1">
        <f t="array" ref="E37">Fertiliser_InputFunctions.Fertiliser_TotalChemicalCompoundAppliedAllIngredients($D37,(Table_Input_InorganicFertiliser_Brands[Total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Fertiliser_InputFunctions.Fertiliser_TotalChemicalCompoundAppliedAllIngredients($D37,Table_Input_InorganicFertiliser_Custom[Total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37" s="15" cm="1">
        <f t="array" ref="F37">Common_InputFunctions.Utility_LookupValueInTableNumber(D37,Table_Fertiliser_ChemicalCompounds[Fertiliser type f],Table_Fertiliser_ChemicalCompounds[FU f])</f>
        <v>0</v>
      </c>
      <c r="G37" s="15">
        <f>(E37 * F37)</f>
        <v>0</v>
      </c>
    </row>
    <row r="38" spans="1:12" ht="20.100000000000001" customHeight="1" x14ac:dyDescent="0.2">
      <c r="A38" s="5" t="str">
        <f>HYPERLINK("#'5.4.1.1-4 Atmos deposition'!A1", "5.4.1.1-4 Atmos. deposition")</f>
        <v>5.4.1.1-4 Atmos. deposition</v>
      </c>
    </row>
    <row r="39" spans="1:12" ht="20.100000000000001" customHeight="1" x14ac:dyDescent="0.2">
      <c r="A39" s="5" t="str">
        <f>HYPERLINK("#'5.5.1.1-2 Leaching and runoff'!A1", "5.5.1.1-2 Leaching &amp; runoff")</f>
        <v>5.5.1.1-2 Leaching &amp; runoff</v>
      </c>
    </row>
    <row r="40" spans="1:12" ht="20.100000000000001" customHeight="1" x14ac:dyDescent="0.2">
      <c r="A40" s="5" t="str">
        <f>HYPERLINK("#'6.2.1.1-2 Pasture residue N2O'!A1", "6.2.1.1-2 Pasture residue N2O")</f>
        <v>6.2.1.1-2 Pasture residue N2O</v>
      </c>
      <c r="C40" s="87"/>
      <c r="D40" s="87"/>
      <c r="E40" s="87"/>
      <c r="F40" s="87"/>
      <c r="G40" s="87"/>
      <c r="H40" s="87"/>
      <c r="I40" s="87"/>
      <c r="J40" s="87"/>
      <c r="K40" s="87"/>
      <c r="L40" s="87"/>
    </row>
    <row r="41" spans="1:12" ht="20.100000000000001" customHeight="1" x14ac:dyDescent="0.2">
      <c r="A41" s="5" t="str">
        <f>HYPERLINK("#'6.3.1.1-2 Leach runoff pasture'!A1", "6.3.1.1-2 Leach &amp; runoff (pasture)")</f>
        <v>6.3.1.1-2 Leach &amp; runoff (pasture)</v>
      </c>
      <c r="D41" s="2" t="s">
        <v>1418</v>
      </c>
    </row>
    <row r="42" spans="1:12" ht="20.100000000000001" customHeight="1" x14ac:dyDescent="0.2">
      <c r="A42" s="5" t="str">
        <f>HYPERLINK("#'8.1.1.1-2 Transport fuel'!A1", "8.1.1.1-2 Transport fuel")</f>
        <v>8.1.1.1-2 Transport fuel</v>
      </c>
      <c r="D42" s="17" t="s">
        <v>1419</v>
      </c>
    </row>
    <row r="43" spans="1:12" ht="20.100000000000001" customHeight="1" x14ac:dyDescent="0.2">
      <c r="A43" s="5" t="str">
        <f>HYPERLINK("#'8.2.1.1-2 Stationary fuel'!A1", "8.2.1.1-2 Stationary fuel")</f>
        <v>8.2.1.1-2 Stationary fuel</v>
      </c>
      <c r="D43" s="103"/>
      <c r="E43" s="103"/>
    </row>
    <row r="44" spans="1:12" ht="20.100000000000001" customHeight="1" x14ac:dyDescent="0.2">
      <c r="A44" s="5" t="str">
        <f>HYPERLINK("#'10.1.1-2 Solid waste treatment'!A1", "10.1.1.1-2 Solid waste")</f>
        <v>10.1.1.1-2 Solid waste</v>
      </c>
    </row>
    <row r="45" spans="1:12" ht="20.100000000000001" customHeight="1" x14ac:dyDescent="0.2">
      <c r="A45" s="5" t="str">
        <f>HYPERLINK("#'14.1.1-2 Purchased electricity'!A1", "14.1.1-2 Purchased electricity")</f>
        <v>14.1.1-2 Purchased electricity</v>
      </c>
    </row>
    <row r="46" spans="1:12" ht="20.100000000000001" customHeight="1" x14ac:dyDescent="0.2">
      <c r="A46" s="5" t="str">
        <f>HYPERLINK("#'15 Scope 3'!A1", "15 Scope 3")</f>
        <v>15 Scope 3</v>
      </c>
      <c r="D46" s="77" t="s">
        <v>373</v>
      </c>
      <c r="E46" s="1" t="s">
        <v>1420</v>
      </c>
    </row>
    <row r="47" spans="1:12" ht="20.100000000000001" customHeight="1" x14ac:dyDescent="0.2">
      <c r="A47" s="5" t="str">
        <f>HYPERLINK("#'Calcs - Manure sent off-site'!A1", "Calcs - Manure sent off-site")</f>
        <v>Calcs - Manure sent off-site</v>
      </c>
      <c r="D47" s="77" t="s">
        <v>121</v>
      </c>
      <c r="E47" s="9" t="s">
        <v>133</v>
      </c>
    </row>
    <row r="49" spans="1:9" ht="20.100000000000001" customHeight="1" x14ac:dyDescent="0.2">
      <c r="D49" s="116" t="s">
        <v>1412</v>
      </c>
      <c r="E49" s="117" t="s">
        <v>1421</v>
      </c>
      <c r="F49" s="162"/>
      <c r="G49" s="116" t="s">
        <v>1413</v>
      </c>
      <c r="H49" s="110" t="s">
        <v>1426</v>
      </c>
      <c r="I49" s="111" t="str" cm="1">
        <f t="array" aca="1" ref="I49" ca="1">HYPERLINK(Common_InputFunctions.Utility_SourceHyperlink($D$16), $D$16)</f>
        <v>Table_MU_j_f</v>
      </c>
    </row>
    <row r="50" spans="1:9" ht="20.100000000000001" customHeight="1" x14ac:dyDescent="0.2">
      <c r="A50" s="85" t="s">
        <v>1</v>
      </c>
      <c r="D50" s="116" t="s">
        <v>1422</v>
      </c>
      <c r="E50" s="117" t="s">
        <v>1423</v>
      </c>
      <c r="F50" s="162"/>
      <c r="G50" s="116" t="s">
        <v>1427</v>
      </c>
      <c r="H50" s="110" t="s">
        <v>1220</v>
      </c>
      <c r="I50" s="116">
        <f>Fertiliser_EFUreaCO2_Data</f>
        <v>0.2</v>
      </c>
    </row>
    <row r="51" spans="1:9" ht="20.100000000000001" customHeight="1" x14ac:dyDescent="0.2">
      <c r="A51" s="5" t="str">
        <f>HYPERLINK("#'Constants - Pasture Beef'!A1", "Constants - Pasture Beef")</f>
        <v>Constants - Pasture Beef</v>
      </c>
      <c r="D51" s="116" t="s">
        <v>1424</v>
      </c>
      <c r="E51" s="117" t="s">
        <v>1425</v>
      </c>
      <c r="F51" s="162"/>
      <c r="G51" s="116"/>
      <c r="H51" s="110" t="s">
        <v>1220</v>
      </c>
      <c r="I51" s="116">
        <f>Common_InputFunctions.Utility_LookupValueInTableNumber("CO2",Table_GasToMolecularConversionFactor[Gas], Table_GasToMolecularConversionFactor[Conversion factor combined])</f>
        <v>3.6666666666666665</v>
      </c>
    </row>
    <row r="52" spans="1:9" ht="20.100000000000001" customHeight="1" x14ac:dyDescent="0.2">
      <c r="A52" s="5" t="str">
        <f>HYPERLINK("#'Constants - Ag Residue'!A1", "Constants - Ag residue")</f>
        <v>Constants - Ag residue</v>
      </c>
      <c r="D52" s="116" t="s">
        <v>1350</v>
      </c>
      <c r="E52" s="117" t="s">
        <v>171</v>
      </c>
      <c r="F52" s="162"/>
      <c r="G52" s="116"/>
      <c r="H52" s="109" t="s">
        <v>1219</v>
      </c>
      <c r="I52" s="116">
        <f>X_Cell_Fertiliser_ProductionSystem</f>
        <v>0</v>
      </c>
    </row>
    <row r="53" spans="1:9" ht="20.100000000000001" customHeight="1" x14ac:dyDescent="0.2">
      <c r="A53" s="5" t="str">
        <f>HYPERLINK("#'Constants - Common Livestock'!A1", "Constants - Common Livestock")</f>
        <v>Constants - Common Livestock</v>
      </c>
      <c r="D53" s="116" t="s">
        <v>1390</v>
      </c>
      <c r="E53" s="117" t="s">
        <v>1391</v>
      </c>
      <c r="F53" s="162"/>
      <c r="G53" s="116"/>
      <c r="H53" s="110" t="s">
        <v>1417</v>
      </c>
      <c r="I53" s="111" t="str" cm="1">
        <f t="array" aca="1" ref="I53" ca="1">HYPERLINK(Common_InputFunctions.Utility_SourceHyperlink($D$16), $D$16)</f>
        <v>Table_MU_j_f</v>
      </c>
    </row>
    <row r="54" spans="1:9" ht="20.100000000000001" customHeight="1" x14ac:dyDescent="0.2">
      <c r="A54" s="5" t="str">
        <f>HYPERLINK("#'Constants - Electricity'!A1", "Constants - Electricity")</f>
        <v>Constants - Electricity</v>
      </c>
    </row>
    <row r="55" spans="1:9" ht="20.100000000000001" customHeight="1" x14ac:dyDescent="0.2">
      <c r="A55" s="5" t="str">
        <f>HYPERLINK("#'Constants - Fertiliser'!A1", "Constants - Fertiliser")</f>
        <v>Constants - Fertiliser</v>
      </c>
      <c r="D55" s="112" t="s">
        <v>674</v>
      </c>
    </row>
    <row r="56" spans="1:9" ht="20.100000000000001" customHeight="1" x14ac:dyDescent="0.2">
      <c r="A56" s="5" t="str">
        <f>HYPERLINK("#'Constants - Fuel'!A1", "Constants - Fuel")</f>
        <v>Constants - Fuel</v>
      </c>
      <c r="D56" s="113" t="s">
        <v>675</v>
      </c>
    </row>
    <row r="57" spans="1:9" ht="20.100000000000001" customHeight="1" x14ac:dyDescent="0.2">
      <c r="A57" s="5" t="str">
        <f>HYPERLINK("#'Constants - Scope 3'!A1", "Constants - Scope 3")</f>
        <v>Constants - Scope 3</v>
      </c>
      <c r="D57" s="114" t="s">
        <v>644</v>
      </c>
      <c r="E57" s="114" t="s">
        <v>656</v>
      </c>
    </row>
    <row r="58" spans="1:9" ht="20.100000000000001" customHeight="1" x14ac:dyDescent="0.2">
      <c r="A58" s="5" t="str">
        <f>HYPERLINK("#'Constants - Solid Waste'!A1", "Constants - Solid Waste")</f>
        <v>Constants - Solid Waste</v>
      </c>
      <c r="D58" s="15" t="str" cm="1">
        <f t="array" ref="D58:D76">Table_Fertiliser_ChemicalCompounds[Fertiliser type f]</f>
        <v>Monoammonium phosphate (MAP)</v>
      </c>
      <c r="E58" s="15">
        <f>((G19 * $I$50 * $I$51) * 10 ^ -3)</f>
        <v>0</v>
      </c>
      <c r="F58" s="16" t="str">
        <f>$E$47</f>
        <v>t CO2</v>
      </c>
    </row>
    <row r="59" spans="1:9" ht="20.100000000000001" customHeight="1" x14ac:dyDescent="0.2">
      <c r="A59" s="5" t="str">
        <f>HYPERLINK("#'Constants - Common'!A1", "Constants - Common")</f>
        <v>Constants - Common</v>
      </c>
      <c r="D59" s="15" t="str">
        <v>Diammonium phosphate (DAP)</v>
      </c>
      <c r="E59" s="15">
        <f>((G20 * $I$50 * $I$51) * 10 ^ -3)</f>
        <v>0</v>
      </c>
    </row>
    <row r="60" spans="1:9" ht="20.100000000000001" customHeight="1" x14ac:dyDescent="0.2">
      <c r="A60" s="5" t="str">
        <f>HYPERLINK("#'Acknowledgements'!A1", "Acknowledgements")</f>
        <v>Acknowledgements</v>
      </c>
      <c r="D60" s="15" t="str">
        <v>Urea</v>
      </c>
      <c r="E60" s="15">
        <f>((G21 * $I$50 * $I$51) * 10 ^ -3)</f>
        <v>0</v>
      </c>
    </row>
    <row r="61" spans="1:9" ht="20.100000000000001" customHeight="1" x14ac:dyDescent="0.2">
      <c r="D61" s="15" t="str">
        <v>Sulphate of ammonia (SOA)</v>
      </c>
      <c r="E61" s="15">
        <f>((G22 * $I$50 * $I$51) * 10 ^ -3)</f>
        <v>0</v>
      </c>
    </row>
    <row r="62" spans="1:9" ht="20.100000000000001" customHeight="1" x14ac:dyDescent="0.2">
      <c r="D62" s="15" t="str">
        <v>Urea-ammonium nitrate (UAN)</v>
      </c>
      <c r="E62" s="15">
        <f>((G23 * $I$50 * $I$51) * 10 ^ -3)</f>
        <v>0</v>
      </c>
    </row>
    <row r="63" spans="1:9" ht="20.100000000000001" customHeight="1" x14ac:dyDescent="0.2">
      <c r="D63" s="15" t="str">
        <v>Ammonium nitrate (AN)</v>
      </c>
      <c r="E63" s="15">
        <f>((G24 * $I$50 * $I$51) * 10 ^ -3)</f>
        <v>0</v>
      </c>
    </row>
    <row r="64" spans="1:9" ht="20.100000000000001" customHeight="1" x14ac:dyDescent="0.2">
      <c r="D64" s="15" t="str">
        <v>Calcium ammonium nitrate (CAN)</v>
      </c>
      <c r="E64" s="15">
        <f>((G25 * $I$50 * $I$51) * 10 ^ -3)</f>
        <v>0</v>
      </c>
    </row>
    <row r="65" spans="4:6" ht="20.100000000000001" customHeight="1" x14ac:dyDescent="0.2">
      <c r="D65" s="15" t="str">
        <v>Nitrogen - Ammoniacal</v>
      </c>
      <c r="E65" s="15">
        <f>((G26 * $I$50 * $I$51) * 10 ^ -3)</f>
        <v>0</v>
      </c>
    </row>
    <row r="66" spans="4:6" ht="20.100000000000001" customHeight="1" x14ac:dyDescent="0.2">
      <c r="D66" s="15" t="str">
        <v>Nitrogen - Nitrate</v>
      </c>
      <c r="E66" s="15">
        <f>((G27 * $I$50 * $I$51) * 10 ^ -3)</f>
        <v>0</v>
      </c>
    </row>
    <row r="67" spans="4:6" ht="20.100000000000001" customHeight="1" x14ac:dyDescent="0.2">
      <c r="D67" s="15" t="str">
        <v>Nitrogen - Generic</v>
      </c>
      <c r="E67" s="15">
        <f>((G28 * $I$50 * $I$51) * 10 ^ -3)</f>
        <v>0</v>
      </c>
    </row>
    <row r="68" spans="4:6" ht="20.100000000000001" customHeight="1" x14ac:dyDescent="0.2">
      <c r="D68" s="15" t="str">
        <v>Phosphorus - Generic</v>
      </c>
      <c r="E68" s="15">
        <f>((G29 * $I$50 * $I$51) * 10 ^ -3)</f>
        <v>0</v>
      </c>
    </row>
    <row r="69" spans="4:6" ht="20.100000000000001" customHeight="1" x14ac:dyDescent="0.2">
      <c r="D69" s="15" t="str">
        <v>Potassium - Generic</v>
      </c>
      <c r="E69" s="15">
        <f>((G30 * $I$50 * $I$51) * 10 ^ -3)</f>
        <v>0</v>
      </c>
    </row>
    <row r="70" spans="4:6" ht="20.100000000000001" customHeight="1" x14ac:dyDescent="0.2">
      <c r="D70" s="15" t="str">
        <v>Sulfur - Generic</v>
      </c>
      <c r="E70" s="15">
        <f>((G31 * $I$50 * $I$51) * 10 ^ -3)</f>
        <v>0</v>
      </c>
    </row>
    <row r="71" spans="4:6" ht="20.100000000000001" customHeight="1" x14ac:dyDescent="0.2">
      <c r="D71" s="15" t="str">
        <v>Zinc - Generic</v>
      </c>
      <c r="E71" s="15">
        <f>((G32 * $I$50 * $I$51) * 10 ^ -3)</f>
        <v>0</v>
      </c>
    </row>
    <row r="72" spans="4:6" ht="20.100000000000001" customHeight="1" x14ac:dyDescent="0.2">
      <c r="D72" s="15" t="str">
        <v>Muriate of potash (MOP)</v>
      </c>
      <c r="E72" s="15">
        <f>((G33 * $I$50 * $I$51) * 10 ^ -3)</f>
        <v>0</v>
      </c>
    </row>
    <row r="73" spans="4:6" ht="20.100000000000001" customHeight="1" x14ac:dyDescent="0.2">
      <c r="D73" s="15" t="str">
        <v>Double superphosphate</v>
      </c>
      <c r="E73" s="15">
        <f>((G34 * $I$50 * $I$51) * 10 ^ -3)</f>
        <v>0</v>
      </c>
    </row>
    <row r="74" spans="4:6" ht="20.100000000000001" customHeight="1" x14ac:dyDescent="0.2">
      <c r="D74" s="15" t="str">
        <v>Single superphosphate (SSP)</v>
      </c>
      <c r="E74" s="15">
        <f>((G35 * $I$50 * $I$51) * 10 ^ -3)</f>
        <v>0</v>
      </c>
    </row>
    <row r="75" spans="4:6" ht="20.100000000000001" customHeight="1" x14ac:dyDescent="0.2">
      <c r="D75" s="15" t="str">
        <v>Ammonia</v>
      </c>
      <c r="E75" s="15">
        <f>((G36 * $I$50 * $I$51) * 10 ^ -3)</f>
        <v>0</v>
      </c>
    </row>
    <row r="76" spans="4:6" ht="20.100000000000001" customHeight="1" x14ac:dyDescent="0.2">
      <c r="D76" s="15" t="str">
        <v>Calcium nitrate</v>
      </c>
      <c r="E76" s="15">
        <f>((G37 * $I$50 * $I$51) * 10 ^ -3)</f>
        <v>0</v>
      </c>
    </row>
    <row r="78" spans="4:6" ht="20.100000000000001" customHeight="1" x14ac:dyDescent="0.2">
      <c r="D78" s="90" t="s">
        <v>676</v>
      </c>
      <c r="E78" s="91">
        <f>SUM(E58:E76)</f>
        <v>0</v>
      </c>
      <c r="F78" s="95" t="str">
        <f>$E$47</f>
        <v>t CO2</v>
      </c>
    </row>
  </sheetData>
  <pageMargins left="0.7" right="0.7" top="0.75" bottom="0.75" header="0.3" footer="0.3"/>
  <pageSetup paperSize="9" orientation="portrait" r:id="rId1"/>
  <drawing r:id="rId2"/>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C546B-4DAF-472B-AC2F-9D43AF125D42}">
  <sheetPr>
    <tabColor rgb="FF008000"/>
  </sheetPr>
  <dimension ref="A1:U60"/>
  <sheetViews>
    <sheetView showGridLines="0" zoomScaleNormal="100" workbookViewId="0">
      <pane xSplit="1" topLeftCell="B1" activePane="topRight" state="frozen"/>
      <selection pane="topRight" activeCell="A59" sqref="A59"/>
    </sheetView>
  </sheetViews>
  <sheetFormatPr defaultRowHeight="20.100000000000001" customHeight="1" x14ac:dyDescent="0.2"/>
  <cols>
    <col min="1" max="1" width="36.7109375" customWidth="1"/>
    <col min="2" max="2" width="4.7109375" customWidth="1"/>
    <col min="3" max="3" width="4.7109375" style="1" customWidth="1"/>
    <col min="4" max="11" width="30.7109375" style="1" customWidth="1"/>
    <col min="12" max="12" width="4.7109375" style="1" customWidth="1"/>
    <col min="13" max="13" width="4.7109375" customWidth="1"/>
    <col min="14" max="14" width="4.7109375" style="1" customWidth="1"/>
    <col min="15" max="20" width="30.7109375" style="1" customWidth="1"/>
    <col min="21" max="21" width="4.7109375" style="1" customWidth="1"/>
  </cols>
  <sheetData>
    <row r="1" spans="1:21" s="21" customFormat="1" ht="30" customHeight="1" x14ac:dyDescent="0.35">
      <c r="A1" s="10" t="e" vm="1">
        <v>#VALUE!</v>
      </c>
      <c r="C1" s="21" t="s">
        <v>677</v>
      </c>
    </row>
    <row r="2" spans="1:21" s="3" customFormat="1" ht="20.100000000000001" customHeight="1" x14ac:dyDescent="0.2">
      <c r="A2"/>
    </row>
    <row r="3" spans="1:21" ht="20.100000000000001" customHeight="1" x14ac:dyDescent="0.2">
      <c r="A3" s="5" t="str">
        <f>HYPERLINK("#'Home'!A1", "Home")</f>
        <v>Home</v>
      </c>
      <c r="C3" s="23"/>
      <c r="D3" s="23" t="s">
        <v>136</v>
      </c>
      <c r="E3" s="23"/>
      <c r="F3" s="23"/>
      <c r="G3" s="23"/>
      <c r="H3" s="23"/>
      <c r="I3" s="23"/>
      <c r="J3" s="23"/>
      <c r="K3" s="23"/>
      <c r="L3" s="23"/>
      <c r="N3" s="23"/>
      <c r="O3" s="23" t="s">
        <v>137</v>
      </c>
      <c r="P3" s="23"/>
      <c r="Q3" s="23"/>
      <c r="R3" s="23"/>
      <c r="S3" s="23"/>
      <c r="T3" s="23"/>
      <c r="U3" s="23"/>
    </row>
    <row r="4" spans="1:21" ht="20.100000000000001" customHeight="1" x14ac:dyDescent="0.2">
      <c r="A4" s="5" t="str">
        <f>HYPERLINK("#'Results - Activity period'!A1", "Results - Activity period")</f>
        <v>Results - Activity period</v>
      </c>
    </row>
    <row r="5" spans="1:21" ht="20.100000000000001" customHeight="1" x14ac:dyDescent="0.2">
      <c r="A5" s="5" t="str">
        <f>HYPERLINK("#'Results - Product EI'!A1", "Results - Product Emissions Intensity")</f>
        <v>Results - Product Emissions Intensity</v>
      </c>
      <c r="D5" s="2" t="s">
        <v>1428</v>
      </c>
    </row>
    <row r="6" spans="1:21" ht="20.100000000000001" customHeight="1" x14ac:dyDescent="0.2">
      <c r="D6" s="17" t="s">
        <v>1429</v>
      </c>
    </row>
    <row r="7" spans="1:21" ht="20.100000000000001" customHeight="1" x14ac:dyDescent="0.2">
      <c r="D7" s="103"/>
      <c r="E7" s="103"/>
    </row>
    <row r="8" spans="1:21" ht="20.100000000000001" customHeight="1" x14ac:dyDescent="0.2">
      <c r="A8" s="7" t="s">
        <v>0</v>
      </c>
    </row>
    <row r="9" spans="1:21" ht="20.100000000000001" customHeight="1" x14ac:dyDescent="0.2">
      <c r="A9" s="5" t="str">
        <f>HYPERLINK("#'Input - Enterprise'!A1", "Enterprise")</f>
        <v>Enterprise</v>
      </c>
    </row>
    <row r="10" spans="1:21" ht="20.100000000000001" customHeight="1" x14ac:dyDescent="0.2">
      <c r="A10" s="5" t="str">
        <f>HYPERLINK("#'Input - Site'!A1", "Site")</f>
        <v>Site</v>
      </c>
      <c r="D10" s="77" t="s">
        <v>373</v>
      </c>
      <c r="E10" s="1" t="s">
        <v>1430</v>
      </c>
    </row>
    <row r="11" spans="1:21" ht="20.100000000000001" customHeight="1" x14ac:dyDescent="0.2">
      <c r="A11" s="5" t="str">
        <f>HYPERLINK("#'Input - Pasture Beef'!A1", "Pasture Beef")</f>
        <v>Pasture Beef</v>
      </c>
      <c r="D11" s="77" t="s">
        <v>121</v>
      </c>
      <c r="E11" s="9" t="s">
        <v>1055</v>
      </c>
    </row>
    <row r="12" spans="1:21" ht="20.100000000000001" customHeight="1" x14ac:dyDescent="0.2">
      <c r="A12" s="5" t="str">
        <f>HYPERLINK("#'Input - Livestock sales'!A1", "Livestock sales")</f>
        <v>Livestock sales</v>
      </c>
    </row>
    <row r="13" spans="1:21" ht="20.100000000000001" customHeight="1" x14ac:dyDescent="0.2">
      <c r="A13" s="5" t="str">
        <f>HYPERLINK("#'Input - Beef cattle purchases'!A1", "Beef cattle purchases")</f>
        <v>Beef cattle purchases</v>
      </c>
      <c r="D13" s="116" t="s">
        <v>1431</v>
      </c>
      <c r="E13" s="117" t="s">
        <v>1432</v>
      </c>
      <c r="F13" s="162"/>
      <c r="G13" s="105" t="s">
        <v>636</v>
      </c>
      <c r="H13" s="109" t="s">
        <v>1219</v>
      </c>
      <c r="I13" s="111" t="str" cm="1">
        <f t="array" aca="1" ref="I13" ca="1">HYPERLINK(Common_InputFunctions.Utility_SourceHyperlink($D$17), $D$17)</f>
        <v>Table_MNSoil_j_f</v>
      </c>
    </row>
    <row r="14" spans="1:21" ht="20.100000000000001" customHeight="1" x14ac:dyDescent="0.2">
      <c r="A14" s="5" t="str">
        <f>HYPERLINK("#'Input - Pasture'!A1", "Pasture")</f>
        <v>Pasture</v>
      </c>
      <c r="D14" s="116" t="s">
        <v>1433</v>
      </c>
      <c r="E14" s="117" t="s">
        <v>1434</v>
      </c>
      <c r="F14" s="162"/>
      <c r="G14" s="105" t="s">
        <v>1381</v>
      </c>
      <c r="H14" s="109" t="s">
        <v>1219</v>
      </c>
      <c r="I14" s="111" t="str" cm="1">
        <f t="array" aca="1" ref="I14" ca="1">HYPERLINK(Common_InputFunctions.Utility_SourceHyperlink($D$17), $D$17)</f>
        <v>Table_MNSoil_j_f</v>
      </c>
    </row>
    <row r="15" spans="1:21" ht="20.100000000000001" customHeight="1" x14ac:dyDescent="0.2">
      <c r="A15" s="5" t="str">
        <f>HYPERLINK("#'Input - Fert Prod System'!A1", "Fert Prod System")</f>
        <v>Fert Prod System</v>
      </c>
      <c r="D15" s="116" t="s">
        <v>1390</v>
      </c>
      <c r="E15" s="117" t="s">
        <v>731</v>
      </c>
      <c r="F15" s="162"/>
      <c r="G15" s="105"/>
      <c r="H15" s="109" t="s">
        <v>1219</v>
      </c>
      <c r="I15" s="111" t="str" cm="1">
        <f t="array" aca="1" ref="I15" ca="1">HYPERLINK(Common_InputFunctions.Utility_SourceHyperlink($D$17), $D$17)</f>
        <v>Table_MNSoil_j_f</v>
      </c>
    </row>
    <row r="16" spans="1:21" ht="20.100000000000001" customHeight="1" x14ac:dyDescent="0.2">
      <c r="A16" s="5" t="str">
        <f>HYPERLINK("#'Input - Fertiliser'!A1", "Fertiliser")</f>
        <v>Fertiliser</v>
      </c>
    </row>
    <row r="17" spans="1:10" ht="20.100000000000001" customHeight="1" x14ac:dyDescent="0.2">
      <c r="A17" s="5" t="str">
        <f>HYPERLINK("#'Input - Fuel'!A1", "Fuel")</f>
        <v>Fuel</v>
      </c>
      <c r="D17" s="112" t="s">
        <v>678</v>
      </c>
    </row>
    <row r="18" spans="1:10" ht="20.100000000000001" customHeight="1" x14ac:dyDescent="0.2">
      <c r="A18" s="5" t="str">
        <f>HYPERLINK("#'Input - Electricity'!A1", "Electricity")</f>
        <v>Electricity</v>
      </c>
      <c r="D18" s="113" t="s">
        <v>679</v>
      </c>
    </row>
    <row r="19" spans="1:10" ht="20.100000000000001" customHeight="1" x14ac:dyDescent="0.2">
      <c r="A19" s="5" t="str">
        <f>HYPERLINK("#'Input - Common farm inputs'!A1", "Common farm inputs")</f>
        <v>Common farm inputs</v>
      </c>
      <c r="D19" s="82" t="s">
        <v>680</v>
      </c>
      <c r="E19" s="82" t="s">
        <v>681</v>
      </c>
      <c r="F19" s="82" t="s">
        <v>586</v>
      </c>
      <c r="G19" s="166" t="s">
        <v>682</v>
      </c>
      <c r="H19" s="82" t="s">
        <v>683</v>
      </c>
      <c r="I19" s="166" t="s">
        <v>684</v>
      </c>
    </row>
    <row r="20" spans="1:10" ht="20.100000000000001" customHeight="1" x14ac:dyDescent="0.2">
      <c r="A20" s="5" t="str">
        <f>HYPERLINK("#'Input - Crop pasture farm input'!A1", "Crop pasture farm input")</f>
        <v>Crop pasture farm input</v>
      </c>
      <c r="D20" s="15" cm="1">
        <f t="array" ref="D20:D22">Table_Input_OrganicFertiliser[Organic fertiliser type (select)]</f>
        <v>0</v>
      </c>
      <c r="E20" s="167" cm="1">
        <f t="array" ref="E20:E22">Table_Input_OrganicFertiliser[Amount applied (kg/hectare)]</f>
        <v>0</v>
      </c>
      <c r="F20" s="167" cm="1">
        <f t="array" ref="F20:F22">Table_Input_OrganicFertiliser[Application area (ha)]</f>
        <v>0</v>
      </c>
      <c r="G20" s="15" cm="1">
        <f t="array" ref="G20:G22">Table_Input_OrganicFertiliser[Amount applied (kg/hectare)]*Table_Input_OrganicFertiliser[Application area (ha)]</f>
        <v>0</v>
      </c>
      <c r="H20" s="125" cm="1">
        <f t="array" ref="H20:H22">Table_Input_OrganicFertiliser[Percentage of N in fertiliser]</f>
        <v>0</v>
      </c>
      <c r="I20" s="15">
        <f>(G20 * H20)</f>
        <v>0</v>
      </c>
    </row>
    <row r="21" spans="1:10" ht="20.100000000000001" customHeight="1" x14ac:dyDescent="0.2">
      <c r="A21" s="5" t="str">
        <f>HYPERLINK("#'Input - Livestock farm Inputs'!A1", "Livestock farm Inputs")</f>
        <v>Livestock farm Inputs</v>
      </c>
      <c r="D21" s="15">
        <v>0</v>
      </c>
      <c r="E21" s="15">
        <v>0</v>
      </c>
      <c r="F21" s="15">
        <v>0</v>
      </c>
      <c r="G21" s="15">
        <v>0</v>
      </c>
      <c r="H21" s="15">
        <v>0</v>
      </c>
      <c r="I21" s="15">
        <f>(G21 * H21)</f>
        <v>0</v>
      </c>
    </row>
    <row r="22" spans="1:10" ht="20.100000000000001" customHeight="1" x14ac:dyDescent="0.2">
      <c r="A22" s="5" t="str">
        <f>HYPERLINK("#'Input - Freight'!A1", "Freight")</f>
        <v>Freight</v>
      </c>
      <c r="D22" s="15">
        <v>0</v>
      </c>
      <c r="E22" s="15">
        <v>0</v>
      </c>
      <c r="F22" s="15">
        <v>0</v>
      </c>
      <c r="G22" s="15">
        <v>0</v>
      </c>
      <c r="H22" s="15">
        <v>0</v>
      </c>
      <c r="I22" s="15">
        <f>(G22 * H22)</f>
        <v>0</v>
      </c>
    </row>
    <row r="23" spans="1:10" ht="20.100000000000001" customHeight="1" x14ac:dyDescent="0.2">
      <c r="A23" s="5" t="str">
        <f>HYPERLINK("#'Input - Solid waste'!A1", "Solid waste")</f>
        <v>Solid waste</v>
      </c>
      <c r="D23" s="15"/>
      <c r="E23" s="15"/>
      <c r="F23" s="15"/>
      <c r="G23" s="15"/>
      <c r="H23" s="15"/>
      <c r="I23" s="15">
        <f>(G23 * H23)</f>
        <v>0</v>
      </c>
    </row>
    <row r="24" spans="1:10" ht="20.100000000000001" customHeight="1" x14ac:dyDescent="0.2">
      <c r="A24" s="5" t="str">
        <f>HYPERLINK("#'Input - Manure sent off-site'!A1", "Manure sent off-site")</f>
        <v>Manure sent off-site</v>
      </c>
      <c r="D24" s="15"/>
      <c r="E24" s="15"/>
      <c r="F24" s="15"/>
      <c r="G24" s="15"/>
      <c r="H24" s="15"/>
      <c r="I24" s="15">
        <f>(G24 * H24)</f>
        <v>0</v>
      </c>
    </row>
    <row r="25" spans="1:10" ht="20.100000000000001" customHeight="1" x14ac:dyDescent="0.2">
      <c r="A25" s="5" t="str">
        <f>HYPERLINK("#'Input - Data quality'!A1", "Data quality")</f>
        <v>Data quality</v>
      </c>
      <c r="D25" s="15"/>
      <c r="E25" s="15"/>
      <c r="F25" s="15"/>
      <c r="G25" s="15"/>
      <c r="H25" s="15"/>
      <c r="I25" s="15">
        <f>(G25 * H25)</f>
        <v>0</v>
      </c>
    </row>
    <row r="26" spans="1:10" ht="20.100000000000001" customHeight="1" x14ac:dyDescent="0.2">
      <c r="D26" s="15"/>
      <c r="E26" s="15"/>
      <c r="F26" s="15"/>
      <c r="G26" s="15"/>
      <c r="H26" s="15"/>
      <c r="I26" s="15">
        <f>(G26 * H26)</f>
        <v>0</v>
      </c>
    </row>
    <row r="27" spans="1:10" ht="20.100000000000001" customHeight="1" x14ac:dyDescent="0.2">
      <c r="D27" s="15"/>
      <c r="E27" s="15"/>
      <c r="F27" s="15"/>
      <c r="G27" s="15"/>
      <c r="H27" s="15"/>
      <c r="I27" s="15">
        <f>(G27 * H27)</f>
        <v>0</v>
      </c>
    </row>
    <row r="28" spans="1:10" ht="20.100000000000001" customHeight="1" x14ac:dyDescent="0.2">
      <c r="A28" s="6" t="s">
        <v>2</v>
      </c>
      <c r="D28" s="15"/>
      <c r="E28" s="15"/>
      <c r="F28" s="15"/>
      <c r="G28" s="15"/>
      <c r="H28" s="15"/>
      <c r="I28" s="15">
        <f>(G28 * H28)</f>
        <v>0</v>
      </c>
    </row>
    <row r="29" spans="1:10" ht="20.100000000000001" customHeight="1" x14ac:dyDescent="0.2">
      <c r="A29" s="5" t="str">
        <f>HYPERLINK("#'3.2.1.1-2 Enteric Methane'!A1", "3.2.1.1-2 Enteric Methane")</f>
        <v>3.2.1.1-2 Enteric Methane</v>
      </c>
      <c r="D29" s="15"/>
      <c r="E29" s="15"/>
      <c r="F29" s="15"/>
      <c r="G29" s="15"/>
      <c r="H29" s="15"/>
      <c r="I29" s="15">
        <f>(G29 * H29)</f>
        <v>0</v>
      </c>
    </row>
    <row r="30" spans="1:10" ht="20.100000000000001" customHeight="1" x14ac:dyDescent="0.2">
      <c r="A30" s="5" t="str">
        <f>HYPERLINK("#'4.2.1.1-2 Methane'!A1", "4.2.1.1-2 Manure methane")</f>
        <v>4.2.1.1-2 Manure methane</v>
      </c>
      <c r="D30" s="15"/>
      <c r="E30" s="15"/>
      <c r="F30" s="15"/>
      <c r="G30" s="15"/>
      <c r="H30" s="15"/>
      <c r="I30" s="15">
        <f>(G30 * H30)</f>
        <v>0</v>
      </c>
    </row>
    <row r="31" spans="1:10" ht="20.100000000000001" customHeight="1" x14ac:dyDescent="0.2">
      <c r="A31" s="5" t="str">
        <f>HYPERLINK("#'4.2.1.3-4 Soil direct N20'!A1", "4.2.1.3-4 Soil direct N2O")</f>
        <v>4.2.1.3-4 Soil direct N2O</v>
      </c>
      <c r="D31" s="168"/>
      <c r="E31" s="168"/>
      <c r="F31" s="168"/>
      <c r="G31" s="168"/>
      <c r="H31" s="168"/>
      <c r="I31" s="168"/>
      <c r="J31" s="168"/>
    </row>
    <row r="32" spans="1:10" ht="20.100000000000001" customHeight="1" x14ac:dyDescent="0.2">
      <c r="A32" s="5" t="str">
        <f>HYPERLINK("#'4.2.1.5-6 Soil Atmos Dep'!A1", "4.2.1.5-6 Soil atm. deposition")</f>
        <v>4.2.1.5-6 Soil atm. deposition</v>
      </c>
      <c r="D32" s="93" t="s">
        <v>685</v>
      </c>
      <c r="E32" s="93">
        <f>SUM(I20:I30)</f>
        <v>0</v>
      </c>
      <c r="F32" s="169" t="str">
        <f>$E$11</f>
        <v>kg N</v>
      </c>
      <c r="G32" s="168"/>
      <c r="H32" s="168"/>
      <c r="I32" s="168"/>
      <c r="J32" s="168"/>
    </row>
    <row r="33" spans="1:12" ht="20.100000000000001" customHeight="1" x14ac:dyDescent="0.2">
      <c r="A33" s="5" t="str">
        <f>HYPERLINK("#'4.2.1.7-8 Soil leach runoff'!A1", "4.2.1.7-8 Soil leach &amp; runoff")</f>
        <v>4.2.1.7-8 Soil leach &amp; runoff</v>
      </c>
    </row>
    <row r="34" spans="1:12" ht="20.100000000000001" customHeight="1" x14ac:dyDescent="0.2">
      <c r="A34" s="5" t="str">
        <f>HYPERLINK("#'5.1.1.1-2 Inorganic fert N2O'!A1", "5.1.1.1-2 Inorganic fert N2O")</f>
        <v>5.1.1.1-2 Inorganic fert N2O</v>
      </c>
    </row>
    <row r="35" spans="1:12" ht="20.100000000000001" customHeight="1" x14ac:dyDescent="0.2">
      <c r="A35" s="5" t="str">
        <f>HYPERLINK("#'5.1.1.3-4 Inorganic fert CO2'!A1", "5.1.1.3-4 Inorganic fert CO2")</f>
        <v>5.1.1.3-4 Inorganic fert CO2</v>
      </c>
      <c r="C35" s="170"/>
      <c r="D35" s="170"/>
      <c r="E35" s="170"/>
      <c r="F35" s="170"/>
      <c r="G35" s="170"/>
      <c r="H35" s="170"/>
      <c r="I35" s="170"/>
      <c r="J35" s="170"/>
      <c r="K35" s="170"/>
      <c r="L35" s="170"/>
    </row>
    <row r="36" spans="1:12" ht="20.100000000000001" customHeight="1" x14ac:dyDescent="0.2">
      <c r="A36" s="104" t="str">
        <f>HYPERLINK("#'5.2.1.1-2 Organic Fert N2O'!A1", "5.2.1.1-2 Organic fert N2O")</f>
        <v>5.2.1.1-2 Organic fert N2O</v>
      </c>
      <c r="D36" s="2" t="s">
        <v>1435</v>
      </c>
    </row>
    <row r="37" spans="1:12" ht="20.100000000000001" customHeight="1" x14ac:dyDescent="0.2">
      <c r="A37" s="5" t="str">
        <f>HYPERLINK("#'5.3.1.1-2 Lime CO2'!A1", "5.3.1.1-2 Lime CO2")</f>
        <v>5.3.1.1-2 Lime CO2</v>
      </c>
      <c r="D37" s="17" t="s">
        <v>1436</v>
      </c>
    </row>
    <row r="38" spans="1:12" ht="20.100000000000001" customHeight="1" x14ac:dyDescent="0.2">
      <c r="A38" s="5" t="str">
        <f>HYPERLINK("#'5.4.1.1-4 Atmos deposition'!A1", "5.4.1.1-4 Atmos. deposition")</f>
        <v>5.4.1.1-4 Atmos. deposition</v>
      </c>
      <c r="D38" s="103"/>
      <c r="E38" s="103"/>
    </row>
    <row r="39" spans="1:12" ht="20.100000000000001" customHeight="1" x14ac:dyDescent="0.2">
      <c r="A39" s="5" t="str">
        <f>HYPERLINK("#'5.5.1.1-2 Leaching and runoff'!A1", "5.5.1.1-2 Leaching &amp; runoff")</f>
        <v>5.5.1.1-2 Leaching &amp; runoff</v>
      </c>
    </row>
    <row r="40" spans="1:12" ht="20.100000000000001" customHeight="1" x14ac:dyDescent="0.2">
      <c r="A40" s="5" t="str">
        <f>HYPERLINK("#'6.2.1.1-2 Pasture residue N2O'!A1", "6.2.1.1-2 Pasture residue N2O")</f>
        <v>6.2.1.1-2 Pasture residue N2O</v>
      </c>
    </row>
    <row r="41" spans="1:12" ht="20.100000000000001" customHeight="1" x14ac:dyDescent="0.2">
      <c r="A41" s="5" t="str">
        <f>HYPERLINK("#'6.3.1.1-2 Leach runoff pasture'!A1", "6.3.1.1-2 Leach &amp; runoff (pasture)")</f>
        <v>6.3.1.1-2 Leach &amp; runoff (pasture)</v>
      </c>
      <c r="D41" s="77" t="s">
        <v>373</v>
      </c>
      <c r="E41" s="1" t="s">
        <v>956</v>
      </c>
    </row>
    <row r="42" spans="1:12" ht="20.100000000000001" customHeight="1" x14ac:dyDescent="0.2">
      <c r="A42" s="5" t="str">
        <f>HYPERLINK("#'8.1.1.1-2 Transport fuel'!A1", "8.1.1.1-2 Transport fuel")</f>
        <v>8.1.1.1-2 Transport fuel</v>
      </c>
      <c r="D42" s="77" t="s">
        <v>121</v>
      </c>
      <c r="E42" s="9" t="s">
        <v>12</v>
      </c>
    </row>
    <row r="43" spans="1:12" ht="20.100000000000001" customHeight="1" x14ac:dyDescent="0.2">
      <c r="A43" s="5" t="str">
        <f>HYPERLINK("#'8.2.1.1-2 Stationary fuel'!A1", "8.2.1.1-2 Stationary fuel")</f>
        <v>8.2.1.1-2 Stationary fuel</v>
      </c>
    </row>
    <row r="44" spans="1:12" ht="20.100000000000001" customHeight="1" x14ac:dyDescent="0.2">
      <c r="A44" s="5" t="str">
        <f>HYPERLINK("#'10.1.1-2 Solid waste treatment'!A1", "10.1.1.1-2 Solid waste")</f>
        <v>10.1.1.1-2 Solid waste</v>
      </c>
      <c r="D44" s="105" t="s">
        <v>1430</v>
      </c>
      <c r="E44" s="106" t="s">
        <v>1437</v>
      </c>
      <c r="F44" s="107"/>
      <c r="G44" s="107"/>
      <c r="H44" s="108"/>
      <c r="I44" s="105" t="s">
        <v>1055</v>
      </c>
      <c r="J44" s="110" t="s">
        <v>1440</v>
      </c>
      <c r="K44" s="105">
        <f>$E$32</f>
        <v>0</v>
      </c>
    </row>
    <row r="45" spans="1:12" ht="20.100000000000001" customHeight="1" x14ac:dyDescent="0.2">
      <c r="A45" s="5" t="str">
        <f>HYPERLINK("#'14.1.1-2 Purchased electricity'!A1", "14.1.1-2 Purchased electricity")</f>
        <v>14.1.1-2 Purchased electricity</v>
      </c>
      <c r="D45" s="105" t="s">
        <v>1438</v>
      </c>
      <c r="E45" s="106" t="s">
        <v>1439</v>
      </c>
      <c r="F45" s="107"/>
      <c r="G45" s="107"/>
      <c r="H45" s="108"/>
      <c r="I45" s="105" t="s">
        <v>1356</v>
      </c>
      <c r="J45" s="110" t="s">
        <v>1417</v>
      </c>
      <c r="K45" s="105">
        <f>Common_InputFunctions.Utility_LookupValueInTableNumber(K48, Table_SourceData_Common_EFOrganicFertCropResidues[Climate Zone],Table_SourceData_Common_EFOrganicFertCropResidues[EFNi &amp; EFN2Oi])</f>
        <v>0</v>
      </c>
    </row>
    <row r="46" spans="1:12" ht="20.100000000000001" customHeight="1" x14ac:dyDescent="0.2">
      <c r="A46" s="5" t="str">
        <f>HYPERLINK("#'15 Scope 3'!A1", "15 Scope 3")</f>
        <v>15 Scope 3</v>
      </c>
      <c r="D46" s="105" t="s">
        <v>1348</v>
      </c>
      <c r="E46" s="106" t="s">
        <v>1396</v>
      </c>
      <c r="F46" s="107"/>
      <c r="G46" s="107"/>
      <c r="H46" s="108"/>
      <c r="I46" s="105"/>
      <c r="J46" s="110" t="s">
        <v>1220</v>
      </c>
      <c r="K46" s="116">
        <f>Common_InputFunctions.Utility_LookupValueInTableNumber("N2O",Table_GasToMolecularConversionFactor[Gas],Table_GasToMolecularConversionFactor[Conversion factor combined])</f>
        <v>1.5714285714285714</v>
      </c>
    </row>
    <row r="47" spans="1:12" ht="20.100000000000001" customHeight="1" x14ac:dyDescent="0.2">
      <c r="A47" s="5" t="str">
        <f>HYPERLINK("#'Calcs - Manure sent off-site'!A1", "Calcs - Manure sent off-site")</f>
        <v>Calcs - Manure sent off-site</v>
      </c>
      <c r="D47" s="105" t="s">
        <v>1350</v>
      </c>
      <c r="E47" s="106" t="s">
        <v>171</v>
      </c>
      <c r="F47" s="107"/>
      <c r="G47" s="107"/>
      <c r="H47" s="108"/>
      <c r="I47" s="105"/>
      <c r="J47" s="109" t="s">
        <v>1219</v>
      </c>
      <c r="K47" s="105">
        <f>X_Cell_Fertiliser_ProductionSystem</f>
        <v>0</v>
      </c>
    </row>
    <row r="48" spans="1:12" ht="20.100000000000001" customHeight="1" x14ac:dyDescent="0.2">
      <c r="D48" s="105" t="s">
        <v>1267</v>
      </c>
      <c r="E48" s="106" t="s">
        <v>118</v>
      </c>
      <c r="F48" s="107"/>
      <c r="G48" s="107"/>
      <c r="H48" s="108"/>
      <c r="I48" s="105"/>
      <c r="J48" s="109" t="s">
        <v>1219</v>
      </c>
      <c r="K48" s="105" t="e">
        <f>X_Cell_Site_WetOrDryClimateZone</f>
        <v>#DIV/0!</v>
      </c>
    </row>
    <row r="50" spans="1:7" ht="20.100000000000001" customHeight="1" x14ac:dyDescent="0.2">
      <c r="A50" s="85" t="s">
        <v>1</v>
      </c>
      <c r="D50" s="90" t="s">
        <v>659</v>
      </c>
      <c r="E50" s="91">
        <f>((K44 * K45 * K46) * 10 ^ -3)</f>
        <v>0</v>
      </c>
      <c r="F50" s="95" t="str">
        <f>$E$42</f>
        <v>t N2O</v>
      </c>
    </row>
    <row r="51" spans="1:7" ht="20.100000000000001" customHeight="1" x14ac:dyDescent="0.2">
      <c r="A51" s="5" t="str">
        <f>HYPERLINK("#'Constants - Pasture Beef'!A1", "Constants - Pasture Beef")</f>
        <v>Constants - Pasture Beef</v>
      </c>
    </row>
    <row r="52" spans="1:7" ht="20.100000000000001" customHeight="1" x14ac:dyDescent="0.2">
      <c r="A52" s="5" t="str">
        <f>HYPERLINK("#'Constants - Ag Residue'!A1", "Constants - Ag residue")</f>
        <v>Constants - Ag residue</v>
      </c>
      <c r="D52" s="116" t="str" cm="1">
        <f t="array" ref="D52:E53">Common_Equations.Common_ConvertN2OToCO2e_Arguments()</f>
        <v>EN2O</v>
      </c>
      <c r="E52" s="117" t="str">
        <v>Nitrous oxide emissions (t N2O)</v>
      </c>
      <c r="F52" s="118"/>
      <c r="G52" s="15">
        <f>VEERG_5_2_1_1__2_MassOfNitrogenInOrganicFertiliser_Result_Method1</f>
        <v>0</v>
      </c>
    </row>
    <row r="53" spans="1:7" ht="20.100000000000001" customHeight="1" x14ac:dyDescent="0.2">
      <c r="A53" s="5" t="str">
        <f>HYPERLINK("#'Constants - Common Livestock'!A1", "Constants - Common Livestock")</f>
        <v>Constants - Common Livestock</v>
      </c>
      <c r="D53" s="116" t="str">
        <v>GWPN2O</v>
      </c>
      <c r="E53" s="117" t="str">
        <v>Global warming potential for nitrous oxide (t CO2-e / t N2O)</v>
      </c>
      <c r="F53" s="118"/>
      <c r="G53" s="15">
        <f>Common_InputFunctions.Utility_LookupValueInTableNumber("N2O",Table_GWPData[Gas],Table_GWPData[CO2-e factor])</f>
        <v>265</v>
      </c>
    </row>
    <row r="54" spans="1:7" ht="20.100000000000001" customHeight="1" x14ac:dyDescent="0.2">
      <c r="A54" s="5" t="str">
        <f>HYPERLINK("#'Constants - Electricity'!A1", "Constants - Electricity")</f>
        <v>Constants - Electricity</v>
      </c>
    </row>
    <row r="55" spans="1:7" ht="20.100000000000001" customHeight="1" x14ac:dyDescent="0.2">
      <c r="A55" s="5" t="str">
        <f>HYPERLINK("#'Constants - Fertiliser'!A1", "Constants - Fertiliser")</f>
        <v>Constants - Fertiliser</v>
      </c>
      <c r="D55" s="87" t="s">
        <v>435</v>
      </c>
      <c r="E55" s="87" cm="1">
        <f t="array" ref="E55">Common_Equations.Common_ConvertN2OToCO2e(G52,G53)</f>
        <v>0</v>
      </c>
      <c r="F55" s="94" t="str" cm="1">
        <f t="array" ref="F55">Common_Equations.Common_ConvertN2OToCO2e_Unit()</f>
        <v>t CO2e</v>
      </c>
    </row>
    <row r="56" spans="1:7" ht="20.100000000000001" customHeight="1" x14ac:dyDescent="0.2">
      <c r="A56" s="5" t="str">
        <f>HYPERLINK("#'Constants - Fuel'!A1", "Constants - Fuel")</f>
        <v>Constants - Fuel</v>
      </c>
    </row>
    <row r="57" spans="1:7" ht="20.100000000000001" customHeight="1" x14ac:dyDescent="0.2">
      <c r="A57" s="5" t="str">
        <f>HYPERLINK("#'Constants - Scope 3'!A1", "Constants - Scope 3")</f>
        <v>Constants - Scope 3</v>
      </c>
    </row>
    <row r="58" spans="1:7" ht="20.100000000000001" customHeight="1" x14ac:dyDescent="0.2">
      <c r="A58" s="5" t="str">
        <f>HYPERLINK("#'Constants - Solid Waste'!A1", "Constants - Solid Waste")</f>
        <v>Constants - Solid Waste</v>
      </c>
    </row>
    <row r="59" spans="1:7" ht="20.100000000000001" customHeight="1" x14ac:dyDescent="0.2">
      <c r="A59" s="5" t="str">
        <f>HYPERLINK("#'Constants - Common'!A1", "Constants - Common")</f>
        <v>Constants - Common</v>
      </c>
    </row>
    <row r="60" spans="1:7" ht="20.100000000000001" customHeight="1" x14ac:dyDescent="0.2">
      <c r="A60" s="5" t="str">
        <f>HYPERLINK("#'Acknowledgements'!A1", "Acknowledgements")</f>
        <v>Acknowledgements</v>
      </c>
    </row>
  </sheetData>
  <pageMargins left="0.7" right="0.7" top="0.75" bottom="0.75" header="0.3" footer="0.3"/>
  <pageSetup paperSize="9" orientation="portrait" r:id="rId1"/>
  <drawing r:id="rId2"/>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2485DC-188C-4AE1-B199-CE4FF1B533E0}">
  <sheetPr>
    <tabColor rgb="FF008000"/>
  </sheetPr>
  <dimension ref="A1:U60"/>
  <sheetViews>
    <sheetView showGridLines="0" zoomScaleNormal="100" workbookViewId="0">
      <pane xSplit="1" topLeftCell="B1" activePane="topRight" state="frozen"/>
      <selection pane="topRight" activeCell="A59" sqref="A59"/>
    </sheetView>
  </sheetViews>
  <sheetFormatPr defaultRowHeight="20.100000000000001" customHeight="1" x14ac:dyDescent="0.2"/>
  <cols>
    <col min="1" max="1" width="36.7109375" customWidth="1"/>
    <col min="2" max="2" width="4.7109375" customWidth="1"/>
    <col min="3" max="3" width="4.7109375" style="1" customWidth="1"/>
    <col min="4" max="11" width="30.7109375" style="1" customWidth="1"/>
    <col min="12" max="12" width="4.7109375" style="1" customWidth="1"/>
    <col min="13" max="13" width="4.7109375" customWidth="1"/>
    <col min="14" max="14" width="4.7109375" style="1" customWidth="1"/>
    <col min="15" max="20" width="30.7109375" style="1" customWidth="1"/>
    <col min="21" max="21" width="4.7109375" style="1" customWidth="1"/>
  </cols>
  <sheetData>
    <row r="1" spans="1:21" s="21" customFormat="1" ht="30" customHeight="1" x14ac:dyDescent="0.35">
      <c r="A1" s="10" t="e" vm="1">
        <v>#VALUE!</v>
      </c>
      <c r="C1" s="21" t="s">
        <v>686</v>
      </c>
    </row>
    <row r="2" spans="1:21" s="3" customFormat="1" ht="20.100000000000001" customHeight="1" x14ac:dyDescent="0.2">
      <c r="A2"/>
    </row>
    <row r="3" spans="1:21" ht="20.100000000000001" customHeight="1" x14ac:dyDescent="0.2">
      <c r="A3" s="5" t="str">
        <f>HYPERLINK("#'Home'!A1", "Home")</f>
        <v>Home</v>
      </c>
      <c r="C3" s="23"/>
      <c r="D3" s="23" t="s">
        <v>136</v>
      </c>
      <c r="E3" s="23"/>
      <c r="F3" s="23"/>
      <c r="G3" s="23"/>
      <c r="H3" s="23"/>
      <c r="I3" s="23"/>
      <c r="J3" s="23"/>
      <c r="K3" s="23"/>
      <c r="L3" s="23"/>
      <c r="N3" s="23"/>
      <c r="O3" s="23" t="s">
        <v>137</v>
      </c>
      <c r="P3" s="23"/>
      <c r="Q3" s="23"/>
      <c r="R3" s="23"/>
      <c r="S3" s="23"/>
      <c r="T3" s="23"/>
      <c r="U3" s="23"/>
    </row>
    <row r="4" spans="1:21" ht="20.100000000000001" customHeight="1" x14ac:dyDescent="0.2">
      <c r="A4" s="5" t="str">
        <f>HYPERLINK("#'Results - Activity period'!A1", "Results - Activity period")</f>
        <v>Results - Activity period</v>
      </c>
    </row>
    <row r="5" spans="1:21" ht="20.100000000000001" customHeight="1" x14ac:dyDescent="0.2">
      <c r="A5" s="5" t="str">
        <f>HYPERLINK("#'Results - Product EI'!A1", "Results - Product Emissions Intensity")</f>
        <v>Results - Product Emissions Intensity</v>
      </c>
      <c r="D5" s="2" t="s">
        <v>1441</v>
      </c>
    </row>
    <row r="6" spans="1:21" ht="20.100000000000001" customHeight="1" x14ac:dyDescent="0.2">
      <c r="D6" s="17" t="s">
        <v>1442</v>
      </c>
    </row>
    <row r="7" spans="1:21" ht="20.100000000000001" customHeight="1" x14ac:dyDescent="0.2">
      <c r="D7" s="103"/>
      <c r="E7" s="103"/>
    </row>
    <row r="8" spans="1:21" ht="20.100000000000001" customHeight="1" x14ac:dyDescent="0.2">
      <c r="A8" s="7" t="s">
        <v>0</v>
      </c>
    </row>
    <row r="9" spans="1:21" ht="20.100000000000001" customHeight="1" x14ac:dyDescent="0.2">
      <c r="A9" s="5" t="str">
        <f>HYPERLINK("#'Input - Enterprise'!A1", "Enterprise")</f>
        <v>Enterprise</v>
      </c>
    </row>
    <row r="10" spans="1:21" ht="20.100000000000001" customHeight="1" x14ac:dyDescent="0.2">
      <c r="A10" s="5" t="str">
        <f>HYPERLINK("#'Input - Site'!A1", "Site")</f>
        <v>Site</v>
      </c>
      <c r="D10" s="77" t="s">
        <v>373</v>
      </c>
      <c r="E10" s="1" t="s">
        <v>1443</v>
      </c>
    </row>
    <row r="11" spans="1:21" ht="20.100000000000001" customHeight="1" x14ac:dyDescent="0.2">
      <c r="A11" s="5" t="str">
        <f>HYPERLINK("#'Input - Pasture Beef'!A1", "Pasture Beef")</f>
        <v>Pasture Beef</v>
      </c>
      <c r="D11" s="77" t="s">
        <v>121</v>
      </c>
      <c r="E11" s="9" t="s">
        <v>133</v>
      </c>
    </row>
    <row r="12" spans="1:21" ht="20.100000000000001" customHeight="1" x14ac:dyDescent="0.2">
      <c r="A12" s="5" t="str">
        <f>HYPERLINK("#'Input - Livestock sales'!A1", "Livestock sales")</f>
        <v>Livestock sales</v>
      </c>
    </row>
    <row r="13" spans="1:21" ht="20.100000000000001" customHeight="1" x14ac:dyDescent="0.2">
      <c r="A13" s="5" t="str">
        <f>HYPERLINK("#'Input - Beef cattle purchases'!A1", "Beef cattle purchases")</f>
        <v>Beef cattle purchases</v>
      </c>
      <c r="D13" s="105" t="s">
        <v>1444</v>
      </c>
      <c r="E13" s="106" t="s">
        <v>1445</v>
      </c>
      <c r="F13" s="108"/>
      <c r="G13" s="105" t="s">
        <v>636</v>
      </c>
      <c r="H13" s="109" t="s">
        <v>1219</v>
      </c>
      <c r="I13" s="111" t="str" cm="1">
        <f t="array" aca="1" ref="I13" ca="1">HYPERLINK(Common_InputFunctions.Utility_SourceHyperlink($D$22), $D$22)</f>
        <v>Table_E_lime</v>
      </c>
    </row>
    <row r="14" spans="1:21" ht="20.100000000000001" customHeight="1" x14ac:dyDescent="0.2">
      <c r="A14" s="5" t="str">
        <f>HYPERLINK("#'Input - Pasture'!A1", "Pasture")</f>
        <v>Pasture</v>
      </c>
      <c r="D14" s="105" t="s">
        <v>690</v>
      </c>
      <c r="E14" s="106" t="s">
        <v>1446</v>
      </c>
      <c r="F14" s="108"/>
      <c r="G14" s="105" t="s">
        <v>346</v>
      </c>
      <c r="H14" s="109" t="s">
        <v>1219</v>
      </c>
      <c r="I14" s="111" t="str" cm="1">
        <f t="array" aca="1" ref="I14" ca="1">HYPERLINK(Common_InputFunctions.Utility_SourceHyperlink($D$22), $D$22)</f>
        <v>Table_E_lime</v>
      </c>
    </row>
    <row r="15" spans="1:21" ht="20.100000000000001" customHeight="1" x14ac:dyDescent="0.2">
      <c r="A15" s="5" t="str">
        <f>HYPERLINK("#'Input - Fert Prod System'!A1", "Fert Prod System")</f>
        <v>Fert Prod System</v>
      </c>
      <c r="D15" s="105" t="s">
        <v>1447</v>
      </c>
      <c r="E15" s="106" t="s">
        <v>1448</v>
      </c>
      <c r="F15" s="108"/>
      <c r="G15" s="105" t="s">
        <v>346</v>
      </c>
      <c r="H15" s="110" t="s">
        <v>1220</v>
      </c>
      <c r="I15" s="105">
        <f>'Constants - Fertiliser'!$E$66</f>
        <v>0.9</v>
      </c>
    </row>
    <row r="16" spans="1:21" ht="20.100000000000001" customHeight="1" x14ac:dyDescent="0.2">
      <c r="A16" s="5" t="str">
        <f>HYPERLINK("#'Input - Fertiliser'!A1", "Fertiliser")</f>
        <v>Fertiliser</v>
      </c>
      <c r="D16" s="105" t="s">
        <v>1449</v>
      </c>
      <c r="E16" s="106" t="s">
        <v>1450</v>
      </c>
      <c r="F16" s="108"/>
      <c r="G16" s="105" t="s">
        <v>1457</v>
      </c>
      <c r="H16" s="110" t="s">
        <v>1220</v>
      </c>
      <c r="I16" s="105">
        <f>'Constants - Fertiliser'!$F$66</f>
        <v>0.12</v>
      </c>
    </row>
    <row r="17" spans="1:9" ht="20.100000000000001" customHeight="1" x14ac:dyDescent="0.2">
      <c r="A17" s="5" t="str">
        <f>HYPERLINK("#'Input - Fuel'!A1", "Fuel")</f>
        <v>Fuel</v>
      </c>
      <c r="D17" s="105" t="s">
        <v>691</v>
      </c>
      <c r="E17" s="106" t="s">
        <v>1451</v>
      </c>
      <c r="F17" s="108"/>
      <c r="G17" s="105" t="s">
        <v>346</v>
      </c>
      <c r="H17" s="109" t="s">
        <v>1219</v>
      </c>
      <c r="I17" s="111" t="str" cm="1">
        <f t="array" aca="1" ref="I17" ca="1">HYPERLINK(Common_InputFunctions.Utility_SourceHyperlink($D$22), $D$22)</f>
        <v>Table_E_lime</v>
      </c>
    </row>
    <row r="18" spans="1:9" ht="20.100000000000001" customHeight="1" x14ac:dyDescent="0.2">
      <c r="A18" s="5" t="str">
        <f>HYPERLINK("#'Input - Electricity'!A1", "Electricity")</f>
        <v>Electricity</v>
      </c>
      <c r="D18" s="105" t="s">
        <v>1452</v>
      </c>
      <c r="E18" s="106" t="s">
        <v>1453</v>
      </c>
      <c r="F18" s="108"/>
      <c r="G18" s="105" t="s">
        <v>346</v>
      </c>
      <c r="H18" s="110" t="s">
        <v>1220</v>
      </c>
      <c r="I18" s="105">
        <f>'Constants - Fertiliser'!$E$67</f>
        <v>0.95</v>
      </c>
    </row>
    <row r="19" spans="1:9" ht="20.100000000000001" customHeight="1" x14ac:dyDescent="0.2">
      <c r="A19" s="5" t="str">
        <f>HYPERLINK("#'Input - Common farm inputs'!A1", "Common farm inputs")</f>
        <v>Common farm inputs</v>
      </c>
      <c r="D19" s="105" t="s">
        <v>1454</v>
      </c>
      <c r="E19" s="106" t="s">
        <v>1455</v>
      </c>
      <c r="F19" s="108"/>
      <c r="G19" s="105" t="s">
        <v>1457</v>
      </c>
      <c r="H19" s="110" t="s">
        <v>1220</v>
      </c>
      <c r="I19" s="105">
        <f>'Constants - Fertiliser'!$F$67</f>
        <v>0.13</v>
      </c>
    </row>
    <row r="20" spans="1:9" ht="20.100000000000001" customHeight="1" x14ac:dyDescent="0.2">
      <c r="A20" s="5" t="str">
        <f>HYPERLINK("#'Input - Crop pasture farm input'!A1", "Crop pasture farm input")</f>
        <v>Crop pasture farm input</v>
      </c>
      <c r="D20" s="105" t="s">
        <v>1424</v>
      </c>
      <c r="E20" s="106" t="s">
        <v>1456</v>
      </c>
      <c r="F20" s="108"/>
      <c r="G20" s="105"/>
      <c r="H20" s="110" t="s">
        <v>1220</v>
      </c>
      <c r="I20" s="116">
        <f>Common_InputFunctions.Utility_LookupValueInTableNumber("CO2",Table_GasToMolecularConversionFactor[Gas], Table_GasToMolecularConversionFactor[Conversion factor combined])</f>
        <v>3.6666666666666665</v>
      </c>
    </row>
    <row r="21" spans="1:9" ht="20.100000000000001" customHeight="1" x14ac:dyDescent="0.2">
      <c r="A21" s="5" t="str">
        <f>HYPERLINK("#'Input - Livestock farm Inputs'!A1", "Livestock farm Inputs")</f>
        <v>Livestock farm Inputs</v>
      </c>
    </row>
    <row r="22" spans="1:9" ht="20.100000000000001" customHeight="1" x14ac:dyDescent="0.2">
      <c r="A22" s="5" t="str">
        <f>HYPERLINK("#'Input - Freight'!A1", "Freight")</f>
        <v>Freight</v>
      </c>
      <c r="D22" s="112" t="s">
        <v>687</v>
      </c>
    </row>
    <row r="23" spans="1:9" ht="20.100000000000001" customHeight="1" x14ac:dyDescent="0.2">
      <c r="A23" s="5" t="str">
        <f>HYPERLINK("#'Input - Solid waste'!A1", "Solid waste")</f>
        <v>Solid waste</v>
      </c>
      <c r="D23" s="113" t="s">
        <v>263</v>
      </c>
    </row>
    <row r="24" spans="1:9" ht="20.100000000000001" customHeight="1" x14ac:dyDescent="0.2">
      <c r="A24" s="5" t="str">
        <f>HYPERLINK("#'Input - Manure sent off-site'!A1", "Manure sent off-site")</f>
        <v>Manure sent off-site</v>
      </c>
      <c r="D24" s="82" t="s">
        <v>688</v>
      </c>
      <c r="E24" s="82" t="s">
        <v>689</v>
      </c>
      <c r="F24" s="82" t="s">
        <v>690</v>
      </c>
      <c r="G24" s="82" t="s">
        <v>691</v>
      </c>
      <c r="H24" s="114" t="s">
        <v>692</v>
      </c>
    </row>
    <row r="25" spans="1:9" ht="20.100000000000001" customHeight="1" x14ac:dyDescent="0.2">
      <c r="A25" s="5" t="str">
        <f>HYPERLINK("#'Input - Data quality'!A1", "Data quality")</f>
        <v>Data quality</v>
      </c>
      <c r="D25" s="15" cm="1">
        <f t="array" ref="D25:D27">Table_Input_Lime[Product]</f>
        <v>0</v>
      </c>
      <c r="E25" s="171" cm="1">
        <f t="array" ref="E25:E27">Table_Input_Lime[Total amount applied (t)]*10^3</f>
        <v>0</v>
      </c>
      <c r="F25" s="172" cm="1">
        <f t="array" ref="F25:F27">Table_Input_Lime[Percent Lime CaCO3]</f>
        <v>0</v>
      </c>
      <c r="G25" s="172" cm="1">
        <f t="array" ref="G25:G27">Table_Input_Lime[Percent Dolomite CaMg(CO3)2]</f>
        <v>0</v>
      </c>
      <c r="H25" s="15">
        <f>(((E25 * F25 * $I$15 * $I$16) + (E25 * G25 * $I$18 * $I$19)) * $I$20 * 10 ^ -3)</f>
        <v>0</v>
      </c>
    </row>
    <row r="26" spans="1:9" ht="20.100000000000001" customHeight="1" x14ac:dyDescent="0.2">
      <c r="D26" s="15">
        <v>0</v>
      </c>
      <c r="E26" s="15">
        <v>0</v>
      </c>
      <c r="F26" s="15">
        <v>0</v>
      </c>
      <c r="G26" s="15">
        <v>0</v>
      </c>
      <c r="H26" s="15">
        <f>(((E26 * F26 * $I$15 * $I$16) + (E26 * G26 * $I$18 * $I$19)) * $I$20 * 10 ^ -3)</f>
        <v>0</v>
      </c>
    </row>
    <row r="27" spans="1:9" ht="20.100000000000001" customHeight="1" x14ac:dyDescent="0.2">
      <c r="D27" s="15">
        <v>0</v>
      </c>
      <c r="E27" s="15">
        <v>0</v>
      </c>
      <c r="F27" s="15">
        <v>0</v>
      </c>
      <c r="G27" s="15">
        <v>0</v>
      </c>
      <c r="H27" s="15">
        <f>(((E27 * F27 * $I$15 * $I$16) + (E27 * G27 * $I$18 * $I$19)) * $I$20 * 10 ^ -3)</f>
        <v>0</v>
      </c>
    </row>
    <row r="28" spans="1:9" ht="20.100000000000001" customHeight="1" x14ac:dyDescent="0.2">
      <c r="A28" s="6" t="s">
        <v>2</v>
      </c>
      <c r="D28" s="15"/>
      <c r="E28" s="15"/>
      <c r="F28" s="15"/>
      <c r="G28" s="15"/>
      <c r="H28" s="15">
        <f>(((E28 * F28 * $I$15 * $I$16) + (E28 * G28 * $I$18 * $I$19)) * $I$20 * 10 ^ -3)</f>
        <v>0</v>
      </c>
    </row>
    <row r="29" spans="1:9" ht="20.100000000000001" customHeight="1" x14ac:dyDescent="0.2">
      <c r="A29" s="5" t="str">
        <f>HYPERLINK("#'3.2.1.1-2 Enteric Methane'!A1", "3.2.1.1-2 Enteric Methane")</f>
        <v>3.2.1.1-2 Enteric Methane</v>
      </c>
      <c r="D29" s="15"/>
      <c r="E29" s="15"/>
      <c r="F29" s="15"/>
      <c r="G29" s="15"/>
      <c r="H29" s="15">
        <f>(((E29 * F29 * $I$15 * $I$16) + (E29 * G29 * $I$18 * $I$19)) * $I$20 * 10 ^ -3)</f>
        <v>0</v>
      </c>
    </row>
    <row r="30" spans="1:9" ht="20.100000000000001" customHeight="1" x14ac:dyDescent="0.2">
      <c r="A30" s="5" t="str">
        <f>HYPERLINK("#'4.2.1.1-2 Methane'!A1", "4.2.1.1-2 Manure methane")</f>
        <v>4.2.1.1-2 Manure methane</v>
      </c>
    </row>
    <row r="31" spans="1:9" ht="20.100000000000001" customHeight="1" x14ac:dyDescent="0.2">
      <c r="A31" s="5" t="str">
        <f>HYPERLINK("#'4.2.1.3-4 Soil direct N20'!A1", "4.2.1.3-4 Soil direct N2O")</f>
        <v>4.2.1.3-4 Soil direct N2O</v>
      </c>
      <c r="D31" s="90" t="s">
        <v>693</v>
      </c>
      <c r="E31" s="91">
        <f>SUM(H25:H29)</f>
        <v>0</v>
      </c>
      <c r="F31" s="173" t="s">
        <v>133</v>
      </c>
    </row>
    <row r="32" spans="1:9" ht="20.100000000000001" customHeight="1" x14ac:dyDescent="0.2">
      <c r="A32" s="5" t="str">
        <f>HYPERLINK("#'4.2.1.5-6 Soil Atmos Dep'!A1", "4.2.1.5-6 Soil atm. deposition")</f>
        <v>4.2.1.5-6 Soil atm. deposition</v>
      </c>
    </row>
    <row r="33" spans="1:1" ht="20.100000000000001" customHeight="1" x14ac:dyDescent="0.2">
      <c r="A33" s="5" t="str">
        <f>HYPERLINK("#'4.2.1.7-8 Soil leach runoff'!A1", "4.2.1.7-8 Soil leach &amp; runoff")</f>
        <v>4.2.1.7-8 Soil leach &amp; runoff</v>
      </c>
    </row>
    <row r="34" spans="1:1" ht="20.100000000000001" customHeight="1" x14ac:dyDescent="0.2">
      <c r="A34" s="5" t="str">
        <f>HYPERLINK("#'5.1.1.1-2 Inorganic fert N2O'!A1", "5.1.1.1-2 Inorganic fert N2O")</f>
        <v>5.1.1.1-2 Inorganic fert N2O</v>
      </c>
    </row>
    <row r="35" spans="1:1" ht="20.100000000000001" customHeight="1" x14ac:dyDescent="0.2">
      <c r="A35" s="5" t="str">
        <f>HYPERLINK("#'5.1.1.3-4 Inorganic fert CO2'!A1", "5.1.1.3-4 Inorganic fert CO2")</f>
        <v>5.1.1.3-4 Inorganic fert CO2</v>
      </c>
    </row>
    <row r="36" spans="1:1" ht="20.100000000000001" customHeight="1" x14ac:dyDescent="0.2">
      <c r="A36" s="5" t="str">
        <f>HYPERLINK("#'5.2.1.1-2 Organic Fert N2O'!A1", "5.2.1.1-2 Organic fert N2O")</f>
        <v>5.2.1.1-2 Organic fert N2O</v>
      </c>
    </row>
    <row r="37" spans="1:1" ht="20.100000000000001" customHeight="1" x14ac:dyDescent="0.2">
      <c r="A37" s="104" t="str">
        <f>HYPERLINK("#'5.3.1.1-2 Lime CO2'!A1", "5.3.1.1-2 Lime CO2")</f>
        <v>5.3.1.1-2 Lime CO2</v>
      </c>
    </row>
    <row r="38" spans="1:1" ht="20.100000000000001" customHeight="1" x14ac:dyDescent="0.2">
      <c r="A38" s="5" t="str">
        <f>HYPERLINK("#'5.4.1.1-4 Atmos deposition'!A1", "5.4.1.1-4 Atmos. deposition")</f>
        <v>5.4.1.1-4 Atmos. deposition</v>
      </c>
    </row>
    <row r="39" spans="1:1" ht="20.100000000000001" customHeight="1" x14ac:dyDescent="0.2">
      <c r="A39" s="5" t="str">
        <f>HYPERLINK("#'5.5.1.1-2 Leaching and runoff'!A1", "5.5.1.1-2 Leaching &amp; runoff")</f>
        <v>5.5.1.1-2 Leaching &amp; runoff</v>
      </c>
    </row>
    <row r="40" spans="1:1" ht="20.100000000000001" customHeight="1" x14ac:dyDescent="0.2">
      <c r="A40" s="5" t="str">
        <f>HYPERLINK("#'6.2.1.1-2 Pasture residue N2O'!A1", "6.2.1.1-2 Pasture residue N2O")</f>
        <v>6.2.1.1-2 Pasture residue N2O</v>
      </c>
    </row>
    <row r="41" spans="1:1" ht="20.100000000000001" customHeight="1" x14ac:dyDescent="0.2">
      <c r="A41" s="5" t="str">
        <f>HYPERLINK("#'6.3.1.1-2 Leach runoff pasture'!A1", "6.3.1.1-2 Leach &amp; runoff (pasture)")</f>
        <v>6.3.1.1-2 Leach &amp; runoff (pasture)</v>
      </c>
    </row>
    <row r="42" spans="1:1" ht="20.100000000000001" customHeight="1" x14ac:dyDescent="0.2">
      <c r="A42" s="5" t="str">
        <f>HYPERLINK("#'8.1.1.1-2 Transport fuel'!A1", "8.1.1.1-2 Transport fuel")</f>
        <v>8.1.1.1-2 Transport fuel</v>
      </c>
    </row>
    <row r="43" spans="1:1" ht="20.100000000000001" customHeight="1" x14ac:dyDescent="0.2">
      <c r="A43" s="5" t="str">
        <f>HYPERLINK("#'8.2.1.1-2 Stationary fuel'!A1", "8.2.1.1-2 Stationary fuel")</f>
        <v>8.2.1.1-2 Stationary fuel</v>
      </c>
    </row>
    <row r="44" spans="1:1" ht="20.100000000000001" customHeight="1" x14ac:dyDescent="0.2">
      <c r="A44" s="5" t="str">
        <f>HYPERLINK("#'10.1.1-2 Solid waste treatment'!A1", "10.1.1.1-2 Solid waste")</f>
        <v>10.1.1.1-2 Solid waste</v>
      </c>
    </row>
    <row r="45" spans="1:1" ht="20.100000000000001" customHeight="1" x14ac:dyDescent="0.2">
      <c r="A45" s="5" t="str">
        <f>HYPERLINK("#'14.1.1-2 Purchased electricity'!A1", "14.1.1-2 Purchased electricity")</f>
        <v>14.1.1-2 Purchased electricity</v>
      </c>
    </row>
    <row r="46" spans="1:1" ht="20.100000000000001" customHeight="1" x14ac:dyDescent="0.2">
      <c r="A46" s="5" t="str">
        <f>HYPERLINK("#'15 Scope 3'!A1", "15 Scope 3")</f>
        <v>15 Scope 3</v>
      </c>
    </row>
    <row r="47" spans="1:1" ht="20.100000000000001" customHeight="1" x14ac:dyDescent="0.2">
      <c r="A47" s="5" t="str">
        <f>HYPERLINK("#'Calcs - Manure sent off-site'!A1", "Calcs - Manure sent off-site")</f>
        <v>Calcs - Manure sent off-site</v>
      </c>
    </row>
    <row r="50" spans="1:1" ht="20.100000000000001" customHeight="1" x14ac:dyDescent="0.2">
      <c r="A50" s="85" t="s">
        <v>1</v>
      </c>
    </row>
    <row r="51" spans="1:1" ht="20.100000000000001" customHeight="1" x14ac:dyDescent="0.2">
      <c r="A51" s="5" t="str">
        <f>HYPERLINK("#'Constants - Pasture Beef'!A1", "Constants - Pasture Beef")</f>
        <v>Constants - Pasture Beef</v>
      </c>
    </row>
    <row r="52" spans="1:1" ht="20.100000000000001" customHeight="1" x14ac:dyDescent="0.2">
      <c r="A52" s="5" t="str">
        <f>HYPERLINK("#'Constants - Ag Residue'!A1", "Constants - Ag residue")</f>
        <v>Constants - Ag residue</v>
      </c>
    </row>
    <row r="53" spans="1:1" ht="20.100000000000001" customHeight="1" x14ac:dyDescent="0.2">
      <c r="A53" s="5" t="str">
        <f>HYPERLINK("#'Constants - Common Livestock'!A1", "Constants - Common Livestock")</f>
        <v>Constants - Common Livestock</v>
      </c>
    </row>
    <row r="54" spans="1:1" ht="20.100000000000001" customHeight="1" x14ac:dyDescent="0.2">
      <c r="A54" s="5" t="str">
        <f>HYPERLINK("#'Constants - Electricity'!A1", "Constants - Electricity")</f>
        <v>Constants - Electricity</v>
      </c>
    </row>
    <row r="55" spans="1:1" ht="20.100000000000001" customHeight="1" x14ac:dyDescent="0.2">
      <c r="A55" s="5" t="str">
        <f>HYPERLINK("#'Constants - Fertiliser'!A1", "Constants - Fertiliser")</f>
        <v>Constants - Fertiliser</v>
      </c>
    </row>
    <row r="56" spans="1:1" ht="20.100000000000001" customHeight="1" x14ac:dyDescent="0.2">
      <c r="A56" s="5" t="str">
        <f>HYPERLINK("#'Constants - Fuel'!A1", "Constants - Fuel")</f>
        <v>Constants - Fuel</v>
      </c>
    </row>
    <row r="57" spans="1:1" ht="20.100000000000001" customHeight="1" x14ac:dyDescent="0.2">
      <c r="A57" s="5" t="str">
        <f>HYPERLINK("#'Constants - Scope 3'!A1", "Constants - Scope 3")</f>
        <v>Constants - Scope 3</v>
      </c>
    </row>
    <row r="58" spans="1:1" ht="20.100000000000001" customHeight="1" x14ac:dyDescent="0.2">
      <c r="A58" s="5" t="str">
        <f>HYPERLINK("#'Constants - Solid Waste'!A1", "Constants - Solid Waste")</f>
        <v>Constants - Solid Waste</v>
      </c>
    </row>
    <row r="59" spans="1:1" ht="20.100000000000001" customHeight="1" x14ac:dyDescent="0.2">
      <c r="A59" s="5" t="str">
        <f>HYPERLINK("#'Constants - Common'!A1", "Constants - Common")</f>
        <v>Constants - Common</v>
      </c>
    </row>
    <row r="60" spans="1:1" ht="20.100000000000001" customHeight="1" x14ac:dyDescent="0.2">
      <c r="A60" s="5" t="str">
        <f>HYPERLINK("#'Acknowledgements'!A1", "Acknowledgements")</f>
        <v>Acknowledgements</v>
      </c>
    </row>
  </sheetData>
  <pageMargins left="0.7" right="0.7" top="0.75" bottom="0.75" header="0.3" footer="0.3"/>
  <pageSetup paperSize="9" orientation="portrait" r:id="rId1"/>
  <drawing r:id="rId2"/>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6C892F-78CA-4B0E-A88F-3B4F83CEFEF4}">
  <sheetPr>
    <tabColor rgb="FF008000"/>
  </sheetPr>
  <dimension ref="A1:U151"/>
  <sheetViews>
    <sheetView showGridLines="0" zoomScaleNormal="100" workbookViewId="0">
      <pane xSplit="1" topLeftCell="B1" activePane="topRight" state="frozen"/>
      <selection pane="topRight" activeCell="A59" sqref="A59"/>
    </sheetView>
  </sheetViews>
  <sheetFormatPr defaultRowHeight="20.100000000000001" customHeight="1" x14ac:dyDescent="0.2"/>
  <cols>
    <col min="1" max="1" width="36.7109375" customWidth="1"/>
    <col min="2" max="2" width="4.7109375" customWidth="1"/>
    <col min="3" max="3" width="4.7109375" style="1" customWidth="1"/>
    <col min="4" max="11" width="30.7109375" style="1" customWidth="1"/>
    <col min="12" max="12" width="4.7109375" style="1" customWidth="1"/>
    <col min="13" max="13" width="4.7109375" customWidth="1"/>
    <col min="14" max="14" width="4.7109375" style="1" customWidth="1"/>
    <col min="15" max="20" width="30.7109375" style="1" customWidth="1"/>
    <col min="21" max="21" width="4.7109375" style="1" customWidth="1"/>
  </cols>
  <sheetData>
    <row r="1" spans="1:21" s="21" customFormat="1" ht="30" customHeight="1" x14ac:dyDescent="0.35">
      <c r="A1" s="10" t="e" vm="1">
        <v>#VALUE!</v>
      </c>
      <c r="C1" s="21" t="s">
        <v>694</v>
      </c>
    </row>
    <row r="2" spans="1:21" s="3" customFormat="1" ht="20.100000000000001" customHeight="1" x14ac:dyDescent="0.2">
      <c r="A2"/>
    </row>
    <row r="3" spans="1:21" ht="20.100000000000001" customHeight="1" x14ac:dyDescent="0.2">
      <c r="A3" s="5" t="str">
        <f>HYPERLINK("#'Home'!A1", "Home")</f>
        <v>Home</v>
      </c>
      <c r="C3" s="23"/>
      <c r="D3" s="23" t="s">
        <v>136</v>
      </c>
      <c r="E3" s="23"/>
      <c r="F3" s="23"/>
      <c r="G3" s="23"/>
      <c r="H3" s="23"/>
      <c r="I3" s="23"/>
      <c r="J3" s="23"/>
      <c r="K3" s="23"/>
      <c r="L3" s="23"/>
      <c r="N3" s="23"/>
      <c r="O3" s="23" t="s">
        <v>137</v>
      </c>
      <c r="P3" s="23"/>
      <c r="Q3" s="23"/>
      <c r="R3" s="23"/>
      <c r="S3" s="23"/>
      <c r="T3" s="23"/>
      <c r="U3" s="23"/>
    </row>
    <row r="4" spans="1:21" ht="20.100000000000001" customHeight="1" x14ac:dyDescent="0.2">
      <c r="A4" s="5" t="str">
        <f>HYPERLINK("#'Results - Activity period'!A1", "Results - Activity period")</f>
        <v>Results - Activity period</v>
      </c>
    </row>
    <row r="5" spans="1:21" ht="20.100000000000001" customHeight="1" x14ac:dyDescent="0.2">
      <c r="A5" s="5" t="str">
        <f>HYPERLINK("#'Results - Product EI'!A1", "Results - Product Emissions Intensity")</f>
        <v>Results - Product Emissions Intensity</v>
      </c>
      <c r="D5" s="2" t="s">
        <v>1458</v>
      </c>
    </row>
    <row r="6" spans="1:21" ht="20.100000000000001" customHeight="1" x14ac:dyDescent="0.2">
      <c r="D6" s="17" t="s">
        <v>1459</v>
      </c>
    </row>
    <row r="7" spans="1:21" ht="20.100000000000001" customHeight="1" x14ac:dyDescent="0.2">
      <c r="D7" s="103"/>
      <c r="E7" s="103"/>
    </row>
    <row r="8" spans="1:21" ht="20.100000000000001" customHeight="1" x14ac:dyDescent="0.2">
      <c r="A8" s="7" t="s">
        <v>0</v>
      </c>
    </row>
    <row r="9" spans="1:21" ht="20.100000000000001" customHeight="1" x14ac:dyDescent="0.2">
      <c r="A9" s="5" t="str">
        <f>HYPERLINK("#'Input - Enterprise'!A1", "Enterprise")</f>
        <v>Enterprise</v>
      </c>
    </row>
    <row r="10" spans="1:21" ht="20.100000000000001" customHeight="1" x14ac:dyDescent="0.2">
      <c r="A10" s="5" t="str">
        <f>HYPERLINK("#'Input - Site'!A1", "Site")</f>
        <v>Site</v>
      </c>
      <c r="D10" s="77" t="s">
        <v>373</v>
      </c>
      <c r="E10" s="1" t="s">
        <v>1460</v>
      </c>
    </row>
    <row r="11" spans="1:21" ht="20.100000000000001" customHeight="1" x14ac:dyDescent="0.2">
      <c r="A11" s="5" t="str">
        <f>HYPERLINK("#'Input - Pasture Beef'!A1", "Pasture Beef")</f>
        <v>Pasture Beef</v>
      </c>
      <c r="D11" s="77" t="s">
        <v>121</v>
      </c>
      <c r="E11" s="9" t="s">
        <v>1055</v>
      </c>
    </row>
    <row r="12" spans="1:21" ht="20.100000000000001" customHeight="1" x14ac:dyDescent="0.2">
      <c r="A12" s="5" t="str">
        <f>HYPERLINK("#'Input - Livestock sales'!A1", "Livestock sales")</f>
        <v>Livestock sales</v>
      </c>
    </row>
    <row r="13" spans="1:21" ht="20.100000000000001" customHeight="1" x14ac:dyDescent="0.2">
      <c r="A13" s="5" t="str">
        <f>HYPERLINK("#'Input - Beef cattle purchases'!A1", "Beef cattle purchases")</f>
        <v>Beef cattle purchases</v>
      </c>
      <c r="D13" s="105" t="s">
        <v>1376</v>
      </c>
      <c r="E13" s="106" t="s">
        <v>1461</v>
      </c>
      <c r="F13" s="108"/>
      <c r="G13" s="105" t="s">
        <v>1055</v>
      </c>
      <c r="H13" s="110" t="s">
        <v>1397</v>
      </c>
      <c r="I13" s="111" t="str" cm="1">
        <f t="array" aca="1" ref="I13" ca="1">HYPERLINK(Common_InputFunctions.Utility_SourceHyperlink($D$16),$D$16)</f>
        <v>Table_M_vol_inorganic_j_f</v>
      </c>
    </row>
    <row r="14" spans="1:21" ht="20.100000000000001" customHeight="1" x14ac:dyDescent="0.2">
      <c r="A14" s="5" t="str">
        <f>HYPERLINK("#'Input - Pasture'!A1", "Pasture")</f>
        <v>Pasture</v>
      </c>
      <c r="D14" s="105" t="s">
        <v>1462</v>
      </c>
      <c r="E14" s="106" t="s">
        <v>1463</v>
      </c>
      <c r="F14" s="108"/>
      <c r="G14" s="105" t="s">
        <v>1464</v>
      </c>
      <c r="H14" s="110" t="s">
        <v>1220</v>
      </c>
      <c r="I14" s="111" t="str" cm="1">
        <f t="array" aca="1" ref="I14" ca="1">HYPERLINK(Common_InputFunctions.Utility_SourceHyperlink($D$16),$D$16)</f>
        <v>Table_M_vol_inorganic_j_f</v>
      </c>
    </row>
    <row r="15" spans="1:21" ht="20.100000000000001" customHeight="1" x14ac:dyDescent="0.2">
      <c r="A15" s="5" t="str">
        <f>HYPERLINK("#'Input - Fert Prod System'!A1", "Fert Prod System")</f>
        <v>Fert Prod System</v>
      </c>
    </row>
    <row r="16" spans="1:21" ht="20.100000000000001" customHeight="1" x14ac:dyDescent="0.2">
      <c r="A16" s="5" t="str">
        <f>HYPERLINK("#'Input - Fertiliser'!A1", "Fertiliser")</f>
        <v>Fertiliser</v>
      </c>
      <c r="D16" s="112" t="s">
        <v>695</v>
      </c>
    </row>
    <row r="17" spans="1:8" ht="20.100000000000001" customHeight="1" x14ac:dyDescent="0.2">
      <c r="A17" s="5" t="str">
        <f>HYPERLINK("#'Input - Fuel'!A1", "Fuel")</f>
        <v>Fuel</v>
      </c>
      <c r="D17" s="113" t="s">
        <v>696</v>
      </c>
    </row>
    <row r="18" spans="1:8" ht="20.100000000000001" customHeight="1" x14ac:dyDescent="0.2">
      <c r="A18" s="5" t="str">
        <f>HYPERLINK("#'Input - Electricity'!A1", "Electricity")</f>
        <v>Electricity</v>
      </c>
      <c r="D18" s="114" t="s">
        <v>697</v>
      </c>
      <c r="E18" s="114" t="s">
        <v>698</v>
      </c>
      <c r="F18" s="114" t="s">
        <v>699</v>
      </c>
      <c r="G18" s="174" t="s">
        <v>700</v>
      </c>
      <c r="H18" s="174" t="s">
        <v>701</v>
      </c>
    </row>
    <row r="19" spans="1:8" ht="20.100000000000001" customHeight="1" x14ac:dyDescent="0.2">
      <c r="A19" s="5" t="str">
        <f>HYPERLINK("#'Input - Common farm inputs'!A1", "Common farm inputs")</f>
        <v>Common farm inputs</v>
      </c>
      <c r="D19" s="15" t="str" cm="1">
        <f t="array" ref="D19:D37">Table_Fertiliser_ChemicalCompounds[Fertiliser type f]</f>
        <v>Monoammonium phosphate (MAP)</v>
      </c>
      <c r="E19" s="15">
        <f>INDEX(Table_MN_j_f,2,4)</f>
        <v>0</v>
      </c>
      <c r="F19" s="15" t="str" cm="1">
        <f t="array" ref="F19">Common_InputFunctions.Utility_LookupValueInTable(D19, Table_Fertiliser_ChemicalCompounds[Fertiliser type f],Table_Fertiliser_ChemicalCompounds[Basis])</f>
        <v>Ammonium-based fertilisers</v>
      </c>
      <c r="G19" s="15" cm="1">
        <f t="array" ref="G19">Common_InputFunctions.Utility_LookupValueInTableNumber(F19, Table_SourceData_Fertiliser_FracGASF[Fertiliser type f],Table_SourceData_Fertiliser_FracGASF[FracGASF f])</f>
        <v>0.08</v>
      </c>
      <c r="H19" s="15">
        <f>(E19 * G19)</f>
        <v>0</v>
      </c>
    </row>
    <row r="20" spans="1:8" ht="20.100000000000001" customHeight="1" x14ac:dyDescent="0.2">
      <c r="A20" s="5" t="str">
        <f>HYPERLINK("#'Input - Crop pasture farm input'!A1", "Crop pasture farm input")</f>
        <v>Crop pasture farm input</v>
      </c>
      <c r="D20" s="15" t="str">
        <v>Diammonium phosphate (DAP)</v>
      </c>
      <c r="E20" s="15">
        <f>INDEX(Table_MN_j_f,3,4)</f>
        <v>0</v>
      </c>
      <c r="F20" s="15" t="str" cm="1">
        <f t="array" ref="F20">Common_InputFunctions.Utility_LookupValueInTable(D20, Table_Fertiliser_ChemicalCompounds[Fertiliser type f],Table_Fertiliser_ChemicalCompounds[Basis])</f>
        <v>Ammonium-based fertilisers</v>
      </c>
      <c r="G20" s="15" cm="1">
        <f t="array" ref="G20">Common_InputFunctions.Utility_LookupValueInTableNumber(F20, Table_SourceData_Fertiliser_FracGASF[Fertiliser type f],Table_SourceData_Fertiliser_FracGASF[FracGASF f])</f>
        <v>0.08</v>
      </c>
      <c r="H20" s="15">
        <f>(E20 * G20)</f>
        <v>0</v>
      </c>
    </row>
    <row r="21" spans="1:8" ht="20.100000000000001" customHeight="1" x14ac:dyDescent="0.2">
      <c r="A21" s="5" t="str">
        <f>HYPERLINK("#'Input - Livestock farm Inputs'!A1", "Livestock farm Inputs")</f>
        <v>Livestock farm Inputs</v>
      </c>
      <c r="D21" s="15" t="str">
        <v>Urea</v>
      </c>
      <c r="E21" s="15">
        <f>INDEX(Table_MN_j_f,4,4)</f>
        <v>0</v>
      </c>
      <c r="F21" s="15" t="str" cm="1">
        <f t="array" ref="F21">Common_InputFunctions.Utility_LookupValueInTable(D21, Table_Fertiliser_ChemicalCompounds[Fertiliser type f],Table_Fertiliser_ChemicalCompounds[Basis])</f>
        <v>Urea-based fertilisers</v>
      </c>
      <c r="G21" s="15" cm="1">
        <f t="array" ref="G21">Common_InputFunctions.Utility_LookupValueInTableNumber(F21, Table_SourceData_Fertiliser_FracGASF[Fertiliser type f],Table_SourceData_Fertiliser_FracGASF[FracGASF f])</f>
        <v>0.15</v>
      </c>
      <c r="H21" s="15">
        <f>(E21 * G21)</f>
        <v>0</v>
      </c>
    </row>
    <row r="22" spans="1:8" ht="20.100000000000001" customHeight="1" x14ac:dyDescent="0.2">
      <c r="A22" s="5" t="str">
        <f>HYPERLINK("#'Input - Freight'!A1", "Freight")</f>
        <v>Freight</v>
      </c>
      <c r="D22" s="15" t="str">
        <v>Sulphate of ammonia (SOA)</v>
      </c>
      <c r="E22" s="15">
        <f>INDEX(Table_MN_j_f,5,4)</f>
        <v>0</v>
      </c>
      <c r="F22" s="15" t="str" cm="1">
        <f t="array" ref="F22">Common_InputFunctions.Utility_LookupValueInTable(D22, Table_Fertiliser_ChemicalCompounds[Fertiliser type f],Table_Fertiliser_ChemicalCompounds[Basis])</f>
        <v>Ammonium-based fertilisers</v>
      </c>
      <c r="G22" s="15" cm="1">
        <f t="array" ref="G22">Common_InputFunctions.Utility_LookupValueInTableNumber(F22, Table_SourceData_Fertiliser_FracGASF[Fertiliser type f],Table_SourceData_Fertiliser_FracGASF[FracGASF f])</f>
        <v>0.08</v>
      </c>
      <c r="H22" s="15">
        <f>(E22 * G22)</f>
        <v>0</v>
      </c>
    </row>
    <row r="23" spans="1:8" ht="20.100000000000001" customHeight="1" x14ac:dyDescent="0.2">
      <c r="A23" s="5" t="str">
        <f>HYPERLINK("#'Input - Solid waste'!A1", "Solid waste")</f>
        <v>Solid waste</v>
      </c>
      <c r="D23" s="15" t="str">
        <v>Urea-ammonium nitrate (UAN)</v>
      </c>
      <c r="E23" s="15">
        <f>INDEX(Table_MN_j_f,6,4)</f>
        <v>0</v>
      </c>
      <c r="F23" s="15" t="str" cm="1">
        <f t="array" ref="F23">Common_InputFunctions.Utility_LookupValueInTable(D23, Table_Fertiliser_ChemicalCompounds[Fertiliser type f],Table_Fertiliser_ChemicalCompounds[Basis])</f>
        <v>Urea-based fertilisers</v>
      </c>
      <c r="G23" s="15" cm="1">
        <f t="array" ref="G23">Common_InputFunctions.Utility_LookupValueInTableNumber(F23, Table_SourceData_Fertiliser_FracGASF[Fertiliser type f],Table_SourceData_Fertiliser_FracGASF[FracGASF f])</f>
        <v>0.15</v>
      </c>
      <c r="H23" s="15">
        <f>(E23 * G23)</f>
        <v>0</v>
      </c>
    </row>
    <row r="24" spans="1:8" ht="20.100000000000001" customHeight="1" x14ac:dyDescent="0.2">
      <c r="A24" s="5" t="str">
        <f>HYPERLINK("#'Input - Manure sent off-site'!A1", "Manure sent off-site")</f>
        <v>Manure sent off-site</v>
      </c>
      <c r="D24" s="15" t="str">
        <v>Ammonium nitrate (AN)</v>
      </c>
      <c r="E24" s="15">
        <f>INDEX(Table_MN_j_f,7,4)</f>
        <v>0</v>
      </c>
      <c r="F24" s="15" t="str" cm="1">
        <f t="array" ref="F24">Common_InputFunctions.Utility_LookupValueInTable(D24, Table_Fertiliser_ChemicalCompounds[Fertiliser type f],Table_Fertiliser_ChemicalCompounds[Basis])</f>
        <v>Ammonium-nitrate based fertilisers</v>
      </c>
      <c r="G24" s="15" cm="1">
        <f t="array" ref="G24">Common_InputFunctions.Utility_LookupValueInTableNumber(F24, Table_SourceData_Fertiliser_FracGASF[Fertiliser type f],Table_SourceData_Fertiliser_FracGASF[FracGASF f])</f>
        <v>0.05</v>
      </c>
      <c r="H24" s="15">
        <f>(E24 * G24)</f>
        <v>0</v>
      </c>
    </row>
    <row r="25" spans="1:8" ht="20.100000000000001" customHeight="1" x14ac:dyDescent="0.2">
      <c r="A25" s="5" t="str">
        <f>HYPERLINK("#'Input - Data quality'!A1", "Data quality")</f>
        <v>Data quality</v>
      </c>
      <c r="D25" s="15" t="str">
        <v>Calcium ammonium nitrate (CAN)</v>
      </c>
      <c r="E25" s="15">
        <f>INDEX(Table_MN_j_f,8,4)</f>
        <v>0</v>
      </c>
      <c r="F25" s="15" t="str" cm="1">
        <f t="array" ref="F25">Common_InputFunctions.Utility_LookupValueInTable(D25, Table_Fertiliser_ChemicalCompounds[Fertiliser type f],Table_Fertiliser_ChemicalCompounds[Basis])</f>
        <v>Ammonium-nitrate based fertilisers</v>
      </c>
      <c r="G25" s="15" cm="1">
        <f t="array" ref="G25">Common_InputFunctions.Utility_LookupValueInTableNumber(F25, Table_SourceData_Fertiliser_FracGASF[Fertiliser type f],Table_SourceData_Fertiliser_FracGASF[FracGASF f])</f>
        <v>0.05</v>
      </c>
      <c r="H25" s="15">
        <f>(E25 * G25)</f>
        <v>0</v>
      </c>
    </row>
    <row r="26" spans="1:8" ht="20.100000000000001" customHeight="1" x14ac:dyDescent="0.2">
      <c r="D26" s="15" t="str">
        <v>Nitrogen - Ammoniacal</v>
      </c>
      <c r="E26" s="15">
        <f>INDEX(Table_MN_j_f,9,4)</f>
        <v>0</v>
      </c>
      <c r="F26" s="15" t="str" cm="1">
        <f t="array" ref="F26">Common_InputFunctions.Utility_LookupValueInTable(D26, Table_Fertiliser_ChemicalCompounds[Fertiliser type f],Table_Fertiliser_ChemicalCompounds[Basis])</f>
        <v>Ammonium-based fertilisers</v>
      </c>
      <c r="G26" s="15" cm="1">
        <f t="array" ref="G26">Common_InputFunctions.Utility_LookupValueInTableNumber(F26, Table_SourceData_Fertiliser_FracGASF[Fertiliser type f],Table_SourceData_Fertiliser_FracGASF[FracGASF f])</f>
        <v>0.08</v>
      </c>
      <c r="H26" s="15">
        <f>(E26 * G26)</f>
        <v>0</v>
      </c>
    </row>
    <row r="27" spans="1:8" ht="20.100000000000001" customHeight="1" x14ac:dyDescent="0.2">
      <c r="D27" s="15" t="str">
        <v>Nitrogen - Nitrate</v>
      </c>
      <c r="E27" s="15">
        <f>INDEX(Table_MN_j_f,10,4)</f>
        <v>0</v>
      </c>
      <c r="F27" s="15" t="str" cm="1">
        <f t="array" ref="F27">Common_InputFunctions.Utility_LookupValueInTable(D27, Table_Fertiliser_ChemicalCompounds[Fertiliser type f],Table_Fertiliser_ChemicalCompounds[Basis])</f>
        <v>Nitrate-based fertilisers</v>
      </c>
      <c r="G27" s="15" cm="1">
        <f t="array" ref="G27">Common_InputFunctions.Utility_LookupValueInTableNumber(F27, Table_SourceData_Fertiliser_FracGASF[Fertiliser type f],Table_SourceData_Fertiliser_FracGASF[FracGASF f])</f>
        <v>0.01</v>
      </c>
      <c r="H27" s="15">
        <f>(E27 * G27)</f>
        <v>0</v>
      </c>
    </row>
    <row r="28" spans="1:8" ht="20.100000000000001" customHeight="1" x14ac:dyDescent="0.2">
      <c r="A28" s="6" t="s">
        <v>2</v>
      </c>
      <c r="D28" s="15" t="str">
        <v>Nitrogen - Generic</v>
      </c>
      <c r="E28" s="15">
        <f>INDEX(Table_MN_j_f,11,4)</f>
        <v>0</v>
      </c>
      <c r="F28" s="15" t="str" cm="1">
        <f t="array" ref="F28">Common_InputFunctions.Utility_LookupValueInTable(D28, Table_Fertiliser_ChemicalCompounds[Fertiliser type f],Table_Fertiliser_ChemicalCompounds[Basis])</f>
        <v>Urea-based fertilisers</v>
      </c>
      <c r="G28" s="15" cm="1">
        <f t="array" ref="G28">Common_InputFunctions.Utility_LookupValueInTableNumber(F28, Table_SourceData_Fertiliser_FracGASF[Fertiliser type f],Table_SourceData_Fertiliser_FracGASF[FracGASF f])</f>
        <v>0.15</v>
      </c>
      <c r="H28" s="15">
        <f>(E28 * G28)</f>
        <v>0</v>
      </c>
    </row>
    <row r="29" spans="1:8" ht="20.100000000000001" customHeight="1" x14ac:dyDescent="0.2">
      <c r="A29" s="5" t="str">
        <f>HYPERLINK("#'3.2.1.1-2 Enteric Methane'!A1", "3.2.1.1-2 Enteric Methane")</f>
        <v>3.2.1.1-2 Enteric Methane</v>
      </c>
      <c r="D29" s="15" t="str">
        <v>Phosphorus - Generic</v>
      </c>
      <c r="E29" s="15">
        <f>INDEX(Table_MN_j_f,12,4)</f>
        <v>0</v>
      </c>
      <c r="F29" s="15" t="str" cm="1">
        <f t="array" ref="F29">Common_InputFunctions.Utility_LookupValueInTable(D29, Table_Fertiliser_ChemicalCompounds[Fertiliser type f],Table_Fertiliser_ChemicalCompounds[Basis])</f>
        <v>Other fertilisers</v>
      </c>
      <c r="G29" s="15" cm="1">
        <f t="array" ref="G29">Common_InputFunctions.Utility_LookupValueInTableNumber(F29, Table_SourceData_Fertiliser_FracGASF[Fertiliser type f],Table_SourceData_Fertiliser_FracGASF[FracGASF f])</f>
        <v>0.11</v>
      </c>
      <c r="H29" s="15">
        <f>(E29 * G29)</f>
        <v>0</v>
      </c>
    </row>
    <row r="30" spans="1:8" ht="20.100000000000001" customHeight="1" x14ac:dyDescent="0.2">
      <c r="A30" s="5" t="str">
        <f>HYPERLINK("#'4.2.1.1-2 Methane'!A1", "4.2.1.1-2 Manure methane")</f>
        <v>4.2.1.1-2 Manure methane</v>
      </c>
      <c r="D30" s="15" t="str">
        <v>Potassium - Generic</v>
      </c>
      <c r="E30" s="15">
        <f>INDEX(Table_MN_j_f,13,4)</f>
        <v>0</v>
      </c>
      <c r="F30" s="15" t="str" cm="1">
        <f t="array" ref="F30">Common_InputFunctions.Utility_LookupValueInTable(D30, Table_Fertiliser_ChemicalCompounds[Fertiliser type f],Table_Fertiliser_ChemicalCompounds[Basis])</f>
        <v>Other fertilisers</v>
      </c>
      <c r="G30" s="15" cm="1">
        <f t="array" ref="G30">Common_InputFunctions.Utility_LookupValueInTableNumber(F30, Table_SourceData_Fertiliser_FracGASF[Fertiliser type f],Table_SourceData_Fertiliser_FracGASF[FracGASF f])</f>
        <v>0.11</v>
      </c>
      <c r="H30" s="15">
        <f>(E30 * G30)</f>
        <v>0</v>
      </c>
    </row>
    <row r="31" spans="1:8" ht="20.100000000000001" customHeight="1" x14ac:dyDescent="0.2">
      <c r="A31" s="5" t="str">
        <f>HYPERLINK("#'4.2.1.3-4 Soil direct N20'!A1", "4.2.1.3-4 Soil direct N2O")</f>
        <v>4.2.1.3-4 Soil direct N2O</v>
      </c>
      <c r="D31" s="15" t="str">
        <v>Sulfur - Generic</v>
      </c>
      <c r="E31" s="15">
        <f>INDEX(Table_MN_j_f,14,4)</f>
        <v>0</v>
      </c>
      <c r="F31" s="15" t="str" cm="1">
        <f t="array" ref="F31">Common_InputFunctions.Utility_LookupValueInTable(D31, Table_Fertiliser_ChemicalCompounds[Fertiliser type f],Table_Fertiliser_ChemicalCompounds[Basis])</f>
        <v>Other fertilisers</v>
      </c>
      <c r="G31" s="15" cm="1">
        <f t="array" ref="G31">Common_InputFunctions.Utility_LookupValueInTableNumber(F31, Table_SourceData_Fertiliser_FracGASF[Fertiliser type f],Table_SourceData_Fertiliser_FracGASF[FracGASF f])</f>
        <v>0.11</v>
      </c>
      <c r="H31" s="15">
        <f>(E31 * G31)</f>
        <v>0</v>
      </c>
    </row>
    <row r="32" spans="1:8" ht="20.100000000000001" customHeight="1" x14ac:dyDescent="0.2">
      <c r="A32" s="5" t="str">
        <f>HYPERLINK("#'4.2.1.5-6 Soil Atmos Dep'!A1", "4.2.1.5-6 Soil atm. deposition")</f>
        <v>4.2.1.5-6 Soil atm. deposition</v>
      </c>
      <c r="D32" s="15" t="str">
        <v>Zinc - Generic</v>
      </c>
      <c r="E32" s="15">
        <f>INDEX(Table_MN_j_f,15,4)</f>
        <v>0</v>
      </c>
      <c r="F32" s="15" t="str" cm="1">
        <f t="array" ref="F32">Common_InputFunctions.Utility_LookupValueInTable(D32, Table_Fertiliser_ChemicalCompounds[Fertiliser type f],Table_Fertiliser_ChemicalCompounds[Basis])</f>
        <v>Other fertilisers</v>
      </c>
      <c r="G32" s="15" cm="1">
        <f t="array" ref="G32">Common_InputFunctions.Utility_LookupValueInTableNumber(F32, Table_SourceData_Fertiliser_FracGASF[Fertiliser type f],Table_SourceData_Fertiliser_FracGASF[FracGASF f])</f>
        <v>0.11</v>
      </c>
      <c r="H32" s="15">
        <f>(E32 * G32)</f>
        <v>0</v>
      </c>
    </row>
    <row r="33" spans="1:12" ht="20.100000000000001" customHeight="1" x14ac:dyDescent="0.2">
      <c r="A33" s="5" t="str">
        <f>HYPERLINK("#'4.2.1.7-8 Soil leach runoff'!A1", "4.2.1.7-8 Soil leach &amp; runoff")</f>
        <v>4.2.1.7-8 Soil leach &amp; runoff</v>
      </c>
      <c r="D33" s="15" t="str">
        <v>Muriate of potash (MOP)</v>
      </c>
      <c r="E33" s="15">
        <f>INDEX(Table_MN_j_f,16,4)</f>
        <v>0</v>
      </c>
      <c r="F33" s="15" t="str" cm="1">
        <f t="array" ref="F33">Common_InputFunctions.Utility_LookupValueInTable(D33, Table_Fertiliser_ChemicalCompounds[Fertiliser type f],Table_Fertiliser_ChemicalCompounds[Basis])</f>
        <v>Other fertilisers</v>
      </c>
      <c r="G33" s="15" cm="1">
        <f t="array" ref="G33">Common_InputFunctions.Utility_LookupValueInTableNumber(F33, Table_SourceData_Fertiliser_FracGASF[Fertiliser type f],Table_SourceData_Fertiliser_FracGASF[FracGASF f])</f>
        <v>0.11</v>
      </c>
      <c r="H33" s="15">
        <f>(E33 * G33)</f>
        <v>0</v>
      </c>
    </row>
    <row r="34" spans="1:12" ht="20.100000000000001" customHeight="1" x14ac:dyDescent="0.2">
      <c r="A34" s="5" t="str">
        <f>HYPERLINK("#'5.1.1.1-2 Inorganic fert N2O'!A1", "5.1.1.1-2 Inorganic fert N2O")</f>
        <v>5.1.1.1-2 Inorganic fert N2O</v>
      </c>
      <c r="D34" s="15" t="str">
        <v>Double superphosphate</v>
      </c>
      <c r="E34" s="15">
        <f>INDEX(Table_MN_j_f,17,4)</f>
        <v>0</v>
      </c>
      <c r="F34" s="15" t="str" cm="1">
        <f t="array" ref="F34">Common_InputFunctions.Utility_LookupValueInTable(D34, Table_Fertiliser_ChemicalCompounds[Fertiliser type f],Table_Fertiliser_ChemicalCompounds[Basis])</f>
        <v>Other fertilisers</v>
      </c>
      <c r="G34" s="15" cm="1">
        <f t="array" ref="G34">Common_InputFunctions.Utility_LookupValueInTableNumber(F34, Table_SourceData_Fertiliser_FracGASF[Fertiliser type f],Table_SourceData_Fertiliser_FracGASF[FracGASF f])</f>
        <v>0.11</v>
      </c>
      <c r="H34" s="15">
        <f>(E34 * G34)</f>
        <v>0</v>
      </c>
    </row>
    <row r="35" spans="1:12" ht="20.100000000000001" customHeight="1" x14ac:dyDescent="0.2">
      <c r="A35" s="5" t="str">
        <f>HYPERLINK("#'5.1.1.3-4 Inorganic fert CO2'!A1", "5.1.1.3-4 Inorganic fert CO2")</f>
        <v>5.1.1.3-4 Inorganic fert CO2</v>
      </c>
      <c r="D35" s="15" t="str">
        <v>Single superphosphate (SSP)</v>
      </c>
      <c r="E35" s="15">
        <f>INDEX(Table_MN_j_f,18,4)</f>
        <v>0</v>
      </c>
      <c r="F35" s="15" t="str" cm="1">
        <f t="array" ref="F35">Common_InputFunctions.Utility_LookupValueInTable(D35, Table_Fertiliser_ChemicalCompounds[Fertiliser type f],Table_Fertiliser_ChemicalCompounds[Basis])</f>
        <v>Other fertilisers</v>
      </c>
      <c r="G35" s="15" cm="1">
        <f t="array" ref="G35">Common_InputFunctions.Utility_LookupValueInTableNumber(F35, Table_SourceData_Fertiliser_FracGASF[Fertiliser type f],Table_SourceData_Fertiliser_FracGASF[FracGASF f])</f>
        <v>0.11</v>
      </c>
      <c r="H35" s="15">
        <f>(E35 * G35)</f>
        <v>0</v>
      </c>
    </row>
    <row r="36" spans="1:12" ht="20.100000000000001" customHeight="1" x14ac:dyDescent="0.2">
      <c r="A36" s="5" t="str">
        <f>HYPERLINK("#'5.2.1.1-2 Organic Fert N2O'!A1", "5.2.1.1-2 Organic fert N2O")</f>
        <v>5.2.1.1-2 Organic fert N2O</v>
      </c>
      <c r="D36" s="15" t="str">
        <v>Ammonia</v>
      </c>
      <c r="E36" s="15">
        <f>INDEX(Table_MN_j_f,19,4)</f>
        <v>0</v>
      </c>
      <c r="F36" s="15" t="str" cm="1">
        <f t="array" ref="F36">Common_InputFunctions.Utility_LookupValueInTable(D36, Table_Fertiliser_ChemicalCompounds[Fertiliser type f],Table_Fertiliser_ChemicalCompounds[Basis])</f>
        <v>Ammonium-based fertilisers</v>
      </c>
      <c r="G36" s="15" cm="1">
        <f t="array" ref="G36">Common_InputFunctions.Utility_LookupValueInTableNumber(F36, Table_SourceData_Fertiliser_FracGASF[Fertiliser type f],Table_SourceData_Fertiliser_FracGASF[FracGASF f])</f>
        <v>0.08</v>
      </c>
      <c r="H36" s="15">
        <f>(E36 * G36)</f>
        <v>0</v>
      </c>
    </row>
    <row r="37" spans="1:12" ht="20.100000000000001" customHeight="1" x14ac:dyDescent="0.2">
      <c r="A37" s="5" t="str">
        <f>HYPERLINK("#'5.3.1.1-2 Lime CO2'!A1", "5.3.1.1-2 Lime CO2")</f>
        <v>5.3.1.1-2 Lime CO2</v>
      </c>
      <c r="D37" s="15" t="str">
        <v>Calcium nitrate</v>
      </c>
      <c r="E37" s="15">
        <f>INDEX(Table_MN_j_f,20,4)</f>
        <v>0</v>
      </c>
      <c r="F37" s="15" t="str" cm="1">
        <f t="array" ref="F37">Common_InputFunctions.Utility_LookupValueInTable(D37, Table_Fertiliser_ChemicalCompounds[Fertiliser type f],Table_Fertiliser_ChemicalCompounds[Basis])</f>
        <v>Nitrate-based fertilisers</v>
      </c>
      <c r="G37" s="15" cm="1">
        <f t="array" ref="G37">Common_InputFunctions.Utility_LookupValueInTableNumber(F37, Table_SourceData_Fertiliser_FracGASF[Fertiliser type f],Table_SourceData_Fertiliser_FracGASF[FracGASF f])</f>
        <v>0.01</v>
      </c>
      <c r="H37" s="15">
        <f>(E37 * G37)</f>
        <v>0</v>
      </c>
    </row>
    <row r="38" spans="1:12" ht="20.100000000000001" customHeight="1" x14ac:dyDescent="0.2">
      <c r="A38" s="104" t="str">
        <f>HYPERLINK("#'5.4.1.1-4 Atmos deposition'!A1", "5.4.1.1-4 Atmos. deposition")</f>
        <v>5.4.1.1-4 Atmos. deposition</v>
      </c>
    </row>
    <row r="39" spans="1:12" ht="20.100000000000001" customHeight="1" x14ac:dyDescent="0.2">
      <c r="A39" s="5" t="str">
        <f>HYPERLINK("#'5.5.1.1-2 Leaching and runoff'!A1", "5.5.1.1-2 Leaching &amp; runoff")</f>
        <v>5.5.1.1-2 Leaching &amp; runoff</v>
      </c>
    </row>
    <row r="40" spans="1:12" ht="20.100000000000001" customHeight="1" x14ac:dyDescent="0.2">
      <c r="A40" s="5" t="str">
        <f>HYPERLINK("#'6.2.1.1-2 Pasture residue N2O'!A1", "6.2.1.1-2 Pasture residue N2O")</f>
        <v>6.2.1.1-2 Pasture residue N2O</v>
      </c>
      <c r="C40" s="170"/>
      <c r="D40" s="170"/>
      <c r="E40" s="170"/>
      <c r="F40" s="170"/>
      <c r="G40" s="170"/>
      <c r="H40" s="170"/>
      <c r="I40" s="170"/>
      <c r="J40" s="170"/>
      <c r="K40" s="170"/>
      <c r="L40" s="170"/>
    </row>
    <row r="41" spans="1:12" ht="20.100000000000001" customHeight="1" x14ac:dyDescent="0.2">
      <c r="A41" s="5" t="str">
        <f>HYPERLINK("#'6.3.1.1-2 Leach runoff pasture'!A1", "6.3.1.1-2 Leach &amp; runoff (pasture)")</f>
        <v>6.3.1.1-2 Leach &amp; runoff (pasture)</v>
      </c>
      <c r="D41" s="2" t="s">
        <v>1465</v>
      </c>
    </row>
    <row r="42" spans="1:12" ht="20.100000000000001" customHeight="1" x14ac:dyDescent="0.2">
      <c r="A42" s="5" t="str">
        <f>HYPERLINK("#'8.1.1.1-2 Transport fuel'!A1", "8.1.1.1-2 Transport fuel")</f>
        <v>8.1.1.1-2 Transport fuel</v>
      </c>
      <c r="D42" s="17" t="s">
        <v>1466</v>
      </c>
    </row>
    <row r="43" spans="1:12" ht="20.100000000000001" customHeight="1" x14ac:dyDescent="0.2">
      <c r="A43" s="5" t="str">
        <f>HYPERLINK("#'8.2.1.1-2 Stationary fuel'!A1", "8.2.1.1-2 Stationary fuel")</f>
        <v>8.2.1.1-2 Stationary fuel</v>
      </c>
      <c r="D43" s="103"/>
      <c r="E43" s="103"/>
    </row>
    <row r="44" spans="1:12" ht="20.100000000000001" customHeight="1" x14ac:dyDescent="0.2">
      <c r="A44" s="5" t="str">
        <f>HYPERLINK("#'10.1.1-2 Solid waste treatment'!A1", "10.1.1.1-2 Solid waste")</f>
        <v>10.1.1.1-2 Solid waste</v>
      </c>
    </row>
    <row r="45" spans="1:12" ht="20.100000000000001" customHeight="1" x14ac:dyDescent="0.2">
      <c r="A45" s="5" t="str">
        <f>HYPERLINK("#'14.1.1-2 Purchased electricity'!A1", "14.1.1-2 Purchased electricity")</f>
        <v>14.1.1-2 Purchased electricity</v>
      </c>
    </row>
    <row r="46" spans="1:12" ht="20.100000000000001" customHeight="1" x14ac:dyDescent="0.2">
      <c r="A46" s="5" t="str">
        <f>HYPERLINK("#'15 Scope 3'!A1", "15 Scope 3")</f>
        <v>15 Scope 3</v>
      </c>
      <c r="D46" s="77" t="s">
        <v>373</v>
      </c>
      <c r="E46" s="1" t="s">
        <v>1467</v>
      </c>
    </row>
    <row r="47" spans="1:12" ht="20.100000000000001" customHeight="1" x14ac:dyDescent="0.2">
      <c r="A47" s="5" t="str">
        <f>HYPERLINK("#'Calcs - Manure sent off-site'!A1", "Calcs - Manure sent off-site")</f>
        <v>Calcs - Manure sent off-site</v>
      </c>
      <c r="D47" s="77" t="s">
        <v>121</v>
      </c>
      <c r="E47" s="9" t="s">
        <v>12</v>
      </c>
    </row>
    <row r="49" spans="1:10" ht="20.100000000000001" customHeight="1" x14ac:dyDescent="0.2">
      <c r="D49" s="105" t="s">
        <v>1460</v>
      </c>
      <c r="E49" s="106" t="s">
        <v>1468</v>
      </c>
      <c r="F49" s="107"/>
      <c r="G49" s="108"/>
      <c r="H49" s="105" t="s">
        <v>1055</v>
      </c>
      <c r="I49" s="110" t="s">
        <v>1472</v>
      </c>
      <c r="J49" s="111" t="str" cm="1">
        <f t="array" aca="1" ref="J49" ca="1">HYPERLINK(Common_InputFunctions.Utility_SourceHyperlink($D$16),$D$16)</f>
        <v>Table_M_vol_inorganic_j_f</v>
      </c>
    </row>
    <row r="50" spans="1:10" ht="20.100000000000001" customHeight="1" x14ac:dyDescent="0.2">
      <c r="A50" s="85" t="s">
        <v>1</v>
      </c>
      <c r="D50" s="105" t="s">
        <v>1469</v>
      </c>
      <c r="E50" s="106" t="s">
        <v>1470</v>
      </c>
      <c r="F50" s="107"/>
      <c r="G50" s="108"/>
      <c r="H50" s="105" t="s">
        <v>1356</v>
      </c>
      <c r="I50" s="110" t="s">
        <v>1220</v>
      </c>
      <c r="J50" s="105" t="e">
        <f>Common_InputFunctions.Utility_LookupN2OEFFromProdIrrigationRainfall(J52,J53,J54,Table_SourceData_Common_EFN2O[Production system only],Table_SourceData_Common_EFN2O[Irrigation method],Table_SourceData_Common_EFN2O[Rainfall zone],Table_SourceData_Common_EFN2O[EFN2O])</f>
        <v>#N/A</v>
      </c>
    </row>
    <row r="51" spans="1:10" ht="20.100000000000001" customHeight="1" x14ac:dyDescent="0.2">
      <c r="A51" s="5" t="str">
        <f>HYPERLINK("#'Constants - Pasture Beef'!A1", "Constants - Pasture Beef")</f>
        <v>Constants - Pasture Beef</v>
      </c>
      <c r="D51" s="105" t="s">
        <v>1348</v>
      </c>
      <c r="E51" s="106" t="s">
        <v>1396</v>
      </c>
      <c r="F51" s="107"/>
      <c r="G51" s="108"/>
      <c r="H51" s="105"/>
      <c r="I51" s="110" t="s">
        <v>1220</v>
      </c>
      <c r="J51" s="116">
        <f>Common_InputFunctions.Utility_LookupValueInTableNumber("N2O",Table_GasToMolecularConversionFactor[Gas],Table_GasToMolecularConversionFactor[Conversion factor combined])</f>
        <v>1.5714285714285714</v>
      </c>
    </row>
    <row r="52" spans="1:10" ht="20.100000000000001" customHeight="1" x14ac:dyDescent="0.2">
      <c r="A52" s="5" t="str">
        <f>HYPERLINK("#'Constants - Ag Residue'!A1", "Constants - Ag residue")</f>
        <v>Constants - Ag residue</v>
      </c>
      <c r="D52" s="105" t="s">
        <v>1350</v>
      </c>
      <c r="E52" s="106" t="s">
        <v>171</v>
      </c>
      <c r="F52" s="107"/>
      <c r="G52" s="108"/>
      <c r="H52" s="105"/>
      <c r="I52" s="109" t="s">
        <v>1219</v>
      </c>
      <c r="J52" s="105">
        <f>X_Cell_Fertiliser_ProductionSystem</f>
        <v>0</v>
      </c>
    </row>
    <row r="53" spans="1:10" ht="20.100000000000001" customHeight="1" x14ac:dyDescent="0.2">
      <c r="A53" s="5" t="str">
        <f>HYPERLINK("#'Constants - Common Livestock'!A1", "Constants - Common Livestock")</f>
        <v>Constants - Common Livestock</v>
      </c>
      <c r="D53" s="105" t="s">
        <v>1366</v>
      </c>
      <c r="E53" s="106" t="s">
        <v>1352</v>
      </c>
      <c r="F53" s="107"/>
      <c r="G53" s="108"/>
      <c r="H53" s="105"/>
      <c r="I53" s="109" t="s">
        <v>1219</v>
      </c>
      <c r="J53" s="105">
        <f>X_Cell_Fertiliser_IrrigationMethod</f>
        <v>0</v>
      </c>
    </row>
    <row r="54" spans="1:10" ht="20.100000000000001" customHeight="1" x14ac:dyDescent="0.2">
      <c r="A54" s="5" t="str">
        <f>HYPERLINK("#'Constants - Electricity'!A1", "Constants - Electricity")</f>
        <v>Constants - Electricity</v>
      </c>
      <c r="D54" s="105" t="s">
        <v>1353</v>
      </c>
      <c r="E54" s="106" t="s">
        <v>1471</v>
      </c>
      <c r="F54" s="107"/>
      <c r="G54" s="108"/>
      <c r="H54" s="105"/>
      <c r="I54" s="109" t="s">
        <v>1219</v>
      </c>
      <c r="J54" s="105" t="str">
        <f>X_Cell_Site_RainfallZone</f>
        <v>Low rainfall</v>
      </c>
    </row>
    <row r="55" spans="1:10" ht="20.100000000000001" customHeight="1" x14ac:dyDescent="0.2">
      <c r="A55" s="5" t="str">
        <f>HYPERLINK("#'Constants - Fertiliser'!A1", "Constants - Fertiliser")</f>
        <v>Constants - Fertiliser</v>
      </c>
    </row>
    <row r="56" spans="1:10" ht="20.100000000000001" customHeight="1" x14ac:dyDescent="0.2">
      <c r="A56" s="5" t="str">
        <f>HYPERLINK("#'Constants - Fuel'!A1", "Constants - Fuel")</f>
        <v>Constants - Fuel</v>
      </c>
      <c r="D56" s="112" t="s">
        <v>702</v>
      </c>
    </row>
    <row r="57" spans="1:10" ht="20.100000000000001" customHeight="1" x14ac:dyDescent="0.2">
      <c r="A57" s="5" t="str">
        <f>HYPERLINK("#'Constants - Scope 3'!A1", "Constants - Scope 3")</f>
        <v>Constants - Scope 3</v>
      </c>
      <c r="D57" s="113" t="s">
        <v>703</v>
      </c>
    </row>
    <row r="58" spans="1:10" ht="20.100000000000001" customHeight="1" x14ac:dyDescent="0.2">
      <c r="A58" s="5" t="str">
        <f>HYPERLINK("#'Constants - Solid Waste'!A1", "Constants - Solid Waste")</f>
        <v>Constants - Solid Waste</v>
      </c>
      <c r="D58" s="114" t="s">
        <v>697</v>
      </c>
      <c r="E58" s="174" t="s">
        <v>701</v>
      </c>
      <c r="F58" s="174" t="s">
        <v>704</v>
      </c>
    </row>
    <row r="59" spans="1:10" ht="20.100000000000001" customHeight="1" x14ac:dyDescent="0.2">
      <c r="A59" s="5" t="str">
        <f>HYPERLINK("#'Constants - Common'!A1", "Constants - Common")</f>
        <v>Constants - Common</v>
      </c>
      <c r="D59" s="15" t="str" cm="1">
        <f t="array" ref="D59:D77">Table_Fertiliser_ChemicalCompounds[Fertiliser type f]</f>
        <v>Monoammonium phosphate (MAP)</v>
      </c>
      <c r="E59" s="15">
        <f t="shared" ref="E59:E77" si="0">H19</f>
        <v>0</v>
      </c>
      <c r="F59" s="15" t="e">
        <f>((E59 * $J$50) * $J$51 * 10 ^ -3)</f>
        <v>#N/A</v>
      </c>
      <c r="G59" s="16" t="str">
        <f>E47</f>
        <v>t N2O</v>
      </c>
    </row>
    <row r="60" spans="1:10" ht="20.100000000000001" customHeight="1" x14ac:dyDescent="0.2">
      <c r="A60" s="5" t="str">
        <f>HYPERLINK("#'Acknowledgements'!A1", "Acknowledgements")</f>
        <v>Acknowledgements</v>
      </c>
      <c r="D60" s="15" t="str">
        <v>Diammonium phosphate (DAP)</v>
      </c>
      <c r="E60" s="15">
        <f t="shared" si="0"/>
        <v>0</v>
      </c>
      <c r="F60" s="15" t="e">
        <f>((E60 * $J$50) * $J$51 * 10 ^ -3)</f>
        <v>#N/A</v>
      </c>
    </row>
    <row r="61" spans="1:10" ht="20.100000000000001" customHeight="1" x14ac:dyDescent="0.2">
      <c r="D61" s="15" t="str">
        <v>Urea</v>
      </c>
      <c r="E61" s="15">
        <f t="shared" si="0"/>
        <v>0</v>
      </c>
      <c r="F61" s="15" t="e">
        <f>((E61 * $J$50) * $J$51 * 10 ^ -3)</f>
        <v>#N/A</v>
      </c>
    </row>
    <row r="62" spans="1:10" ht="20.100000000000001" customHeight="1" x14ac:dyDescent="0.2">
      <c r="D62" s="15" t="str">
        <v>Sulphate of ammonia (SOA)</v>
      </c>
      <c r="E62" s="15">
        <f t="shared" si="0"/>
        <v>0</v>
      </c>
      <c r="F62" s="15" t="e">
        <f>((E62 * $J$50) * $J$51 * 10 ^ -3)</f>
        <v>#N/A</v>
      </c>
    </row>
    <row r="63" spans="1:10" ht="20.100000000000001" customHeight="1" x14ac:dyDescent="0.2">
      <c r="D63" s="15" t="str">
        <v>Urea-ammonium nitrate (UAN)</v>
      </c>
      <c r="E63" s="15">
        <f t="shared" si="0"/>
        <v>0</v>
      </c>
      <c r="F63" s="15" t="e">
        <f>((E63 * $J$50) * $J$51 * 10 ^ -3)</f>
        <v>#N/A</v>
      </c>
    </row>
    <row r="64" spans="1:10" ht="20.100000000000001" customHeight="1" x14ac:dyDescent="0.2">
      <c r="D64" s="15" t="str">
        <v>Ammonium nitrate (AN)</v>
      </c>
      <c r="E64" s="15">
        <f t="shared" si="0"/>
        <v>0</v>
      </c>
      <c r="F64" s="15" t="e">
        <f>((E64 * $J$50) * $J$51 * 10 ^ -3)</f>
        <v>#N/A</v>
      </c>
    </row>
    <row r="65" spans="4:6" ht="20.100000000000001" customHeight="1" x14ac:dyDescent="0.2">
      <c r="D65" s="15" t="str">
        <v>Calcium ammonium nitrate (CAN)</v>
      </c>
      <c r="E65" s="15">
        <f t="shared" si="0"/>
        <v>0</v>
      </c>
      <c r="F65" s="15" t="e">
        <f>((E65 * $J$50) * $J$51 * 10 ^ -3)</f>
        <v>#N/A</v>
      </c>
    </row>
    <row r="66" spans="4:6" ht="20.100000000000001" customHeight="1" x14ac:dyDescent="0.2">
      <c r="D66" s="15" t="str">
        <v>Nitrogen - Ammoniacal</v>
      </c>
      <c r="E66" s="15">
        <f t="shared" si="0"/>
        <v>0</v>
      </c>
      <c r="F66" s="15" t="e">
        <f>((E66 * $J$50) * $J$51 * 10 ^ -3)</f>
        <v>#N/A</v>
      </c>
    </row>
    <row r="67" spans="4:6" ht="20.100000000000001" customHeight="1" x14ac:dyDescent="0.2">
      <c r="D67" s="15" t="str">
        <v>Nitrogen - Nitrate</v>
      </c>
      <c r="E67" s="15">
        <f t="shared" si="0"/>
        <v>0</v>
      </c>
      <c r="F67" s="15" t="e">
        <f>((E67 * $J$50) * $J$51 * 10 ^ -3)</f>
        <v>#N/A</v>
      </c>
    </row>
    <row r="68" spans="4:6" ht="20.100000000000001" customHeight="1" x14ac:dyDescent="0.2">
      <c r="D68" s="15" t="str">
        <v>Nitrogen - Generic</v>
      </c>
      <c r="E68" s="15">
        <f t="shared" si="0"/>
        <v>0</v>
      </c>
      <c r="F68" s="15" t="e">
        <f>((E68 * $J$50) * $J$51 * 10 ^ -3)</f>
        <v>#N/A</v>
      </c>
    </row>
    <row r="69" spans="4:6" ht="20.100000000000001" customHeight="1" x14ac:dyDescent="0.2">
      <c r="D69" s="15" t="str">
        <v>Phosphorus - Generic</v>
      </c>
      <c r="E69" s="15">
        <f t="shared" si="0"/>
        <v>0</v>
      </c>
      <c r="F69" s="15" t="e">
        <f>((E69 * $J$50) * $J$51 * 10 ^ -3)</f>
        <v>#N/A</v>
      </c>
    </row>
    <row r="70" spans="4:6" ht="20.100000000000001" customHeight="1" x14ac:dyDescent="0.2">
      <c r="D70" s="15" t="str">
        <v>Potassium - Generic</v>
      </c>
      <c r="E70" s="15">
        <f t="shared" si="0"/>
        <v>0</v>
      </c>
      <c r="F70" s="15" t="e">
        <f>((E70 * $J$50) * $J$51 * 10 ^ -3)</f>
        <v>#N/A</v>
      </c>
    </row>
    <row r="71" spans="4:6" ht="20.100000000000001" customHeight="1" x14ac:dyDescent="0.2">
      <c r="D71" s="15" t="str">
        <v>Sulfur - Generic</v>
      </c>
      <c r="E71" s="15">
        <f t="shared" si="0"/>
        <v>0</v>
      </c>
      <c r="F71" s="15" t="e">
        <f>((E71 * $J$50) * $J$51 * 10 ^ -3)</f>
        <v>#N/A</v>
      </c>
    </row>
    <row r="72" spans="4:6" ht="20.100000000000001" customHeight="1" x14ac:dyDescent="0.2">
      <c r="D72" s="15" t="str">
        <v>Zinc - Generic</v>
      </c>
      <c r="E72" s="15">
        <f t="shared" si="0"/>
        <v>0</v>
      </c>
      <c r="F72" s="15" t="e">
        <f>((E72 * $J$50) * $J$51 * 10 ^ -3)</f>
        <v>#N/A</v>
      </c>
    </row>
    <row r="73" spans="4:6" ht="20.100000000000001" customHeight="1" x14ac:dyDescent="0.2">
      <c r="D73" s="15" t="str">
        <v>Muriate of potash (MOP)</v>
      </c>
      <c r="E73" s="15">
        <f t="shared" si="0"/>
        <v>0</v>
      </c>
      <c r="F73" s="15" t="e">
        <f>((E73 * $J$50) * $J$51 * 10 ^ -3)</f>
        <v>#N/A</v>
      </c>
    </row>
    <row r="74" spans="4:6" ht="20.100000000000001" customHeight="1" x14ac:dyDescent="0.2">
      <c r="D74" s="15" t="str">
        <v>Double superphosphate</v>
      </c>
      <c r="E74" s="15">
        <f t="shared" si="0"/>
        <v>0</v>
      </c>
      <c r="F74" s="15" t="e">
        <f>((E74 * $J$50) * $J$51 * 10 ^ -3)</f>
        <v>#N/A</v>
      </c>
    </row>
    <row r="75" spans="4:6" ht="20.100000000000001" customHeight="1" x14ac:dyDescent="0.2">
      <c r="D75" s="15" t="str">
        <v>Single superphosphate (SSP)</v>
      </c>
      <c r="E75" s="15">
        <f t="shared" si="0"/>
        <v>0</v>
      </c>
      <c r="F75" s="15" t="e">
        <f>((E75 * $J$50) * $J$51 * 10 ^ -3)</f>
        <v>#N/A</v>
      </c>
    </row>
    <row r="76" spans="4:6" ht="20.100000000000001" customHeight="1" x14ac:dyDescent="0.2">
      <c r="D76" s="15" t="str">
        <v>Ammonia</v>
      </c>
      <c r="E76" s="15">
        <f t="shared" si="0"/>
        <v>0</v>
      </c>
      <c r="F76" s="15" t="e">
        <f>((E76 * $J$50) * $J$51 * 10 ^ -3)</f>
        <v>#N/A</v>
      </c>
    </row>
    <row r="77" spans="4:6" ht="20.100000000000001" customHeight="1" x14ac:dyDescent="0.2">
      <c r="D77" s="15" t="str">
        <v>Calcium nitrate</v>
      </c>
      <c r="E77" s="15">
        <f t="shared" si="0"/>
        <v>0</v>
      </c>
      <c r="F77" s="15" t="e">
        <f>((E77 * $J$50) * $J$51 * 10 ^ -3)</f>
        <v>#N/A</v>
      </c>
    </row>
    <row r="79" spans="4:6" ht="20.100000000000001" customHeight="1" x14ac:dyDescent="0.2">
      <c r="D79" s="90" t="s">
        <v>705</v>
      </c>
      <c r="E79" s="91" t="e">
        <f>SUM(F59:F77)</f>
        <v>#N/A</v>
      </c>
      <c r="F79" s="95" t="str">
        <f>$E$47</f>
        <v>t N2O</v>
      </c>
    </row>
    <row r="81" spans="3:12" ht="20.100000000000001" customHeight="1" x14ac:dyDescent="0.2">
      <c r="D81" s="116" t="str" cm="1">
        <f t="array" ref="D81:E82">Common_Equations.Common_ConvertN2OToCO2e_Arguments()</f>
        <v>EN2O</v>
      </c>
      <c r="E81" s="117" t="str">
        <v>Nitrous oxide emissions (t N2O)</v>
      </c>
      <c r="F81" s="118"/>
      <c r="G81" s="15" t="e">
        <f>VEERG_5_4_1_1__1_InorganicFertiliserAtmosphericDepositionN2OEmissions_Result_Method1</f>
        <v>#N/A</v>
      </c>
    </row>
    <row r="82" spans="3:12" ht="20.100000000000001" customHeight="1" x14ac:dyDescent="0.2">
      <c r="D82" s="116" t="str">
        <v>GWPN2O</v>
      </c>
      <c r="E82" s="117" t="str">
        <v>Global warming potential for nitrous oxide (t CO2-e / t N2O)</v>
      </c>
      <c r="F82" s="118"/>
      <c r="G82" s="15">
        <f>Common_InputFunctions.Utility_LookupValueInTableNumber("N2O",Table_GWPData[Gas],Table_GWPData[CO2-e factor])</f>
        <v>265</v>
      </c>
    </row>
    <row r="84" spans="3:12" ht="20.100000000000001" customHeight="1" x14ac:dyDescent="0.2">
      <c r="D84" s="87" t="s">
        <v>435</v>
      </c>
      <c r="E84" s="87" t="e" cm="1">
        <f t="array" ref="E84">Common_Equations.Common_ConvertN2OToCO2e(G81,G82)</f>
        <v>#N/A</v>
      </c>
      <c r="F84" s="94" t="str" cm="1">
        <f t="array" ref="F84">Common_Equations.Common_ConvertN2OToCO2e_Unit()</f>
        <v>t CO2e</v>
      </c>
    </row>
    <row r="87" spans="3:12" ht="20.100000000000001" customHeight="1" x14ac:dyDescent="0.2">
      <c r="C87" s="170"/>
      <c r="D87" s="170"/>
      <c r="E87" s="170"/>
      <c r="F87" s="170"/>
      <c r="G87" s="170"/>
      <c r="H87" s="170"/>
      <c r="I87" s="170"/>
      <c r="J87" s="170"/>
      <c r="K87" s="170"/>
      <c r="L87" s="170"/>
    </row>
    <row r="88" spans="3:12" ht="20.100000000000001" customHeight="1" x14ac:dyDescent="0.2">
      <c r="D88" s="2" t="s">
        <v>1473</v>
      </c>
    </row>
    <row r="89" spans="3:12" ht="20.100000000000001" customHeight="1" x14ac:dyDescent="0.2">
      <c r="D89" s="17" t="s">
        <v>1474</v>
      </c>
    </row>
    <row r="90" spans="3:12" ht="20.100000000000001" customHeight="1" x14ac:dyDescent="0.2">
      <c r="D90" s="103"/>
      <c r="E90" s="103"/>
    </row>
    <row r="93" spans="3:12" ht="20.100000000000001" customHeight="1" x14ac:dyDescent="0.2">
      <c r="D93" s="77" t="s">
        <v>373</v>
      </c>
      <c r="E93" s="1" t="s">
        <v>1475</v>
      </c>
    </row>
    <row r="94" spans="3:12" ht="20.100000000000001" customHeight="1" x14ac:dyDescent="0.2">
      <c r="D94" s="77" t="s">
        <v>121</v>
      </c>
      <c r="E94" s="9" t="s">
        <v>1055</v>
      </c>
    </row>
    <row r="96" spans="3:12" ht="20.100000000000001" customHeight="1" x14ac:dyDescent="0.2">
      <c r="D96" s="105" t="s">
        <v>1430</v>
      </c>
      <c r="E96" s="105" t="s">
        <v>1437</v>
      </c>
      <c r="F96" s="105"/>
      <c r="G96" s="105" t="s">
        <v>1055</v>
      </c>
      <c r="H96" s="110" t="s">
        <v>1440</v>
      </c>
      <c r="I96" s="111" t="str" cm="1">
        <f t="array" aca="1" ref="I96" ca="1">HYPERLINK(Common_InputFunctions.Utility_SourceHyperlink($D$99), $D$99)</f>
        <v>Table_M_vol_organic_j_f</v>
      </c>
    </row>
    <row r="97" spans="4:9" ht="20.100000000000001" customHeight="1" x14ac:dyDescent="0.2">
      <c r="D97" s="105" t="s">
        <v>1476</v>
      </c>
      <c r="E97" s="105" t="s">
        <v>1477</v>
      </c>
      <c r="F97" s="105"/>
      <c r="G97" s="105" t="s">
        <v>1464</v>
      </c>
      <c r="H97" s="110" t="s">
        <v>1220</v>
      </c>
      <c r="I97" s="105">
        <f>Fertiliser_FracGASMSoil_Data</f>
        <v>0.21</v>
      </c>
    </row>
    <row r="99" spans="4:9" ht="20.100000000000001" customHeight="1" x14ac:dyDescent="0.2">
      <c r="D99" s="112" t="s">
        <v>706</v>
      </c>
    </row>
    <row r="100" spans="4:9" ht="20.100000000000001" customHeight="1" x14ac:dyDescent="0.2">
      <c r="D100" s="113" t="s">
        <v>707</v>
      </c>
    </row>
    <row r="101" spans="4:9" ht="20.100000000000001" customHeight="1" x14ac:dyDescent="0.2">
      <c r="D101" s="82" t="s">
        <v>680</v>
      </c>
      <c r="E101" s="166" t="s">
        <v>684</v>
      </c>
      <c r="F101" s="166" t="s">
        <v>708</v>
      </c>
    </row>
    <row r="102" spans="4:9" ht="20.100000000000001" customHeight="1" x14ac:dyDescent="0.2">
      <c r="D102" s="15" cm="1">
        <f t="array" ref="D102:D104">Table_Input_OrganicFertiliser[Organic fertiliser type (select)]</f>
        <v>0</v>
      </c>
      <c r="E102" s="15">
        <f>INDEX(Table_MNSoil_j_f,2,6)</f>
        <v>0</v>
      </c>
      <c r="F102" s="15">
        <f>(E102 * $I$97)</f>
        <v>0</v>
      </c>
      <c r="G102" s="16" t="str">
        <f>$E$94</f>
        <v>kg N</v>
      </c>
    </row>
    <row r="103" spans="4:9" ht="20.100000000000001" customHeight="1" x14ac:dyDescent="0.2">
      <c r="D103" s="15">
        <v>0</v>
      </c>
      <c r="E103" s="15">
        <f>INDEX(Table_MNSoil_j_f,3,6)</f>
        <v>0</v>
      </c>
      <c r="F103" s="15">
        <f>(E103 * $I$97)</f>
        <v>0</v>
      </c>
    </row>
    <row r="104" spans="4:9" ht="20.100000000000001" customHeight="1" x14ac:dyDescent="0.2">
      <c r="D104" s="15">
        <v>0</v>
      </c>
      <c r="E104" s="15">
        <f>INDEX(Table_MNSoil_j_f,4,6)</f>
        <v>0</v>
      </c>
      <c r="F104" s="15">
        <f>(E104 * $I$97)</f>
        <v>0</v>
      </c>
    </row>
    <row r="105" spans="4:9" ht="20.100000000000001" customHeight="1" x14ac:dyDescent="0.2">
      <c r="D105" s="15"/>
      <c r="E105" s="15">
        <f>'5.2.1.1-2 Organic Fert N2O'!I23</f>
        <v>0</v>
      </c>
      <c r="F105" s="15">
        <f>(E105 * $I$97)</f>
        <v>0</v>
      </c>
    </row>
    <row r="106" spans="4:9" ht="20.100000000000001" customHeight="1" x14ac:dyDescent="0.2">
      <c r="D106" s="15"/>
      <c r="E106" s="15">
        <f>'5.2.1.1-2 Organic Fert N2O'!I24</f>
        <v>0</v>
      </c>
      <c r="F106" s="15">
        <f>(E106 * $I$97)</f>
        <v>0</v>
      </c>
    </row>
    <row r="107" spans="4:9" ht="20.100000000000001" customHeight="1" x14ac:dyDescent="0.2">
      <c r="D107" s="15"/>
      <c r="E107" s="15">
        <f>'5.2.1.1-2 Organic Fert N2O'!I25</f>
        <v>0</v>
      </c>
      <c r="F107" s="15">
        <f>(E107 * $I$97)</f>
        <v>0</v>
      </c>
    </row>
    <row r="108" spans="4:9" ht="20.100000000000001" customHeight="1" x14ac:dyDescent="0.2">
      <c r="D108" s="15"/>
      <c r="E108" s="15">
        <f>'5.2.1.1-2 Organic Fert N2O'!I26</f>
        <v>0</v>
      </c>
      <c r="F108" s="15">
        <f>(E108 * $I$97)</f>
        <v>0</v>
      </c>
    </row>
    <row r="109" spans="4:9" ht="20.100000000000001" customHeight="1" x14ac:dyDescent="0.2">
      <c r="D109" s="15"/>
      <c r="E109" s="15">
        <f>'5.2.1.1-2 Organic Fert N2O'!I27</f>
        <v>0</v>
      </c>
      <c r="F109" s="15">
        <f>(E109 * $I$97)</f>
        <v>0</v>
      </c>
    </row>
    <row r="110" spans="4:9" ht="20.100000000000001" customHeight="1" x14ac:dyDescent="0.2">
      <c r="D110" s="15"/>
      <c r="E110" s="15">
        <f>'5.2.1.1-2 Organic Fert N2O'!I28</f>
        <v>0</v>
      </c>
      <c r="F110" s="15">
        <f>(E110 * $I$97)</f>
        <v>0</v>
      </c>
    </row>
    <row r="111" spans="4:9" ht="20.100000000000001" customHeight="1" x14ac:dyDescent="0.2">
      <c r="D111" s="15"/>
      <c r="E111" s="15">
        <f>'5.2.1.1-2 Organic Fert N2O'!I29</f>
        <v>0</v>
      </c>
      <c r="F111" s="15">
        <f>(E111 * $I$97)</f>
        <v>0</v>
      </c>
    </row>
    <row r="112" spans="4:9" ht="20.100000000000001" customHeight="1" x14ac:dyDescent="0.2">
      <c r="D112" s="15"/>
      <c r="E112" s="15">
        <f>'5.2.1.1-2 Organic Fert N2O'!I30</f>
        <v>0</v>
      </c>
      <c r="F112" s="15">
        <f>(E112 * $I$97)</f>
        <v>0</v>
      </c>
    </row>
    <row r="115" spans="3:12" ht="20.100000000000001" customHeight="1" x14ac:dyDescent="0.2">
      <c r="C115" s="170"/>
      <c r="D115" s="170"/>
      <c r="E115" s="170"/>
      <c r="F115" s="170"/>
      <c r="G115" s="170"/>
      <c r="H115" s="170"/>
      <c r="I115" s="170"/>
      <c r="J115" s="170"/>
      <c r="K115" s="170"/>
      <c r="L115" s="170"/>
    </row>
    <row r="116" spans="3:12" ht="20.100000000000001" customHeight="1" x14ac:dyDescent="0.2">
      <c r="D116" s="2" t="s">
        <v>1478</v>
      </c>
    </row>
    <row r="117" spans="3:12" ht="20.100000000000001" customHeight="1" x14ac:dyDescent="0.2">
      <c r="D117" s="17" t="s">
        <v>1479</v>
      </c>
    </row>
    <row r="118" spans="3:12" ht="20.100000000000001" customHeight="1" x14ac:dyDescent="0.2">
      <c r="D118" s="103"/>
      <c r="E118" s="103"/>
    </row>
    <row r="121" spans="3:12" ht="20.100000000000001" customHeight="1" x14ac:dyDescent="0.2">
      <c r="D121" s="77" t="s">
        <v>373</v>
      </c>
      <c r="E121" s="1" t="s">
        <v>1480</v>
      </c>
    </row>
    <row r="122" spans="3:12" ht="20.100000000000001" customHeight="1" x14ac:dyDescent="0.2">
      <c r="D122" s="77" t="s">
        <v>121</v>
      </c>
      <c r="E122" s="9" t="s">
        <v>12</v>
      </c>
    </row>
    <row r="124" spans="3:12" ht="20.100000000000001" customHeight="1" x14ac:dyDescent="0.2">
      <c r="D124" s="105" t="s">
        <v>1475</v>
      </c>
      <c r="E124" s="106" t="s">
        <v>1481</v>
      </c>
      <c r="F124" s="108"/>
      <c r="G124" s="105" t="s">
        <v>1055</v>
      </c>
      <c r="H124" s="110" t="s">
        <v>1483</v>
      </c>
      <c r="I124" s="111" t="str" cm="1">
        <f t="array" aca="1" ref="I124" ca="1">HYPERLINK(Common_InputFunctions.Utility_SourceHyperlink($D$99), $D$99)</f>
        <v>Table_M_vol_organic_j_f</v>
      </c>
    </row>
    <row r="125" spans="3:12" ht="20.100000000000001" customHeight="1" x14ac:dyDescent="0.2">
      <c r="D125" s="105" t="s">
        <v>1469</v>
      </c>
      <c r="E125" s="106" t="s">
        <v>1482</v>
      </c>
      <c r="F125" s="108"/>
      <c r="G125" s="105" t="s">
        <v>1356</v>
      </c>
      <c r="H125" s="110" t="s">
        <v>1220</v>
      </c>
      <c r="I125" s="105" t="e">
        <f>Common_InputFunctions.Utility_LookupN2OEFFromProdIrrigationRainfall(I127,I128,I129,Table_SourceData_Common_EFN2O[Production system only],Table_SourceData_Common_EFN2O[Irrigation method],Table_SourceData_Common_EFN2O[Rainfall zone],Table_SourceData_Common_EFN2O[EFN2O])</f>
        <v>#N/A</v>
      </c>
    </row>
    <row r="126" spans="3:12" ht="20.100000000000001" customHeight="1" x14ac:dyDescent="0.2">
      <c r="D126" s="105" t="s">
        <v>1348</v>
      </c>
      <c r="E126" s="106" t="s">
        <v>1396</v>
      </c>
      <c r="F126" s="108"/>
      <c r="G126" s="105"/>
      <c r="H126" s="110" t="s">
        <v>1220</v>
      </c>
      <c r="I126" s="116">
        <f>Common_InputFunctions.Utility_LookupValueInTableNumber("N2O",Table_GasToMolecularConversionFactor[Gas],Table_GasToMolecularConversionFactor[Conversion factor combined])</f>
        <v>1.5714285714285714</v>
      </c>
    </row>
    <row r="127" spans="3:12" ht="20.100000000000001" customHeight="1" x14ac:dyDescent="0.2">
      <c r="D127" s="105" t="s">
        <v>1350</v>
      </c>
      <c r="E127" s="106" t="s">
        <v>171</v>
      </c>
      <c r="F127" s="108"/>
      <c r="G127" s="105"/>
      <c r="H127" s="109" t="s">
        <v>1219</v>
      </c>
      <c r="I127" s="105">
        <f>X_Cell_Fertiliser_ProductionSystem</f>
        <v>0</v>
      </c>
    </row>
    <row r="128" spans="3:12" ht="20.100000000000001" customHeight="1" x14ac:dyDescent="0.2">
      <c r="D128" s="105" t="s">
        <v>1366</v>
      </c>
      <c r="E128" s="106" t="s">
        <v>1352</v>
      </c>
      <c r="F128" s="108"/>
      <c r="G128" s="105"/>
      <c r="H128" s="109" t="s">
        <v>1219</v>
      </c>
      <c r="I128" s="105">
        <f>X_Cell_Fertiliser_IrrigationMethod</f>
        <v>0</v>
      </c>
    </row>
    <row r="129" spans="4:9" ht="20.100000000000001" customHeight="1" x14ac:dyDescent="0.2">
      <c r="D129" s="105" t="s">
        <v>1353</v>
      </c>
      <c r="E129" s="106" t="s">
        <v>1471</v>
      </c>
      <c r="F129" s="108"/>
      <c r="G129" s="105"/>
      <c r="H129" s="109" t="s">
        <v>1219</v>
      </c>
      <c r="I129" s="105" t="str">
        <f>X_Cell_Site_RainfallZone</f>
        <v>Low rainfall</v>
      </c>
    </row>
    <row r="131" spans="4:9" ht="20.100000000000001" customHeight="1" x14ac:dyDescent="0.2">
      <c r="D131" s="112" t="s">
        <v>709</v>
      </c>
    </row>
    <row r="132" spans="4:9" ht="20.100000000000001" customHeight="1" x14ac:dyDescent="0.2">
      <c r="D132" s="113" t="s">
        <v>710</v>
      </c>
    </row>
    <row r="133" spans="4:9" ht="20.100000000000001" customHeight="1" x14ac:dyDescent="0.2">
      <c r="D133" s="82" t="s">
        <v>680</v>
      </c>
      <c r="E133" s="166" t="s">
        <v>708</v>
      </c>
      <c r="F133" s="166" t="s">
        <v>711</v>
      </c>
    </row>
    <row r="134" spans="4:9" ht="20.100000000000001" customHeight="1" x14ac:dyDescent="0.2">
      <c r="D134" s="15" cm="1">
        <f t="array" ref="D134:D136">Table_Input_OrganicFertiliser[Organic fertiliser type (select)]</f>
        <v>0</v>
      </c>
      <c r="E134" s="15">
        <f>F102</f>
        <v>0</v>
      </c>
      <c r="F134" s="15" t="e">
        <f>((E134 * $I$125) * $I$126 * 10 ^ -3)</f>
        <v>#N/A</v>
      </c>
    </row>
    <row r="135" spans="4:9" ht="20.100000000000001" customHeight="1" x14ac:dyDescent="0.2">
      <c r="D135" s="15">
        <v>0</v>
      </c>
      <c r="E135" s="15">
        <f t="shared" ref="E135:E144" si="1">F103</f>
        <v>0</v>
      </c>
      <c r="F135" s="15" t="e">
        <f>((E135 * $I$125) * $I$126 * 10 ^ -3)</f>
        <v>#N/A</v>
      </c>
    </row>
    <row r="136" spans="4:9" ht="20.100000000000001" customHeight="1" x14ac:dyDescent="0.2">
      <c r="D136" s="15">
        <v>0</v>
      </c>
      <c r="E136" s="15">
        <f t="shared" si="1"/>
        <v>0</v>
      </c>
      <c r="F136" s="15" t="e">
        <f>((E136 * $I$125) * $I$126 * 10 ^ -3)</f>
        <v>#N/A</v>
      </c>
    </row>
    <row r="137" spans="4:9" ht="20.100000000000001" customHeight="1" x14ac:dyDescent="0.2">
      <c r="D137" s="15"/>
      <c r="E137" s="15">
        <f t="shared" si="1"/>
        <v>0</v>
      </c>
      <c r="F137" s="15" t="e">
        <f>((E137 * $I$125) * $I$126 * 10 ^ -3)</f>
        <v>#N/A</v>
      </c>
    </row>
    <row r="138" spans="4:9" ht="20.100000000000001" customHeight="1" x14ac:dyDescent="0.2">
      <c r="D138" s="15"/>
      <c r="E138" s="15">
        <f t="shared" si="1"/>
        <v>0</v>
      </c>
      <c r="F138" s="15" t="e">
        <f>((E138 * $I$125) * $I$126 * 10 ^ -3)</f>
        <v>#N/A</v>
      </c>
    </row>
    <row r="139" spans="4:9" ht="20.100000000000001" customHeight="1" x14ac:dyDescent="0.2">
      <c r="D139" s="15"/>
      <c r="E139" s="15">
        <f t="shared" si="1"/>
        <v>0</v>
      </c>
      <c r="F139" s="15" t="e">
        <f>((E139 * $I$125) * $I$126 * 10 ^ -3)</f>
        <v>#N/A</v>
      </c>
    </row>
    <row r="140" spans="4:9" ht="20.100000000000001" customHeight="1" x14ac:dyDescent="0.2">
      <c r="D140" s="15"/>
      <c r="E140" s="15">
        <f t="shared" si="1"/>
        <v>0</v>
      </c>
      <c r="F140" s="15" t="e">
        <f>((E140 * $I$125) * $I$126 * 10 ^ -3)</f>
        <v>#N/A</v>
      </c>
    </row>
    <row r="141" spans="4:9" ht="20.100000000000001" customHeight="1" x14ac:dyDescent="0.2">
      <c r="D141" s="15"/>
      <c r="E141" s="15">
        <f t="shared" si="1"/>
        <v>0</v>
      </c>
      <c r="F141" s="15" t="e">
        <f>((E141 * $I$125) * $I$126 * 10 ^ -3)</f>
        <v>#N/A</v>
      </c>
    </row>
    <row r="142" spans="4:9" ht="20.100000000000001" customHeight="1" x14ac:dyDescent="0.2">
      <c r="D142" s="15"/>
      <c r="E142" s="15">
        <f t="shared" si="1"/>
        <v>0</v>
      </c>
      <c r="F142" s="15" t="e">
        <f>((E142 * $I$125) * $I$126 * 10 ^ -3)</f>
        <v>#N/A</v>
      </c>
    </row>
    <row r="143" spans="4:9" ht="20.100000000000001" customHeight="1" x14ac:dyDescent="0.2">
      <c r="D143" s="15"/>
      <c r="E143" s="15">
        <f t="shared" si="1"/>
        <v>0</v>
      </c>
      <c r="F143" s="15" t="e">
        <f>((E143 * $I$125) * $I$126 * 10 ^ -3)</f>
        <v>#N/A</v>
      </c>
    </row>
    <row r="144" spans="4:9" ht="20.100000000000001" customHeight="1" x14ac:dyDescent="0.2">
      <c r="D144" s="15"/>
      <c r="E144" s="15">
        <f t="shared" si="1"/>
        <v>0</v>
      </c>
      <c r="F144" s="15" t="e">
        <f>((E144 * $I$125) * $I$126 * 10 ^ -3)</f>
        <v>#N/A</v>
      </c>
    </row>
    <row r="146" spans="4:7" ht="20.100000000000001" customHeight="1" x14ac:dyDescent="0.2">
      <c r="D146" s="90" t="s">
        <v>712</v>
      </c>
      <c r="E146" s="91" t="e">
        <f>SUM(F134:F144)</f>
        <v>#N/A</v>
      </c>
      <c r="F146" s="95" t="str">
        <f>$E$122</f>
        <v>t N2O</v>
      </c>
    </row>
    <row r="148" spans="4:7" ht="20.100000000000001" customHeight="1" x14ac:dyDescent="0.2">
      <c r="D148" s="116" t="str" cm="1">
        <f t="array" ref="D148:E149">Common_Equations.Common_ConvertN2OToCO2e_Arguments()</f>
        <v>EN2O</v>
      </c>
      <c r="E148" s="117" t="str">
        <v>Nitrous oxide emissions (t N2O)</v>
      </c>
      <c r="F148" s="118"/>
      <c r="G148" s="15" t="e">
        <f>VEERG_5_4_1_3__1_OrganicFertiliserAtmosphericDepositionN2OEmissions_Result_Method1</f>
        <v>#N/A</v>
      </c>
    </row>
    <row r="149" spans="4:7" ht="20.100000000000001" customHeight="1" x14ac:dyDescent="0.2">
      <c r="D149" s="116" t="str">
        <v>GWPN2O</v>
      </c>
      <c r="E149" s="117" t="str">
        <v>Global warming potential for nitrous oxide (t CO2-e / t N2O)</v>
      </c>
      <c r="F149" s="118"/>
      <c r="G149" s="15">
        <f>Common_InputFunctions.Utility_LookupValueInTableNumber("N2O",Table_GWPData[Gas],Table_GWPData[CO2-e factor])</f>
        <v>265</v>
      </c>
    </row>
    <row r="151" spans="4:7" ht="20.100000000000001" customHeight="1" x14ac:dyDescent="0.2">
      <c r="D151" s="87" t="s">
        <v>435</v>
      </c>
      <c r="E151" s="87" t="e" cm="1">
        <f t="array" ref="E151">Common_Equations.Common_ConvertN2OToCO2e(G148,G149)</f>
        <v>#N/A</v>
      </c>
      <c r="F151" s="94" t="str" cm="1">
        <f t="array" ref="F151">Common_Equations.Common_ConvertN2OToCO2e_Unit()</f>
        <v>t CO2e</v>
      </c>
    </row>
  </sheetData>
  <pageMargins left="0.7" right="0.7" top="0.75" bottom="0.75" header="0.3" footer="0.3"/>
  <pageSetup paperSize="9" orientation="portrait" r:id="rId1"/>
  <drawing r:id="rId2"/>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1F2ABA-3557-4042-A53B-4CE4EC7E0FE8}">
  <sheetPr>
    <tabColor rgb="FF008000"/>
  </sheetPr>
  <dimension ref="A1:T99"/>
  <sheetViews>
    <sheetView showGridLines="0" zoomScaleNormal="100" workbookViewId="0">
      <pane xSplit="1" topLeftCell="B1" activePane="topRight" state="frozen"/>
      <selection pane="topRight" activeCell="A59" sqref="A59"/>
    </sheetView>
  </sheetViews>
  <sheetFormatPr defaultRowHeight="20.100000000000001" customHeight="1" x14ac:dyDescent="0.2"/>
  <cols>
    <col min="1" max="1" width="36.7109375" customWidth="1"/>
    <col min="2" max="2" width="4.7109375" customWidth="1"/>
    <col min="3" max="3" width="4.7109375" style="1" customWidth="1"/>
    <col min="4" max="10" width="30.7109375" style="1" customWidth="1"/>
    <col min="11" max="11" width="4.7109375" style="1" customWidth="1"/>
    <col min="12" max="12" width="4.7109375" customWidth="1"/>
    <col min="13" max="13" width="4.7109375" style="1" customWidth="1"/>
    <col min="14" max="19" width="30.7109375" style="1" customWidth="1"/>
    <col min="20" max="20" width="4.7109375" style="1" customWidth="1"/>
  </cols>
  <sheetData>
    <row r="1" spans="1:20" s="21" customFormat="1" ht="30" customHeight="1" x14ac:dyDescent="0.35">
      <c r="A1" s="10" t="e" vm="1">
        <v>#VALUE!</v>
      </c>
      <c r="C1" s="21" t="s">
        <v>713</v>
      </c>
    </row>
    <row r="2" spans="1:20" s="3" customFormat="1" ht="20.100000000000001" customHeight="1" x14ac:dyDescent="0.2">
      <c r="A2"/>
    </row>
    <row r="3" spans="1:20" ht="20.100000000000001" customHeight="1" x14ac:dyDescent="0.2">
      <c r="A3" s="5" t="str">
        <f>HYPERLINK("#'Home'!A1", "Home")</f>
        <v>Home</v>
      </c>
      <c r="C3" s="23"/>
      <c r="D3" s="23" t="s">
        <v>136</v>
      </c>
      <c r="E3" s="23"/>
      <c r="F3" s="23"/>
      <c r="G3" s="23"/>
      <c r="H3" s="23"/>
      <c r="I3" s="23"/>
      <c r="J3" s="23"/>
      <c r="K3" s="23"/>
      <c r="M3" s="23"/>
      <c r="N3" s="23" t="s">
        <v>137</v>
      </c>
      <c r="O3" s="23"/>
      <c r="P3" s="23"/>
      <c r="Q3" s="23"/>
      <c r="R3" s="23"/>
      <c r="S3" s="23"/>
      <c r="T3" s="23"/>
    </row>
    <row r="4" spans="1:20" ht="20.100000000000001" customHeight="1" x14ac:dyDescent="0.2">
      <c r="A4" s="5" t="str">
        <f>HYPERLINK("#'Results - Activity period'!A1", "Results - Activity period")</f>
        <v>Results - Activity period</v>
      </c>
    </row>
    <row r="5" spans="1:20" ht="20.100000000000001" customHeight="1" x14ac:dyDescent="0.2">
      <c r="A5" s="5" t="str">
        <f>HYPERLINK("#'Results - Product EI'!A1", "Results - Product Emissions Intensity")</f>
        <v>Results - Product Emissions Intensity</v>
      </c>
      <c r="D5" s="2" t="s">
        <v>1484</v>
      </c>
    </row>
    <row r="6" spans="1:20" ht="20.100000000000001" customHeight="1" x14ac:dyDescent="0.2">
      <c r="D6" s="17" t="s">
        <v>1485</v>
      </c>
    </row>
    <row r="7" spans="1:20" ht="20.100000000000001" customHeight="1" x14ac:dyDescent="0.2">
      <c r="D7" s="103"/>
      <c r="E7" s="103"/>
    </row>
    <row r="8" spans="1:20" ht="20.100000000000001" customHeight="1" x14ac:dyDescent="0.2">
      <c r="A8" s="7" t="s">
        <v>0</v>
      </c>
    </row>
    <row r="9" spans="1:20" ht="20.100000000000001" customHeight="1" x14ac:dyDescent="0.2">
      <c r="A9" s="5" t="str">
        <f>HYPERLINK("#'Input - Enterprise'!A1", "Enterprise")</f>
        <v>Enterprise</v>
      </c>
    </row>
    <row r="10" spans="1:20" ht="20.100000000000001" customHeight="1" x14ac:dyDescent="0.2">
      <c r="A10" s="5" t="str">
        <f>HYPERLINK("#'Input - Site'!A1", "Site")</f>
        <v>Site</v>
      </c>
      <c r="D10" s="77" t="s">
        <v>373</v>
      </c>
      <c r="E10" s="1" t="s">
        <v>1486</v>
      </c>
    </row>
    <row r="11" spans="1:20" ht="20.100000000000001" customHeight="1" x14ac:dyDescent="0.2">
      <c r="A11" s="5" t="str">
        <f>HYPERLINK("#'Input - Pasture Beef'!A1", "Pasture Beef")</f>
        <v>Pasture Beef</v>
      </c>
      <c r="D11" s="77" t="s">
        <v>121</v>
      </c>
      <c r="E11" s="9" t="s">
        <v>1055</v>
      </c>
    </row>
    <row r="12" spans="1:20" ht="20.100000000000001" customHeight="1" x14ac:dyDescent="0.2">
      <c r="A12" s="5" t="str">
        <f>HYPERLINK("#'Input - Livestock sales'!A1", "Livestock sales")</f>
        <v>Livestock sales</v>
      </c>
    </row>
    <row r="13" spans="1:20" ht="20.100000000000001" customHeight="1" x14ac:dyDescent="0.2">
      <c r="A13" s="5" t="str">
        <f>HYPERLINK("#'Input - Beef cattle purchases'!A1", "Beef cattle purchases")</f>
        <v>Beef cattle purchases</v>
      </c>
      <c r="D13" s="105" t="s">
        <v>1376</v>
      </c>
      <c r="E13" s="106" t="s">
        <v>1487</v>
      </c>
      <c r="F13" s="108"/>
      <c r="G13" s="105" t="s">
        <v>1055</v>
      </c>
      <c r="H13" s="110" t="s">
        <v>1397</v>
      </c>
      <c r="I13" s="111" t="str" cm="1">
        <f t="array" aca="1" ref="I13" ca="1">HYPERLINK(Common_InputFunctions.Utility_SourceHyperlink(D20), D20)</f>
        <v>Table_M_leach_inorganic_j</v>
      </c>
    </row>
    <row r="14" spans="1:20" ht="20.100000000000001" customHeight="1" x14ac:dyDescent="0.2">
      <c r="A14" s="5" t="str">
        <f>HYPERLINK("#'Input - Pasture'!A1", "Pasture")</f>
        <v>Pasture</v>
      </c>
      <c r="D14" s="105" t="s">
        <v>1488</v>
      </c>
      <c r="E14" s="106" t="s">
        <v>1361</v>
      </c>
      <c r="F14" s="108"/>
      <c r="G14" s="105" t="s">
        <v>346</v>
      </c>
      <c r="H14" s="110" t="s">
        <v>1220</v>
      </c>
      <c r="I14" s="105">
        <f>Common_InputFunctions.CommonCropping_GetFracWET(I16,I18,Table_SourceData_FracWET[Is in leaching zone],Table_SourceData_FracWET[FracWET],Table_SourceData_FracWETIrrigation[Irrigation type i],Table_SourceData_FracWETIrrigation[FracWET])</f>
        <v>0</v>
      </c>
    </row>
    <row r="15" spans="1:20" ht="20.100000000000001" customHeight="1" x14ac:dyDescent="0.2">
      <c r="A15" s="5" t="str">
        <f>HYPERLINK("#'Input - Fert Prod System'!A1", "Fert Prod System")</f>
        <v>Fert Prod System</v>
      </c>
      <c r="D15" s="105" t="s">
        <v>1362</v>
      </c>
      <c r="E15" s="106" t="s">
        <v>1489</v>
      </c>
      <c r="F15" s="108"/>
      <c r="G15" s="105" t="s">
        <v>346</v>
      </c>
      <c r="H15" s="110" t="s">
        <v>1220</v>
      </c>
      <c r="I15" s="105">
        <f>Fertiliser_FracLEACH_Data</f>
        <v>0.24</v>
      </c>
    </row>
    <row r="16" spans="1:20" ht="20.100000000000001" customHeight="1" x14ac:dyDescent="0.2">
      <c r="A16" s="5" t="str">
        <f>HYPERLINK("#'Input - Fertiliser'!A1", "Fertiliser")</f>
        <v>Fertiliser</v>
      </c>
      <c r="D16" s="105" t="s">
        <v>1364</v>
      </c>
      <c r="E16" s="106" t="s">
        <v>1365</v>
      </c>
      <c r="F16" s="108"/>
      <c r="G16" s="105"/>
      <c r="H16" s="109" t="s">
        <v>1219</v>
      </c>
      <c r="I16" s="105">
        <f>X_Cell_Site_LeachingZone</f>
        <v>0</v>
      </c>
    </row>
    <row r="17" spans="1:9" ht="20.100000000000001" customHeight="1" x14ac:dyDescent="0.2">
      <c r="A17" s="5" t="str">
        <f>HYPERLINK("#'Input - Fuel'!A1", "Fuel")</f>
        <v>Fuel</v>
      </c>
      <c r="D17" s="105" t="s">
        <v>1350</v>
      </c>
      <c r="E17" s="106" t="s">
        <v>1351</v>
      </c>
      <c r="F17" s="108"/>
      <c r="G17" s="105"/>
      <c r="H17" s="109" t="s">
        <v>1219</v>
      </c>
      <c r="I17" s="105">
        <f>X_Cell_Fertiliser_ProductionSystem</f>
        <v>0</v>
      </c>
    </row>
    <row r="18" spans="1:9" ht="20.100000000000001" customHeight="1" x14ac:dyDescent="0.2">
      <c r="A18" s="5" t="str">
        <f>HYPERLINK("#'Input - Electricity'!A1", "Electricity")</f>
        <v>Electricity</v>
      </c>
      <c r="D18" s="105" t="s">
        <v>1366</v>
      </c>
      <c r="E18" s="106" t="s">
        <v>1352</v>
      </c>
      <c r="F18" s="108"/>
      <c r="G18" s="105"/>
      <c r="H18" s="109" t="s">
        <v>1219</v>
      </c>
      <c r="I18" s="105">
        <f>X_Cell_Fertiliser_IrrigationMethod</f>
        <v>0</v>
      </c>
    </row>
    <row r="19" spans="1:9" ht="20.100000000000001" customHeight="1" x14ac:dyDescent="0.2">
      <c r="A19" s="5" t="str">
        <f>HYPERLINK("#'Input - Common farm inputs'!A1", "Common farm inputs")</f>
        <v>Common farm inputs</v>
      </c>
    </row>
    <row r="20" spans="1:9" ht="20.100000000000001" customHeight="1" x14ac:dyDescent="0.2">
      <c r="A20" s="5" t="str">
        <f>HYPERLINK("#'Input - Crop pasture farm input'!A1", "Crop pasture farm input")</f>
        <v>Crop pasture farm input</v>
      </c>
      <c r="D20" s="112" t="s">
        <v>714</v>
      </c>
    </row>
    <row r="21" spans="1:9" ht="20.100000000000001" customHeight="1" x14ac:dyDescent="0.2">
      <c r="A21" s="5" t="str">
        <f>HYPERLINK("#'Input - Livestock farm Inputs'!A1", "Livestock farm Inputs")</f>
        <v>Livestock farm Inputs</v>
      </c>
      <c r="D21" s="113" t="s">
        <v>715</v>
      </c>
    </row>
    <row r="22" spans="1:9" ht="20.100000000000001" customHeight="1" x14ac:dyDescent="0.2">
      <c r="A22" s="5" t="str">
        <f>HYPERLINK("#'Input - Freight'!A1", "Freight")</f>
        <v>Freight</v>
      </c>
      <c r="D22" s="114" t="s">
        <v>644</v>
      </c>
      <c r="E22" s="114" t="s">
        <v>698</v>
      </c>
      <c r="F22" s="114" t="s">
        <v>716</v>
      </c>
    </row>
    <row r="23" spans="1:9" ht="20.100000000000001" customHeight="1" x14ac:dyDescent="0.2">
      <c r="A23" s="5" t="str">
        <f>HYPERLINK("#'Input - Solid waste'!A1", "Solid waste")</f>
        <v>Solid waste</v>
      </c>
      <c r="D23" s="15" t="str" cm="1">
        <f t="array" ref="D23:D41">Table_Fertiliser_ChemicalCompounds[Fertiliser type f]</f>
        <v>Monoammonium phosphate (MAP)</v>
      </c>
      <c r="E23" s="15">
        <f>INDEX(Table_MN_j_f,2,4)</f>
        <v>0</v>
      </c>
      <c r="F23" s="15">
        <f>(E23 * $I$14 * $I$15)</f>
        <v>0</v>
      </c>
    </row>
    <row r="24" spans="1:9" ht="20.100000000000001" customHeight="1" x14ac:dyDescent="0.2">
      <c r="A24" s="5" t="str">
        <f>HYPERLINK("#'Input - Manure sent off-site'!A1", "Manure sent off-site")</f>
        <v>Manure sent off-site</v>
      </c>
      <c r="D24" s="15" t="str">
        <v>Diammonium phosphate (DAP)</v>
      </c>
      <c r="E24" s="15">
        <f>INDEX(Table_MN_j_f,3,4)</f>
        <v>0</v>
      </c>
      <c r="F24" s="15">
        <f>(E24 * $I$14 * $I$15)</f>
        <v>0</v>
      </c>
    </row>
    <row r="25" spans="1:9" ht="20.100000000000001" customHeight="1" x14ac:dyDescent="0.2">
      <c r="A25" s="5" t="str">
        <f>HYPERLINK("#'Input - Data quality'!A1", "Data quality")</f>
        <v>Data quality</v>
      </c>
      <c r="D25" s="15" t="str">
        <v>Urea</v>
      </c>
      <c r="E25" s="15">
        <f>INDEX(Table_MN_j_f,4,4)</f>
        <v>0</v>
      </c>
      <c r="F25" s="15">
        <f>(E25 * $I$14 * $I$15)</f>
        <v>0</v>
      </c>
    </row>
    <row r="26" spans="1:9" ht="20.100000000000001" customHeight="1" x14ac:dyDescent="0.2">
      <c r="D26" s="15" t="str">
        <v>Sulphate of ammonia (SOA)</v>
      </c>
      <c r="E26" s="15">
        <f>INDEX(Table_MN_j_f,5,4)</f>
        <v>0</v>
      </c>
      <c r="F26" s="15">
        <f>(E26 * $I$14 * $I$15)</f>
        <v>0</v>
      </c>
    </row>
    <row r="27" spans="1:9" ht="20.100000000000001" customHeight="1" x14ac:dyDescent="0.2">
      <c r="D27" s="15" t="str">
        <v>Urea-ammonium nitrate (UAN)</v>
      </c>
      <c r="E27" s="15">
        <f>INDEX(Table_MN_j_f,6,4)</f>
        <v>0</v>
      </c>
      <c r="F27" s="15">
        <f>(E27 * $I$14 * $I$15)</f>
        <v>0</v>
      </c>
    </row>
    <row r="28" spans="1:9" ht="20.100000000000001" customHeight="1" x14ac:dyDescent="0.2">
      <c r="A28" s="6" t="s">
        <v>2</v>
      </c>
      <c r="D28" s="15" t="str">
        <v>Ammonium nitrate (AN)</v>
      </c>
      <c r="E28" s="15">
        <f>INDEX(Table_MN_j_f,7,4)</f>
        <v>0</v>
      </c>
      <c r="F28" s="15">
        <f>(E28 * $I$14 * $I$15)</f>
        <v>0</v>
      </c>
    </row>
    <row r="29" spans="1:9" ht="20.100000000000001" customHeight="1" x14ac:dyDescent="0.2">
      <c r="A29" s="5" t="str">
        <f>HYPERLINK("#'3.2.1.1-2 Enteric Methane'!A1", "3.2.1.1-2 Enteric Methane")</f>
        <v>3.2.1.1-2 Enteric Methane</v>
      </c>
      <c r="D29" s="15" t="str">
        <v>Calcium ammonium nitrate (CAN)</v>
      </c>
      <c r="E29" s="15">
        <f>INDEX(Table_MN_j_f,8,4)</f>
        <v>0</v>
      </c>
      <c r="F29" s="15">
        <f>(E29 * $I$14 * $I$15)</f>
        <v>0</v>
      </c>
    </row>
    <row r="30" spans="1:9" ht="20.100000000000001" customHeight="1" x14ac:dyDescent="0.2">
      <c r="A30" s="5" t="str">
        <f>HYPERLINK("#'4.2.1.1-2 Methane'!A1", "4.2.1.1-2 Manure methane")</f>
        <v>4.2.1.1-2 Manure methane</v>
      </c>
      <c r="D30" s="15" t="str">
        <v>Nitrogen - Ammoniacal</v>
      </c>
      <c r="E30" s="15">
        <f>INDEX(Table_MN_j_f,9,4)</f>
        <v>0</v>
      </c>
      <c r="F30" s="15">
        <f>(E30 * $I$14 * $I$15)</f>
        <v>0</v>
      </c>
    </row>
    <row r="31" spans="1:9" ht="20.100000000000001" customHeight="1" x14ac:dyDescent="0.2">
      <c r="A31" s="5" t="str">
        <f>HYPERLINK("#'4.2.1.3-4 Soil direct N20'!A1", "4.2.1.3-4 Soil direct N2O")</f>
        <v>4.2.1.3-4 Soil direct N2O</v>
      </c>
      <c r="D31" s="15" t="str">
        <v>Nitrogen - Nitrate</v>
      </c>
      <c r="E31" s="15">
        <f>INDEX(Table_MN_j_f,10,4)</f>
        <v>0</v>
      </c>
      <c r="F31" s="15">
        <f>(E31 * $I$14 * $I$15)</f>
        <v>0</v>
      </c>
    </row>
    <row r="32" spans="1:9" ht="20.100000000000001" customHeight="1" x14ac:dyDescent="0.2">
      <c r="A32" s="5" t="str">
        <f>HYPERLINK("#'4.2.1.5-6 Soil Atmos Dep'!A1", "4.2.1.5-6 Soil atm. deposition")</f>
        <v>4.2.1.5-6 Soil atm. deposition</v>
      </c>
      <c r="D32" s="15" t="str">
        <v>Nitrogen - Generic</v>
      </c>
      <c r="E32" s="15">
        <f>INDEX(Table_MN_j_f,11,4)</f>
        <v>0</v>
      </c>
      <c r="F32" s="15">
        <f>(E32 * $I$14 * $I$15)</f>
        <v>0</v>
      </c>
    </row>
    <row r="33" spans="1:11" ht="20.100000000000001" customHeight="1" x14ac:dyDescent="0.2">
      <c r="A33" s="5" t="str">
        <f>HYPERLINK("#'4.2.1.7-8 Soil leach runoff'!A1", "4.2.1.7-8 Soil leach &amp; runoff")</f>
        <v>4.2.1.7-8 Soil leach &amp; runoff</v>
      </c>
      <c r="D33" s="15" t="str">
        <v>Phosphorus - Generic</v>
      </c>
      <c r="E33" s="15">
        <f>INDEX(Table_MN_j_f,12,4)</f>
        <v>0</v>
      </c>
      <c r="F33" s="15">
        <f>(E33 * $I$14 * $I$15)</f>
        <v>0</v>
      </c>
    </row>
    <row r="34" spans="1:11" ht="20.100000000000001" customHeight="1" x14ac:dyDescent="0.2">
      <c r="A34" s="5" t="str">
        <f>HYPERLINK("#'5.1.1.1-2 Inorganic fert N2O'!A1", "5.1.1.1-2 Inorganic fert N2O")</f>
        <v>5.1.1.1-2 Inorganic fert N2O</v>
      </c>
      <c r="D34" s="15" t="str">
        <v>Potassium - Generic</v>
      </c>
      <c r="E34" s="15">
        <f>INDEX(Table_MN_j_f,13,4)</f>
        <v>0</v>
      </c>
      <c r="F34" s="15">
        <f>(E34 * $I$14 * $I$15)</f>
        <v>0</v>
      </c>
    </row>
    <row r="35" spans="1:11" ht="20.100000000000001" customHeight="1" x14ac:dyDescent="0.2">
      <c r="A35" s="5" t="str">
        <f>HYPERLINK("#'5.1.1.3-4 Inorganic fert CO2'!A1", "5.1.1.3-4 Inorganic fert CO2")</f>
        <v>5.1.1.3-4 Inorganic fert CO2</v>
      </c>
      <c r="D35" s="15" t="str">
        <v>Sulfur - Generic</v>
      </c>
      <c r="E35" s="15">
        <f>INDEX(Table_MN_j_f,14,4)</f>
        <v>0</v>
      </c>
      <c r="F35" s="15">
        <f>(E35 * $I$14 * $I$15)</f>
        <v>0</v>
      </c>
    </row>
    <row r="36" spans="1:11" ht="20.100000000000001" customHeight="1" x14ac:dyDescent="0.2">
      <c r="A36" s="5" t="str">
        <f>HYPERLINK("#'5.2.1.1-2 Organic Fert N2O'!A1", "5.2.1.1-2 Organic fert N2O")</f>
        <v>5.2.1.1-2 Organic fert N2O</v>
      </c>
      <c r="D36" s="15" t="str">
        <v>Zinc - Generic</v>
      </c>
      <c r="E36" s="15">
        <f>INDEX(Table_MN_j_f,15,4)</f>
        <v>0</v>
      </c>
      <c r="F36" s="15">
        <f>(E36 * $I$14 * $I$15)</f>
        <v>0</v>
      </c>
    </row>
    <row r="37" spans="1:11" ht="20.100000000000001" customHeight="1" x14ac:dyDescent="0.2">
      <c r="A37" s="5" t="str">
        <f>HYPERLINK("#'5.3.1.1-2 Lime CO2'!A1", "5.3.1.1-2 Lime CO2")</f>
        <v>5.3.1.1-2 Lime CO2</v>
      </c>
      <c r="D37" s="15" t="str">
        <v>Muriate of potash (MOP)</v>
      </c>
      <c r="E37" s="15">
        <f>INDEX(Table_MN_j_f,16,4)</f>
        <v>0</v>
      </c>
      <c r="F37" s="15">
        <f>(E37 * $I$14 * $I$15)</f>
        <v>0</v>
      </c>
    </row>
    <row r="38" spans="1:11" ht="20.100000000000001" customHeight="1" x14ac:dyDescent="0.2">
      <c r="A38" s="5" t="str">
        <f>HYPERLINK("#'5.4.1.1-4 Atmos deposition'!A1", "5.4.1.1-4 Atmos. deposition")</f>
        <v>5.4.1.1-4 Atmos. deposition</v>
      </c>
      <c r="D38" s="15" t="str">
        <v>Double superphosphate</v>
      </c>
      <c r="E38" s="15">
        <f>INDEX(Table_MN_j_f,17,4)</f>
        <v>0</v>
      </c>
      <c r="F38" s="15">
        <f>(E38 * $I$14 * $I$15)</f>
        <v>0</v>
      </c>
    </row>
    <row r="39" spans="1:11" ht="20.100000000000001" customHeight="1" x14ac:dyDescent="0.2">
      <c r="A39" s="104" t="str">
        <f>HYPERLINK("#'5.5.1.1-2 Leaching and runoff'!A1", "5.5.1.1-2 Leaching &amp; runoff")</f>
        <v>5.5.1.1-2 Leaching &amp; runoff</v>
      </c>
      <c r="D39" s="15" t="str">
        <v>Single superphosphate (SSP)</v>
      </c>
      <c r="E39" s="15">
        <f>INDEX(Table_MN_j_f,18,4)</f>
        <v>0</v>
      </c>
      <c r="F39" s="15">
        <f>(E39 * $I$14 * $I$15)</f>
        <v>0</v>
      </c>
    </row>
    <row r="40" spans="1:11" ht="20.100000000000001" customHeight="1" x14ac:dyDescent="0.2">
      <c r="A40" s="5" t="str">
        <f>HYPERLINK("#'6.2.1.1-2 Pasture residue N2O'!A1", "6.2.1.1-2 Pasture residue N2O")</f>
        <v>6.2.1.1-2 Pasture residue N2O</v>
      </c>
      <c r="D40" s="15" t="str">
        <v>Ammonia</v>
      </c>
      <c r="E40" s="15">
        <f>INDEX(Table_MN_j_f,19,4)</f>
        <v>0</v>
      </c>
      <c r="F40" s="15">
        <f>(E40 * $I$14 * $I$15)</f>
        <v>0</v>
      </c>
    </row>
    <row r="41" spans="1:11" ht="20.100000000000001" customHeight="1" x14ac:dyDescent="0.2">
      <c r="A41" s="5" t="str">
        <f>HYPERLINK("#'6.3.1.1-2 Leach runoff pasture'!A1", "6.3.1.1-2 Leach &amp; runoff (pasture)")</f>
        <v>6.3.1.1-2 Leach &amp; runoff (pasture)</v>
      </c>
      <c r="D41" s="15" t="str">
        <v>Calcium nitrate</v>
      </c>
      <c r="E41" s="15">
        <f>INDEX(Table_MN_j_f,20,4)</f>
        <v>0</v>
      </c>
      <c r="F41" s="15">
        <f>(E41 * $I$14 * $I$15)</f>
        <v>0</v>
      </c>
    </row>
    <row r="42" spans="1:11" ht="20.100000000000001" customHeight="1" x14ac:dyDescent="0.2">
      <c r="A42" s="5" t="str">
        <f>HYPERLINK("#'8.1.1.1-2 Transport fuel'!A1", "8.1.1.1-2 Transport fuel")</f>
        <v>8.1.1.1-2 Transport fuel</v>
      </c>
    </row>
    <row r="43" spans="1:11" ht="20.100000000000001" customHeight="1" x14ac:dyDescent="0.2">
      <c r="A43" s="5" t="str">
        <f>HYPERLINK("#'8.2.1.1-2 Stationary fuel'!A1", "8.2.1.1-2 Stationary fuel")</f>
        <v>8.2.1.1-2 Stationary fuel</v>
      </c>
      <c r="D43" s="93" t="s">
        <v>717</v>
      </c>
      <c r="E43" s="87">
        <f>SUM(F23:F41)</f>
        <v>0</v>
      </c>
      <c r="F43" s="94" t="str">
        <f>$E$11</f>
        <v>kg N</v>
      </c>
    </row>
    <row r="44" spans="1:11" ht="20.100000000000001" customHeight="1" x14ac:dyDescent="0.2">
      <c r="A44" s="5" t="str">
        <f>HYPERLINK("#'10.1.1-2 Solid waste treatment'!A1", "10.1.1.1-2 Solid waste")</f>
        <v>10.1.1.1-2 Solid waste</v>
      </c>
    </row>
    <row r="45" spans="1:11" ht="20.100000000000001" customHeight="1" x14ac:dyDescent="0.2">
      <c r="A45" s="5" t="str">
        <f>HYPERLINK("#'14.1.1-2 Purchased electricity'!A1", "14.1.1-2 Purchased electricity")</f>
        <v>14.1.1-2 Purchased electricity</v>
      </c>
      <c r="C45" s="175"/>
      <c r="D45" s="175"/>
      <c r="E45" s="175"/>
      <c r="F45" s="175"/>
      <c r="G45" s="175"/>
      <c r="H45" s="175"/>
      <c r="I45" s="175"/>
      <c r="J45" s="175"/>
      <c r="K45" s="175"/>
    </row>
    <row r="46" spans="1:11" ht="20.100000000000001" customHeight="1" x14ac:dyDescent="0.2">
      <c r="A46" s="5" t="str">
        <f>HYPERLINK("#'15 Scope 3'!A1", "15 Scope 3")</f>
        <v>15 Scope 3</v>
      </c>
    </row>
    <row r="47" spans="1:11" ht="20.100000000000001" customHeight="1" x14ac:dyDescent="0.2">
      <c r="A47" s="5" t="str">
        <f>HYPERLINK("#'Calcs - Manure sent off-site'!A1", "Calcs - Manure sent off-site")</f>
        <v>Calcs - Manure sent off-site</v>
      </c>
      <c r="D47" s="2" t="s">
        <v>1490</v>
      </c>
    </row>
    <row r="48" spans="1:11" ht="20.100000000000001" customHeight="1" x14ac:dyDescent="0.2">
      <c r="D48" s="17" t="s">
        <v>1491</v>
      </c>
    </row>
    <row r="49" spans="1:9" ht="20.100000000000001" customHeight="1" x14ac:dyDescent="0.2">
      <c r="D49" s="103"/>
      <c r="E49" s="103"/>
    </row>
    <row r="50" spans="1:9" ht="20.100000000000001" customHeight="1" x14ac:dyDescent="0.2">
      <c r="A50" s="85" t="s">
        <v>1</v>
      </c>
    </row>
    <row r="51" spans="1:9" ht="20.100000000000001" customHeight="1" x14ac:dyDescent="0.2">
      <c r="A51" s="5" t="str">
        <f>HYPERLINK("#'Constants - Pasture Beef'!A1", "Constants - Pasture Beef")</f>
        <v>Constants - Pasture Beef</v>
      </c>
    </row>
    <row r="52" spans="1:9" ht="20.100000000000001" customHeight="1" x14ac:dyDescent="0.2">
      <c r="A52" s="5" t="str">
        <f>HYPERLINK("#'Constants - Ag Residue'!A1", "Constants - Ag residue")</f>
        <v>Constants - Ag residue</v>
      </c>
      <c r="D52" s="77" t="s">
        <v>373</v>
      </c>
      <c r="E52" s="1" t="s">
        <v>1492</v>
      </c>
    </row>
    <row r="53" spans="1:9" ht="20.100000000000001" customHeight="1" x14ac:dyDescent="0.2">
      <c r="A53" s="5" t="str">
        <f>HYPERLINK("#'Constants - Common Livestock'!A1", "Constants - Common Livestock")</f>
        <v>Constants - Common Livestock</v>
      </c>
      <c r="D53" s="77" t="s">
        <v>121</v>
      </c>
      <c r="E53" s="9" t="s">
        <v>1055</v>
      </c>
    </row>
    <row r="54" spans="1:9" ht="20.100000000000001" customHeight="1" x14ac:dyDescent="0.2">
      <c r="A54" s="5" t="str">
        <f>HYPERLINK("#'Constants - Electricity'!A1", "Constants - Electricity")</f>
        <v>Constants - Electricity</v>
      </c>
    </row>
    <row r="55" spans="1:9" ht="20.100000000000001" customHeight="1" x14ac:dyDescent="0.2">
      <c r="A55" s="5" t="str">
        <f>HYPERLINK("#'Constants - Fertiliser'!A1", "Constants - Fertiliser")</f>
        <v>Constants - Fertiliser</v>
      </c>
      <c r="D55" s="105" t="s">
        <v>1430</v>
      </c>
      <c r="E55" s="106" t="s">
        <v>1493</v>
      </c>
      <c r="F55" s="108"/>
      <c r="G55" s="105" t="s">
        <v>1055</v>
      </c>
      <c r="H55" s="110" t="s">
        <v>1440</v>
      </c>
      <c r="I55" s="111" t="str" cm="1">
        <f t="array" aca="1" ref="I55" ca="1">HYPERLINK(Common_InputFunctions.Utility_SourceHyperlink(D62), D62)</f>
        <v>Table_M_leach_organic_j</v>
      </c>
    </row>
    <row r="56" spans="1:9" ht="20.100000000000001" customHeight="1" x14ac:dyDescent="0.2">
      <c r="A56" s="5" t="str">
        <f>HYPERLINK("#'Constants - Fuel'!A1", "Constants - Fuel")</f>
        <v>Constants - Fuel</v>
      </c>
      <c r="D56" s="105" t="s">
        <v>1488</v>
      </c>
      <c r="E56" s="106" t="s">
        <v>1361</v>
      </c>
      <c r="F56" s="108"/>
      <c r="G56" s="105" t="s">
        <v>346</v>
      </c>
      <c r="H56" s="110" t="s">
        <v>1220</v>
      </c>
      <c r="I56" s="105">
        <f>Common_InputFunctions.CommonCropping_GetFracWET(I58,I60,Table_SourceData_FracWET[Is in leaching zone],Table_SourceData_FracWET[FracWET],Table_SourceData_FracWETIrrigation[Irrigation type i],Table_SourceData_FracWETIrrigation[FracWET])</f>
        <v>0</v>
      </c>
    </row>
    <row r="57" spans="1:9" ht="20.100000000000001" customHeight="1" x14ac:dyDescent="0.2">
      <c r="A57" s="5" t="str">
        <f>HYPERLINK("#'Constants - Scope 3'!A1", "Constants - Scope 3")</f>
        <v>Constants - Scope 3</v>
      </c>
      <c r="D57" s="105" t="s">
        <v>1362</v>
      </c>
      <c r="E57" s="106" t="s">
        <v>1489</v>
      </c>
      <c r="F57" s="108"/>
      <c r="G57" s="105" t="s">
        <v>346</v>
      </c>
      <c r="H57" s="110" t="s">
        <v>1220</v>
      </c>
      <c r="I57" s="105">
        <f>Fertiliser_FracLEACH_Data</f>
        <v>0.24</v>
      </c>
    </row>
    <row r="58" spans="1:9" ht="20.100000000000001" customHeight="1" x14ac:dyDescent="0.2">
      <c r="A58" s="5" t="str">
        <f>HYPERLINK("#'Constants - Solid Waste'!A1", "Constants - Solid Waste")</f>
        <v>Constants - Solid Waste</v>
      </c>
      <c r="D58" s="105" t="s">
        <v>1364</v>
      </c>
      <c r="E58" s="106" t="s">
        <v>1365</v>
      </c>
      <c r="F58" s="108"/>
      <c r="G58" s="105"/>
      <c r="H58" s="109" t="s">
        <v>1219</v>
      </c>
      <c r="I58" s="105">
        <f>X_Cell_Site_LeachingZone</f>
        <v>0</v>
      </c>
    </row>
    <row r="59" spans="1:9" ht="20.100000000000001" customHeight="1" x14ac:dyDescent="0.2">
      <c r="A59" s="5" t="str">
        <f>HYPERLINK("#'Constants - Common'!A1", "Constants - Common")</f>
        <v>Constants - Common</v>
      </c>
      <c r="D59" s="105" t="s">
        <v>1350</v>
      </c>
      <c r="E59" s="106" t="s">
        <v>1351</v>
      </c>
      <c r="F59" s="108"/>
      <c r="G59" s="105"/>
      <c r="H59" s="109" t="s">
        <v>1219</v>
      </c>
      <c r="I59" s="105">
        <f>X_Cell_Fertiliser_ProductionSystem</f>
        <v>0</v>
      </c>
    </row>
    <row r="60" spans="1:9" ht="20.100000000000001" customHeight="1" x14ac:dyDescent="0.2">
      <c r="A60" s="5" t="str">
        <f>HYPERLINK("#'Acknowledgements'!A1", "Acknowledgements")</f>
        <v>Acknowledgements</v>
      </c>
      <c r="D60" s="105" t="s">
        <v>1366</v>
      </c>
      <c r="E60" s="106" t="s">
        <v>1352</v>
      </c>
      <c r="F60" s="108"/>
      <c r="G60" s="105"/>
      <c r="H60" s="109" t="s">
        <v>1219</v>
      </c>
      <c r="I60" s="105">
        <f>X_Cell_Fertiliser_IrrigationMethod</f>
        <v>0</v>
      </c>
    </row>
    <row r="62" spans="1:9" ht="20.100000000000001" customHeight="1" x14ac:dyDescent="0.2">
      <c r="D62" s="112" t="s">
        <v>718</v>
      </c>
    </row>
    <row r="63" spans="1:9" ht="20.100000000000001" customHeight="1" x14ac:dyDescent="0.2">
      <c r="D63" s="113" t="s">
        <v>719</v>
      </c>
    </row>
    <row r="64" spans="1:9" ht="20.100000000000001" customHeight="1" x14ac:dyDescent="0.2">
      <c r="D64" s="82" t="s">
        <v>680</v>
      </c>
      <c r="E64" s="176" t="s">
        <v>684</v>
      </c>
      <c r="F64" s="114" t="s">
        <v>720</v>
      </c>
    </row>
    <row r="65" spans="3:11" ht="20.100000000000001" customHeight="1" x14ac:dyDescent="0.2">
      <c r="D65" s="15">
        <f>INDEX(Table_MNSoil_j_f,2,1)</f>
        <v>0</v>
      </c>
      <c r="E65" s="15">
        <f>INDEX(Table_MNSoil_j_f,2,6)</f>
        <v>0</v>
      </c>
      <c r="F65" s="15">
        <f>(E65 * $I$56 * $I$57)</f>
        <v>0</v>
      </c>
    </row>
    <row r="66" spans="3:11" ht="20.100000000000001" customHeight="1" x14ac:dyDescent="0.2">
      <c r="D66" s="15">
        <f>INDEX(Table_MNSoil_j_f,3,1)</f>
        <v>0</v>
      </c>
      <c r="E66" s="15">
        <f>INDEX(Table_MNSoil_j_f,3,6)</f>
        <v>0</v>
      </c>
      <c r="F66" s="15">
        <f>(E66 * $I$56 * $I$57)</f>
        <v>0</v>
      </c>
    </row>
    <row r="67" spans="3:11" ht="20.100000000000001" customHeight="1" x14ac:dyDescent="0.2">
      <c r="D67" s="15">
        <f>INDEX(Table_MNSoil_j_f,4,1)</f>
        <v>0</v>
      </c>
      <c r="E67" s="15">
        <f>INDEX(Table_MNSoil_j_f,4,6)</f>
        <v>0</v>
      </c>
      <c r="F67" s="15">
        <f>(E67 * $I$56 * $I$57)</f>
        <v>0</v>
      </c>
    </row>
    <row r="68" spans="3:11" ht="20.100000000000001" customHeight="1" x14ac:dyDescent="0.2">
      <c r="D68" s="15">
        <f>'5.2.1.1-2 Organic Fert N2O'!D23</f>
        <v>0</v>
      </c>
      <c r="E68" s="15">
        <f>'5.2.1.1-2 Organic Fert N2O'!I23</f>
        <v>0</v>
      </c>
      <c r="F68" s="15">
        <f>(E68 * $I$56 * $I$57)</f>
        <v>0</v>
      </c>
    </row>
    <row r="69" spans="3:11" ht="20.100000000000001" customHeight="1" x14ac:dyDescent="0.2">
      <c r="D69" s="15">
        <f>'5.2.1.1-2 Organic Fert N2O'!D24</f>
        <v>0</v>
      </c>
      <c r="E69" s="15">
        <f>'5.2.1.1-2 Organic Fert N2O'!I24</f>
        <v>0</v>
      </c>
      <c r="F69" s="15">
        <f>(E69 * $I$56 * $I$57)</f>
        <v>0</v>
      </c>
    </row>
    <row r="70" spans="3:11" ht="20.100000000000001" customHeight="1" x14ac:dyDescent="0.2">
      <c r="D70" s="15">
        <f>'5.2.1.1-2 Organic Fert N2O'!D25</f>
        <v>0</v>
      </c>
      <c r="E70" s="15">
        <f>'5.2.1.1-2 Organic Fert N2O'!I25</f>
        <v>0</v>
      </c>
      <c r="F70" s="15">
        <f>(E70 * $I$56 * $I$57)</f>
        <v>0</v>
      </c>
    </row>
    <row r="71" spans="3:11" ht="20.100000000000001" customHeight="1" x14ac:dyDescent="0.2">
      <c r="D71" s="15">
        <f>'5.2.1.1-2 Organic Fert N2O'!D26</f>
        <v>0</v>
      </c>
      <c r="E71" s="15">
        <f>'5.2.1.1-2 Organic Fert N2O'!I26</f>
        <v>0</v>
      </c>
      <c r="F71" s="15">
        <f>(E71 * $I$56 * $I$57)</f>
        <v>0</v>
      </c>
    </row>
    <row r="72" spans="3:11" ht="20.100000000000001" customHeight="1" x14ac:dyDescent="0.2">
      <c r="D72" s="15">
        <f>'5.2.1.1-2 Organic Fert N2O'!D27</f>
        <v>0</v>
      </c>
      <c r="E72" s="15">
        <f>'5.2.1.1-2 Organic Fert N2O'!I27</f>
        <v>0</v>
      </c>
      <c r="F72" s="15">
        <f>(E72 * $I$56 * $I$57)</f>
        <v>0</v>
      </c>
    </row>
    <row r="73" spans="3:11" ht="20.100000000000001" customHeight="1" x14ac:dyDescent="0.2">
      <c r="D73" s="15">
        <f>'5.2.1.1-2 Organic Fert N2O'!D28</f>
        <v>0</v>
      </c>
      <c r="E73" s="15">
        <f>'5.2.1.1-2 Organic Fert N2O'!I28</f>
        <v>0</v>
      </c>
      <c r="F73" s="15">
        <f>(E73 * $I$56 * $I$57)</f>
        <v>0</v>
      </c>
    </row>
    <row r="74" spans="3:11" ht="20.100000000000001" customHeight="1" x14ac:dyDescent="0.2">
      <c r="D74" s="15">
        <f>'5.2.1.1-2 Organic Fert N2O'!D29</f>
        <v>0</v>
      </c>
      <c r="E74" s="15">
        <f>'5.2.1.1-2 Organic Fert N2O'!I29</f>
        <v>0</v>
      </c>
      <c r="F74" s="15">
        <f>(E74 * $I$56 * $I$57)</f>
        <v>0</v>
      </c>
    </row>
    <row r="75" spans="3:11" ht="20.100000000000001" customHeight="1" x14ac:dyDescent="0.2">
      <c r="D75" s="15">
        <f>'5.2.1.1-2 Organic Fert N2O'!D30</f>
        <v>0</v>
      </c>
      <c r="E75" s="15">
        <f>'5.2.1.1-2 Organic Fert N2O'!I30</f>
        <v>0</v>
      </c>
      <c r="F75" s="15">
        <f>(E75 * $I$56 * $I$57)</f>
        <v>0</v>
      </c>
    </row>
    <row r="77" spans="3:11" ht="20.100000000000001" customHeight="1" x14ac:dyDescent="0.2">
      <c r="D77" s="93" t="s">
        <v>721</v>
      </c>
      <c r="E77" s="87">
        <f>SUM(F65:F75)</f>
        <v>0</v>
      </c>
      <c r="F77" s="94" t="str">
        <f>$E$53</f>
        <v>kg N</v>
      </c>
    </row>
    <row r="79" spans="3:11" ht="20.100000000000001" customHeight="1" x14ac:dyDescent="0.2">
      <c r="C79" s="175"/>
      <c r="D79" s="175"/>
      <c r="E79" s="175"/>
      <c r="F79" s="175"/>
      <c r="G79" s="175"/>
      <c r="H79" s="175"/>
      <c r="I79" s="175"/>
      <c r="J79" s="175"/>
      <c r="K79" s="175"/>
    </row>
    <row r="81" spans="4:10" ht="20.100000000000001" customHeight="1" x14ac:dyDescent="0.2">
      <c r="D81" s="2" t="s">
        <v>1494</v>
      </c>
    </row>
    <row r="82" spans="4:10" ht="20.100000000000001" customHeight="1" x14ac:dyDescent="0.2">
      <c r="D82" s="17" t="s">
        <v>1495</v>
      </c>
    </row>
    <row r="83" spans="4:10" ht="20.100000000000001" customHeight="1" x14ac:dyDescent="0.2">
      <c r="D83" s="103"/>
      <c r="E83" s="103"/>
    </row>
    <row r="86" spans="4:10" ht="20.100000000000001" customHeight="1" x14ac:dyDescent="0.2">
      <c r="D86" s="77" t="s">
        <v>373</v>
      </c>
      <c r="E86" s="1" t="s">
        <v>1496</v>
      </c>
    </row>
    <row r="87" spans="4:10" ht="20.100000000000001" customHeight="1" x14ac:dyDescent="0.2">
      <c r="D87" s="77" t="s">
        <v>121</v>
      </c>
      <c r="E87" s="9" t="s">
        <v>12</v>
      </c>
    </row>
    <row r="89" spans="4:10" ht="20.100000000000001" customHeight="1" x14ac:dyDescent="0.2">
      <c r="D89" s="105" t="s">
        <v>1486</v>
      </c>
      <c r="E89" s="106" t="s">
        <v>1497</v>
      </c>
      <c r="F89" s="107"/>
      <c r="G89" s="108"/>
      <c r="H89" s="105" t="s">
        <v>1055</v>
      </c>
      <c r="I89" s="110" t="s">
        <v>1500</v>
      </c>
      <c r="J89" s="105">
        <f>$E$43</f>
        <v>0</v>
      </c>
    </row>
    <row r="90" spans="4:10" ht="20.100000000000001" customHeight="1" x14ac:dyDescent="0.2">
      <c r="D90" s="105" t="s">
        <v>1492</v>
      </c>
      <c r="E90" s="106" t="s">
        <v>1498</v>
      </c>
      <c r="F90" s="107"/>
      <c r="G90" s="108"/>
      <c r="H90" s="105" t="s">
        <v>1055</v>
      </c>
      <c r="I90" s="110" t="s">
        <v>1501</v>
      </c>
      <c r="J90" s="105">
        <f>$E$77</f>
        <v>0</v>
      </c>
    </row>
    <row r="91" spans="4:10" ht="20.100000000000001" customHeight="1" x14ac:dyDescent="0.2">
      <c r="D91" s="105" t="s">
        <v>1371</v>
      </c>
      <c r="E91" s="106" t="s">
        <v>1499</v>
      </c>
      <c r="F91" s="107"/>
      <c r="G91" s="108"/>
      <c r="H91" s="105" t="s">
        <v>1356</v>
      </c>
      <c r="I91" s="110" t="s">
        <v>1220</v>
      </c>
      <c r="J91" s="105">
        <f>Fertiliser_EFLeach_Data</f>
        <v>1.0999999999999999E-2</v>
      </c>
    </row>
    <row r="92" spans="4:10" ht="20.100000000000001" customHeight="1" x14ac:dyDescent="0.2">
      <c r="D92" s="105" t="s">
        <v>1348</v>
      </c>
      <c r="E92" s="106" t="s">
        <v>1396</v>
      </c>
      <c r="F92" s="107"/>
      <c r="G92" s="108"/>
      <c r="H92" s="105"/>
      <c r="I92" s="110" t="s">
        <v>1220</v>
      </c>
      <c r="J92" s="116">
        <f>Common_InputFunctions.Utility_LookupValueInTableNumber("N2O",Table_GasToMolecularConversionFactor[Gas],Table_GasToMolecularConversionFactor[Conversion factor combined])</f>
        <v>1.5714285714285714</v>
      </c>
    </row>
    <row r="94" spans="4:10" ht="20.100000000000001" customHeight="1" x14ac:dyDescent="0.2">
      <c r="D94" s="90" t="s">
        <v>722</v>
      </c>
      <c r="E94" s="91">
        <f>((J89 + J90) * J91 * J92 * 10 ^ -3)</f>
        <v>0</v>
      </c>
      <c r="F94" s="95" t="str">
        <f>$E$87</f>
        <v>t N2O</v>
      </c>
    </row>
    <row r="96" spans="4:10" ht="20.100000000000001" customHeight="1" x14ac:dyDescent="0.2">
      <c r="D96" s="116" t="str" cm="1">
        <f t="array" ref="D96:E97">Common_Equations.Common_ConvertN2OToCO2e_Arguments()</f>
        <v>EN2O</v>
      </c>
      <c r="E96" s="117" t="str">
        <v>Nitrous oxide emissions (t N2O)</v>
      </c>
      <c r="F96" s="118"/>
      <c r="G96" s="15">
        <f>VEERG_5_5_1_1__1_FertiliserLeachingAndRunoffN2OEmissions_result_Method1</f>
        <v>0</v>
      </c>
    </row>
    <row r="97" spans="4:7" ht="20.100000000000001" customHeight="1" x14ac:dyDescent="0.2">
      <c r="D97" s="116" t="str">
        <v>GWPN2O</v>
      </c>
      <c r="E97" s="117" t="str">
        <v>Global warming potential for nitrous oxide (t CO2-e / t N2O)</v>
      </c>
      <c r="F97" s="118"/>
      <c r="G97" s="15">
        <f>Common_InputFunctions.Utility_LookupValueInTableNumber("N2O",Table_GWPData[Gas],Table_GWPData[CO2-e factor])</f>
        <v>265</v>
      </c>
    </row>
    <row r="99" spans="4:7" ht="20.100000000000001" customHeight="1" x14ac:dyDescent="0.2">
      <c r="D99" s="87" t="s">
        <v>435</v>
      </c>
      <c r="E99" s="87" cm="1">
        <f t="array" ref="E99">Common_Equations.Common_ConvertN2OToCO2e(G96,G97)</f>
        <v>0</v>
      </c>
      <c r="F99" s="94" t="str" cm="1">
        <f t="array" ref="F99">Common_Equations.Common_ConvertN2OToCO2e_Unit()</f>
        <v>t CO2e</v>
      </c>
    </row>
  </sheetData>
  <pageMargins left="0.7" right="0.7" top="0.75" bottom="0.75" header="0.3" footer="0.3"/>
  <pageSetup paperSize="9" orientation="portrait" r:id="rId1"/>
  <drawing r:id="rId2"/>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A816E7-A45D-46A1-B0B2-8AF8609FE31F}">
  <sheetPr>
    <tabColor rgb="FF008000"/>
  </sheetPr>
  <dimension ref="A1:U60"/>
  <sheetViews>
    <sheetView showGridLines="0" zoomScaleNormal="100" workbookViewId="0">
      <pane xSplit="1" topLeftCell="B1" activePane="topRight" state="frozen"/>
      <selection pane="topRight" activeCell="A59" sqref="A59"/>
    </sheetView>
  </sheetViews>
  <sheetFormatPr defaultRowHeight="20.100000000000001" customHeight="1" x14ac:dyDescent="0.2"/>
  <cols>
    <col min="1" max="1" width="36.7109375" customWidth="1"/>
    <col min="2" max="2" width="4.7109375" customWidth="1"/>
    <col min="3" max="3" width="4.7109375" style="1" customWidth="1"/>
    <col min="4" max="10" width="30.7109375" style="1" customWidth="1"/>
    <col min="11" max="11" width="4.7109375" style="1" customWidth="1"/>
    <col min="12" max="12" width="4.7109375" customWidth="1"/>
    <col min="13" max="13" width="4.7109375" style="1" customWidth="1"/>
    <col min="14" max="20" width="30.7109375" style="1" customWidth="1"/>
    <col min="21" max="21" width="4.7109375" style="1" customWidth="1"/>
  </cols>
  <sheetData>
    <row r="1" spans="1:21" s="21" customFormat="1" ht="30" customHeight="1" x14ac:dyDescent="0.35">
      <c r="A1" s="10" t="e" vm="1">
        <v>#VALUE!</v>
      </c>
      <c r="C1" s="21" t="s">
        <v>942</v>
      </c>
    </row>
    <row r="2" spans="1:21" s="3" customFormat="1" ht="20.100000000000001" customHeight="1" x14ac:dyDescent="0.2">
      <c r="A2"/>
    </row>
    <row r="3" spans="1:21" ht="20.100000000000001" customHeight="1" x14ac:dyDescent="0.2">
      <c r="A3" s="5" t="str">
        <f>HYPERLINK("#'Home'!A1", "Home")</f>
        <v>Home</v>
      </c>
      <c r="C3" s="23"/>
      <c r="D3" s="23" t="s">
        <v>136</v>
      </c>
      <c r="E3" s="23"/>
      <c r="F3" s="23"/>
      <c r="G3" s="23"/>
      <c r="H3" s="23"/>
      <c r="I3" s="23"/>
      <c r="J3" s="23"/>
      <c r="K3" s="23"/>
      <c r="M3" s="23"/>
      <c r="N3" s="23" t="s">
        <v>137</v>
      </c>
      <c r="O3" s="23"/>
      <c r="P3" s="23"/>
      <c r="Q3" s="23"/>
      <c r="R3" s="23"/>
      <c r="S3" s="23"/>
      <c r="T3" s="23"/>
      <c r="U3" s="23"/>
    </row>
    <row r="4" spans="1:21" ht="20.100000000000001" customHeight="1" x14ac:dyDescent="0.2">
      <c r="A4" s="5" t="str">
        <f>HYPERLINK("#'Results - Activity period'!A1", "Results - Activity period")</f>
        <v>Results - Activity period</v>
      </c>
    </row>
    <row r="5" spans="1:21" ht="20.100000000000001" customHeight="1" x14ac:dyDescent="0.2">
      <c r="A5" s="5" t="str">
        <f>HYPERLINK("#'Results - Product EI'!A1", "Results - Product Emissions Intensity")</f>
        <v>Results - Product Emissions Intensity</v>
      </c>
      <c r="D5" s="2" t="s">
        <v>1502</v>
      </c>
    </row>
    <row r="6" spans="1:21" ht="20.100000000000001" customHeight="1" x14ac:dyDescent="0.2">
      <c r="D6" s="17" t="s">
        <v>1503</v>
      </c>
    </row>
    <row r="7" spans="1:21" ht="20.100000000000001" customHeight="1" x14ac:dyDescent="0.2">
      <c r="D7" s="103"/>
      <c r="E7" s="103"/>
    </row>
    <row r="8" spans="1:21" ht="20.100000000000001" customHeight="1" x14ac:dyDescent="0.2">
      <c r="A8" s="7" t="s">
        <v>0</v>
      </c>
    </row>
    <row r="9" spans="1:21" ht="20.100000000000001" customHeight="1" x14ac:dyDescent="0.2">
      <c r="A9" s="5" t="str">
        <f>HYPERLINK("#'Input - Enterprise'!A1", "Enterprise")</f>
        <v>Enterprise</v>
      </c>
    </row>
    <row r="10" spans="1:21" ht="20.100000000000001" customHeight="1" x14ac:dyDescent="0.2">
      <c r="A10" s="5" t="str">
        <f>HYPERLINK("#'Input - Site'!A1", "Site")</f>
        <v>Site</v>
      </c>
      <c r="D10" s="25" t="s">
        <v>373</v>
      </c>
      <c r="E10" s="1" t="s">
        <v>1504</v>
      </c>
    </row>
    <row r="11" spans="1:21" ht="20.100000000000001" customHeight="1" x14ac:dyDescent="0.2">
      <c r="A11" s="5" t="str">
        <f>HYPERLINK("#'Input - Pasture Beef'!A1", "Pasture Beef")</f>
        <v>Pasture Beef</v>
      </c>
      <c r="D11" s="25" t="s">
        <v>121</v>
      </c>
      <c r="E11" s="9" t="s">
        <v>1055</v>
      </c>
    </row>
    <row r="12" spans="1:21" ht="20.100000000000001" customHeight="1" x14ac:dyDescent="0.2">
      <c r="A12" s="5" t="str">
        <f>HYPERLINK("#'Input - Livestock sales'!A1", "Livestock sales")</f>
        <v>Livestock sales</v>
      </c>
    </row>
    <row r="13" spans="1:21" ht="20.100000000000001" customHeight="1" x14ac:dyDescent="0.2">
      <c r="A13" s="5" t="str">
        <f>HYPERLINK("#'Input - Beef cattle purchases'!A1", "Beef cattle purchases")</f>
        <v>Beef cattle purchases</v>
      </c>
      <c r="D13" s="105" t="s">
        <v>1505</v>
      </c>
      <c r="E13" s="106" t="s">
        <v>1506</v>
      </c>
      <c r="F13" s="107"/>
      <c r="G13" s="108"/>
      <c r="H13" s="105" t="s">
        <v>1518</v>
      </c>
      <c r="I13" s="109" t="s">
        <v>1219</v>
      </c>
      <c r="J13" s="105">
        <f>X_Cell_Pasture_AreaRemovedOrRenewed</f>
        <v>0</v>
      </c>
      <c r="N13" s="105" t="s">
        <v>1505</v>
      </c>
      <c r="O13" s="106" t="s">
        <v>1506</v>
      </c>
      <c r="P13" s="107"/>
      <c r="Q13" s="108"/>
      <c r="R13" s="105" t="s">
        <v>1518</v>
      </c>
      <c r="S13" s="109" t="s">
        <v>1219</v>
      </c>
      <c r="T13" s="105"/>
    </row>
    <row r="14" spans="1:21" ht="20.100000000000001" customHeight="1" x14ac:dyDescent="0.2">
      <c r="A14" s="5" t="str">
        <f>HYPERLINK("#'Input - Pasture'!A1", "Pasture")</f>
        <v>Pasture</v>
      </c>
      <c r="D14" s="105" t="s">
        <v>1507</v>
      </c>
      <c r="E14" s="106" t="s">
        <v>1508</v>
      </c>
      <c r="F14" s="107"/>
      <c r="G14" s="108"/>
      <c r="H14" s="105" t="s">
        <v>1519</v>
      </c>
      <c r="I14" s="110" t="s">
        <v>1220</v>
      </c>
      <c r="J14" s="105" cm="1">
        <f t="array" ref="J14">Common_InputFunctions.Utility_LookupValueInTableNumber($J$19,Table_SourceData_PastureAttributes[Pasture type],Table_SourceData_PastureAttributes[Average Yield (t DM ha) Yp])</f>
        <v>0</v>
      </c>
      <c r="N14" s="105" t="s">
        <v>1507</v>
      </c>
      <c r="O14" s="106" t="s">
        <v>1508</v>
      </c>
      <c r="P14" s="107"/>
      <c r="Q14" s="108"/>
      <c r="R14" s="105" t="s">
        <v>1519</v>
      </c>
      <c r="S14" s="109" t="s">
        <v>1219</v>
      </c>
      <c r="T14" s="105" t="e">
        <f>X_Cell_Pasture_YieldPerHectare</f>
        <v>#N/A</v>
      </c>
    </row>
    <row r="15" spans="1:21" ht="20.100000000000001" customHeight="1" x14ac:dyDescent="0.2">
      <c r="A15" s="5" t="str">
        <f>HYPERLINK("#'Input - Fert Prod System'!A1", "Fert Prod System")</f>
        <v>Fert Prod System</v>
      </c>
      <c r="D15" s="105" t="s">
        <v>1509</v>
      </c>
      <c r="E15" s="106" t="s">
        <v>1510</v>
      </c>
      <c r="F15" s="107"/>
      <c r="G15" s="108"/>
      <c r="H15" s="105" t="s">
        <v>1520</v>
      </c>
      <c r="I15" s="110" t="s">
        <v>1220</v>
      </c>
      <c r="J15" s="105" cm="1">
        <f t="array" ref="J15">Common_InputFunctions.Utility_LookupValueInTableNumber($J$19,Table_SourceData_PastureAttributes[Pasture type],Table_SourceData_PastureAttributes[N content Above-ground NCAGp])</f>
        <v>0</v>
      </c>
      <c r="N15" s="105" t="s">
        <v>1509</v>
      </c>
      <c r="O15" s="106" t="s">
        <v>1510</v>
      </c>
      <c r="P15" s="107"/>
      <c r="Q15" s="108"/>
      <c r="R15" s="105" t="s">
        <v>1520</v>
      </c>
      <c r="S15" s="110" t="s">
        <v>1220</v>
      </c>
      <c r="T15" s="105"/>
    </row>
    <row r="16" spans="1:21" ht="20.100000000000001" customHeight="1" x14ac:dyDescent="0.2">
      <c r="A16" s="5" t="str">
        <f>HYPERLINK("#'Input - Fertiliser'!A1", "Fertiliser")</f>
        <v>Fertiliser</v>
      </c>
      <c r="D16" s="105" t="s">
        <v>1511</v>
      </c>
      <c r="E16" s="106" t="s">
        <v>1512</v>
      </c>
      <c r="F16" s="107"/>
      <c r="G16" s="108"/>
      <c r="H16" s="105"/>
      <c r="I16" s="110" t="s">
        <v>1220</v>
      </c>
      <c r="J16" s="105" cm="1">
        <f t="array" ref="J16">Common_InputFunctions.Utility_LookupValueInTableNumber($J$19,Table_SourceData_PastureAttributes[Pasture type],Table_SourceData_PastureAttributes[Below-ground: above-ground residue ratio RBGp])</f>
        <v>0</v>
      </c>
      <c r="N16" s="105" t="s">
        <v>1511</v>
      </c>
      <c r="O16" s="106" t="s">
        <v>1512</v>
      </c>
      <c r="P16" s="107"/>
      <c r="Q16" s="108"/>
      <c r="R16" s="105"/>
      <c r="S16" s="110" t="s">
        <v>1220</v>
      </c>
      <c r="T16" s="105"/>
    </row>
    <row r="17" spans="1:21" ht="20.100000000000001" customHeight="1" x14ac:dyDescent="0.2">
      <c r="A17" s="5" t="str">
        <f>HYPERLINK("#'Input - Fuel'!A1", "Fuel")</f>
        <v>Fuel</v>
      </c>
      <c r="D17" s="105" t="s">
        <v>1513</v>
      </c>
      <c r="E17" s="106" t="s">
        <v>1514</v>
      </c>
      <c r="F17" s="107"/>
      <c r="G17" s="108"/>
      <c r="H17" s="105" t="s">
        <v>1520</v>
      </c>
      <c r="I17" s="110" t="s">
        <v>1220</v>
      </c>
      <c r="J17" s="105" cm="1">
        <f t="array" ref="J17">Common_InputFunctions.Utility_LookupValueInTableNumber($J$19,Table_SourceData_PastureAttributes[Pasture type],Table_SourceData_PastureAttributes[N content Below-ground NCBGp])</f>
        <v>0</v>
      </c>
      <c r="N17" s="105" t="s">
        <v>1513</v>
      </c>
      <c r="O17" s="106" t="s">
        <v>1514</v>
      </c>
      <c r="P17" s="107"/>
      <c r="Q17" s="108"/>
      <c r="R17" s="105" t="s">
        <v>1520</v>
      </c>
      <c r="S17" s="110" t="s">
        <v>1220</v>
      </c>
      <c r="T17" s="105"/>
    </row>
    <row r="18" spans="1:21" ht="20.100000000000001" customHeight="1" x14ac:dyDescent="0.2">
      <c r="A18" s="5" t="str">
        <f>HYPERLINK("#'Input - Electricity'!A1", "Electricity")</f>
        <v>Electricity</v>
      </c>
      <c r="D18" s="105" t="s">
        <v>1515</v>
      </c>
      <c r="E18" s="106" t="s">
        <v>1516</v>
      </c>
      <c r="F18" s="107"/>
      <c r="G18" s="108"/>
      <c r="H18" s="105" t="s">
        <v>346</v>
      </c>
      <c r="I18" s="110" t="s">
        <v>1220</v>
      </c>
      <c r="J18" s="105" cm="1">
        <f t="array" ref="J18">Common_InputFunctions.Utility_LookupValueInTableNumber($J$19,Table_SourceData_PastureAttributes[Pasture type],Table_SourceData_PastureAttributes[Fraction of pasture yield that is removed FFODp])</f>
        <v>0</v>
      </c>
      <c r="N18" s="105" t="s">
        <v>1515</v>
      </c>
      <c r="O18" s="106" t="s">
        <v>1516</v>
      </c>
      <c r="P18" s="107"/>
      <c r="Q18" s="108"/>
      <c r="R18" s="105" t="s">
        <v>346</v>
      </c>
      <c r="S18" s="110" t="s">
        <v>1220</v>
      </c>
      <c r="T18" s="105"/>
    </row>
    <row r="19" spans="1:21" ht="20.100000000000001" customHeight="1" x14ac:dyDescent="0.2">
      <c r="A19" s="5" t="str">
        <f>HYPERLINK("#'Input - Common farm inputs'!A1", "Common farm inputs")</f>
        <v>Common farm inputs</v>
      </c>
      <c r="D19" s="105" t="s">
        <v>1517</v>
      </c>
      <c r="E19" s="106" t="s">
        <v>257</v>
      </c>
      <c r="F19" s="107"/>
      <c r="G19" s="108"/>
      <c r="H19" s="105"/>
      <c r="I19" s="109" t="s">
        <v>1219</v>
      </c>
      <c r="J19" s="105">
        <f>X_Cell_Pasture_PastureType</f>
        <v>0</v>
      </c>
      <c r="N19" s="105" t="s">
        <v>1517</v>
      </c>
      <c r="O19" s="106" t="s">
        <v>257</v>
      </c>
      <c r="P19" s="107"/>
      <c r="Q19" s="108"/>
      <c r="R19" s="105"/>
      <c r="S19" s="109" t="s">
        <v>1219</v>
      </c>
      <c r="T19" s="105"/>
    </row>
    <row r="20" spans="1:21" ht="20.100000000000001" customHeight="1" x14ac:dyDescent="0.2">
      <c r="A20" s="5" t="str">
        <f>HYPERLINK("#'Input - Crop pasture farm input'!A1", "Crop pasture farm input")</f>
        <v>Crop pasture farm input</v>
      </c>
    </row>
    <row r="21" spans="1:21" ht="20.100000000000001" customHeight="1" x14ac:dyDescent="0.2">
      <c r="A21" s="5" t="str">
        <f>HYPERLINK("#'Input - Livestock farm Inputs'!A1", "Livestock farm Inputs")</f>
        <v>Livestock farm Inputs</v>
      </c>
      <c r="D21" s="93" t="s">
        <v>943</v>
      </c>
      <c r="E21" s="87">
        <f>((J13 * (J14 * 10 ^ (-3)) * (1 - J18) * J15) + (J13 * (J14 * 10 ^ (-3)) * J16 * J17))</f>
        <v>0</v>
      </c>
      <c r="F21" s="94" t="s">
        <v>1055</v>
      </c>
      <c r="N21" s="93" t="s">
        <v>943</v>
      </c>
      <c r="O21" s="87" t="e">
        <f>((J13 * (T14 * 10 ^ (-3)) * (1 - J18) * J15) + (J13 * (T14 * 10 ^ (-3)) * J16 * J17))</f>
        <v>#N/A</v>
      </c>
      <c r="P21" s="94" t="s">
        <v>1055</v>
      </c>
    </row>
    <row r="22" spans="1:21" ht="20.100000000000001" customHeight="1" x14ac:dyDescent="0.2">
      <c r="A22" s="5" t="str">
        <f>HYPERLINK("#'Input - Freight'!A1", "Freight")</f>
        <v>Freight</v>
      </c>
    </row>
    <row r="23" spans="1:21" ht="20.100000000000001" customHeight="1" x14ac:dyDescent="0.2">
      <c r="A23" s="5" t="str">
        <f>HYPERLINK("#'Input - Solid waste'!A1", "Solid waste")</f>
        <v>Solid waste</v>
      </c>
    </row>
    <row r="24" spans="1:21" ht="20.100000000000001" customHeight="1" x14ac:dyDescent="0.2">
      <c r="A24" s="5" t="str">
        <f>HYPERLINK("#'Input - Manure sent off-site'!A1", "Manure sent off-site")</f>
        <v>Manure sent off-site</v>
      </c>
      <c r="C24" s="87"/>
      <c r="D24" s="87"/>
      <c r="E24" s="87"/>
      <c r="F24" s="87"/>
      <c r="G24" s="87"/>
      <c r="H24" s="87"/>
      <c r="I24" s="87"/>
      <c r="J24" s="87"/>
      <c r="K24" s="87"/>
      <c r="M24" s="87"/>
      <c r="N24" s="87"/>
      <c r="O24" s="87"/>
      <c r="P24" s="87"/>
      <c r="Q24" s="87"/>
      <c r="R24" s="87"/>
      <c r="S24" s="87"/>
      <c r="T24" s="87"/>
      <c r="U24" s="87"/>
    </row>
    <row r="25" spans="1:21" ht="20.100000000000001" customHeight="1" x14ac:dyDescent="0.2">
      <c r="A25" s="5" t="str">
        <f>HYPERLINK("#'Input - Data quality'!A1", "Data quality")</f>
        <v>Data quality</v>
      </c>
      <c r="D25" s="2" t="s">
        <v>1521</v>
      </c>
      <c r="N25" s="2" t="s">
        <v>1521</v>
      </c>
    </row>
    <row r="26" spans="1:21" ht="20.100000000000001" customHeight="1" x14ac:dyDescent="0.2">
      <c r="D26" s="17" t="s">
        <v>1522</v>
      </c>
      <c r="N26" s="17" t="s">
        <v>1522</v>
      </c>
    </row>
    <row r="27" spans="1:21" ht="20.100000000000001" customHeight="1" x14ac:dyDescent="0.2">
      <c r="D27" s="103"/>
      <c r="E27" s="103"/>
      <c r="N27" s="103"/>
      <c r="O27" s="103"/>
    </row>
    <row r="28" spans="1:21" ht="20.100000000000001" customHeight="1" x14ac:dyDescent="0.2">
      <c r="A28" s="6" t="s">
        <v>2</v>
      </c>
    </row>
    <row r="29" spans="1:21" ht="20.100000000000001" customHeight="1" x14ac:dyDescent="0.2">
      <c r="A29" s="5" t="str">
        <f>HYPERLINK("#'3.2.1.1-2 Enteric Methane'!A1", "3.2.1.1-2 Enteric Methane")</f>
        <v>3.2.1.1-2 Enteric Methane</v>
      </c>
    </row>
    <row r="30" spans="1:21" ht="20.100000000000001" customHeight="1" x14ac:dyDescent="0.2">
      <c r="A30" s="5" t="str">
        <f>HYPERLINK("#'4.2.1.1-2 Methane'!A1", "4.2.1.1-2 Manure methane")</f>
        <v>4.2.1.1-2 Manure methane</v>
      </c>
      <c r="D30" s="25" t="s">
        <v>373</v>
      </c>
      <c r="E30" s="1" t="s">
        <v>1523</v>
      </c>
      <c r="N30" s="25" t="s">
        <v>373</v>
      </c>
      <c r="O30" s="1" t="s">
        <v>1523</v>
      </c>
    </row>
    <row r="31" spans="1:21" ht="20.100000000000001" customHeight="1" x14ac:dyDescent="0.2">
      <c r="A31" s="5" t="str">
        <f>HYPERLINK("#'4.2.1.3-4 Soil direct N20'!A1", "4.2.1.3-4 Soil direct N2O")</f>
        <v>4.2.1.3-4 Soil direct N2O</v>
      </c>
      <c r="D31" s="25" t="s">
        <v>121</v>
      </c>
      <c r="E31" s="9" t="s">
        <v>12</v>
      </c>
      <c r="N31" s="25" t="s">
        <v>121</v>
      </c>
      <c r="O31" s="9" t="s">
        <v>12</v>
      </c>
    </row>
    <row r="32" spans="1:21" ht="20.100000000000001" customHeight="1" x14ac:dyDescent="0.2">
      <c r="A32" s="5" t="str">
        <f>HYPERLINK("#'4.2.1.5-6 Soil Atmos Dep'!A1", "4.2.1.5-6 Soil atm. deposition")</f>
        <v>4.2.1.5-6 Soil atm. deposition</v>
      </c>
    </row>
    <row r="33" spans="1:20" ht="20.100000000000001" customHeight="1" x14ac:dyDescent="0.2">
      <c r="A33" s="5" t="str">
        <f>HYPERLINK("#'4.2.1.7-8 Soil leach runoff'!A1", "4.2.1.7-8 Soil leach &amp; runoff")</f>
        <v>4.2.1.7-8 Soil leach &amp; runoff</v>
      </c>
      <c r="D33" s="105" t="s">
        <v>1524</v>
      </c>
      <c r="E33" s="106" t="s">
        <v>1525</v>
      </c>
      <c r="F33" s="107"/>
      <c r="G33" s="108"/>
      <c r="H33" s="105" t="s">
        <v>1055</v>
      </c>
      <c r="I33" s="110" t="s">
        <v>1528</v>
      </c>
      <c r="J33" s="105">
        <f>$E$21</f>
        <v>0</v>
      </c>
      <c r="N33" s="105" t="s">
        <v>1524</v>
      </c>
      <c r="O33" s="106" t="s">
        <v>1525</v>
      </c>
      <c r="P33" s="107"/>
      <c r="Q33" s="108"/>
      <c r="R33" s="105" t="s">
        <v>1055</v>
      </c>
      <c r="S33" s="110" t="s">
        <v>1528</v>
      </c>
      <c r="T33" s="105" t="e">
        <f>$O$21</f>
        <v>#N/A</v>
      </c>
    </row>
    <row r="34" spans="1:20" ht="20.100000000000001" customHeight="1" x14ac:dyDescent="0.2">
      <c r="A34" s="5" t="str">
        <f>HYPERLINK("#'5.1.1.1-2 Inorganic fert N2O'!A1", "5.1.1.1-2 Inorganic fert N2O")</f>
        <v>5.1.1.1-2 Inorganic fert N2O</v>
      </c>
      <c r="D34" s="105" t="s">
        <v>1526</v>
      </c>
      <c r="E34" s="106" t="s">
        <v>1527</v>
      </c>
      <c r="F34" s="107"/>
      <c r="G34" s="108"/>
      <c r="H34" s="105" t="s">
        <v>1356</v>
      </c>
      <c r="I34" s="110" t="s">
        <v>1220</v>
      </c>
      <c r="J34" s="105" cm="1">
        <f t="array" ref="J34">Common_InputFunctions.Utility_LookupValueInTableNumber(J37,Table_SourceData_N2OEFOrganicFert[Climate zone type i],Table_SourceData_N2OEFOrganicFert[EF i N2O])</f>
        <v>0</v>
      </c>
      <c r="N34" s="105" t="s">
        <v>1526</v>
      </c>
      <c r="O34" s="106" t="s">
        <v>1527</v>
      </c>
      <c r="P34" s="107"/>
      <c r="Q34" s="108"/>
      <c r="R34" s="105" t="s">
        <v>1356</v>
      </c>
      <c r="S34" s="110" t="s">
        <v>1220</v>
      </c>
      <c r="T34" s="105"/>
    </row>
    <row r="35" spans="1:20" ht="20.100000000000001" customHeight="1" x14ac:dyDescent="0.2">
      <c r="A35" s="5" t="str">
        <f>HYPERLINK("#'5.1.1.3-4 Inorganic fert CO2'!A1", "5.1.1.3-4 Inorganic fert CO2")</f>
        <v>5.1.1.3-4 Inorganic fert CO2</v>
      </c>
      <c r="D35" s="105" t="s">
        <v>1348</v>
      </c>
      <c r="E35" s="106" t="s">
        <v>1396</v>
      </c>
      <c r="F35" s="107"/>
      <c r="G35" s="108"/>
      <c r="H35" s="105" t="s">
        <v>1529</v>
      </c>
      <c r="I35" s="110" t="s">
        <v>1220</v>
      </c>
      <c r="J35" s="105">
        <f>Common_InputFunctions.Utility_LookupValueInTableNumber("N2O",Table_GasToMolecularConversionFactor[Gas],Table_GasToMolecularConversionFactor[Conversion factor combined])</f>
        <v>1.5714285714285714</v>
      </c>
      <c r="N35" s="105" t="s">
        <v>1348</v>
      </c>
      <c r="O35" s="106" t="s">
        <v>1396</v>
      </c>
      <c r="P35" s="107"/>
      <c r="Q35" s="108"/>
      <c r="R35" s="105" t="s">
        <v>1529</v>
      </c>
      <c r="S35" s="110" t="s">
        <v>1220</v>
      </c>
      <c r="T35" s="105"/>
    </row>
    <row r="36" spans="1:20" ht="20.100000000000001" customHeight="1" x14ac:dyDescent="0.2">
      <c r="A36" s="5" t="str">
        <f>HYPERLINK("#'5.2.1.1-2 Organic Fert N2O'!A1", "5.2.1.1-2 Organic fert N2O")</f>
        <v>5.2.1.1-2 Organic fert N2O</v>
      </c>
      <c r="D36" s="105" t="s">
        <v>1517</v>
      </c>
      <c r="E36" s="106" t="s">
        <v>257</v>
      </c>
      <c r="F36" s="107"/>
      <c r="G36" s="108"/>
      <c r="H36" s="105"/>
      <c r="I36" s="109" t="s">
        <v>1219</v>
      </c>
      <c r="J36" s="105">
        <f>X_Cell_Pasture_PastureType</f>
        <v>0</v>
      </c>
      <c r="N36" s="105" t="s">
        <v>1517</v>
      </c>
      <c r="O36" s="106" t="s">
        <v>257</v>
      </c>
      <c r="P36" s="107"/>
      <c r="Q36" s="108"/>
      <c r="R36" s="105"/>
      <c r="S36" s="109" t="s">
        <v>1219</v>
      </c>
      <c r="T36" s="105"/>
    </row>
    <row r="37" spans="1:20" ht="20.100000000000001" customHeight="1" x14ac:dyDescent="0.2">
      <c r="A37" s="5" t="str">
        <f>HYPERLINK("#'5.3.1.1-2 Lime CO2'!A1", "5.3.1.1-2 Lime CO2")</f>
        <v>5.3.1.1-2 Lime CO2</v>
      </c>
      <c r="D37" s="105" t="s">
        <v>1267</v>
      </c>
      <c r="E37" s="106" t="s">
        <v>118</v>
      </c>
      <c r="F37" s="107"/>
      <c r="G37" s="108"/>
      <c r="H37" s="105"/>
      <c r="I37" s="109" t="s">
        <v>1219</v>
      </c>
      <c r="J37" s="105" t="e">
        <f>X_Cell_Site_WetOrDryClimateZone</f>
        <v>#DIV/0!</v>
      </c>
      <c r="N37" s="105" t="s">
        <v>1267</v>
      </c>
      <c r="O37" s="106" t="s">
        <v>118</v>
      </c>
      <c r="P37" s="107"/>
      <c r="Q37" s="108"/>
      <c r="R37" s="105"/>
      <c r="S37" s="109" t="s">
        <v>1219</v>
      </c>
      <c r="T37" s="105"/>
    </row>
    <row r="38" spans="1:20" ht="20.100000000000001" customHeight="1" x14ac:dyDescent="0.2">
      <c r="A38" s="5" t="str">
        <f>HYPERLINK("#'5.4.1.1-4 Atmos deposition'!A1", "5.4.1.1-4 Atmos. deposition")</f>
        <v>5.4.1.1-4 Atmos. deposition</v>
      </c>
    </row>
    <row r="39" spans="1:20" ht="20.100000000000001" customHeight="1" x14ac:dyDescent="0.2">
      <c r="A39" s="5" t="str">
        <f>HYPERLINK("#'5.5.1.1-2 Leaching and runoff'!A1", "5.5.1.1-2 Leaching &amp; runoff")</f>
        <v>5.5.1.1-2 Leaching &amp; runoff</v>
      </c>
    </row>
    <row r="40" spans="1:20" ht="20.100000000000001" customHeight="1" x14ac:dyDescent="0.2">
      <c r="A40" s="104" t="str">
        <f>HYPERLINK("#'6.2.1.1-2 Pasture residue N2O'!A1", "6.2.1.1-2 Pasture residue N2O")</f>
        <v>6.2.1.1-2 Pasture residue N2O</v>
      </c>
      <c r="D40" s="90" t="s">
        <v>659</v>
      </c>
      <c r="E40" s="91">
        <f>((J33 * J34) * J35 * 10 ^ (-3))</f>
        <v>0</v>
      </c>
      <c r="F40" s="95" t="s">
        <v>12</v>
      </c>
      <c r="N40" s="90" t="s">
        <v>659</v>
      </c>
      <c r="O40" s="91" t="e">
        <f>((T33 * J34) * J35 * 10 ^ (-3))</f>
        <v>#N/A</v>
      </c>
      <c r="P40" s="95" t="s">
        <v>12</v>
      </c>
    </row>
    <row r="41" spans="1:20" ht="20.100000000000001" customHeight="1" x14ac:dyDescent="0.2">
      <c r="A41" s="5" t="str">
        <f>HYPERLINK("#'6.3.1.1-2 Leach runoff pasture'!A1", "6.3.1.1-2 Leach &amp; runoff (pasture)")</f>
        <v>6.3.1.1-2 Leach &amp; runoff (pasture)</v>
      </c>
    </row>
    <row r="42" spans="1:20" ht="20.100000000000001" customHeight="1" x14ac:dyDescent="0.2">
      <c r="A42" s="5" t="str">
        <f>HYPERLINK("#'8.1.1.1-2 Transport fuel'!A1", "8.1.1.1-2 Transport fuel")</f>
        <v>8.1.1.1-2 Transport fuel</v>
      </c>
      <c r="D42" s="116" t="str" cm="1">
        <f t="array" ref="D42:E43">Common_Equations.Common_ConvertN2OToCO2e_Arguments()</f>
        <v>EN2O</v>
      </c>
      <c r="E42" s="117" t="str">
        <v>Nitrous oxide emissions (t N2O)</v>
      </c>
      <c r="F42" s="162"/>
      <c r="G42" s="116">
        <f>VEERG_6_2_1_1__1__NitrousOxideEmissionsFromPastureResidues_Result_Method1</f>
        <v>0</v>
      </c>
      <c r="N42" s="116" t="str" cm="1">
        <f t="array" ref="N42:O43">Common_Equations.Common_ConvertN2OToCO2e_Arguments()</f>
        <v>EN2O</v>
      </c>
      <c r="O42" s="117" t="str">
        <v>Nitrous oxide emissions (t N2O)</v>
      </c>
      <c r="P42" s="162"/>
      <c r="Q42" s="116" t="e">
        <f>VEERG_6_2_1_1__1__NitrousOxideEmissionsFromPastureResidues_Result_Method2</f>
        <v>#N/A</v>
      </c>
    </row>
    <row r="43" spans="1:20" ht="20.100000000000001" customHeight="1" x14ac:dyDescent="0.2">
      <c r="A43" s="5" t="str">
        <f>HYPERLINK("#'8.2.1.1-2 Stationary fuel'!A1", "8.2.1.1-2 Stationary fuel")</f>
        <v>8.2.1.1-2 Stationary fuel</v>
      </c>
      <c r="D43" s="116" t="str">
        <v>GWPN2O</v>
      </c>
      <c r="E43" s="117" t="str">
        <v>Global warming potential for nitrous oxide (t CO2-e / t N2O)</v>
      </c>
      <c r="F43" s="162"/>
      <c r="G43" s="15">
        <f>Common_InputFunctions.Utility_LookupValueInTableNumber("N2O",Table_GWPData[Gas],Table_GWPData[CO2-e factor])</f>
        <v>265</v>
      </c>
      <c r="N43" s="116" t="str">
        <v>GWPN2O</v>
      </c>
      <c r="O43" s="117" t="str">
        <v>Global warming potential for nitrous oxide (t CO2-e / t N2O)</v>
      </c>
      <c r="P43" s="162"/>
      <c r="Q43" s="15">
        <f>Common_InputFunctions.Utility_LookupValueInTableNumber("N2O",Table_GWPData[Gas],Table_GWPData[CO2-e factor])</f>
        <v>265</v>
      </c>
    </row>
    <row r="44" spans="1:20" ht="20.100000000000001" customHeight="1" x14ac:dyDescent="0.2">
      <c r="A44" s="5" t="str">
        <f>HYPERLINK("#'10.1.1-2 Solid waste treatment'!A1", "10.1.1.1-2 Solid waste")</f>
        <v>10.1.1.1-2 Solid waste</v>
      </c>
    </row>
    <row r="45" spans="1:20" ht="20.100000000000001" customHeight="1" x14ac:dyDescent="0.2">
      <c r="A45" s="5" t="str">
        <f>HYPERLINK("#'14.1.1-2 Purchased electricity'!A1", "14.1.1-2 Purchased electricity")</f>
        <v>14.1.1-2 Purchased electricity</v>
      </c>
      <c r="D45" s="1" t="s">
        <v>944</v>
      </c>
      <c r="E45" s="1" cm="1">
        <f t="array" ref="E45">Common_Equations.Common_ConvertN2OToCO2e(G42,G43)</f>
        <v>0</v>
      </c>
      <c r="F45" s="9" t="str" cm="1">
        <f t="array" ref="F45">Common_Equations.Common_ConvertN2OToCO2e_Unit()</f>
        <v>t CO2e</v>
      </c>
      <c r="N45" s="1" t="s">
        <v>944</v>
      </c>
      <c r="O45" s="1" t="e" cm="1">
        <f t="array" ref="O45">Common_Equations.Common_ConvertN2OToCO2e(Q42,Q43)</f>
        <v>#N/A</v>
      </c>
      <c r="P45" s="9" t="str" cm="1">
        <f t="array" ref="P45">Common_Equations.Common_ConvertN2OToCO2e_Unit()</f>
        <v>t CO2e</v>
      </c>
    </row>
    <row r="46" spans="1:20" ht="20.100000000000001" customHeight="1" x14ac:dyDescent="0.2">
      <c r="A46" s="5" t="str">
        <f>HYPERLINK("#'15 Scope 3'!A1", "15 Scope 3")</f>
        <v>15 Scope 3</v>
      </c>
    </row>
    <row r="47" spans="1:20" ht="20.100000000000001" customHeight="1" x14ac:dyDescent="0.2">
      <c r="A47" s="5" t="str">
        <f>HYPERLINK("#'Calcs - Manure sent off-site'!A1", "Calcs - Manure sent off-site")</f>
        <v>Calcs - Manure sent off-site</v>
      </c>
    </row>
    <row r="50" spans="1:1" ht="20.100000000000001" customHeight="1" x14ac:dyDescent="0.2">
      <c r="A50" s="85" t="s">
        <v>1</v>
      </c>
    </row>
    <row r="51" spans="1:1" ht="20.100000000000001" customHeight="1" x14ac:dyDescent="0.2">
      <c r="A51" s="5" t="str">
        <f>HYPERLINK("#'Constants - Pasture Beef'!A1", "Constants - Pasture Beef")</f>
        <v>Constants - Pasture Beef</v>
      </c>
    </row>
    <row r="52" spans="1:1" ht="20.100000000000001" customHeight="1" x14ac:dyDescent="0.2">
      <c r="A52" s="5" t="str">
        <f>HYPERLINK("#'Constants - Ag Residue'!A1", "Constants - Ag residue")</f>
        <v>Constants - Ag residue</v>
      </c>
    </row>
    <row r="53" spans="1:1" ht="20.100000000000001" customHeight="1" x14ac:dyDescent="0.2">
      <c r="A53" s="5" t="str">
        <f>HYPERLINK("#'Constants - Common Livestock'!A1", "Constants - Common Livestock")</f>
        <v>Constants - Common Livestock</v>
      </c>
    </row>
    <row r="54" spans="1:1" ht="20.100000000000001" customHeight="1" x14ac:dyDescent="0.2">
      <c r="A54" s="5" t="str">
        <f>HYPERLINK("#'Constants - Electricity'!A1", "Constants - Electricity")</f>
        <v>Constants - Electricity</v>
      </c>
    </row>
    <row r="55" spans="1:1" ht="20.100000000000001" customHeight="1" x14ac:dyDescent="0.2">
      <c r="A55" s="5" t="str">
        <f>HYPERLINK("#'Constants - Fertiliser'!A1", "Constants - Fertiliser")</f>
        <v>Constants - Fertiliser</v>
      </c>
    </row>
    <row r="56" spans="1:1" ht="20.100000000000001" customHeight="1" x14ac:dyDescent="0.2">
      <c r="A56" s="5" t="str">
        <f>HYPERLINK("#'Constants - Fuel'!A1", "Constants - Fuel")</f>
        <v>Constants - Fuel</v>
      </c>
    </row>
    <row r="57" spans="1:1" ht="20.100000000000001" customHeight="1" x14ac:dyDescent="0.2">
      <c r="A57" s="5" t="str">
        <f>HYPERLINK("#'Constants - Scope 3'!A1", "Constants - Scope 3")</f>
        <v>Constants - Scope 3</v>
      </c>
    </row>
    <row r="58" spans="1:1" ht="20.100000000000001" customHeight="1" x14ac:dyDescent="0.2">
      <c r="A58" s="5" t="str">
        <f>HYPERLINK("#'Constants - Solid Waste'!A1", "Constants - Solid Waste")</f>
        <v>Constants - Solid Waste</v>
      </c>
    </row>
    <row r="59" spans="1:1" ht="20.100000000000001" customHeight="1" x14ac:dyDescent="0.2">
      <c r="A59" s="5" t="str">
        <f>HYPERLINK("#'Constants - Common'!A1", "Constants - Common")</f>
        <v>Constants - Common</v>
      </c>
    </row>
    <row r="60" spans="1:1" ht="20.100000000000001" customHeight="1" x14ac:dyDescent="0.2">
      <c r="A60" s="5" t="str">
        <f>HYPERLINK("#'Acknowledgements'!A1", "Acknowledgements")</f>
        <v>Acknowledgements</v>
      </c>
    </row>
  </sheetData>
  <pageMargins left="0.7" right="0.7" top="0.75" bottom="0.75" header="0.3" footer="0.3"/>
  <pageSetup paperSize="9" orientation="portrait" r:id="rId1"/>
  <drawing r:id="rId2"/>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F30773-898B-4774-B53A-60CBB5765580}">
  <sheetPr>
    <tabColor rgb="FF008000"/>
  </sheetPr>
  <dimension ref="A1:T61"/>
  <sheetViews>
    <sheetView showGridLines="0" zoomScaleNormal="100" workbookViewId="0">
      <pane xSplit="1" topLeftCell="B1" activePane="topRight" state="frozen"/>
      <selection pane="topRight" activeCell="A59" sqref="A59"/>
    </sheetView>
  </sheetViews>
  <sheetFormatPr defaultRowHeight="20.100000000000001" customHeight="1" x14ac:dyDescent="0.2"/>
  <cols>
    <col min="1" max="1" width="36.7109375" customWidth="1"/>
    <col min="2" max="2" width="4.7109375" customWidth="1"/>
    <col min="3" max="3" width="4.7109375" style="1" customWidth="1"/>
    <col min="4" max="10" width="30.7109375" style="1" customWidth="1"/>
    <col min="11" max="11" width="4.7109375" style="1" customWidth="1"/>
    <col min="12" max="12" width="4.7109375" customWidth="1"/>
    <col min="13" max="13" width="4.7109375" style="1" customWidth="1"/>
    <col min="14" max="19" width="30.7109375" style="1" customWidth="1"/>
    <col min="20" max="20" width="4.7109375" style="1" customWidth="1"/>
  </cols>
  <sheetData>
    <row r="1" spans="1:20" s="21" customFormat="1" ht="30" customHeight="1" x14ac:dyDescent="0.35">
      <c r="A1" s="10" t="e" vm="1">
        <v>#VALUE!</v>
      </c>
      <c r="C1" s="21" t="s">
        <v>945</v>
      </c>
    </row>
    <row r="2" spans="1:20" s="3" customFormat="1" ht="20.100000000000001" customHeight="1" x14ac:dyDescent="0.2">
      <c r="A2"/>
    </row>
    <row r="3" spans="1:20" ht="20.100000000000001" customHeight="1" x14ac:dyDescent="0.2">
      <c r="A3" s="5" t="str">
        <f>HYPERLINK("#'Home'!A1", "Home")</f>
        <v>Home</v>
      </c>
      <c r="C3" s="23"/>
      <c r="D3" s="23" t="s">
        <v>136</v>
      </c>
      <c r="E3" s="23"/>
      <c r="F3" s="23"/>
      <c r="G3" s="23"/>
      <c r="H3" s="23"/>
      <c r="I3" s="23"/>
      <c r="J3" s="23"/>
      <c r="K3" s="23"/>
      <c r="M3" s="23"/>
      <c r="N3" s="23" t="s">
        <v>137</v>
      </c>
      <c r="O3" s="23"/>
      <c r="P3" s="23"/>
      <c r="Q3" s="23"/>
      <c r="R3" s="23"/>
      <c r="S3" s="23"/>
      <c r="T3" s="23"/>
    </row>
    <row r="4" spans="1:20" ht="20.100000000000001" customHeight="1" x14ac:dyDescent="0.2">
      <c r="A4" s="5" t="str">
        <f>HYPERLINK("#'Results - Activity period'!A1", "Results - Activity period")</f>
        <v>Results - Activity period</v>
      </c>
    </row>
    <row r="5" spans="1:20" ht="20.100000000000001" customHeight="1" x14ac:dyDescent="0.2">
      <c r="A5" s="5" t="str">
        <f>HYPERLINK("#'Results - Product EI'!A1", "Results - Product Emissions Intensity")</f>
        <v>Results - Product Emissions Intensity</v>
      </c>
      <c r="C5" s="8"/>
      <c r="D5" s="2" t="s">
        <v>1530</v>
      </c>
      <c r="E5" s="8"/>
      <c r="F5" s="8"/>
      <c r="G5" s="8"/>
      <c r="H5" s="8"/>
      <c r="I5" s="8"/>
      <c r="J5" s="8"/>
      <c r="K5" s="8"/>
    </row>
    <row r="6" spans="1:20" ht="20.100000000000001" customHeight="1" x14ac:dyDescent="0.2">
      <c r="C6" s="8"/>
      <c r="D6" s="17" t="s">
        <v>1531</v>
      </c>
      <c r="E6" s="8"/>
      <c r="F6" s="8"/>
      <c r="G6" s="8"/>
      <c r="H6" s="8"/>
      <c r="I6" s="8"/>
      <c r="J6" s="8"/>
      <c r="K6" s="8"/>
    </row>
    <row r="7" spans="1:20" ht="20.100000000000001" customHeight="1" x14ac:dyDescent="0.2">
      <c r="C7" s="8"/>
      <c r="D7" s="103"/>
      <c r="E7" s="103"/>
      <c r="F7" s="103"/>
      <c r="G7" s="8"/>
      <c r="H7" s="8"/>
      <c r="I7" s="8"/>
      <c r="J7" s="8"/>
      <c r="K7" s="8"/>
    </row>
    <row r="8" spans="1:20" ht="20.100000000000001" customHeight="1" x14ac:dyDescent="0.2">
      <c r="A8" s="7" t="s">
        <v>0</v>
      </c>
      <c r="C8" s="8"/>
      <c r="F8" s="8"/>
      <c r="G8" s="8"/>
      <c r="H8" s="8"/>
      <c r="I8" s="8"/>
      <c r="J8" s="8"/>
      <c r="K8" s="8"/>
    </row>
    <row r="9" spans="1:20" ht="20.100000000000001" customHeight="1" x14ac:dyDescent="0.2">
      <c r="A9" s="5" t="str">
        <f>HYPERLINK("#'Input - Enterprise'!A1", "Enterprise")</f>
        <v>Enterprise</v>
      </c>
      <c r="C9" s="8"/>
      <c r="D9" s="8"/>
      <c r="E9" s="8"/>
      <c r="F9" s="8"/>
      <c r="G9" s="8"/>
      <c r="H9" s="8"/>
      <c r="I9" s="8"/>
      <c r="J9" s="8"/>
      <c r="K9" s="8"/>
    </row>
    <row r="10" spans="1:20" ht="20.100000000000001" customHeight="1" x14ac:dyDescent="0.2">
      <c r="A10" s="5" t="str">
        <f>HYPERLINK("#'Input - Site'!A1", "Site")</f>
        <v>Site</v>
      </c>
      <c r="C10" s="8"/>
      <c r="D10" s="233" t="s">
        <v>373</v>
      </c>
      <c r="E10" s="8" t="s">
        <v>954</v>
      </c>
      <c r="F10" s="8"/>
      <c r="G10" s="17"/>
      <c r="H10" s="8"/>
      <c r="I10" s="8"/>
      <c r="J10" s="8"/>
      <c r="K10" s="8"/>
    </row>
    <row r="11" spans="1:20" ht="20.100000000000001" customHeight="1" x14ac:dyDescent="0.2">
      <c r="A11" s="5" t="str">
        <f>HYPERLINK("#'Input - Pasture Beef'!A1", "Pasture Beef")</f>
        <v>Pasture Beef</v>
      </c>
      <c r="C11" s="8"/>
      <c r="D11" s="233" t="s">
        <v>121</v>
      </c>
      <c r="E11" s="9" t="s">
        <v>1055</v>
      </c>
      <c r="F11" s="8"/>
      <c r="G11" s="8"/>
      <c r="H11" s="8"/>
      <c r="I11" s="8"/>
      <c r="J11" s="8"/>
      <c r="K11" s="8"/>
    </row>
    <row r="12" spans="1:20" ht="20.100000000000001" customHeight="1" x14ac:dyDescent="0.2">
      <c r="A12" s="5" t="str">
        <f>HYPERLINK("#'Input - Livestock sales'!A1", "Livestock sales")</f>
        <v>Livestock sales</v>
      </c>
      <c r="C12" s="8"/>
      <c r="D12" s="8"/>
      <c r="E12" s="8"/>
      <c r="F12" s="8"/>
      <c r="G12" s="8"/>
      <c r="H12" s="8"/>
      <c r="I12" s="8"/>
      <c r="J12" s="8"/>
      <c r="K12" s="8"/>
    </row>
    <row r="13" spans="1:20" ht="20.100000000000001" customHeight="1" x14ac:dyDescent="0.2">
      <c r="A13" s="5" t="str">
        <f>HYPERLINK("#'Input - Beef cattle purchases'!A1", "Beef cattle purchases")</f>
        <v>Beef cattle purchases</v>
      </c>
      <c r="C13" s="8"/>
      <c r="D13" s="105" t="s">
        <v>951</v>
      </c>
      <c r="E13" s="106" t="s">
        <v>1532</v>
      </c>
      <c r="F13" s="107"/>
      <c r="G13" s="108"/>
      <c r="H13" s="105" t="s">
        <v>1055</v>
      </c>
      <c r="I13" s="110" t="s">
        <v>1538</v>
      </c>
      <c r="J13" s="111" t="str" cm="1">
        <f t="array" aca="1" ref="J13" ca="1">HYPERLINK(Common_InputFunctions.Utility_SourceHyperlink($D$21), $D$21)</f>
        <v>M1_Table_M_leach_cp</v>
      </c>
      <c r="K13" s="8"/>
    </row>
    <row r="14" spans="1:20" ht="20.100000000000001" customHeight="1" x14ac:dyDescent="0.2">
      <c r="A14" s="5" t="str">
        <f>HYPERLINK("#'Input - Pasture'!A1", "Pasture")</f>
        <v>Pasture</v>
      </c>
      <c r="C14" s="8"/>
      <c r="D14" s="105" t="s">
        <v>953</v>
      </c>
      <c r="E14" s="106" t="s">
        <v>1533</v>
      </c>
      <c r="F14" s="107"/>
      <c r="G14" s="108"/>
      <c r="H14" s="105" t="s">
        <v>346</v>
      </c>
      <c r="I14" s="110" t="s">
        <v>1220</v>
      </c>
      <c r="J14" s="111" t="str" cm="1">
        <f t="array" aca="1" ref="J14" ca="1">HYPERLINK(Common_InputFunctions.Utility_SourceHyperlink($D$21), $D$21)</f>
        <v>M1_Table_M_leach_cp</v>
      </c>
      <c r="K14" s="8"/>
    </row>
    <row r="15" spans="1:20" ht="20.100000000000001" customHeight="1" x14ac:dyDescent="0.2">
      <c r="A15" s="5" t="str">
        <f>HYPERLINK("#'Input - Fert Prod System'!A1", "Fert Prod System")</f>
        <v>Fert Prod System</v>
      </c>
      <c r="C15" s="8"/>
      <c r="D15" s="105" t="s">
        <v>1362</v>
      </c>
      <c r="E15" s="106" t="s">
        <v>1489</v>
      </c>
      <c r="F15" s="107"/>
      <c r="G15" s="108"/>
      <c r="H15" s="105" t="s">
        <v>346</v>
      </c>
      <c r="I15" s="110" t="s">
        <v>1220</v>
      </c>
      <c r="J15" s="105">
        <f>'Constants - Common'!$E$164</f>
        <v>0.24</v>
      </c>
      <c r="K15" s="8"/>
    </row>
    <row r="16" spans="1:20" ht="20.100000000000001" customHeight="1" x14ac:dyDescent="0.2">
      <c r="A16" s="5" t="str">
        <f>HYPERLINK("#'Input - Fertiliser'!A1", "Fertiliser")</f>
        <v>Fertiliser</v>
      </c>
      <c r="C16" s="8"/>
      <c r="D16" s="105" t="s">
        <v>1364</v>
      </c>
      <c r="E16" s="106" t="s">
        <v>1534</v>
      </c>
      <c r="F16" s="107"/>
      <c r="G16" s="108"/>
      <c r="H16" s="105"/>
      <c r="I16" s="109" t="s">
        <v>1219</v>
      </c>
      <c r="J16" s="111" t="str" cm="1">
        <f t="array" aca="1" ref="J16" ca="1">HYPERLINK(Common_InputFunctions.Utility_SourceHyperlink($D$21), $D$21)</f>
        <v>M1_Table_M_leach_cp</v>
      </c>
      <c r="K16" s="8"/>
    </row>
    <row r="17" spans="1:20" ht="20.100000000000001" customHeight="1" x14ac:dyDescent="0.2">
      <c r="A17" s="5" t="str">
        <f>HYPERLINK("#'Input - Fuel'!A1", "Fuel")</f>
        <v>Fuel</v>
      </c>
      <c r="C17" s="8"/>
      <c r="D17" s="105" t="s">
        <v>1408</v>
      </c>
      <c r="E17" s="106" t="s">
        <v>1535</v>
      </c>
      <c r="F17" s="107"/>
      <c r="G17" s="108"/>
      <c r="H17" s="105"/>
      <c r="I17" s="109" t="s">
        <v>1219</v>
      </c>
      <c r="J17" s="105" t="s">
        <v>130</v>
      </c>
      <c r="K17" s="8"/>
    </row>
    <row r="18" spans="1:20" ht="20.100000000000001" customHeight="1" x14ac:dyDescent="0.2">
      <c r="A18" s="5" t="str">
        <f>HYPERLINK("#'Input - Electricity'!A1", "Electricity")</f>
        <v>Electricity</v>
      </c>
      <c r="C18" s="8"/>
      <c r="D18" s="105" t="s">
        <v>1517</v>
      </c>
      <c r="E18" s="106" t="s">
        <v>1536</v>
      </c>
      <c r="F18" s="107"/>
      <c r="G18" s="108"/>
      <c r="H18" s="105"/>
      <c r="I18" s="109" t="s">
        <v>1219</v>
      </c>
      <c r="J18" s="105">
        <f>X_Cell_Pasture_PastureType</f>
        <v>0</v>
      </c>
      <c r="K18" s="8"/>
    </row>
    <row r="19" spans="1:20" ht="20.100000000000001" customHeight="1" x14ac:dyDescent="0.2">
      <c r="A19" s="5" t="str">
        <f>HYPERLINK("#'Input - Common farm inputs'!A1", "Common farm inputs")</f>
        <v>Common farm inputs</v>
      </c>
      <c r="C19" s="8"/>
      <c r="D19" s="105" t="s">
        <v>1366</v>
      </c>
      <c r="E19" s="106" t="s">
        <v>1537</v>
      </c>
      <c r="F19" s="107"/>
      <c r="G19" s="108"/>
      <c r="H19" s="105"/>
      <c r="I19" s="109" t="s">
        <v>1219</v>
      </c>
      <c r="J19" s="111" t="str" cm="1">
        <f t="array" aca="1" ref="J19" ca="1">HYPERLINK(Common_InputFunctions.Utility_SourceHyperlink($D$21), $D$21)</f>
        <v>M1_Table_M_leach_cp</v>
      </c>
      <c r="K19" s="8"/>
    </row>
    <row r="20" spans="1:20" ht="20.100000000000001" customHeight="1" x14ac:dyDescent="0.2">
      <c r="A20" s="5" t="str">
        <f>HYPERLINK("#'Input - Crop pasture farm input'!A1", "Crop pasture farm input")</f>
        <v>Crop pasture farm input</v>
      </c>
      <c r="C20" s="8"/>
      <c r="D20" s="8"/>
      <c r="E20" s="8"/>
      <c r="F20" s="8"/>
      <c r="G20" s="8"/>
      <c r="H20" s="8"/>
      <c r="I20" s="8"/>
      <c r="J20" s="8"/>
      <c r="K20" s="8"/>
    </row>
    <row r="21" spans="1:20" ht="20.100000000000001" customHeight="1" x14ac:dyDescent="0.2">
      <c r="A21" s="5" t="str">
        <f>HYPERLINK("#'Input - Livestock farm Inputs'!A1", "Livestock farm Inputs")</f>
        <v>Livestock farm Inputs</v>
      </c>
      <c r="C21" s="8"/>
      <c r="D21" s="112" t="s">
        <v>946</v>
      </c>
      <c r="E21" s="8"/>
      <c r="F21" s="8"/>
      <c r="G21" s="8"/>
      <c r="H21" s="8"/>
      <c r="I21" s="8"/>
      <c r="J21" s="8"/>
      <c r="K21" s="8"/>
      <c r="N21" s="112" t="s">
        <v>947</v>
      </c>
      <c r="O21" s="8"/>
      <c r="P21" s="8"/>
      <c r="Q21" s="8"/>
      <c r="R21" s="8"/>
      <c r="S21" s="8"/>
    </row>
    <row r="22" spans="1:20" ht="20.100000000000001" customHeight="1" x14ac:dyDescent="0.2">
      <c r="A22" s="5" t="str">
        <f>HYPERLINK("#'Input - Freight'!A1", "Freight")</f>
        <v>Freight</v>
      </c>
      <c r="C22" s="8"/>
      <c r="D22" s="113" t="s">
        <v>948</v>
      </c>
      <c r="E22" s="8"/>
      <c r="F22" s="8"/>
      <c r="G22" s="8"/>
      <c r="H22" s="8"/>
      <c r="I22" s="8"/>
      <c r="J22" s="8"/>
      <c r="K22" s="8"/>
      <c r="N22" s="113" t="s">
        <v>949</v>
      </c>
      <c r="O22" s="8"/>
      <c r="P22" s="8"/>
      <c r="Q22" s="8"/>
      <c r="R22" s="8"/>
      <c r="S22" s="8"/>
    </row>
    <row r="23" spans="1:20" ht="20.100000000000001" customHeight="1" x14ac:dyDescent="0.2">
      <c r="A23" s="5" t="str">
        <f>HYPERLINK("#'Input - Solid waste'!A1", "Solid waste")</f>
        <v>Solid waste</v>
      </c>
      <c r="C23" s="8"/>
      <c r="D23" s="82" t="s">
        <v>950</v>
      </c>
      <c r="E23" s="114" t="s">
        <v>951</v>
      </c>
      <c r="F23" s="82" t="s">
        <v>952</v>
      </c>
      <c r="G23" s="82" t="s">
        <v>108</v>
      </c>
      <c r="H23" s="114" t="s">
        <v>953</v>
      </c>
      <c r="I23" s="114" t="s">
        <v>954</v>
      </c>
      <c r="J23" s="8"/>
      <c r="K23" s="8"/>
      <c r="N23" s="82" t="s">
        <v>950</v>
      </c>
      <c r="O23" s="114" t="s">
        <v>951</v>
      </c>
      <c r="P23" s="82" t="s">
        <v>952</v>
      </c>
      <c r="Q23" s="82" t="s">
        <v>108</v>
      </c>
      <c r="R23" s="114" t="s">
        <v>953</v>
      </c>
      <c r="S23" s="114" t="s">
        <v>954</v>
      </c>
    </row>
    <row r="24" spans="1:20" ht="20.100000000000001" customHeight="1" x14ac:dyDescent="0.2">
      <c r="A24" s="5" t="str">
        <f>HYPERLINK("#'Input - Manure sent off-site'!A1", "Manure sent off-site")</f>
        <v>Manure sent off-site</v>
      </c>
      <c r="D24" s="15" t="s">
        <v>733</v>
      </c>
      <c r="E24" s="15" t="s">
        <v>130</v>
      </c>
      <c r="F24" s="15" t="s">
        <v>130</v>
      </c>
      <c r="G24" s="15" t="s">
        <v>130</v>
      </c>
      <c r="H24" s="15" t="s">
        <v>130</v>
      </c>
      <c r="I24" s="15" t="s">
        <v>130</v>
      </c>
      <c r="N24" s="15"/>
      <c r="O24" s="15" t="s">
        <v>130</v>
      </c>
      <c r="P24" s="15"/>
      <c r="Q24" s="15"/>
      <c r="R24" s="15"/>
      <c r="S24" s="15" t="s">
        <v>130</v>
      </c>
    </row>
    <row r="25" spans="1:20" ht="20.100000000000001" customHeight="1" x14ac:dyDescent="0.2">
      <c r="A25" s="5" t="str">
        <f>HYPERLINK("#'Input - Data quality'!A1", "Data quality")</f>
        <v>Data quality</v>
      </c>
      <c r="D25" s="15" t="s">
        <v>174</v>
      </c>
      <c r="E25" s="15">
        <f>'6.2.1.1-2 Pasture residue N2O'!$E$21</f>
        <v>0</v>
      </c>
      <c r="F25" s="15">
        <f>X_Cell_Pasture_IrrigationMethod</f>
        <v>0</v>
      </c>
      <c r="G25" s="15">
        <f>X_Cell_Site_LeachingZone</f>
        <v>0</v>
      </c>
      <c r="H25" s="15">
        <f>CommonCropping_InputFunctions.CommonCropping_GetFracWET(G25,F25,Table_SourceData_FracWET[Is in leaching zone],Table_SourceData_FracWET[FracWET], Table_SourceData_FracWETIrrigation[Irrigation type i],Table_SourceData_FracWETIrrigation[FracWET])</f>
        <v>0</v>
      </c>
      <c r="I25" s="15">
        <f>(E25 * H25 * $J$15)</f>
        <v>0</v>
      </c>
      <c r="N25" s="15"/>
      <c r="O25" s="15" t="e">
        <f>'6.2.1.1-2 Pasture residue N2O'!$O$21</f>
        <v>#N/A</v>
      </c>
      <c r="P25" s="15"/>
      <c r="Q25" s="15"/>
      <c r="R25" s="15"/>
      <c r="S25" s="15" t="e">
        <f>(O25 * H25 * $J$15)</f>
        <v>#N/A</v>
      </c>
    </row>
    <row r="27" spans="1:20" ht="20.100000000000001" customHeight="1" x14ac:dyDescent="0.2">
      <c r="C27" s="234"/>
      <c r="D27" s="234"/>
      <c r="E27" s="234"/>
      <c r="F27" s="234"/>
      <c r="G27" s="234"/>
      <c r="H27" s="234"/>
      <c r="I27" s="234"/>
      <c r="J27" s="234"/>
      <c r="K27" s="234"/>
      <c r="M27" s="234"/>
      <c r="N27" s="234"/>
      <c r="O27" s="234"/>
      <c r="P27" s="234"/>
      <c r="Q27" s="234"/>
      <c r="R27" s="234"/>
      <c r="S27" s="234"/>
      <c r="T27" s="234"/>
    </row>
    <row r="28" spans="1:20" ht="20.100000000000001" customHeight="1" x14ac:dyDescent="0.2">
      <c r="A28" s="6" t="s">
        <v>2</v>
      </c>
      <c r="C28" s="8"/>
      <c r="D28" s="2" t="s">
        <v>1539</v>
      </c>
      <c r="E28" s="8"/>
      <c r="F28" s="235"/>
      <c r="G28" s="8"/>
      <c r="H28" s="8"/>
      <c r="I28" s="8"/>
      <c r="J28" s="8"/>
      <c r="K28" s="8"/>
    </row>
    <row r="29" spans="1:20" ht="20.100000000000001" customHeight="1" x14ac:dyDescent="0.2">
      <c r="A29" s="5" t="str">
        <f>HYPERLINK("#'3.2.1.1-2 Enteric Methane'!A1", "3.2.1.1-2 Enteric Methane")</f>
        <v>3.2.1.1-2 Enteric Methane</v>
      </c>
      <c r="C29" s="8"/>
      <c r="D29" s="17" t="s">
        <v>1540</v>
      </c>
      <c r="E29" s="8"/>
      <c r="F29" s="8"/>
      <c r="G29" s="8"/>
      <c r="H29" s="8"/>
      <c r="I29" s="8"/>
      <c r="J29" s="8"/>
      <c r="K29" s="8"/>
    </row>
    <row r="30" spans="1:20" ht="20.100000000000001" customHeight="1" x14ac:dyDescent="0.2">
      <c r="A30" s="5" t="str">
        <f>HYPERLINK("#'4.2.1.1-2 Methane'!A1", "4.2.1.1-2 Manure methane")</f>
        <v>4.2.1.1-2 Manure methane</v>
      </c>
      <c r="C30" s="8"/>
      <c r="D30" s="103"/>
      <c r="E30" s="103"/>
      <c r="F30" s="8"/>
      <c r="G30" s="8"/>
      <c r="H30" s="8"/>
      <c r="I30" s="8"/>
      <c r="J30" s="8"/>
      <c r="K30" s="8"/>
    </row>
    <row r="31" spans="1:20" ht="20.100000000000001" customHeight="1" x14ac:dyDescent="0.2">
      <c r="A31" s="5" t="str">
        <f>HYPERLINK("#'4.2.1.3-4 Soil direct N20'!A1", "4.2.1.3-4 Soil direct N2O")</f>
        <v>4.2.1.3-4 Soil direct N2O</v>
      </c>
      <c r="C31" s="8"/>
      <c r="D31" s="8"/>
      <c r="E31" s="8"/>
      <c r="F31" s="8"/>
      <c r="G31" s="8"/>
      <c r="H31" s="8"/>
      <c r="I31" s="8"/>
      <c r="J31" s="8"/>
      <c r="K31" s="8"/>
    </row>
    <row r="32" spans="1:20" ht="20.100000000000001" customHeight="1" x14ac:dyDescent="0.2">
      <c r="A32" s="5" t="str">
        <f>HYPERLINK("#'4.2.1.5-6 Soil Atmos Dep'!A1", "4.2.1.5-6 Soil atm. deposition")</f>
        <v>4.2.1.5-6 Soil atm. deposition</v>
      </c>
      <c r="C32" s="8"/>
      <c r="D32" s="8"/>
      <c r="E32" s="8"/>
      <c r="F32" s="17"/>
      <c r="G32" s="8"/>
      <c r="H32" s="8"/>
      <c r="I32" s="8"/>
      <c r="J32" s="8"/>
      <c r="K32" s="8"/>
    </row>
    <row r="33" spans="1:17" ht="20.100000000000001" customHeight="1" x14ac:dyDescent="0.2">
      <c r="A33" s="5" t="str">
        <f>HYPERLINK("#'4.2.1.7-8 Soil leach runoff'!A1", "4.2.1.7-8 Soil leach &amp; runoff")</f>
        <v>4.2.1.7-8 Soil leach &amp; runoff</v>
      </c>
      <c r="C33" s="8"/>
      <c r="D33" s="233" t="s">
        <v>373</v>
      </c>
      <c r="E33" s="8" t="s">
        <v>1523</v>
      </c>
      <c r="F33" s="8"/>
      <c r="G33" s="8"/>
      <c r="H33" s="8"/>
      <c r="I33" s="8"/>
      <c r="J33" s="8"/>
      <c r="K33" s="8"/>
    </row>
    <row r="34" spans="1:17" ht="20.100000000000001" customHeight="1" x14ac:dyDescent="0.2">
      <c r="A34" s="5" t="str">
        <f>HYPERLINK("#'5.1.1.1-2 Inorganic fert N2O'!A1", "5.1.1.1-2 Inorganic fert N2O")</f>
        <v>5.1.1.1-2 Inorganic fert N2O</v>
      </c>
      <c r="C34" s="8"/>
      <c r="D34" s="233" t="s">
        <v>121</v>
      </c>
      <c r="E34" s="9" t="s">
        <v>12</v>
      </c>
      <c r="F34" s="8"/>
      <c r="G34" s="8"/>
      <c r="H34" s="8"/>
      <c r="I34" s="8"/>
      <c r="J34" s="8"/>
      <c r="K34" s="8"/>
    </row>
    <row r="35" spans="1:17" ht="20.100000000000001" customHeight="1" x14ac:dyDescent="0.2">
      <c r="A35" s="5" t="str">
        <f>HYPERLINK("#'5.1.1.3-4 Inorganic fert CO2'!A1", "5.1.1.3-4 Inorganic fert CO2")</f>
        <v>5.1.1.3-4 Inorganic fert CO2</v>
      </c>
      <c r="C35" s="8"/>
      <c r="D35" s="8"/>
      <c r="E35" s="8"/>
      <c r="F35" s="8"/>
      <c r="G35" s="8"/>
      <c r="H35" s="8"/>
      <c r="I35" s="8"/>
      <c r="J35" s="8"/>
      <c r="K35" s="8"/>
    </row>
    <row r="36" spans="1:17" ht="20.100000000000001" customHeight="1" x14ac:dyDescent="0.2">
      <c r="A36" s="5" t="str">
        <f>HYPERLINK("#'5.2.1.1-2 Organic Fert N2O'!A1", "5.2.1.1-2 Organic fert N2O")</f>
        <v>5.2.1.1-2 Organic fert N2O</v>
      </c>
      <c r="C36" s="8"/>
      <c r="D36" s="105" t="s">
        <v>954</v>
      </c>
      <c r="E36" s="106" t="s">
        <v>1541</v>
      </c>
      <c r="F36" s="107"/>
      <c r="G36" s="108"/>
      <c r="H36" s="105" t="s">
        <v>1055</v>
      </c>
      <c r="I36" s="110" t="s">
        <v>1542</v>
      </c>
      <c r="J36" s="105" t="str" cm="1">
        <f t="array" aca="1" ref="J36" ca="1">HYPERLINK(Common_InputFunctions.Utility_SourceHyperlink($D$21), $D$21)</f>
        <v>M1_Table_M_leach_cp</v>
      </c>
      <c r="K36" s="8"/>
    </row>
    <row r="37" spans="1:17" ht="20.100000000000001" customHeight="1" x14ac:dyDescent="0.2">
      <c r="A37" s="5" t="str">
        <f>HYPERLINK("#'5.3.1.1-2 Lime CO2'!A1", "5.3.1.1-2 Lime CO2")</f>
        <v>5.3.1.1-2 Lime CO2</v>
      </c>
      <c r="C37" s="8"/>
      <c r="D37" s="105" t="s">
        <v>1371</v>
      </c>
      <c r="E37" s="106" t="s">
        <v>1372</v>
      </c>
      <c r="F37" s="107"/>
      <c r="G37" s="108"/>
      <c r="H37" s="105" t="s">
        <v>1356</v>
      </c>
      <c r="I37" s="110" t="s">
        <v>1220</v>
      </c>
      <c r="J37" s="105">
        <f>'Constants - Common'!$E$170</f>
        <v>1.0999999999999999E-2</v>
      </c>
      <c r="K37" s="8"/>
    </row>
    <row r="38" spans="1:17" ht="20.100000000000001" customHeight="1" x14ac:dyDescent="0.2">
      <c r="A38" s="5" t="str">
        <f>HYPERLINK("#'5.4.1.1-4 Atmos deposition'!A1", "5.4.1.1-4 Atmos. deposition")</f>
        <v>5.4.1.1-4 Atmos. deposition</v>
      </c>
      <c r="C38" s="8"/>
      <c r="D38" s="105" t="s">
        <v>1348</v>
      </c>
      <c r="E38" s="106" t="s">
        <v>1396</v>
      </c>
      <c r="F38" s="107"/>
      <c r="G38" s="108"/>
      <c r="H38" s="105" t="s">
        <v>1529</v>
      </c>
      <c r="I38" s="110" t="s">
        <v>1220</v>
      </c>
      <c r="J38" s="105">
        <f>Common_InputFunctions.Utility_LookupValueInTableNumber("N2O",Table_GasToMolecularConversionFactor[Gas],Table_GasToMolecularConversionFactor[Conversion factor combined])</f>
        <v>1.5714285714285714</v>
      </c>
      <c r="K38" s="8"/>
    </row>
    <row r="39" spans="1:17" ht="20.100000000000001" customHeight="1" x14ac:dyDescent="0.2">
      <c r="A39" s="5" t="str">
        <f>HYPERLINK("#'5.5.1.1-2 Leaching and runoff'!A1", "5.5.1.1-2 Leaching &amp; runoff")</f>
        <v>5.5.1.1-2 Leaching &amp; runoff</v>
      </c>
      <c r="C39" s="8"/>
      <c r="D39" s="105" t="s">
        <v>1408</v>
      </c>
      <c r="E39" s="106" t="s">
        <v>1535</v>
      </c>
      <c r="F39" s="107"/>
      <c r="G39" s="108"/>
      <c r="H39" s="105"/>
      <c r="I39" s="109" t="s">
        <v>1219</v>
      </c>
      <c r="J39" s="105" t="s">
        <v>130</v>
      </c>
      <c r="K39" s="8"/>
    </row>
    <row r="40" spans="1:17" ht="20.100000000000001" customHeight="1" x14ac:dyDescent="0.2">
      <c r="A40" s="5" t="str">
        <f>HYPERLINK("#'6.2.1.1-2 Pasture residue N2O'!A1", "6.2.1.1-2 Pasture residue N2O")</f>
        <v>6.2.1.1-2 Pasture residue N2O</v>
      </c>
      <c r="C40" s="8"/>
      <c r="D40" s="105" t="s">
        <v>1517</v>
      </c>
      <c r="E40" s="106" t="s">
        <v>1536</v>
      </c>
      <c r="F40" s="107"/>
      <c r="G40" s="108"/>
      <c r="H40" s="105"/>
      <c r="I40" s="109" t="s">
        <v>1219</v>
      </c>
      <c r="J40" s="105">
        <f>X_Cell_Pasture_PastureType</f>
        <v>0</v>
      </c>
      <c r="K40" s="8"/>
    </row>
    <row r="41" spans="1:17" ht="20.100000000000001" customHeight="1" x14ac:dyDescent="0.2">
      <c r="A41" s="104" t="str">
        <f>HYPERLINK("#'6.3.1.1-2 Leach runoff pasture'!A1", "6.3.1.1-2 Leach &amp; runoff (pasture)")</f>
        <v>6.3.1.1-2 Leach &amp; runoff (pasture)</v>
      </c>
      <c r="C41" s="8"/>
      <c r="D41" s="8"/>
      <c r="E41" s="8"/>
      <c r="F41" s="8"/>
      <c r="G41" s="8"/>
      <c r="H41" s="8"/>
      <c r="I41" s="8"/>
      <c r="J41" s="8"/>
      <c r="K41" s="8"/>
    </row>
    <row r="42" spans="1:17" ht="20.100000000000001" customHeight="1" x14ac:dyDescent="0.2">
      <c r="A42" s="5" t="str">
        <f>HYPERLINK("#'8.1.1.1-2 Transport fuel'!A1", "8.1.1.1-2 Transport fuel")</f>
        <v>8.1.1.1-2 Transport fuel</v>
      </c>
      <c r="C42" s="8"/>
      <c r="D42" s="112" t="s">
        <v>654</v>
      </c>
      <c r="E42" s="8"/>
      <c r="F42" s="8"/>
      <c r="G42" s="8"/>
      <c r="H42" s="8"/>
      <c r="I42" s="8"/>
      <c r="J42" s="8"/>
      <c r="K42" s="8"/>
      <c r="N42" s="112" t="s">
        <v>654</v>
      </c>
      <c r="O42" s="8"/>
      <c r="P42" s="8"/>
      <c r="Q42" s="8"/>
    </row>
    <row r="43" spans="1:17" ht="20.100000000000001" customHeight="1" x14ac:dyDescent="0.2">
      <c r="A43" s="5" t="str">
        <f>HYPERLINK("#'8.2.1.1-2 Stationary fuel'!A1", "8.2.1.1-2 Stationary fuel")</f>
        <v>8.2.1.1-2 Stationary fuel</v>
      </c>
      <c r="C43" s="8"/>
      <c r="D43" s="113" t="s">
        <v>955</v>
      </c>
      <c r="E43" s="8"/>
      <c r="F43" s="8"/>
      <c r="G43" s="8"/>
      <c r="H43" s="8"/>
      <c r="I43" s="8"/>
      <c r="J43" s="8"/>
      <c r="K43" s="8"/>
      <c r="N43" s="113" t="s">
        <v>955</v>
      </c>
      <c r="O43" s="8"/>
      <c r="P43" s="8"/>
      <c r="Q43" s="8"/>
    </row>
    <row r="44" spans="1:17" ht="20.100000000000001" customHeight="1" x14ac:dyDescent="0.2">
      <c r="A44" s="5" t="str">
        <f>HYPERLINK("#'10.1.1-2 Solid waste treatment'!A1", "10.1.1.1-2 Solid waste")</f>
        <v>10.1.1.1-2 Solid waste</v>
      </c>
      <c r="C44" s="8"/>
      <c r="D44" s="114" t="s">
        <v>954</v>
      </c>
      <c r="E44" s="114" t="s">
        <v>956</v>
      </c>
      <c r="F44" s="8"/>
      <c r="G44" s="8"/>
      <c r="H44" s="8"/>
      <c r="I44" s="8"/>
      <c r="J44" s="8"/>
      <c r="K44" s="8"/>
      <c r="N44" s="114" t="s">
        <v>954</v>
      </c>
      <c r="O44" s="114" t="s">
        <v>956</v>
      </c>
      <c r="P44" s="8"/>
      <c r="Q44" s="8"/>
    </row>
    <row r="45" spans="1:17" ht="20.100000000000001" customHeight="1" x14ac:dyDescent="0.2">
      <c r="A45" s="5" t="str">
        <f>HYPERLINK("#'14.1.1-2 Purchased electricity'!A1", "14.1.1-2 Purchased electricity")</f>
        <v>14.1.1-2 Purchased electricity</v>
      </c>
      <c r="C45" s="8"/>
      <c r="D45" s="15" t="str">
        <f>I24</f>
        <v>N/A</v>
      </c>
      <c r="E45" s="15" t="s">
        <v>130</v>
      </c>
      <c r="F45" s="8"/>
      <c r="G45" s="8"/>
      <c r="H45" s="8"/>
      <c r="I45" s="8"/>
      <c r="J45" s="8"/>
      <c r="K45" s="8"/>
      <c r="N45" s="15" t="str">
        <f>S24</f>
        <v>N/A</v>
      </c>
      <c r="O45" s="15" t="s">
        <v>130</v>
      </c>
      <c r="P45" s="8"/>
      <c r="Q45" s="8"/>
    </row>
    <row r="46" spans="1:17" ht="20.100000000000001" customHeight="1" x14ac:dyDescent="0.2">
      <c r="A46" s="5" t="str">
        <f>HYPERLINK("#'15 Scope 3'!A1", "15 Scope 3")</f>
        <v>15 Scope 3</v>
      </c>
      <c r="C46" s="8"/>
      <c r="D46" s="15">
        <f>I25</f>
        <v>0</v>
      </c>
      <c r="E46" s="15">
        <f>((D46 * $J$37) * $J$38 * 10 ^ (-3))</f>
        <v>0</v>
      </c>
      <c r="F46" s="8"/>
      <c r="G46" s="8"/>
      <c r="H46" s="8"/>
      <c r="I46" s="8"/>
      <c r="J46" s="8"/>
      <c r="K46" s="8"/>
      <c r="N46" s="15" t="e">
        <f>S25</f>
        <v>#N/A</v>
      </c>
      <c r="O46" s="15" t="e">
        <f>((N46 * $J$37) * $J$38 * 10 ^ (-3))</f>
        <v>#N/A</v>
      </c>
      <c r="P46" s="8"/>
      <c r="Q46" s="8"/>
    </row>
    <row r="47" spans="1:17" ht="20.100000000000001" customHeight="1" x14ac:dyDescent="0.2">
      <c r="A47" s="5" t="str">
        <f>HYPERLINK("#'Calcs - Manure sent off-site'!A1", "Calcs - Manure sent off-site")</f>
        <v>Calcs - Manure sent off-site</v>
      </c>
      <c r="C47" s="8"/>
      <c r="F47" s="8"/>
      <c r="G47" s="8"/>
      <c r="H47" s="8"/>
      <c r="I47" s="8"/>
      <c r="J47" s="8"/>
      <c r="K47" s="8"/>
      <c r="P47" s="8"/>
      <c r="Q47" s="8"/>
    </row>
    <row r="48" spans="1:17" ht="20.100000000000001" customHeight="1" x14ac:dyDescent="0.35">
      <c r="C48" s="8"/>
      <c r="D48" s="236" t="s">
        <v>957</v>
      </c>
      <c r="E48" s="237">
        <f>SUM(E45:E46)</f>
        <v>0</v>
      </c>
      <c r="F48" s="95" t="str">
        <f>$E$34</f>
        <v>t N2O</v>
      </c>
      <c r="G48" s="8"/>
      <c r="H48" s="8"/>
      <c r="I48" s="8"/>
      <c r="J48" s="8"/>
      <c r="K48" s="8"/>
      <c r="N48" s="236" t="s">
        <v>957</v>
      </c>
      <c r="O48" s="237" t="e">
        <f>SUM(O45:O46)</f>
        <v>#N/A</v>
      </c>
      <c r="P48" s="95" t="str">
        <f>$E$34</f>
        <v>t N2O</v>
      </c>
      <c r="Q48" s="8"/>
    </row>
    <row r="49" spans="1:17" ht="20.100000000000001" customHeight="1" x14ac:dyDescent="0.2">
      <c r="D49" s="8"/>
      <c r="E49" s="8"/>
      <c r="F49" s="8"/>
      <c r="G49" s="8"/>
      <c r="N49" s="8"/>
      <c r="O49" s="8"/>
      <c r="P49" s="8"/>
      <c r="Q49" s="8"/>
    </row>
    <row r="50" spans="1:17" ht="20.100000000000001" customHeight="1" x14ac:dyDescent="0.2">
      <c r="A50" s="85" t="s">
        <v>1</v>
      </c>
      <c r="D50" s="116" t="str" cm="1">
        <f t="array" ref="D50:E51">Common_Equations.Common_ConvertN2OToCO2e_Arguments()</f>
        <v>EN2O</v>
      </c>
      <c r="E50" s="117" t="str">
        <v>Nitrous oxide emissions (t N2O)</v>
      </c>
      <c r="F50" s="118"/>
      <c r="G50" s="15">
        <f>VEERG_6_3_1_1__1__LeachingAndRunoffEmissionsCropAndPastureResidue_PastureOnly_Result_Method1</f>
        <v>0</v>
      </c>
      <c r="N50" s="116" t="str" cm="1">
        <f t="array" ref="N50:O51">Common_Equations.Common_ConvertN2OToCO2e_Arguments()</f>
        <v>EN2O</v>
      </c>
      <c r="O50" s="117" t="str">
        <v>Nitrous oxide emissions (t N2O)</v>
      </c>
      <c r="P50" s="118"/>
      <c r="Q50" s="15" t="e">
        <f>VEERG_6_3_1_1__1__LeachingAndRunoffEmissionsCropAndPastureResidue_PastureOnly_Result_Method2</f>
        <v>#N/A</v>
      </c>
    </row>
    <row r="51" spans="1:17" ht="20.100000000000001" customHeight="1" x14ac:dyDescent="0.2">
      <c r="A51" s="5" t="str">
        <f>HYPERLINK("#'Constants - Pasture Beef'!A1", "Constants - Pasture Beef")</f>
        <v>Constants - Pasture Beef</v>
      </c>
      <c r="D51" s="116" t="str">
        <v>GWPN2O</v>
      </c>
      <c r="E51" s="117" t="str">
        <v>Global warming potential for nitrous oxide (t CO2-e / t N2O)</v>
      </c>
      <c r="F51" s="118"/>
      <c r="G51" s="15">
        <f>Common_InputFunctions.Utility_LookupValueInTableNumber("N2O",Table_GWPData[Gas],Table_GWPData[CO2-e factor])</f>
        <v>265</v>
      </c>
      <c r="H51" s="8"/>
      <c r="I51" s="8"/>
      <c r="N51" s="116" t="str">
        <v>GWPN2O</v>
      </c>
      <c r="O51" s="117" t="str">
        <v>Global warming potential for nitrous oxide (t CO2-e / t N2O)</v>
      </c>
      <c r="P51" s="118"/>
      <c r="Q51" s="15">
        <f>Common_InputFunctions.Utility_LookupValueInTableNumber("N2O",Table_GWPData[Gas],Table_GWPData[CO2-e factor])</f>
        <v>265</v>
      </c>
    </row>
    <row r="52" spans="1:17" ht="20.100000000000001" customHeight="1" x14ac:dyDescent="0.2">
      <c r="A52" s="5" t="str">
        <f>HYPERLINK("#'Constants - Ag Residue'!A1", "Constants - Ag residue")</f>
        <v>Constants - Ag residue</v>
      </c>
      <c r="H52" s="8"/>
      <c r="I52" s="8"/>
    </row>
    <row r="53" spans="1:17" ht="20.100000000000001" customHeight="1" x14ac:dyDescent="0.2">
      <c r="A53" s="5" t="str">
        <f>HYPERLINK("#'Constants - Common Livestock'!A1", "Constants - Common Livestock")</f>
        <v>Constants - Common Livestock</v>
      </c>
      <c r="D53" s="87" t="s">
        <v>435</v>
      </c>
      <c r="E53" s="87" cm="1">
        <f t="array" ref="E53">Common_Equations.Common_ConvertN2OToCO2e(G50,G51)</f>
        <v>0</v>
      </c>
      <c r="F53" s="94" t="str" cm="1">
        <f t="array" ref="F53">Common_Equations.Common_ConvertN2OToCO2e_Unit()</f>
        <v>t CO2e</v>
      </c>
      <c r="I53" s="8"/>
      <c r="N53" s="87" t="s">
        <v>435</v>
      </c>
      <c r="O53" s="87" t="e" cm="1">
        <f t="array" ref="O53">Common_Equations.Common_ConvertN2OToCO2e(Q50,Q51)</f>
        <v>#N/A</v>
      </c>
      <c r="P53" s="94" t="str" cm="1">
        <f t="array" ref="P53">Common_Equations.Common_ConvertN2OToCO2e_Unit()</f>
        <v>t CO2e</v>
      </c>
    </row>
    <row r="54" spans="1:17" ht="20.100000000000001" customHeight="1" x14ac:dyDescent="0.2">
      <c r="A54" s="5" t="str">
        <f>HYPERLINK("#'Constants - Electricity'!A1", "Constants - Electricity")</f>
        <v>Constants - Electricity</v>
      </c>
      <c r="I54" s="8"/>
    </row>
    <row r="55" spans="1:17" ht="20.100000000000001" customHeight="1" x14ac:dyDescent="0.2">
      <c r="A55" s="5" t="str">
        <f>HYPERLINK("#'Constants - Fertiliser'!A1", "Constants - Fertiliser")</f>
        <v>Constants - Fertiliser</v>
      </c>
    </row>
    <row r="56" spans="1:17" ht="20.100000000000001" customHeight="1" x14ac:dyDescent="0.2">
      <c r="A56" s="5" t="str">
        <f>HYPERLINK("#'Constants - Fuel'!A1", "Constants - Fuel")</f>
        <v>Constants - Fuel</v>
      </c>
    </row>
    <row r="57" spans="1:17" ht="20.100000000000001" customHeight="1" x14ac:dyDescent="0.2">
      <c r="A57" s="5" t="str">
        <f>HYPERLINK("#'Constants - Scope 3'!A1", "Constants - Scope 3")</f>
        <v>Constants - Scope 3</v>
      </c>
    </row>
    <row r="58" spans="1:17" ht="20.100000000000001" customHeight="1" x14ac:dyDescent="0.2">
      <c r="A58" s="5" t="str">
        <f>HYPERLINK("#'Constants - Solid Waste'!A1", "Constants - Solid Waste")</f>
        <v>Constants - Solid Waste</v>
      </c>
    </row>
    <row r="59" spans="1:17" ht="20.100000000000001" customHeight="1" x14ac:dyDescent="0.2">
      <c r="A59" s="5" t="str">
        <f>HYPERLINK("#'Constants - Common'!A1", "Constants - Common")</f>
        <v>Constants - Common</v>
      </c>
    </row>
    <row r="60" spans="1:17" ht="20.100000000000001" customHeight="1" x14ac:dyDescent="0.2">
      <c r="A60" s="5" t="str">
        <f>HYPERLINK("#'Acknowledgements'!A1", "Acknowledgements")</f>
        <v>Acknowledgements</v>
      </c>
      <c r="H60" s="8"/>
      <c r="I60" s="8"/>
    </row>
    <row r="61" spans="1:17" ht="20.100000000000001" customHeight="1" x14ac:dyDescent="0.2">
      <c r="H61" s="8"/>
      <c r="I61" s="8"/>
    </row>
  </sheetData>
  <pageMargins left="0.7" right="0.7" top="0.75" bottom="0.75" header="0.3" footer="0.3"/>
  <pageSetup paperSize="9" orientation="portrait" r:id="rId1"/>
  <drawing r:id="rId2"/>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867F93-35F1-404E-9C25-B31A020AC579}">
  <sheetPr>
    <tabColor rgb="FF008000"/>
  </sheetPr>
  <dimension ref="A1:R342"/>
  <sheetViews>
    <sheetView showGridLines="0" zoomScaleNormal="100" workbookViewId="0">
      <pane xSplit="1" topLeftCell="B1" activePane="topRight" state="frozen"/>
      <selection pane="topRight" activeCell="A59" sqref="A59"/>
    </sheetView>
  </sheetViews>
  <sheetFormatPr defaultRowHeight="20.100000000000001" customHeight="1" x14ac:dyDescent="0.2"/>
  <cols>
    <col min="1" max="1" width="36.7109375" customWidth="1"/>
    <col min="2" max="2" width="4.7109375" customWidth="1"/>
    <col min="3" max="3" width="4.7109375" style="1" customWidth="1"/>
    <col min="4" max="4" width="46.28515625" style="1" customWidth="1"/>
    <col min="5" max="17" width="30.7109375" style="1" customWidth="1"/>
    <col min="18" max="18" width="4.7109375" style="1" customWidth="1"/>
  </cols>
  <sheetData>
    <row r="1" spans="1:18" s="21" customFormat="1" ht="30" customHeight="1" x14ac:dyDescent="0.35">
      <c r="A1" s="10" t="e" vm="1">
        <v>#VALUE!</v>
      </c>
      <c r="C1" s="21" t="s">
        <v>819</v>
      </c>
    </row>
    <row r="2" spans="1:18" s="3" customFormat="1" ht="20.100000000000001" customHeight="1" x14ac:dyDescent="0.2">
      <c r="A2"/>
    </row>
    <row r="3" spans="1:18" ht="20.100000000000001" customHeight="1" x14ac:dyDescent="0.2">
      <c r="A3" s="5" t="str">
        <f>HYPERLINK("#'Home'!A1", "Home")</f>
        <v>Home</v>
      </c>
      <c r="C3" s="23"/>
      <c r="D3" s="23" t="s">
        <v>136</v>
      </c>
      <c r="E3" s="23"/>
      <c r="F3" s="23"/>
      <c r="G3" s="23"/>
      <c r="H3" s="23"/>
      <c r="I3" s="23"/>
      <c r="J3" s="23"/>
      <c r="K3" s="23"/>
      <c r="L3" s="23"/>
      <c r="M3" s="23"/>
      <c r="N3" s="23"/>
      <c r="O3" s="23"/>
      <c r="P3" s="23"/>
      <c r="Q3" s="23"/>
      <c r="R3" s="23"/>
    </row>
    <row r="4" spans="1:18" ht="20.100000000000001" customHeight="1" x14ac:dyDescent="0.2">
      <c r="A4" s="5" t="str">
        <f>HYPERLINK("#'Results - Activity period'!A1", "Results - Activity period")</f>
        <v>Results - Activity period</v>
      </c>
    </row>
    <row r="5" spans="1:18" ht="20.100000000000001" customHeight="1" x14ac:dyDescent="0.2">
      <c r="A5" s="5" t="str">
        <f>HYPERLINK("#'Results - Product EI'!A1", "Results - Product Emissions Intensity")</f>
        <v>Results - Product Emissions Intensity</v>
      </c>
      <c r="D5" s="2" t="s">
        <v>1543</v>
      </c>
      <c r="K5" s="2" t="s">
        <v>1545</v>
      </c>
      <c r="O5" s="168"/>
      <c r="P5" s="168"/>
      <c r="Q5" s="168"/>
    </row>
    <row r="6" spans="1:18" ht="20.100000000000001" customHeight="1" x14ac:dyDescent="0.2">
      <c r="D6" s="17" t="s">
        <v>1544</v>
      </c>
      <c r="K6" s="17" t="s">
        <v>1546</v>
      </c>
      <c r="O6" s="168"/>
      <c r="P6" s="168"/>
      <c r="Q6" s="168"/>
    </row>
    <row r="7" spans="1:18" ht="20.100000000000001" customHeight="1" x14ac:dyDescent="0.2">
      <c r="D7" s="103"/>
      <c r="E7" s="103"/>
      <c r="K7" s="103"/>
      <c r="L7" s="103"/>
      <c r="O7" s="168"/>
      <c r="P7" s="168"/>
      <c r="Q7" s="168"/>
    </row>
    <row r="8" spans="1:18" ht="20.100000000000001" customHeight="1" x14ac:dyDescent="0.2">
      <c r="A8" s="7" t="s">
        <v>0</v>
      </c>
      <c r="E8" s="103"/>
      <c r="L8" s="103"/>
      <c r="O8" s="168"/>
      <c r="P8" s="168"/>
      <c r="Q8" s="168"/>
    </row>
    <row r="9" spans="1:18" ht="20.100000000000001" customHeight="1" x14ac:dyDescent="0.2">
      <c r="A9" s="5" t="str">
        <f>HYPERLINK("#'Input - Enterprise'!A1", "Enterprise")</f>
        <v>Enterprise</v>
      </c>
      <c r="G9" s="17"/>
      <c r="O9" s="168"/>
      <c r="P9" s="168"/>
      <c r="Q9" s="168"/>
    </row>
    <row r="10" spans="1:18" ht="20.100000000000001" customHeight="1" x14ac:dyDescent="0.2">
      <c r="A10" s="5" t="str">
        <f>HYPERLINK("#'Input - Site'!A1", "Site")</f>
        <v>Site</v>
      </c>
      <c r="O10" s="168"/>
      <c r="P10" s="168"/>
      <c r="Q10" s="168"/>
    </row>
    <row r="11" spans="1:18" ht="20.100000000000001" customHeight="1" x14ac:dyDescent="0.2">
      <c r="A11" s="5" t="str">
        <f>HYPERLINK("#'Input - Pasture Beef'!A1", "Pasture Beef")</f>
        <v>Pasture Beef</v>
      </c>
      <c r="D11" s="77" t="s">
        <v>373</v>
      </c>
      <c r="E11" s="1" t="s">
        <v>1547</v>
      </c>
      <c r="K11" s="77" t="s">
        <v>373</v>
      </c>
      <c r="L11" s="1" t="s">
        <v>1548</v>
      </c>
      <c r="O11" s="168"/>
      <c r="P11" s="168"/>
      <c r="Q11" s="168"/>
    </row>
    <row r="12" spans="1:18" ht="20.100000000000001" customHeight="1" x14ac:dyDescent="0.2">
      <c r="A12" s="5" t="str">
        <f>HYPERLINK("#'Input - Livestock sales'!A1", "Livestock sales")</f>
        <v>Livestock sales</v>
      </c>
      <c r="D12" s="77" t="s">
        <v>121</v>
      </c>
      <c r="E12" s="9" t="s">
        <v>292</v>
      </c>
      <c r="K12" s="77" t="s">
        <v>121</v>
      </c>
      <c r="L12" s="9" t="s">
        <v>6</v>
      </c>
    </row>
    <row r="13" spans="1:18" ht="20.100000000000001" customHeight="1" x14ac:dyDescent="0.2">
      <c r="A13" s="5" t="str">
        <f>HYPERLINK("#'Input - Beef cattle purchases'!A1", "Beef cattle purchases")</f>
        <v>Beef cattle purchases</v>
      </c>
    </row>
    <row r="14" spans="1:18" ht="20.100000000000001" customHeight="1" x14ac:dyDescent="0.2">
      <c r="A14" s="5" t="str">
        <f>HYPERLINK("#'Input - Pasture'!A1", "Pasture")</f>
        <v>Pasture</v>
      </c>
      <c r="D14" s="105" t="s">
        <v>1549</v>
      </c>
      <c r="E14" s="106" t="s">
        <v>1550</v>
      </c>
      <c r="F14" s="108"/>
      <c r="G14" s="105" t="s">
        <v>1560</v>
      </c>
      <c r="H14" s="109" t="s">
        <v>1219</v>
      </c>
      <c r="I14" s="111" t="str" cm="1">
        <f t="array" aca="1" ref="I14" ca="1">HYPERLINK(Common_InputFunctions.Utility_SourceHyperlink($D$22), $D$22)</f>
        <v>Table_E_g</v>
      </c>
      <c r="K14" s="105" t="s">
        <v>1563</v>
      </c>
      <c r="L14" s="105" t="s">
        <v>1564</v>
      </c>
      <c r="M14" s="105"/>
      <c r="N14" s="105" t="s">
        <v>874</v>
      </c>
      <c r="O14" s="109" t="s">
        <v>1219</v>
      </c>
      <c r="P14" s="111" t="str" cm="1">
        <f t="array" aca="1" ref="P14" ca="1">HYPERLINK(Common_InputFunctions.Utility_SourceHyperlink($D$22), $D$22)</f>
        <v>Table_E_g</v>
      </c>
      <c r="Q14" s="168"/>
    </row>
    <row r="15" spans="1:18" ht="20.100000000000001" customHeight="1" x14ac:dyDescent="0.2">
      <c r="A15" s="5" t="str">
        <f>HYPERLINK("#'Input - Fert Prod System'!A1", "Fert Prod System")</f>
        <v>Fert Prod System</v>
      </c>
      <c r="D15" s="105" t="s">
        <v>1551</v>
      </c>
      <c r="E15" s="106" t="s">
        <v>1552</v>
      </c>
      <c r="F15" s="108"/>
      <c r="G15" s="105" t="s">
        <v>1561</v>
      </c>
      <c r="H15" s="110" t="s">
        <v>1220</v>
      </c>
      <c r="I15" s="111" t="str" cm="1">
        <f t="array" aca="1" ref="I15" ca="1">HYPERLINK(Common_InputFunctions.Utility_SourceHyperlink($D$22), $D$22)</f>
        <v>Table_E_g</v>
      </c>
      <c r="K15" s="105" t="s">
        <v>1551</v>
      </c>
      <c r="L15" s="105" t="s">
        <v>1565</v>
      </c>
      <c r="M15" s="105"/>
      <c r="N15" s="105" t="s">
        <v>1568</v>
      </c>
      <c r="O15" s="110" t="s">
        <v>1220</v>
      </c>
      <c r="P15" s="111" t="str" cm="1">
        <f t="array" aca="1" ref="P15" ca="1">HYPERLINK(Common_InputFunctions.Utility_SourceHyperlink($D$22), $D$22)</f>
        <v>Table_E_g</v>
      </c>
      <c r="Q15" s="168"/>
    </row>
    <row r="16" spans="1:18" ht="20.100000000000001" customHeight="1" x14ac:dyDescent="0.2">
      <c r="A16" s="5" t="str">
        <f>HYPERLINK("#'Input - Fertiliser'!A1", "Fertiliser")</f>
        <v>Fertiliser</v>
      </c>
      <c r="D16" s="105" t="s">
        <v>1553</v>
      </c>
      <c r="E16" s="106" t="s">
        <v>1554</v>
      </c>
      <c r="F16" s="108"/>
      <c r="G16" s="105" t="s">
        <v>1562</v>
      </c>
      <c r="H16" s="110" t="s">
        <v>1220</v>
      </c>
      <c r="I16" s="111" t="str" cm="1">
        <f t="array" aca="1" ref="I16" ca="1">HYPERLINK(Common_InputFunctions.Utility_SourceHyperlink($D$22), $D$22)</f>
        <v>Table_E_g</v>
      </c>
      <c r="K16" s="105" t="s">
        <v>1566</v>
      </c>
      <c r="L16" s="105" t="s">
        <v>1567</v>
      </c>
      <c r="M16" s="105"/>
      <c r="N16" s="105" t="s">
        <v>1569</v>
      </c>
      <c r="O16" s="110" t="s">
        <v>1220</v>
      </c>
      <c r="P16" s="111" t="str" cm="1">
        <f t="array" aca="1" ref="P16" ca="1">HYPERLINK(Common_InputFunctions.Utility_SourceHyperlink($D$22), $D$22)</f>
        <v>Table_E_g</v>
      </c>
      <c r="Q16" s="168"/>
    </row>
    <row r="17" spans="1:17" ht="20.100000000000001" customHeight="1" x14ac:dyDescent="0.2">
      <c r="A17" s="5" t="str">
        <f>HYPERLINK("#'Input - Fuel'!A1", "Fuel")</f>
        <v>Fuel</v>
      </c>
      <c r="D17" s="105" t="s">
        <v>1555</v>
      </c>
      <c r="E17" s="106" t="s">
        <v>872</v>
      </c>
      <c r="F17" s="108"/>
      <c r="G17" s="105"/>
      <c r="H17" s="110" t="s">
        <v>1220</v>
      </c>
      <c r="I17" s="111"/>
      <c r="J17" s="168"/>
      <c r="P17" s="168"/>
      <c r="Q17" s="168"/>
    </row>
    <row r="18" spans="1:17" ht="20.100000000000001" customHeight="1" x14ac:dyDescent="0.2">
      <c r="A18" s="5" t="str">
        <f>HYPERLINK("#'Input - Electricity'!A1", "Electricity")</f>
        <v>Electricity</v>
      </c>
      <c r="D18" s="105" t="s">
        <v>1556</v>
      </c>
      <c r="E18" s="106" t="s">
        <v>1557</v>
      </c>
      <c r="F18" s="108"/>
      <c r="G18" s="105"/>
      <c r="H18" s="110" t="s">
        <v>1220</v>
      </c>
      <c r="I18" s="111"/>
      <c r="J18" s="168"/>
      <c r="L18" s="168"/>
      <c r="M18" s="168"/>
      <c r="N18" s="168"/>
      <c r="O18" s="168"/>
      <c r="P18" s="168"/>
      <c r="Q18" s="168"/>
    </row>
    <row r="19" spans="1:17" ht="20.100000000000001" customHeight="1" x14ac:dyDescent="0.2">
      <c r="A19" s="5" t="str">
        <f>HYPERLINK("#'Input - Common farm inputs'!A1", "Common farm inputs")</f>
        <v>Common farm inputs</v>
      </c>
      <c r="D19" s="105" t="s">
        <v>1558</v>
      </c>
      <c r="E19" s="106" t="s">
        <v>1559</v>
      </c>
      <c r="F19" s="108"/>
      <c r="G19" s="105"/>
      <c r="H19" s="110" t="s">
        <v>1220</v>
      </c>
      <c r="I19" s="111"/>
      <c r="J19" s="168"/>
      <c r="L19" s="168"/>
      <c r="M19" s="168"/>
      <c r="N19" s="168"/>
      <c r="O19" s="168"/>
      <c r="P19" s="168"/>
      <c r="Q19" s="168"/>
    </row>
    <row r="20" spans="1:17" ht="20.100000000000001" customHeight="1" x14ac:dyDescent="0.2">
      <c r="A20" s="5" t="str">
        <f>HYPERLINK("#'Input - Crop pasture farm input'!A1", "Crop pasture farm input")</f>
        <v>Crop pasture farm input</v>
      </c>
      <c r="D20" s="105">
        <v>1</v>
      </c>
      <c r="E20" s="106" t="s">
        <v>297</v>
      </c>
      <c r="F20" s="108"/>
      <c r="G20" s="105"/>
      <c r="H20" s="110" t="s">
        <v>1220</v>
      </c>
      <c r="I20" s="111"/>
      <c r="J20" s="168"/>
      <c r="L20" s="168"/>
      <c r="M20" s="168"/>
      <c r="N20" s="168"/>
      <c r="O20" s="168"/>
      <c r="P20" s="168"/>
      <c r="Q20" s="168"/>
    </row>
    <row r="21" spans="1:17" ht="20.100000000000001" customHeight="1" x14ac:dyDescent="0.2">
      <c r="A21" s="5" t="str">
        <f>HYPERLINK("#'Input - Livestock farm Inputs'!A1", "Livestock farm Inputs")</f>
        <v>Livestock farm Inputs</v>
      </c>
      <c r="O21" s="168"/>
      <c r="P21" s="168"/>
      <c r="Q21" s="168"/>
    </row>
    <row r="22" spans="1:17" ht="20.100000000000001" customHeight="1" x14ac:dyDescent="0.2">
      <c r="A22" s="5" t="str">
        <f>HYPERLINK("#'Input - Freight'!A1", "Freight")</f>
        <v>Freight</v>
      </c>
      <c r="D22" s="112" t="s">
        <v>820</v>
      </c>
    </row>
    <row r="23" spans="1:17" ht="20.100000000000001" customHeight="1" x14ac:dyDescent="0.2">
      <c r="A23" s="5" t="str">
        <f>HYPERLINK("#'Input - Solid waste'!A1", "Solid waste")</f>
        <v>Solid waste</v>
      </c>
      <c r="D23" s="113" t="s">
        <v>821</v>
      </c>
    </row>
    <row r="24" spans="1:17" ht="20.100000000000001" customHeight="1" x14ac:dyDescent="0.2">
      <c r="A24" s="5" t="str">
        <f>HYPERLINK("#'Input - Manure sent off-site'!A1", "Manure sent off-site")</f>
        <v>Manure sent off-site</v>
      </c>
      <c r="D24" s="114" t="s">
        <v>822</v>
      </c>
      <c r="E24" s="114" t="s">
        <v>823</v>
      </c>
      <c r="F24" s="114" t="s">
        <v>824</v>
      </c>
      <c r="G24" s="114" t="s">
        <v>825</v>
      </c>
      <c r="H24" s="114" t="s">
        <v>826</v>
      </c>
      <c r="I24" s="114" t="s">
        <v>827</v>
      </c>
      <c r="J24" s="114" t="s">
        <v>828</v>
      </c>
      <c r="K24" s="114" t="s">
        <v>829</v>
      </c>
      <c r="L24" s="82" t="s">
        <v>830</v>
      </c>
      <c r="M24" s="114" t="s">
        <v>831</v>
      </c>
      <c r="N24" s="114" t="s">
        <v>832</v>
      </c>
      <c r="O24" s="114" t="s">
        <v>833</v>
      </c>
      <c r="P24" s="114" t="s">
        <v>834</v>
      </c>
      <c r="Q24" s="114" t="s">
        <v>835</v>
      </c>
    </row>
    <row r="25" spans="1:17" ht="20.100000000000001" customHeight="1" x14ac:dyDescent="0.2">
      <c r="A25" s="5" t="str">
        <f>HYPERLINK("#'Input - Data quality'!A1", "Data quality")</f>
        <v>Data quality</v>
      </c>
      <c r="D25" s="25" t="str">
        <f>Table_FuelTypesPerUse[[#Headers],[Cars and light commercial vehicles]]</f>
        <v>Cars and light commercial vehicles</v>
      </c>
      <c r="E25" s="192" t="str">
        <f>'Constants - Fuel'!$E$10</f>
        <v>Gasoline</v>
      </c>
      <c r="F25" s="192" t="str">
        <f>'Constants - Fuel'!G131</f>
        <v>Petrol</v>
      </c>
      <c r="G25" s="15" cm="1">
        <f t="array" ref="G25">IFERROR(_xlfn.XLOOKUP(1, (Table_Fuel_EFs_Transport[Fuel combusted]=$E25)*(Table_Fuel_EFs_Transport[Transport type]=$D$25), Table_Fuel_EFs_Transport[Energy Content Factor (GJ per unit of fuel)]), 0)</f>
        <v>34.200000000000003</v>
      </c>
      <c r="H25" s="15" cm="1">
        <f t="array" ref="H25">IFERROR(_xlfn.XLOOKUP(1, (Table_Fuel_EFs_Transport[Fuel combusted]=$E25)*(Table_Fuel_EFs_Transport[Transport type]=$D$25), Table_Fuel_EFs_Transport[Scope 1 Emission Factor (kg CO2 - e / GJ) CO2]), 0)</f>
        <v>67.400000000000006</v>
      </c>
      <c r="I25" s="15" cm="1">
        <f t="array" ref="I25">IFERROR(_xlfn.XLOOKUP(1, (Table_Fuel_EFs_Transport[Fuel combusted]=$E25)*(Table_Fuel_EFs_Transport[Transport type]=$D$25), Table_Fuel_EFs_Transport[Scope 1 Emission Factor (kg CO2 - e / GJ) CH4]), 0)</f>
        <v>0.02</v>
      </c>
      <c r="J25" s="15" cm="1">
        <f t="array" ref="J25">IFERROR(_xlfn.XLOOKUP(1, (Table_Fuel_EFs_Transport[Fuel combusted]=$E25)*(Table_Fuel_EFs_Transport[Transport type]=$D$25), Table_Fuel_EFs_Transport[Scope 1 Emission Factor (kg CO2 - e / GJ) N2O]), 0)</f>
        <v>0.2</v>
      </c>
      <c r="K25" s="15" cm="1">
        <f t="array" ref="K25">IFERROR(_xlfn.XLOOKUP(1, (Table_Fuel_EFs_Transport[Fuel combusted]=$E25)*(Table_Fuel_EFs_Transport[Transport type]=$D$25), Table_Fuel_EFs_Transport[Scope 3 Emission Factor (kg CO2 - e / GJ)]), 0)</f>
        <v>17.2</v>
      </c>
      <c r="L25" s="172" cm="1">
        <f t="array" ref="L25">Fuel_InputFunctions.Fuel_TotalConsumption(Table_Input_Fuel[Amount consumed], Table_Input_Fuel[Fuel use (select)], D25, Table_Input_Fuel[Fuel type (select)],F25)</f>
        <v>0</v>
      </c>
      <c r="M25" s="172" t="str" cm="1">
        <f t="array" ref="M25">Common_InputFunctions.Utility_LookupValueInTable(F25,Table_FuelTypes_Units[Fuel type],Table_FuelTypes_Units[Unit])</f>
        <v>kL</v>
      </c>
      <c r="N25" s="193">
        <f>((($L25 * $G25 * $H25) * 10 ^ -3))</f>
        <v>0</v>
      </c>
      <c r="O25" s="193">
        <f>((($L25 * $G25 * $I25) * 10 ^ -3))</f>
        <v>0</v>
      </c>
      <c r="P25" s="193">
        <f>((($L25 * $G25 * $J25) * 10 ^ -3))</f>
        <v>0</v>
      </c>
      <c r="Q25" s="193">
        <f>((L25 * G25 * K25) * 10 ^ -3)</f>
        <v>0</v>
      </c>
    </row>
    <row r="26" spans="1:17" ht="20.100000000000001" customHeight="1" x14ac:dyDescent="0.2">
      <c r="D26" s="194" t="str">
        <f t="shared" ref="D26:D32" si="0">$D$25</f>
        <v>Cars and light commercial vehicles</v>
      </c>
      <c r="E26" s="192" t="str">
        <f>'Constants - Fuel'!$E$11</f>
        <v>Diesel oil</v>
      </c>
      <c r="F26" s="192" t="str">
        <f>'Constants - Fuel'!G132</f>
        <v>Diesel</v>
      </c>
      <c r="G26" s="15" cm="1">
        <f t="array" ref="G26">IFERROR(_xlfn.XLOOKUP(1, (Table_Fuel_EFs_Transport[Fuel combusted]=$E26)*(Table_Fuel_EFs_Transport[Transport type]=$D$25), Table_Fuel_EFs_Transport[Energy Content Factor (GJ per unit of fuel)]), 0)</f>
        <v>38.6</v>
      </c>
      <c r="H26" s="15" cm="1">
        <f t="array" ref="H26">IFERROR(_xlfn.XLOOKUP(1, (Table_Fuel_EFs_Transport[Fuel combusted]=$E26)*(Table_Fuel_EFs_Transport[Transport type]=$D$25), Table_Fuel_EFs_Transport[Scope 1 Emission Factor (kg CO2 - e / GJ) CO2]), 0)</f>
        <v>69.900000000000006</v>
      </c>
      <c r="I26" s="15" cm="1">
        <f t="array" ref="I26">IFERROR(_xlfn.XLOOKUP(1, (Table_Fuel_EFs_Transport[Fuel combusted]=$E26)*(Table_Fuel_EFs_Transport[Transport type]=$D$25), Table_Fuel_EFs_Transport[Scope 1 Emission Factor (kg CO2 - e / GJ) CH4]), 0)</f>
        <v>0.01</v>
      </c>
      <c r="J26" s="15" cm="1">
        <f t="array" ref="J26">IFERROR(_xlfn.XLOOKUP(1, (Table_Fuel_EFs_Transport[Fuel combusted]=$E26)*(Table_Fuel_EFs_Transport[Transport type]=$D$25), Table_Fuel_EFs_Transport[Scope 1 Emission Factor (kg CO2 - e / GJ) N2O]), 0)</f>
        <v>0.5</v>
      </c>
      <c r="K26" s="15" cm="1">
        <f t="array" ref="K26">IFERROR(_xlfn.XLOOKUP(1, (Table_Fuel_EFs_Transport[Fuel combusted]=$E26)*(Table_Fuel_EFs_Transport[Transport type]=$D$25), Table_Fuel_EFs_Transport[Scope 3 Emission Factor (kg CO2 - e / GJ)]), 0)</f>
        <v>17.3</v>
      </c>
      <c r="L26" s="172" cm="1">
        <f t="array" ref="L26">Fuel_InputFunctions.Fuel_TotalConsumption(Table_Input_Fuel[Amount consumed], Table_Input_Fuel[Fuel use (select)], D26, Table_Input_Fuel[Fuel type (select)],F26)</f>
        <v>0</v>
      </c>
      <c r="M26" s="172" t="str" cm="1">
        <f t="array" ref="M26">Common_InputFunctions.Utility_LookupValueInTable(F26,Table_FuelTypes_Units[Fuel type],Table_FuelTypes_Units[Unit])</f>
        <v>kL</v>
      </c>
      <c r="N26" s="193">
        <f>((($L26 * $G26 * $H26) * 10 ^ -3))</f>
        <v>0</v>
      </c>
      <c r="O26" s="193">
        <f>((($L26 * $G26 * $I26) * 10 ^ -3))</f>
        <v>0</v>
      </c>
      <c r="P26" s="193">
        <f>((($L26 * $G26 * $J26) * 10 ^ -3))</f>
        <v>0</v>
      </c>
      <c r="Q26" s="193">
        <f>((L26 * G26 * K26) * 10 ^ -3)</f>
        <v>0</v>
      </c>
    </row>
    <row r="27" spans="1:17" ht="20.100000000000001" customHeight="1" x14ac:dyDescent="0.2">
      <c r="D27" s="194" t="str">
        <f t="shared" si="0"/>
        <v>Cars and light commercial vehicles</v>
      </c>
      <c r="E27" s="192" t="str">
        <f>'Constants - Fuel'!$E$12</f>
        <v>Liquefied petroleum gas (LPG)</v>
      </c>
      <c r="F27" s="192" t="str">
        <f>'Constants - Fuel'!G133</f>
        <v>Liquefied petroleum gas (LPG)</v>
      </c>
      <c r="G27" s="15" cm="1">
        <f t="array" ref="G27">IFERROR(_xlfn.XLOOKUP(1, (Table_Fuel_EFs_Transport[Fuel combusted]=$E27)*(Table_Fuel_EFs_Transport[Transport type]=$D$25), Table_Fuel_EFs_Transport[Energy Content Factor (GJ per unit of fuel)]), 0)</f>
        <v>26.2</v>
      </c>
      <c r="H27" s="15" cm="1">
        <f t="array" ref="H27">IFERROR(_xlfn.XLOOKUP(1, (Table_Fuel_EFs_Transport[Fuel combusted]=$E27)*(Table_Fuel_EFs_Transport[Transport type]=$D$25), Table_Fuel_EFs_Transport[Scope 1 Emission Factor (kg CO2 - e / GJ) CO2]), 0)</f>
        <v>60.2</v>
      </c>
      <c r="I27" s="15" cm="1">
        <f t="array" ref="I27">IFERROR(_xlfn.XLOOKUP(1, (Table_Fuel_EFs_Transport[Fuel combusted]=$E27)*(Table_Fuel_EFs_Transport[Transport type]=$D$25), Table_Fuel_EFs_Transport[Scope 1 Emission Factor (kg CO2 - e / GJ) CH4]), 0)</f>
        <v>0.5</v>
      </c>
      <c r="J27" s="15" cm="1">
        <f t="array" ref="J27">IFERROR(_xlfn.XLOOKUP(1, (Table_Fuel_EFs_Transport[Fuel combusted]=$E27)*(Table_Fuel_EFs_Transport[Transport type]=$D$25), Table_Fuel_EFs_Transport[Scope 1 Emission Factor (kg CO2 - e / GJ) N2O]), 0)</f>
        <v>0.3</v>
      </c>
      <c r="K27" s="15" cm="1">
        <f t="array" ref="K27">IFERROR(_xlfn.XLOOKUP(1, (Table_Fuel_EFs_Transport[Fuel combusted]=$E27)*(Table_Fuel_EFs_Transport[Transport type]=$D$25), Table_Fuel_EFs_Transport[Scope 3 Emission Factor (kg CO2 - e / GJ)]), 0)</f>
        <v>20.2</v>
      </c>
      <c r="L27" s="172" cm="1">
        <f t="array" ref="L27">Fuel_InputFunctions.Fuel_TotalConsumption(Table_Input_Fuel[Amount consumed], Table_Input_Fuel[Fuel use (select)], D27, Table_Input_Fuel[Fuel type (select)],F27)</f>
        <v>0</v>
      </c>
      <c r="M27" s="172" t="str" cm="1">
        <f t="array" ref="M27">Common_InputFunctions.Utility_LookupValueInTable(F27,Table_FuelTypes_Units[Fuel type],Table_FuelTypes_Units[Unit])</f>
        <v>kL</v>
      </c>
      <c r="N27" s="193">
        <f>((($L27 * $G27 * $H27) * 10 ^ -3))</f>
        <v>0</v>
      </c>
      <c r="O27" s="193">
        <f>((($L27 * $G27 * $I27) * 10 ^ -3))</f>
        <v>0</v>
      </c>
      <c r="P27" s="193">
        <f>((($L27 * $G27 * $J27) * 10 ^ -3))</f>
        <v>0</v>
      </c>
      <c r="Q27" s="193">
        <f>((L27 * G27 * K27) * 10 ^ -3)</f>
        <v>0</v>
      </c>
    </row>
    <row r="28" spans="1:17" ht="20.100000000000001" customHeight="1" x14ac:dyDescent="0.2">
      <c r="A28" s="6" t="s">
        <v>2</v>
      </c>
      <c r="D28" s="194" t="str">
        <f t="shared" si="0"/>
        <v>Cars and light commercial vehicles</v>
      </c>
      <c r="E28" s="192" t="str">
        <f>'Constants - Fuel'!$E$13</f>
        <v>Fuel oil</v>
      </c>
      <c r="F28" s="192" t="str">
        <f>'Constants - Fuel'!G134</f>
        <v>Fuel oil</v>
      </c>
      <c r="G28" s="15" cm="1">
        <f t="array" ref="G28">IFERROR(_xlfn.XLOOKUP(1, (Table_Fuel_EFs_Transport[Fuel combusted]=$E28)*(Table_Fuel_EFs_Transport[Transport type]=$D$25), Table_Fuel_EFs_Transport[Energy Content Factor (GJ per unit of fuel)]), 0)</f>
        <v>39.700000000000003</v>
      </c>
      <c r="H28" s="15" cm="1">
        <f t="array" ref="H28">IFERROR(_xlfn.XLOOKUP(1, (Table_Fuel_EFs_Transport[Fuel combusted]=$E28)*(Table_Fuel_EFs_Transport[Transport type]=$D$25), Table_Fuel_EFs_Transport[Scope 1 Emission Factor (kg CO2 - e / GJ) CO2]), 0)</f>
        <v>73.599999999999994</v>
      </c>
      <c r="I28" s="15" cm="1">
        <f t="array" ref="I28">IFERROR(_xlfn.XLOOKUP(1, (Table_Fuel_EFs_Transport[Fuel combusted]=$E28)*(Table_Fuel_EFs_Transport[Transport type]=$D$25), Table_Fuel_EFs_Transport[Scope 1 Emission Factor (kg CO2 - e / GJ) CH4]), 0)</f>
        <v>0.08</v>
      </c>
      <c r="J28" s="15" cm="1">
        <f t="array" ref="J28">IFERROR(_xlfn.XLOOKUP(1, (Table_Fuel_EFs_Transport[Fuel combusted]=$E28)*(Table_Fuel_EFs_Transport[Transport type]=$D$25), Table_Fuel_EFs_Transport[Scope 1 Emission Factor (kg CO2 - e / GJ) N2O]), 0)</f>
        <v>0.5</v>
      </c>
      <c r="K28" s="15" cm="1">
        <f t="array" ref="K28">IFERROR(_xlfn.XLOOKUP(1, (Table_Fuel_EFs_Transport[Fuel combusted]=$E28)*(Table_Fuel_EFs_Transport[Transport type]=$D$25), Table_Fuel_EFs_Transport[Scope 3 Emission Factor (kg CO2 - e / GJ)]), 0)</f>
        <v>18</v>
      </c>
      <c r="L28" s="172" cm="1">
        <f t="array" ref="L28">Fuel_InputFunctions.Fuel_TotalConsumption(Table_Input_Fuel[Amount consumed], Table_Input_Fuel[Fuel use (select)], D28, Table_Input_Fuel[Fuel type (select)],F28)</f>
        <v>0</v>
      </c>
      <c r="M28" s="172" t="str" cm="1">
        <f t="array" ref="M28">Common_InputFunctions.Utility_LookupValueInTable(F28,Table_FuelTypes_Units[Fuel type],Table_FuelTypes_Units[Unit])</f>
        <v>kL</v>
      </c>
      <c r="N28" s="193">
        <f>((($L28 * $G28 * $H28) * 10 ^ -3))</f>
        <v>0</v>
      </c>
      <c r="O28" s="193">
        <f>((($L28 * $G28 * $I28) * 10 ^ -3))</f>
        <v>0</v>
      </c>
      <c r="P28" s="193">
        <f>((($L28 * $G28 * $J28) * 10 ^ -3))</f>
        <v>0</v>
      </c>
      <c r="Q28" s="193">
        <f>((L28 * G28 * K28) * 10 ^ -3)</f>
        <v>0</v>
      </c>
    </row>
    <row r="29" spans="1:17" ht="20.100000000000001" customHeight="1" x14ac:dyDescent="0.2">
      <c r="A29" s="5" t="str">
        <f>HYPERLINK("#'3.2.1.1-2 Enteric Methane'!A1", "3.2.1.1-2 Enteric Methane")</f>
        <v>3.2.1.1-2 Enteric Methane</v>
      </c>
      <c r="D29" s="194" t="str">
        <f t="shared" si="0"/>
        <v>Cars and light commercial vehicles</v>
      </c>
      <c r="E29" s="192" t="str">
        <f>'Constants - Fuel'!$E$14</f>
        <v>Ethanol</v>
      </c>
      <c r="F29" s="192" t="str">
        <f>'Constants - Fuel'!G135</f>
        <v>Ethanol</v>
      </c>
      <c r="G29" s="15" cm="1">
        <f t="array" ref="G29">IFERROR(_xlfn.XLOOKUP(1, (Table_Fuel_EFs_Transport[Fuel combusted]=$E29)*(Table_Fuel_EFs_Transport[Transport type]=$D$25), Table_Fuel_EFs_Transport[Energy Content Factor (GJ per unit of fuel)]), 0)</f>
        <v>23.4</v>
      </c>
      <c r="H29" s="15" cm="1">
        <f t="array" ref="H29">IFERROR(_xlfn.XLOOKUP(1, (Table_Fuel_EFs_Transport[Fuel combusted]=$E29)*(Table_Fuel_EFs_Transport[Transport type]=$D$25), Table_Fuel_EFs_Transport[Scope 1 Emission Factor (kg CO2 - e / GJ) CO2]), 0)</f>
        <v>0</v>
      </c>
      <c r="I29" s="15" cm="1">
        <f t="array" ref="I29">IFERROR(_xlfn.XLOOKUP(1, (Table_Fuel_EFs_Transport[Fuel combusted]=$E29)*(Table_Fuel_EFs_Transport[Transport type]=$D$25), Table_Fuel_EFs_Transport[Scope 1 Emission Factor (kg CO2 - e / GJ) CH4]), 0)</f>
        <v>0.2</v>
      </c>
      <c r="J29" s="15" cm="1">
        <f t="array" ref="J29">IFERROR(_xlfn.XLOOKUP(1, (Table_Fuel_EFs_Transport[Fuel combusted]=$E29)*(Table_Fuel_EFs_Transport[Transport type]=$D$25), Table_Fuel_EFs_Transport[Scope 1 Emission Factor (kg CO2 - e / GJ) N2O]), 0)</f>
        <v>0.2</v>
      </c>
      <c r="K29" s="15" t="str" cm="1">
        <f t="array" ref="K29">IFERROR(_xlfn.XLOOKUP(1, (Table_Fuel_EFs_Transport[Fuel combusted]=$E29)*(Table_Fuel_EFs_Transport[Transport type]=$D$25), Table_Fuel_EFs_Transport[Scope 3 Emission Factor (kg CO2 - e / GJ)]), 0)</f>
        <v>NE</v>
      </c>
      <c r="L29" s="172" cm="1">
        <f t="array" ref="L29">Fuel_InputFunctions.Fuel_TotalConsumption(Table_Input_Fuel[Amount consumed], Table_Input_Fuel[Fuel use (select)], D29, Table_Input_Fuel[Fuel type (select)],F29)</f>
        <v>0</v>
      </c>
      <c r="M29" s="172" t="str" cm="1">
        <f t="array" ref="M29">Common_InputFunctions.Utility_LookupValueInTable(F29,Table_FuelTypes_Units[Fuel type],Table_FuelTypes_Units[Unit])</f>
        <v>kL</v>
      </c>
      <c r="N29" s="193">
        <f>((($L29 * $G29 * $H29) * 10 ^ -3))</f>
        <v>0</v>
      </c>
      <c r="O29" s="193">
        <f>((($L29 * $G29 * $I29) * 10 ^ -3))</f>
        <v>0</v>
      </c>
      <c r="P29" s="193">
        <f>((($L29 * $G29 * $J29) * 10 ^ -3))</f>
        <v>0</v>
      </c>
      <c r="Q29" s="193">
        <f>((L29 * G29 * (IF(ISNUMBER(K29),K29,0))) * 10 ^ -3)</f>
        <v>0</v>
      </c>
    </row>
    <row r="30" spans="1:17" ht="20.100000000000001" customHeight="1" x14ac:dyDescent="0.2">
      <c r="A30" s="5" t="str">
        <f>HYPERLINK("#'4.2.1.1-2 Methane'!A1", "4.2.1.1-2 Manure methane")</f>
        <v>4.2.1.1-2 Manure methane</v>
      </c>
      <c r="D30" s="194" t="str">
        <f t="shared" si="0"/>
        <v>Cars and light commercial vehicles</v>
      </c>
      <c r="E30" s="192" t="str">
        <f>'Constants - Fuel'!$E$15</f>
        <v>Biodiesel</v>
      </c>
      <c r="F30" s="192" t="str">
        <f>'Constants - Fuel'!G136</f>
        <v>Biodiesel</v>
      </c>
      <c r="G30" s="15" cm="1">
        <f t="array" ref="G30">IFERROR(_xlfn.XLOOKUP(1, (Table_Fuel_EFs_Transport[Fuel combusted]=$E30)*(Table_Fuel_EFs_Transport[Transport type]=$D$25), Table_Fuel_EFs_Transport[Energy Content Factor (GJ per unit of fuel)]), 0)</f>
        <v>34.6</v>
      </c>
      <c r="H30" s="15" cm="1">
        <f t="array" ref="H30">IFERROR(_xlfn.XLOOKUP(1, (Table_Fuel_EFs_Transport[Fuel combusted]=$E30)*(Table_Fuel_EFs_Transport[Transport type]=$D$25), Table_Fuel_EFs_Transport[Scope 1 Emission Factor (kg CO2 - e / GJ) CO2]), 0)</f>
        <v>0</v>
      </c>
      <c r="I30" s="15" cm="1">
        <f t="array" ref="I30">IFERROR(_xlfn.XLOOKUP(1, (Table_Fuel_EFs_Transport[Fuel combusted]=$E30)*(Table_Fuel_EFs_Transport[Transport type]=$D$25), Table_Fuel_EFs_Transport[Scope 1 Emission Factor (kg CO2 - e / GJ) CH4]), 0)</f>
        <v>0.8</v>
      </c>
      <c r="J30" s="15" cm="1">
        <f t="array" ref="J30">IFERROR(_xlfn.XLOOKUP(1, (Table_Fuel_EFs_Transport[Fuel combusted]=$E30)*(Table_Fuel_EFs_Transport[Transport type]=$D$25), Table_Fuel_EFs_Transport[Scope 1 Emission Factor (kg CO2 - e / GJ) N2O]), 0)</f>
        <v>1.7</v>
      </c>
      <c r="K30" s="15" t="str" cm="1">
        <f t="array" ref="K30">IFERROR(_xlfn.XLOOKUP(1, (Table_Fuel_EFs_Transport[Fuel combusted]=$E30)*(Table_Fuel_EFs_Transport[Transport type]=$D$25), Table_Fuel_EFs_Transport[Scope 3 Emission Factor (kg CO2 - e / GJ)]), 0)</f>
        <v>NE</v>
      </c>
      <c r="L30" s="172" cm="1">
        <f t="array" ref="L30">Fuel_InputFunctions.Fuel_TotalConsumption(Table_Input_Fuel[Amount consumed], Table_Input_Fuel[Fuel use (select)], D30, Table_Input_Fuel[Fuel type (select)],F30)</f>
        <v>0</v>
      </c>
      <c r="M30" s="172" t="str" cm="1">
        <f t="array" ref="M30">Common_InputFunctions.Utility_LookupValueInTable(F30,Table_FuelTypes_Units[Fuel type],Table_FuelTypes_Units[Unit])</f>
        <v>kL</v>
      </c>
      <c r="N30" s="193">
        <f>((($L30 * $G30 * $H30) * 10 ^ -3))</f>
        <v>0</v>
      </c>
      <c r="O30" s="193">
        <f>((($L30 * $G30 * $I30) * 10 ^ -3))</f>
        <v>0</v>
      </c>
      <c r="P30" s="193">
        <f>((($L30 * $G30 * $J30) * 10 ^ -3))</f>
        <v>0</v>
      </c>
      <c r="Q30" s="193">
        <f>((L30 * G30 * (IF(ISNUMBER(K30),K30,0))) * 10 ^ -3)</f>
        <v>0</v>
      </c>
    </row>
    <row r="31" spans="1:17" ht="20.100000000000001" customHeight="1" x14ac:dyDescent="0.2">
      <c r="A31" s="5" t="str">
        <f>HYPERLINK("#'4.2.1.3-4 Soil direct N20'!A1", "4.2.1.3-4 Soil direct N2O")</f>
        <v>4.2.1.3-4 Soil direct N2O</v>
      </c>
      <c r="D31" s="194" t="str">
        <f t="shared" si="0"/>
        <v>Cars and light commercial vehicles</v>
      </c>
      <c r="E31" s="192" t="str">
        <f>'Constants - Fuel'!$E$16</f>
        <v>Renewable diesel</v>
      </c>
      <c r="F31" s="192" t="str">
        <f>'Constants - Fuel'!G137</f>
        <v>Renewable diesel</v>
      </c>
      <c r="G31" s="15" cm="1">
        <f t="array" ref="G31">IFERROR(_xlfn.XLOOKUP(1, (Table_Fuel_EFs_Transport[Fuel combusted]=$E31)*(Table_Fuel_EFs_Transport[Transport type]=$D$25), Table_Fuel_EFs_Transport[Energy Content Factor (GJ per unit of fuel)]), 0)</f>
        <v>38.6</v>
      </c>
      <c r="H31" s="15" cm="1">
        <f t="array" ref="H31">IFERROR(_xlfn.XLOOKUP(1, (Table_Fuel_EFs_Transport[Fuel combusted]=$E31)*(Table_Fuel_EFs_Transport[Transport type]=$D$25), Table_Fuel_EFs_Transport[Scope 1 Emission Factor (kg CO2 - e / GJ) CO2]), 0)</f>
        <v>0</v>
      </c>
      <c r="I31" s="15" cm="1">
        <f t="array" ref="I31">IFERROR(_xlfn.XLOOKUP(1, (Table_Fuel_EFs_Transport[Fuel combusted]=$E31)*(Table_Fuel_EFs_Transport[Transport type]=$D$25), Table_Fuel_EFs_Transport[Scope 1 Emission Factor (kg CO2 - e / GJ) CH4]), 0)</f>
        <v>0.01</v>
      </c>
      <c r="J31" s="15" cm="1">
        <f t="array" ref="J31">IFERROR(_xlfn.XLOOKUP(1, (Table_Fuel_EFs_Transport[Fuel combusted]=$E31)*(Table_Fuel_EFs_Transport[Transport type]=$D$25), Table_Fuel_EFs_Transport[Scope 1 Emission Factor (kg CO2 - e / GJ) N2O]), 0)</f>
        <v>0.5</v>
      </c>
      <c r="K31" s="15" t="str" cm="1">
        <f t="array" ref="K31">IFERROR(_xlfn.XLOOKUP(1, (Table_Fuel_EFs_Transport[Fuel combusted]=$E31)*(Table_Fuel_EFs_Transport[Transport type]=$D$25), Table_Fuel_EFs_Transport[Scope 3 Emission Factor (kg CO2 - e / GJ)]), 0)</f>
        <v>NE</v>
      </c>
      <c r="L31" s="172" cm="1">
        <f t="array" ref="L31">Fuel_InputFunctions.Fuel_TotalConsumption(Table_Input_Fuel[Amount consumed], Table_Input_Fuel[Fuel use (select)], D31, Table_Input_Fuel[Fuel type (select)],F31)</f>
        <v>0</v>
      </c>
      <c r="M31" s="172" t="str" cm="1">
        <f t="array" ref="M31">Common_InputFunctions.Utility_LookupValueInTable(F31,Table_FuelTypes_Units[Fuel type],Table_FuelTypes_Units[Unit])</f>
        <v>kL</v>
      </c>
      <c r="N31" s="193">
        <f>((($L31 * $G31 * $H31) * 10 ^ -3))</f>
        <v>0</v>
      </c>
      <c r="O31" s="193">
        <f>((($L31 * $G31 * $I31) * 10 ^ -3))</f>
        <v>0</v>
      </c>
      <c r="P31" s="193">
        <f>((($L31 * $G31 * $J31) * 10 ^ -3))</f>
        <v>0</v>
      </c>
      <c r="Q31" s="193">
        <f>((L31 * G31 * (IF(ISNUMBER(K31),K31,0))) * 10 ^ -3)</f>
        <v>0</v>
      </c>
    </row>
    <row r="32" spans="1:17" ht="20.100000000000001" customHeight="1" x14ac:dyDescent="0.2">
      <c r="A32" s="5" t="str">
        <f>HYPERLINK("#'4.2.1.5-6 Soil Atmos Dep'!A1", "4.2.1.5-6 Soil atm. deposition")</f>
        <v>4.2.1.5-6 Soil atm. deposition</v>
      </c>
      <c r="D32" s="194" t="str">
        <f t="shared" si="0"/>
        <v>Cars and light commercial vehicles</v>
      </c>
      <c r="E32" s="192" t="str">
        <f>'Constants - Fuel'!$E$17</f>
        <v>Other biofuels</v>
      </c>
      <c r="F32" s="192" t="str">
        <f>'Constants - Fuel'!G138</f>
        <v>Other biofuels</v>
      </c>
      <c r="G32" s="15" cm="1">
        <f t="array" ref="G32">IFERROR(_xlfn.XLOOKUP(1, (Table_Fuel_EFs_Transport[Fuel combusted]=$E32)*(Table_Fuel_EFs_Transport[Transport type]=$D$25), Table_Fuel_EFs_Transport[Energy Content Factor (GJ per unit of fuel)]), 0)</f>
        <v>23.4</v>
      </c>
      <c r="H32" s="15" cm="1">
        <f t="array" ref="H32">IFERROR(_xlfn.XLOOKUP(1, (Table_Fuel_EFs_Transport[Fuel combusted]=$E32)*(Table_Fuel_EFs_Transport[Transport type]=$D$25), Table_Fuel_EFs_Transport[Scope 1 Emission Factor (kg CO2 - e / GJ) CO2]), 0)</f>
        <v>0</v>
      </c>
      <c r="I32" s="15" cm="1">
        <f t="array" ref="I32">IFERROR(_xlfn.XLOOKUP(1, (Table_Fuel_EFs_Transport[Fuel combusted]=$E32)*(Table_Fuel_EFs_Transport[Transport type]=$D$25), Table_Fuel_EFs_Transport[Scope 1 Emission Factor (kg CO2 - e / GJ) CH4]), 0)</f>
        <v>0.8</v>
      </c>
      <c r="J32" s="15" cm="1">
        <f t="array" ref="J32">IFERROR(_xlfn.XLOOKUP(1, (Table_Fuel_EFs_Transport[Fuel combusted]=$E32)*(Table_Fuel_EFs_Transport[Transport type]=$D$25), Table_Fuel_EFs_Transport[Scope 1 Emission Factor (kg CO2 - e / GJ) N2O]), 0)</f>
        <v>1.7</v>
      </c>
      <c r="K32" s="190" t="str" cm="1">
        <f t="array" ref="K32">IFERROR(_xlfn.XLOOKUP(1, (Table_Fuel_EFs_Transport[Fuel combusted]=$E32)*(Table_Fuel_EFs_Transport[Transport type]=$D$25), Table_Fuel_EFs_Transport[Scope 3 Emission Factor (kg CO2 - e / GJ)]), 0)</f>
        <v>NE</v>
      </c>
      <c r="L32" s="195" cm="1">
        <f t="array" ref="L32">Fuel_InputFunctions.Fuel_TotalConsumption(Table_Input_Fuel[Amount consumed], Table_Input_Fuel[Fuel use (select)], D32, Table_Input_Fuel[Fuel type (select)],F32)</f>
        <v>0</v>
      </c>
      <c r="M32" s="172" t="str" cm="1">
        <f t="array" ref="M32">Common_InputFunctions.Utility_LookupValueInTable(F32,Table_FuelTypes_Units[Fuel type],Table_FuelTypes_Units[Unit])</f>
        <v>kL</v>
      </c>
      <c r="N32" s="196">
        <f>((($L32 * $G32 * $H32) * 10 ^ -3))</f>
        <v>0</v>
      </c>
      <c r="O32" s="196">
        <f>((($L32 * $G32 * $I32) * 10 ^ -3))</f>
        <v>0</v>
      </c>
      <c r="P32" s="196">
        <f>((($L32 * $G32 * $J32) * 10 ^ -3))</f>
        <v>0</v>
      </c>
      <c r="Q32" s="193">
        <f>((L32 * G32 * (IF(ISNUMBER(K32),K32,0))) * 10 ^ -3)</f>
        <v>0</v>
      </c>
    </row>
    <row r="33" spans="1:17" ht="20.100000000000001" customHeight="1" x14ac:dyDescent="0.2">
      <c r="A33" s="5" t="str">
        <f>HYPERLINK("#'4.2.1.7-8 Soil leach runoff'!A1", "4.2.1.7-8 Soil leach &amp; runoff")</f>
        <v>4.2.1.7-8 Soil leach &amp; runoff</v>
      </c>
      <c r="D33" s="197" t="str">
        <f>Table_FuelTypesPerUse[[#Headers],[Off-road Agriculture and forestry equipment]]</f>
        <v>Off-road Agriculture and forestry equipment</v>
      </c>
      <c r="E33" s="198" t="str">
        <f>'Constants - Fuel'!$E$11</f>
        <v>Diesel oil</v>
      </c>
      <c r="F33" s="198" t="str">
        <f>'Constants - Fuel'!H131</f>
        <v>Diesel</v>
      </c>
      <c r="G33" s="199" cm="1">
        <f t="array" ref="G33">IFERROR(_xlfn.XLOOKUP(1, (Table_Fuel_EFs_Transport[Fuel combusted]=$E33)*(Table_Fuel_EFs_Transport[Transport type]=$D$33), Table_Fuel_EFs_Transport[Energy Content Factor (GJ per unit of fuel)]), 0)</f>
        <v>38.6</v>
      </c>
      <c r="H33" s="199" cm="1">
        <f t="array" ref="H33">IFERROR(_xlfn.XLOOKUP(1, (Table_Fuel_EFs_Transport[Fuel combusted]=$E33)*(Table_Fuel_EFs_Transport[Transport type]=$D$33), Table_Fuel_EFs_Transport[Scope 1 Emission Factor (kg CO2 - e / GJ) CO2]), 0)</f>
        <v>69.900000000000006</v>
      </c>
      <c r="I33" s="199" cm="1">
        <f t="array" ref="I33">IFERROR(_xlfn.XLOOKUP(1, (Table_Fuel_EFs_Transport[Fuel combusted]=$E33)*(Table_Fuel_EFs_Transport[Transport type]=$D$33), Table_Fuel_EFs_Transport[Scope 1 Emission Factor (kg CO2 - e / GJ) CH4]), 0)</f>
        <v>0.3</v>
      </c>
      <c r="J33" s="199" cm="1">
        <f t="array" ref="J33">IFERROR(_xlfn.XLOOKUP(1, (Table_Fuel_EFs_Transport[Fuel combusted]=$E33)*(Table_Fuel_EFs_Transport[Transport type]=$D$33), Table_Fuel_EFs_Transport[Scope 1 Emission Factor (kg CO2 - e / GJ) N2O]), 0)</f>
        <v>0.5</v>
      </c>
      <c r="K33" s="200" cm="1">
        <f t="array" ref="K33">IFERROR(_xlfn.XLOOKUP(1, (Table_Fuel_EFs_Transport[Fuel combusted]=$E33)*(Table_Fuel_EFs_Transport[Transport type]=$D$25), Table_Fuel_EFs_Transport[Scope 3 Emission Factor (kg CO2 - e / GJ)]), 0)</f>
        <v>17.3</v>
      </c>
      <c r="L33" s="201" cm="1">
        <f t="array" ref="L33">Fuel_InputFunctions.Fuel_TotalConsumption(Table_Input_Fuel[Amount consumed], Table_Input_Fuel[Fuel use (select)], D33, Table_Input_Fuel[Fuel type (select)],F33)</f>
        <v>0</v>
      </c>
      <c r="M33" s="202" t="str" cm="1">
        <f t="array" ref="M33">Common_InputFunctions.Utility_LookupValueInTable(F33,Table_FuelTypes_Units[Fuel type],Table_FuelTypes_Units[Unit])</f>
        <v>kL</v>
      </c>
      <c r="N33" s="203">
        <f>((($L33 * $G33 * $H33) * 10 ^ -3))</f>
        <v>0</v>
      </c>
      <c r="O33" s="203">
        <f>((($L33 * $G33 * $I33) * 10 ^ -3))</f>
        <v>0</v>
      </c>
      <c r="P33" s="203">
        <f>((($L33 * $G33 * $J33) * 10 ^ -3))</f>
        <v>0</v>
      </c>
      <c r="Q33" s="204">
        <f>((L33 * G33 * K33) * 10 ^ -3)</f>
        <v>0</v>
      </c>
    </row>
    <row r="34" spans="1:17" ht="20.100000000000001" customHeight="1" x14ac:dyDescent="0.2">
      <c r="A34" s="5" t="str">
        <f>HYPERLINK("#'5.1.1.1-2 Inorganic fert N2O'!A1", "5.1.1.1-2 Inorganic fert N2O")</f>
        <v>5.1.1.1-2 Inorganic fert N2O</v>
      </c>
      <c r="D34" s="197" t="str">
        <f>Table_FuelTypesPerUse[[#Headers],[Aviation]]</f>
        <v>Aviation</v>
      </c>
      <c r="E34" s="198" t="str">
        <f>'Constants - Fuel'!$E$28</f>
        <v>Gasoline for use as fuel in an aircraft</v>
      </c>
      <c r="F34" s="198" t="str">
        <f>'Constants - Fuel'!$F$131</f>
        <v>Avgas</v>
      </c>
      <c r="G34" s="205" cm="1">
        <f t="array" ref="G34">IFERROR(_xlfn.XLOOKUP(1, (Table_Fuel_EFs_Transport[Fuel combusted]=$E34)*(Table_Fuel_EFs_Transport[Transport type]=$D$34), Table_Fuel_EFs_Transport[Energy Content Factor (GJ per unit of fuel)]), 0)</f>
        <v>33.1</v>
      </c>
      <c r="H34" s="205" cm="1">
        <f t="array" ref="H34">IFERROR(_xlfn.XLOOKUP(1, (Table_Fuel_EFs_Transport[Fuel combusted]=$E34)*(Table_Fuel_EFs_Transport[Transport type]=$D$34), Table_Fuel_EFs_Transport[Scope 1 Emission Factor (kg CO2 - e / GJ) CO2]), 0)</f>
        <v>67</v>
      </c>
      <c r="I34" s="205" cm="1">
        <f t="array" ref="I34">IFERROR(_xlfn.XLOOKUP(1, (Table_Fuel_EFs_Transport[Fuel combusted]=$E34)*(Table_Fuel_EFs_Transport[Transport type]=$D$34), Table_Fuel_EFs_Transport[Scope 1 Emission Factor (kg CO2 - e / GJ) CH4]), 0)</f>
        <v>0.06</v>
      </c>
      <c r="J34" s="205" cm="1">
        <f t="array" ref="J34">IFERROR(_xlfn.XLOOKUP(1, (Table_Fuel_EFs_Transport[Fuel combusted]=$E34)*(Table_Fuel_EFs_Transport[Transport type]=$D$34), Table_Fuel_EFs_Transport[Scope 1 Emission Factor (kg CO2 - e / GJ) N2O]), 0)</f>
        <v>0.6</v>
      </c>
      <c r="K34" s="205" cm="1">
        <f t="array" ref="K34">IFERROR(_xlfn.XLOOKUP(1, (Table_Fuel_EFs_Transport[Fuel combusted]=$E34)*(Table_Fuel_EFs_Transport[Transport type]=$D$25), Table_Fuel_EFs_Transport[Scope 3 Emission Factor (kg CO2 - e / GJ)]), 0)</f>
        <v>0</v>
      </c>
      <c r="L34" s="202" cm="1">
        <f t="array" ref="L34">Fuel_InputFunctions.Fuel_TotalConsumption(Table_Input_Fuel[Amount consumed], Table_Input_Fuel[Fuel use (select)], D34, Table_Input_Fuel[Fuel type (select)],F34)</f>
        <v>0</v>
      </c>
      <c r="M34" s="202" t="str" cm="1">
        <f t="array" ref="M34">Common_InputFunctions.Utility_LookupValueInTable(F34,Table_FuelTypes_Units[Fuel type],Table_FuelTypes_Units[Unit])</f>
        <v>kL</v>
      </c>
      <c r="N34" s="203">
        <f>((($L34 * $G34 * $H34) * 10 ^ -3))</f>
        <v>0</v>
      </c>
      <c r="O34" s="203">
        <f>((($L34 * $G34 * $I34) * 10 ^ -3))</f>
        <v>0</v>
      </c>
      <c r="P34" s="203">
        <f>((($L34 * $G34 * $J34) * 10 ^ -3))</f>
        <v>0</v>
      </c>
      <c r="Q34" s="203">
        <f>((L34 * G34 * K34) * 10 ^ -3)</f>
        <v>0</v>
      </c>
    </row>
    <row r="35" spans="1:17" ht="20.100000000000001" customHeight="1" x14ac:dyDescent="0.2">
      <c r="A35" s="5" t="str">
        <f>HYPERLINK("#'5.1.1.3-4 Inorganic fert CO2'!A1", "5.1.1.3-4 Inorganic fert CO2")</f>
        <v>5.1.1.3-4 Inorganic fert CO2</v>
      </c>
      <c r="D35" s="194" t="str">
        <f>$D$34</f>
        <v>Aviation</v>
      </c>
      <c r="E35" s="192" t="str">
        <f>'Constants - Fuel'!$E$29</f>
        <v>Kerosene for use as fuel in an aircraft</v>
      </c>
      <c r="F35" s="192" t="str">
        <f>'Constants - Fuel'!$F$132</f>
        <v>Jet A1, Jet B</v>
      </c>
      <c r="G35" s="15" cm="1">
        <f t="array" ref="G35">IFERROR(_xlfn.XLOOKUP(1, (Table_Fuel_EFs_Transport[Fuel combusted]=$E35)*(Table_Fuel_EFs_Transport[Transport type]=$D$34), Table_Fuel_EFs_Transport[Energy Content Factor (GJ per unit of fuel)]), 0)</f>
        <v>36.799999999999997</v>
      </c>
      <c r="H35" s="15" cm="1">
        <f t="array" ref="H35">IFERROR(_xlfn.XLOOKUP(1, (Table_Fuel_EFs_Transport[Fuel combusted]=$E35)*(Table_Fuel_EFs_Transport[Transport type]=$D$34), Table_Fuel_EFs_Transport[Scope 1 Emission Factor (kg CO2 - e / GJ) CO2]), 0)</f>
        <v>69.599999999999994</v>
      </c>
      <c r="I35" s="15" cm="1">
        <f t="array" ref="I35">IFERROR(_xlfn.XLOOKUP(1, (Table_Fuel_EFs_Transport[Fuel combusted]=$E35)*(Table_Fuel_EFs_Transport[Transport type]=$D$34), Table_Fuel_EFs_Transport[Scope 1 Emission Factor (kg CO2 - e / GJ) CH4]), 0)</f>
        <v>0.01</v>
      </c>
      <c r="J35" s="15" cm="1">
        <f t="array" ref="J35">IFERROR(_xlfn.XLOOKUP(1, (Table_Fuel_EFs_Transport[Fuel combusted]=$E35)*(Table_Fuel_EFs_Transport[Transport type]=$D$34), Table_Fuel_EFs_Transport[Scope 1 Emission Factor (kg CO2 - e / GJ) N2O]), 0)</f>
        <v>0.6</v>
      </c>
      <c r="K35" s="15" cm="1">
        <f t="array" ref="K35">IFERROR(_xlfn.XLOOKUP(1, (Table_Fuel_EFs_Transport[Fuel combusted]=$E35)*(Table_Fuel_EFs_Transport[Transport type]=$D$25), Table_Fuel_EFs_Transport[Scope 3 Emission Factor (kg CO2 - e / GJ)]), 0)</f>
        <v>0</v>
      </c>
      <c r="L35" s="172" cm="1">
        <f t="array" ref="L35">Fuel_InputFunctions.Fuel_TotalConsumption(Table_Input_Fuel[Amount consumed], Table_Input_Fuel[Fuel use (select)], D35, Table_Input_Fuel[Fuel type (select)],F35)</f>
        <v>0</v>
      </c>
      <c r="M35" s="172" t="str" cm="1">
        <f t="array" ref="M35">Common_InputFunctions.Utility_LookupValueInTable(F35,Table_FuelTypes_Units[Fuel type],Table_FuelTypes_Units[Unit])</f>
        <v>kL</v>
      </c>
      <c r="N35" s="193">
        <f>((($L35 * $G35 * $H35) * 10 ^ -3))</f>
        <v>0</v>
      </c>
      <c r="O35" s="193">
        <f>((($L35 * $G35 * $I35) * 10 ^ -3))</f>
        <v>0</v>
      </c>
      <c r="P35" s="193">
        <f>((($L35 * $G35 * $J35) * 10 ^ -3))</f>
        <v>0</v>
      </c>
      <c r="Q35" s="193">
        <f>((L35 * G35 * K35) * 10 ^ -3)</f>
        <v>0</v>
      </c>
    </row>
    <row r="36" spans="1:17" ht="20.100000000000001" customHeight="1" x14ac:dyDescent="0.2">
      <c r="A36" s="5" t="str">
        <f>HYPERLINK("#'5.2.1.1-2 Organic Fert N2O'!A1", "5.2.1.1-2 Organic fert N2O")</f>
        <v>5.2.1.1-2 Organic fert N2O</v>
      </c>
      <c r="D36" s="194" t="str">
        <f>$D$34</f>
        <v>Aviation</v>
      </c>
      <c r="E36" s="192" t="str">
        <f>'Constants - Fuel'!$E$30</f>
        <v>Renewable aviation kerosene</v>
      </c>
      <c r="F36" s="192" t="str">
        <f>'Constants - Fuel'!$F$133</f>
        <v>Renewable aviation kerosene</v>
      </c>
      <c r="G36" s="190" cm="1">
        <f t="array" ref="G36">IFERROR(_xlfn.XLOOKUP(1, (Table_Fuel_EFs_Transport[Fuel combusted]=$E36)*(Table_Fuel_EFs_Transport[Transport type]=$D$34), Table_Fuel_EFs_Transport[Energy Content Factor (GJ per unit of fuel)]), 0)</f>
        <v>36.799999999999997</v>
      </c>
      <c r="H36" s="190" cm="1">
        <f t="array" ref="H36">IFERROR(_xlfn.XLOOKUP(1, (Table_Fuel_EFs_Transport[Fuel combusted]=$E36)*(Table_Fuel_EFs_Transport[Transport type]=$D$34), Table_Fuel_EFs_Transport[Scope 1 Emission Factor (kg CO2 - e / GJ) CO2]), 0)</f>
        <v>0</v>
      </c>
      <c r="I36" s="190" cm="1">
        <f t="array" ref="I36">IFERROR(_xlfn.XLOOKUP(1, (Table_Fuel_EFs_Transport[Fuel combusted]=$E36)*(Table_Fuel_EFs_Transport[Transport type]=$D$34), Table_Fuel_EFs_Transport[Scope 1 Emission Factor (kg CO2 - e / GJ) CH4]), 0)</f>
        <v>0.01</v>
      </c>
      <c r="J36" s="190" cm="1">
        <f t="array" ref="J36">IFERROR(_xlfn.XLOOKUP(1, (Table_Fuel_EFs_Transport[Fuel combusted]=$E36)*(Table_Fuel_EFs_Transport[Transport type]=$D$34), Table_Fuel_EFs_Transport[Scope 1 Emission Factor (kg CO2 - e / GJ) N2O]), 0)</f>
        <v>0.6</v>
      </c>
      <c r="K36" s="190" cm="1">
        <f t="array" ref="K36">IFERROR(_xlfn.XLOOKUP(1, (Table_Fuel_EFs_Transport[Fuel combusted]=$E36)*(Table_Fuel_EFs_Transport[Transport type]=$D$25), Table_Fuel_EFs_Transport[Scope 3 Emission Factor (kg CO2 - e / GJ)]), 0)</f>
        <v>0</v>
      </c>
      <c r="L36" s="195" cm="1">
        <f t="array" ref="L36">Fuel_InputFunctions.Fuel_TotalConsumption(Table_Input_Fuel[Amount consumed], Table_Input_Fuel[Fuel use (select)], D36, Table_Input_Fuel[Fuel type (select)],F36)</f>
        <v>0</v>
      </c>
      <c r="M36" s="172" t="str" cm="1">
        <f t="array" ref="M36">Common_InputFunctions.Utility_LookupValueInTable(F36,Table_FuelTypes_Units[Fuel type],Table_FuelTypes_Units[Unit])</f>
        <v>kL</v>
      </c>
      <c r="N36" s="193">
        <f>((($L36 * $G36 * $H36) * 10 ^ -3))</f>
        <v>0</v>
      </c>
      <c r="O36" s="193">
        <f>((($L36 * $G36 * $I36) * 10 ^ -3))</f>
        <v>0</v>
      </c>
      <c r="P36" s="193">
        <f>((($L36 * $G36 * $J36) * 10 ^ -3))</f>
        <v>0</v>
      </c>
      <c r="Q36" s="196">
        <f>((L36 * G36 * K36) * 10 ^ -3)</f>
        <v>0</v>
      </c>
    </row>
    <row r="37" spans="1:17" ht="20.100000000000001" customHeight="1" x14ac:dyDescent="0.2">
      <c r="A37" s="5" t="str">
        <f>HYPERLINK("#'5.3.1.1-2 Lime CO2'!A1", "5.3.1.1-2 Lime CO2")</f>
        <v>5.3.1.1-2 Lime CO2</v>
      </c>
      <c r="D37" s="197" t="str">
        <f>Table_FuelTypesPerUse[[#Headers],[Vessels]]</f>
        <v>Vessels</v>
      </c>
      <c r="E37" s="198" t="str">
        <f>'Constants - Fuel'!$E$10</f>
        <v>Gasoline</v>
      </c>
      <c r="F37" s="198" t="str">
        <f>'Constants - Fuel'!$I$131</f>
        <v>Petrol</v>
      </c>
      <c r="G37" s="205" cm="1">
        <f t="array" ref="G37">IFERROR(_xlfn.XLOOKUP(1, (Table_Fuel_EFs_Transport[Fuel combusted]=$E37)*(Table_Fuel_EFs_Transport[Transport type]=$D$37), Table_Fuel_EFs_Transport[Energy Content Factor (GJ per unit of fuel)]), 0)</f>
        <v>34.200000000000003</v>
      </c>
      <c r="H37" s="205" cm="1">
        <f t="array" ref="H37">IFERROR(_xlfn.XLOOKUP(1, (Table_Fuel_EFs_Transport[Fuel combusted]=$E37)*(Table_Fuel_EFs_Transport[Transport type]=$D$37), Table_Fuel_EFs_Transport[Scope 1 Emission Factor (kg CO2 - e / GJ) CO2]), 0)</f>
        <v>67.400000000000006</v>
      </c>
      <c r="I37" s="205" cm="1">
        <f t="array" ref="I37">IFERROR(_xlfn.XLOOKUP(1, (Table_Fuel_EFs_Transport[Fuel combusted]=$E37)*(Table_Fuel_EFs_Transport[Transport type]=$D$37), Table_Fuel_EFs_Transport[Scope 1 Emission Factor (kg CO2 - e / GJ) CH4]), 0)</f>
        <v>10.1</v>
      </c>
      <c r="J37" s="205" cm="1">
        <f t="array" ref="J37">IFERROR(_xlfn.XLOOKUP(1, (Table_Fuel_EFs_Transport[Fuel combusted]=$E37)*(Table_Fuel_EFs_Transport[Transport type]=$D$37), Table_Fuel_EFs_Transport[Scope 1 Emission Factor (kg CO2 - e / GJ) N2O]), 0)</f>
        <v>0.3</v>
      </c>
      <c r="K37" s="205" cm="1">
        <f t="array" ref="K37">IFERROR(_xlfn.XLOOKUP(1, (Table_Fuel_EFs_Transport[Fuel combusted]=$E37)*(Table_Fuel_EFs_Transport[Transport type]=$D$25), Table_Fuel_EFs_Transport[Scope 3 Emission Factor (kg CO2 - e / GJ)]), 0)</f>
        <v>17.2</v>
      </c>
      <c r="L37" s="202" cm="1">
        <f t="array" ref="L37">Fuel_InputFunctions.Fuel_TotalConsumption(Table_Input_Fuel[Amount consumed], Table_Input_Fuel[Fuel use (select)], D37, Table_Input_Fuel[Fuel type (select)],F37)</f>
        <v>0</v>
      </c>
      <c r="M37" s="206" t="str" cm="1">
        <f t="array" ref="M37">Common_InputFunctions.Utility_LookupValueInTable(F37,Table_FuelTypes_Units[Fuel type],Table_FuelTypes_Units[Unit])</f>
        <v>kL</v>
      </c>
      <c r="N37" s="203">
        <f>((($L37 * $G37 * $H37) * 10 ^ -3))</f>
        <v>0</v>
      </c>
      <c r="O37" s="203">
        <f>((($L37 * $G37 * $I37) * 10 ^ -3))</f>
        <v>0</v>
      </c>
      <c r="P37" s="203">
        <f>((($L37 * $G37 * $J37) * 10 ^ -3))</f>
        <v>0</v>
      </c>
      <c r="Q37" s="203">
        <f>((L37 * G37 * K37) * 10 ^ -3)</f>
        <v>0</v>
      </c>
    </row>
    <row r="38" spans="1:17" ht="20.100000000000001" customHeight="1" x14ac:dyDescent="0.2">
      <c r="A38" s="5" t="str">
        <f>HYPERLINK("#'5.4.1.1-4 Atmos deposition'!A1", "5.4.1.1-4 Atmos. deposition")</f>
        <v>5.4.1.1-4 Atmos. deposition</v>
      </c>
      <c r="D38" s="194" t="str">
        <f>$D$37</f>
        <v>Vessels</v>
      </c>
      <c r="E38" s="192" t="str">
        <f>'Constants - Fuel'!$E$11</f>
        <v>Diesel oil</v>
      </c>
      <c r="F38" s="192" t="str">
        <f>'Constants - Fuel'!$I$132</f>
        <v>Diesel</v>
      </c>
      <c r="G38" s="15" cm="1">
        <f t="array" ref="G38">IFERROR(_xlfn.XLOOKUP(1, (Table_Fuel_EFs_Transport[Fuel combusted]=$E38)*(Table_Fuel_EFs_Transport[Transport type]=$D$37), Table_Fuel_EFs_Transport[Energy Content Factor (GJ per unit of fuel)]), 0)</f>
        <v>38.6</v>
      </c>
      <c r="H38" s="15" cm="1">
        <f t="array" ref="H38">IFERROR(_xlfn.XLOOKUP(1, (Table_Fuel_EFs_Transport[Fuel combusted]=$E38)*(Table_Fuel_EFs_Transport[Transport type]=$D$37), Table_Fuel_EFs_Transport[Scope 1 Emission Factor (kg CO2 - e / GJ) CO2]), 0)</f>
        <v>69.900000000000006</v>
      </c>
      <c r="I38" s="15" cm="1">
        <f t="array" ref="I38">IFERROR(_xlfn.XLOOKUP(1, (Table_Fuel_EFs_Transport[Fuel combusted]=$E38)*(Table_Fuel_EFs_Transport[Transport type]=$D$37), Table_Fuel_EFs_Transport[Scope 1 Emission Factor (kg CO2 - e / GJ) CH4]), 0)</f>
        <v>0.2</v>
      </c>
      <c r="J38" s="15" cm="1">
        <f t="array" ref="J38">IFERROR(_xlfn.XLOOKUP(1, (Table_Fuel_EFs_Transport[Fuel combusted]=$E38)*(Table_Fuel_EFs_Transport[Transport type]=$D$37), Table_Fuel_EFs_Transport[Scope 1 Emission Factor (kg CO2 - e / GJ) N2O]), 0)</f>
        <v>0.5</v>
      </c>
      <c r="K38" s="15" cm="1">
        <f t="array" ref="K38">IFERROR(_xlfn.XLOOKUP(1, (Table_Fuel_EFs_Transport[Fuel combusted]=$E38)*(Table_Fuel_EFs_Transport[Transport type]=$D$25), Table_Fuel_EFs_Transport[Scope 3 Emission Factor (kg CO2 - e / GJ)]), 0)</f>
        <v>17.3</v>
      </c>
      <c r="L38" s="172" cm="1">
        <f t="array" ref="L38">Fuel_InputFunctions.Fuel_TotalConsumption(Table_Input_Fuel[Amount consumed], Table_Input_Fuel[Fuel use (select)], D38, Table_Input_Fuel[Fuel type (select)],F38)</f>
        <v>0</v>
      </c>
      <c r="M38" s="172" t="str" cm="1">
        <f t="array" ref="M38">Common_InputFunctions.Utility_LookupValueInTable(F38,Table_FuelTypes_Units[Fuel type],Table_FuelTypes_Units[Unit])</f>
        <v>kL</v>
      </c>
      <c r="N38" s="193">
        <f>((($L38 * $G38 * $H38) * 10 ^ -3))</f>
        <v>0</v>
      </c>
      <c r="O38" s="193">
        <f>((($L38 * $G38 * $I38) * 10 ^ -3))</f>
        <v>0</v>
      </c>
      <c r="P38" s="193">
        <f>((($L38 * $G38 * $J38) * 10 ^ -3))</f>
        <v>0</v>
      </c>
      <c r="Q38" s="193">
        <f>((L38 * G38 * K38) * 10 ^ -3)</f>
        <v>0</v>
      </c>
    </row>
    <row r="39" spans="1:17" ht="20.100000000000001" customHeight="1" x14ac:dyDescent="0.2">
      <c r="A39" s="5" t="str">
        <f>HYPERLINK("#'5.5.1.1-2 Leaching and runoff'!A1", "5.5.1.1-2 Leaching &amp; runoff")</f>
        <v>5.5.1.1-2 Leaching &amp; runoff</v>
      </c>
      <c r="D39" s="194" t="str">
        <f>$D$37</f>
        <v>Vessels</v>
      </c>
      <c r="E39" s="192" t="str">
        <f>'Constants - Fuel'!E33</f>
        <v>Fuel Oil</v>
      </c>
      <c r="F39" s="192" t="str">
        <f>'Constants - Fuel'!$I$133</f>
        <v>Fuel oil</v>
      </c>
      <c r="G39" s="15" cm="1">
        <f t="array" ref="G39">IFERROR(_xlfn.XLOOKUP(1, (Table_Fuel_EFs_Transport[Fuel combusted]=$E39)*(Table_Fuel_EFs_Transport[Transport type]=$D$37), Table_Fuel_EFs_Transport[Energy Content Factor (GJ per unit of fuel)]), 0)</f>
        <v>39.700000000000003</v>
      </c>
      <c r="H39" s="15" cm="1">
        <f t="array" ref="H39">IFERROR(_xlfn.XLOOKUP(1, (Table_Fuel_EFs_Transport[Fuel combusted]=$E39)*(Table_Fuel_EFs_Transport[Transport type]=$D$37), Table_Fuel_EFs_Transport[Scope 1 Emission Factor (kg CO2 - e / GJ) CO2]), 0)</f>
        <v>73.599999999999994</v>
      </c>
      <c r="I39" s="15" cm="1">
        <f t="array" ref="I39">IFERROR(_xlfn.XLOOKUP(1, (Table_Fuel_EFs_Transport[Fuel combusted]=$E39)*(Table_Fuel_EFs_Transport[Transport type]=$D$37), Table_Fuel_EFs_Transport[Scope 1 Emission Factor (kg CO2 - e / GJ) CH4]), 0)</f>
        <v>0.2</v>
      </c>
      <c r="J39" s="15" cm="1">
        <f t="array" ref="J39">IFERROR(_xlfn.XLOOKUP(1, (Table_Fuel_EFs_Transport[Fuel combusted]=$E39)*(Table_Fuel_EFs_Transport[Transport type]=$D$37), Table_Fuel_EFs_Transport[Scope 1 Emission Factor (kg CO2 - e / GJ) N2O]), 0)</f>
        <v>0.5</v>
      </c>
      <c r="K39" s="15" cm="1">
        <f t="array" ref="K39">IFERROR(_xlfn.XLOOKUP(1, (Table_Fuel_EFs_Transport[Fuel combusted]=$E39)*(Table_Fuel_EFs_Transport[Transport type]=$D$25), Table_Fuel_EFs_Transport[Scope 3 Emission Factor (kg CO2 - e / GJ)]), 0)</f>
        <v>18</v>
      </c>
      <c r="L39" s="172" cm="1">
        <f t="array" ref="L39">Fuel_InputFunctions.Fuel_TotalConsumption(Table_Input_Fuel[Amount consumed], Table_Input_Fuel[Fuel use (select)], D39, Table_Input_Fuel[Fuel type (select)],F39)</f>
        <v>0</v>
      </c>
      <c r="M39" s="172" t="str" cm="1">
        <f t="array" ref="M39">Common_InputFunctions.Utility_LookupValueInTable(F39,Table_FuelTypes_Units[Fuel type],Table_FuelTypes_Units[Unit])</f>
        <v>kL</v>
      </c>
      <c r="N39" s="193">
        <f>((($L39 * $G39 * $H39) * 10 ^ -3))</f>
        <v>0</v>
      </c>
      <c r="O39" s="193">
        <f>((($L39 * $G39 * $I39) * 10 ^ -3))</f>
        <v>0</v>
      </c>
      <c r="P39" s="193">
        <f>((($L39 * $G39 * $J39) * 10 ^ -3))</f>
        <v>0</v>
      </c>
      <c r="Q39" s="193">
        <f>((L39 * G39 * K39) * 10 ^ -3)</f>
        <v>0</v>
      </c>
    </row>
    <row r="40" spans="1:17" ht="20.100000000000001" customHeight="1" x14ac:dyDescent="0.2">
      <c r="A40" s="5" t="str">
        <f>HYPERLINK("#'6.2.1.1-2 Pasture residue N2O'!A1", "6.2.1.1-2 Pasture residue N2O")</f>
        <v>6.2.1.1-2 Pasture residue N2O</v>
      </c>
      <c r="H40" s="168"/>
      <c r="I40" s="168"/>
      <c r="J40" s="168"/>
      <c r="L40" s="168"/>
      <c r="M40" s="168"/>
      <c r="N40" s="168"/>
      <c r="O40" s="168"/>
      <c r="P40" s="168"/>
      <c r="Q40" s="168"/>
    </row>
    <row r="41" spans="1:17" ht="20.100000000000001" customHeight="1" x14ac:dyDescent="0.2">
      <c r="A41" s="5" t="str">
        <f>HYPERLINK("#'6.3.1.1-2 Leach runoff pasture'!A1", "6.3.1.1-2 Leach &amp; runoff (pasture)")</f>
        <v>6.3.1.1-2 Leach &amp; runoff (pasture)</v>
      </c>
      <c r="H41" s="168"/>
      <c r="I41" s="168"/>
      <c r="J41" s="168"/>
      <c r="L41" s="168"/>
      <c r="M41" s="168"/>
      <c r="N41" s="168"/>
      <c r="O41" s="168"/>
      <c r="P41" s="168"/>
      <c r="Q41" s="168"/>
    </row>
    <row r="42" spans="1:17" ht="20.100000000000001" customHeight="1" x14ac:dyDescent="0.2">
      <c r="A42" s="104" t="str">
        <f>HYPERLINK("#'8.1.1.1-2 Transport fuel'!A1", "8.1.1.1-2 Transport fuel")</f>
        <v>8.1.1.1-2 Transport fuel</v>
      </c>
      <c r="D42" s="207" t="str">
        <f>"Total scope 1 - " &amp; D25</f>
        <v>Total scope 1 - Cars and light commercial vehicles</v>
      </c>
      <c r="E42" s="208"/>
      <c r="F42" s="209"/>
    </row>
    <row r="43" spans="1:17" ht="20.100000000000001" customHeight="1" x14ac:dyDescent="0.2">
      <c r="A43" s="5" t="str">
        <f>HYPERLINK("#'8.2.1.1-2 Stationary fuel'!A1", "8.2.1.1-2 Stationary fuel")</f>
        <v>8.2.1.1-2 Stationary fuel</v>
      </c>
      <c r="D43" s="25" t="s">
        <v>836</v>
      </c>
      <c r="E43" s="210">
        <f>SUM(N25:N32)+N("Partial sum")</f>
        <v>0</v>
      </c>
      <c r="F43" s="16" t="str">
        <f>$E$12</f>
        <v>t CO2-e</v>
      </c>
    </row>
    <row r="44" spans="1:17" ht="20.100000000000001" customHeight="1" x14ac:dyDescent="0.2">
      <c r="A44" s="5" t="str">
        <f>HYPERLINK("#'10.1.1-2 Solid waste treatment'!A1", "10.1.1.1-2 Solid waste")</f>
        <v>10.1.1.1-2 Solid waste</v>
      </c>
      <c r="D44" s="25" t="s">
        <v>837</v>
      </c>
      <c r="E44" s="210">
        <f>SUM(O25:O32)+N("Partial sum")</f>
        <v>0</v>
      </c>
      <c r="F44" s="16" t="str">
        <f t="shared" ref="F44:F46" si="1">$E$12</f>
        <v>t CO2-e</v>
      </c>
    </row>
    <row r="45" spans="1:17" ht="20.100000000000001" customHeight="1" x14ac:dyDescent="0.2">
      <c r="A45" s="5" t="str">
        <f>HYPERLINK("#'14.1.1-2 Purchased electricity'!A1", "14.1.1-2 Purchased electricity")</f>
        <v>14.1.1-2 Purchased electricity</v>
      </c>
      <c r="D45" s="25" t="s">
        <v>838</v>
      </c>
      <c r="E45" s="210">
        <f>SUM(P25:P32)+N("Partial sum")</f>
        <v>0</v>
      </c>
      <c r="F45" s="16" t="str">
        <f t="shared" si="1"/>
        <v>t CO2-e</v>
      </c>
    </row>
    <row r="46" spans="1:17" ht="20.100000000000001" customHeight="1" x14ac:dyDescent="0.2">
      <c r="A46" s="5" t="str">
        <f>HYPERLINK("#'15 Scope 3'!A1", "15 Scope 3")</f>
        <v>15 Scope 3</v>
      </c>
      <c r="D46" s="25" t="s">
        <v>298</v>
      </c>
      <c r="E46" s="210">
        <f>SUM(Q25:Q32)+N("Partial sum")</f>
        <v>0</v>
      </c>
      <c r="F46" s="16" t="str">
        <f t="shared" si="1"/>
        <v>t CO2-e</v>
      </c>
    </row>
    <row r="47" spans="1:17" ht="20.100000000000001" customHeight="1" x14ac:dyDescent="0.2">
      <c r="A47" s="5" t="str">
        <f>HYPERLINK("#'Calcs - Manure sent off-site'!A1", "Calcs - Manure sent off-site")</f>
        <v>Calcs - Manure sent off-site</v>
      </c>
      <c r="D47" s="168"/>
      <c r="E47" s="168"/>
      <c r="F47" s="168"/>
    </row>
    <row r="48" spans="1:17" ht="20.100000000000001" customHeight="1" x14ac:dyDescent="0.2">
      <c r="D48" s="207" t="str">
        <f>"Total scope 1 - " &amp; D33</f>
        <v>Total scope 1 - Off-road Agriculture and forestry equipment</v>
      </c>
      <c r="E48" s="211"/>
      <c r="F48" s="209"/>
      <c r="H48" s="168"/>
      <c r="I48" s="168"/>
      <c r="J48" s="168"/>
      <c r="L48" s="168"/>
      <c r="M48" s="168"/>
      <c r="N48" s="168"/>
      <c r="O48" s="168"/>
      <c r="P48" s="168"/>
      <c r="Q48" s="168"/>
    </row>
    <row r="49" spans="1:17" ht="20.100000000000001" customHeight="1" x14ac:dyDescent="0.2">
      <c r="D49" s="25" t="s">
        <v>836</v>
      </c>
      <c r="E49" s="210">
        <f>SUM(N33:N33)+N("Partial sum")</f>
        <v>0</v>
      </c>
      <c r="F49" s="16" t="str">
        <f t="shared" ref="F49:F52" si="2">$E$12</f>
        <v>t CO2-e</v>
      </c>
      <c r="H49" s="168"/>
      <c r="I49" s="168"/>
      <c r="J49" s="168"/>
      <c r="L49" s="168"/>
      <c r="M49" s="168"/>
      <c r="N49" s="168"/>
      <c r="O49" s="168"/>
      <c r="P49" s="168"/>
      <c r="Q49" s="168"/>
    </row>
    <row r="50" spans="1:17" ht="20.100000000000001" customHeight="1" x14ac:dyDescent="0.2">
      <c r="A50" s="85" t="s">
        <v>1</v>
      </c>
      <c r="D50" s="25" t="s">
        <v>837</v>
      </c>
      <c r="E50" s="210">
        <f>SUM(O33:O33)+N("Partial sum")</f>
        <v>0</v>
      </c>
      <c r="F50" s="16" t="str">
        <f t="shared" si="2"/>
        <v>t CO2-e</v>
      </c>
      <c r="H50" s="168"/>
      <c r="I50" s="168"/>
      <c r="J50" s="168"/>
      <c r="L50" s="168"/>
      <c r="M50" s="168"/>
      <c r="N50" s="168"/>
      <c r="O50" s="168"/>
      <c r="P50" s="168"/>
      <c r="Q50" s="168"/>
    </row>
    <row r="51" spans="1:17" ht="20.100000000000001" customHeight="1" x14ac:dyDescent="0.2">
      <c r="A51" s="5" t="str">
        <f>HYPERLINK("#'Constants - Pasture Beef'!A1", "Constants - Pasture Beef")</f>
        <v>Constants - Pasture Beef</v>
      </c>
      <c r="D51" s="25" t="s">
        <v>838</v>
      </c>
      <c r="E51" s="210">
        <f>SUM(P33:P33)+N("Partial sum")</f>
        <v>0</v>
      </c>
      <c r="F51" s="16" t="str">
        <f t="shared" si="2"/>
        <v>t CO2-e</v>
      </c>
      <c r="H51" s="168"/>
      <c r="I51" s="168"/>
      <c r="J51" s="168"/>
      <c r="L51" s="168"/>
      <c r="M51" s="168"/>
      <c r="N51" s="168"/>
      <c r="O51" s="168"/>
      <c r="P51" s="168"/>
      <c r="Q51" s="168"/>
    </row>
    <row r="52" spans="1:17" ht="20.100000000000001" customHeight="1" x14ac:dyDescent="0.2">
      <c r="A52" s="5" t="str">
        <f>HYPERLINK("#'Constants - Ag Residue'!A1", "Constants - Ag residue")</f>
        <v>Constants - Ag residue</v>
      </c>
      <c r="D52" s="25" t="s">
        <v>298</v>
      </c>
      <c r="E52" s="210">
        <f>SUM(Q33)+N("Partial sum")</f>
        <v>0</v>
      </c>
      <c r="F52" s="16" t="str">
        <f t="shared" si="2"/>
        <v>t CO2-e</v>
      </c>
      <c r="H52" s="168"/>
      <c r="I52" s="168"/>
      <c r="J52" s="168"/>
      <c r="L52" s="168"/>
      <c r="M52" s="168"/>
      <c r="N52" s="168"/>
      <c r="O52" s="168"/>
      <c r="P52" s="168"/>
      <c r="Q52" s="168"/>
    </row>
    <row r="53" spans="1:17" ht="20.100000000000001" customHeight="1" x14ac:dyDescent="0.2">
      <c r="A53" s="5" t="str">
        <f>HYPERLINK("#'Constants - Common Livestock'!A1", "Constants - Common Livestock")</f>
        <v>Constants - Common Livestock</v>
      </c>
      <c r="D53" s="168"/>
      <c r="E53" s="212"/>
      <c r="F53" s="168"/>
      <c r="G53" s="168"/>
      <c r="H53" s="168"/>
      <c r="I53" s="168"/>
      <c r="J53" s="168"/>
      <c r="L53" s="168"/>
      <c r="M53" s="168"/>
      <c r="N53" s="168"/>
      <c r="O53" s="168"/>
      <c r="P53" s="168"/>
      <c r="Q53" s="168"/>
    </row>
    <row r="54" spans="1:17" ht="20.100000000000001" customHeight="1" x14ac:dyDescent="0.2">
      <c r="A54" s="5" t="str">
        <f>HYPERLINK("#'Constants - Electricity'!A1", "Constants - Electricity")</f>
        <v>Constants - Electricity</v>
      </c>
      <c r="D54" s="207" t="str">
        <f>"Total scope 1 - " &amp; D34</f>
        <v>Total scope 1 - Aviation</v>
      </c>
      <c r="E54" s="211"/>
      <c r="F54" s="209"/>
      <c r="G54" s="168"/>
      <c r="H54" s="168"/>
      <c r="I54" s="168"/>
      <c r="J54" s="168"/>
      <c r="L54" s="168"/>
      <c r="M54" s="168"/>
      <c r="N54" s="168"/>
      <c r="O54" s="168"/>
      <c r="P54" s="168"/>
      <c r="Q54" s="168"/>
    </row>
    <row r="55" spans="1:17" ht="20.100000000000001" customHeight="1" x14ac:dyDescent="0.2">
      <c r="A55" s="5" t="str">
        <f>HYPERLINK("#'Constants - Fertiliser'!A1", "Constants - Fertiliser")</f>
        <v>Constants - Fertiliser</v>
      </c>
      <c r="D55" s="25" t="s">
        <v>836</v>
      </c>
      <c r="E55" s="210">
        <f>SUM(N34:N36)+N("Partial sum")</f>
        <v>0</v>
      </c>
      <c r="F55" s="16" t="str">
        <f t="shared" ref="F55:F58" si="3">$E$12</f>
        <v>t CO2-e</v>
      </c>
      <c r="G55" s="168"/>
      <c r="H55" s="168"/>
      <c r="I55" s="168"/>
      <c r="J55" s="168"/>
      <c r="L55" s="168"/>
      <c r="M55" s="168"/>
      <c r="N55" s="168"/>
      <c r="O55" s="168"/>
      <c r="P55" s="168"/>
      <c r="Q55" s="168"/>
    </row>
    <row r="56" spans="1:17" ht="20.100000000000001" customHeight="1" x14ac:dyDescent="0.2">
      <c r="A56" s="5" t="str">
        <f>HYPERLINK("#'Constants - Fuel'!A1", "Constants - Fuel")</f>
        <v>Constants - Fuel</v>
      </c>
      <c r="D56" s="25" t="s">
        <v>837</v>
      </c>
      <c r="E56" s="210">
        <f>SUM(O34:O36)+N("Partial sum")</f>
        <v>0</v>
      </c>
      <c r="F56" s="16" t="str">
        <f t="shared" si="3"/>
        <v>t CO2-e</v>
      </c>
      <c r="G56" s="168"/>
      <c r="H56" s="168"/>
      <c r="I56" s="168"/>
      <c r="J56" s="168"/>
      <c r="L56" s="168"/>
      <c r="M56" s="168"/>
      <c r="N56" s="168"/>
      <c r="O56" s="168"/>
      <c r="P56" s="168"/>
      <c r="Q56" s="168"/>
    </row>
    <row r="57" spans="1:17" ht="20.100000000000001" customHeight="1" x14ac:dyDescent="0.2">
      <c r="A57" s="5" t="str">
        <f>HYPERLINK("#'Constants - Scope 3'!A1", "Constants - Scope 3")</f>
        <v>Constants - Scope 3</v>
      </c>
      <c r="D57" s="25" t="s">
        <v>838</v>
      </c>
      <c r="E57" s="210">
        <f>SUM(P34:P36)+N("Partial sum")</f>
        <v>0</v>
      </c>
      <c r="F57" s="16" t="str">
        <f t="shared" si="3"/>
        <v>t CO2-e</v>
      </c>
      <c r="G57" s="168"/>
      <c r="H57" s="168"/>
      <c r="I57" s="168"/>
      <c r="J57" s="168"/>
      <c r="L57" s="168"/>
      <c r="M57" s="168"/>
      <c r="N57" s="168"/>
      <c r="O57" s="168"/>
      <c r="P57" s="168"/>
      <c r="Q57" s="168"/>
    </row>
    <row r="58" spans="1:17" ht="20.100000000000001" customHeight="1" x14ac:dyDescent="0.2">
      <c r="A58" s="5" t="str">
        <f>HYPERLINK("#'Constants - Solid Waste'!A1", "Constants - Solid Waste")</f>
        <v>Constants - Solid Waste</v>
      </c>
      <c r="D58" s="25" t="s">
        <v>298</v>
      </c>
      <c r="E58" s="210">
        <f>SUM(Q34:Q36)+N("Partial sum")</f>
        <v>0</v>
      </c>
      <c r="F58" s="16" t="str">
        <f t="shared" si="3"/>
        <v>t CO2-e</v>
      </c>
      <c r="G58" s="168"/>
      <c r="H58" s="168"/>
      <c r="I58" s="168"/>
      <c r="J58" s="168"/>
      <c r="L58" s="168"/>
      <c r="M58" s="168"/>
      <c r="N58" s="168"/>
      <c r="O58" s="168"/>
      <c r="P58" s="168"/>
      <c r="Q58" s="168"/>
    </row>
    <row r="59" spans="1:17" ht="20.100000000000001" customHeight="1" x14ac:dyDescent="0.2">
      <c r="A59" s="5" t="str">
        <f>HYPERLINK("#'Constants - Common'!A1", "Constants - Common")</f>
        <v>Constants - Common</v>
      </c>
      <c r="D59" s="168"/>
      <c r="E59" s="212"/>
      <c r="F59" s="168"/>
      <c r="G59" s="168"/>
      <c r="H59" s="168"/>
      <c r="I59" s="168"/>
      <c r="J59" s="168"/>
      <c r="L59" s="168"/>
      <c r="M59" s="168"/>
      <c r="N59" s="168"/>
      <c r="O59" s="168"/>
      <c r="P59" s="168"/>
      <c r="Q59" s="168"/>
    </row>
    <row r="60" spans="1:17" ht="20.100000000000001" customHeight="1" x14ac:dyDescent="0.2">
      <c r="A60" s="5" t="str">
        <f>HYPERLINK("#'Acknowledgements'!A1", "Acknowledgements")</f>
        <v>Acknowledgements</v>
      </c>
      <c r="D60" s="207" t="str">
        <f>"Total scope 1 - " &amp; D37</f>
        <v>Total scope 1 - Vessels</v>
      </c>
      <c r="E60" s="211"/>
      <c r="F60" s="209"/>
      <c r="G60" s="168"/>
      <c r="H60" s="168"/>
      <c r="I60" s="168"/>
      <c r="J60" s="168"/>
      <c r="L60" s="168"/>
      <c r="M60" s="168"/>
      <c r="N60" s="168"/>
      <c r="O60" s="168"/>
      <c r="P60" s="168"/>
      <c r="Q60" s="168"/>
    </row>
    <row r="61" spans="1:17" ht="20.100000000000001" customHeight="1" x14ac:dyDescent="0.2">
      <c r="D61" s="25" t="s">
        <v>836</v>
      </c>
      <c r="E61" s="210">
        <f>SUM(N37:N39)+N("Partial sum")</f>
        <v>0</v>
      </c>
      <c r="F61" s="16" t="str">
        <f t="shared" ref="F61:F64" si="4">$E$12</f>
        <v>t CO2-e</v>
      </c>
      <c r="G61" s="168"/>
      <c r="H61" s="168"/>
      <c r="I61" s="168"/>
      <c r="J61" s="168"/>
      <c r="L61" s="168"/>
      <c r="M61" s="168"/>
      <c r="N61" s="168"/>
      <c r="O61" s="168"/>
      <c r="P61" s="168"/>
      <c r="Q61" s="168"/>
    </row>
    <row r="62" spans="1:17" ht="20.100000000000001" customHeight="1" x14ac:dyDescent="0.2">
      <c r="D62" s="25" t="s">
        <v>837</v>
      </c>
      <c r="E62" s="210">
        <f>SUM(O37:O39)+N("Partial sum")</f>
        <v>0</v>
      </c>
      <c r="F62" s="16" t="str">
        <f t="shared" si="4"/>
        <v>t CO2-e</v>
      </c>
      <c r="G62" s="168"/>
      <c r="H62" s="168"/>
      <c r="I62" s="168"/>
      <c r="J62" s="168"/>
      <c r="L62" s="168"/>
      <c r="M62" s="168"/>
      <c r="N62" s="168"/>
      <c r="O62" s="168"/>
      <c r="P62" s="168"/>
      <c r="Q62" s="168"/>
    </row>
    <row r="63" spans="1:17" ht="20.100000000000001" customHeight="1" x14ac:dyDescent="0.2">
      <c r="D63" s="25" t="s">
        <v>838</v>
      </c>
      <c r="E63" s="210">
        <f>SUM(P37:P39)+N("Partial sum")</f>
        <v>0</v>
      </c>
      <c r="F63" s="16" t="str">
        <f t="shared" si="4"/>
        <v>t CO2-e</v>
      </c>
      <c r="G63" s="168"/>
      <c r="H63" s="168"/>
      <c r="I63" s="168"/>
      <c r="J63" s="168"/>
      <c r="L63" s="168"/>
      <c r="M63" s="168"/>
      <c r="N63" s="168"/>
      <c r="O63" s="168"/>
      <c r="P63" s="168"/>
      <c r="Q63" s="168"/>
    </row>
    <row r="64" spans="1:17" ht="20.100000000000001" customHeight="1" x14ac:dyDescent="0.2">
      <c r="D64" s="25" t="s">
        <v>298</v>
      </c>
      <c r="E64" s="210">
        <f>SUM(Q37:Q39)+N("Partial sum")</f>
        <v>0</v>
      </c>
      <c r="F64" s="16" t="str">
        <f t="shared" si="4"/>
        <v>t CO2-e</v>
      </c>
      <c r="G64" s="168"/>
      <c r="H64" s="168"/>
      <c r="I64" s="168"/>
      <c r="J64" s="168"/>
      <c r="L64" s="168"/>
      <c r="M64" s="168"/>
      <c r="N64" s="168"/>
      <c r="O64" s="168"/>
      <c r="P64" s="168"/>
      <c r="Q64" s="168"/>
    </row>
    <row r="65" spans="4:17" ht="20.100000000000001" customHeight="1" x14ac:dyDescent="0.2">
      <c r="G65" s="168"/>
      <c r="H65" s="168"/>
      <c r="I65" s="168"/>
      <c r="J65" s="168"/>
      <c r="L65" s="168"/>
      <c r="M65" s="168"/>
      <c r="N65" s="168"/>
      <c r="O65" s="168"/>
      <c r="P65" s="168"/>
      <c r="Q65" s="168"/>
    </row>
    <row r="66" spans="4:17" ht="20.100000000000001" customHeight="1" x14ac:dyDescent="0.2">
      <c r="D66" s="207" t="s">
        <v>839</v>
      </c>
      <c r="E66" s="213"/>
      <c r="F66" s="209"/>
      <c r="G66" s="168"/>
      <c r="H66" s="168"/>
      <c r="I66" s="168"/>
      <c r="J66" s="168"/>
      <c r="L66" s="168"/>
      <c r="M66" s="168"/>
      <c r="N66" s="168"/>
      <c r="O66" s="168"/>
      <c r="P66" s="168"/>
      <c r="Q66" s="168"/>
    </row>
    <row r="67" spans="4:17" ht="20.100000000000001" customHeight="1" x14ac:dyDescent="0.2">
      <c r="D67" s="25" t="s">
        <v>836</v>
      </c>
      <c r="E67" s="210">
        <f>E43+E49+E55+E61</f>
        <v>0</v>
      </c>
      <c r="F67" s="16" t="str">
        <f t="shared" ref="F67:F70" si="5">$E$12</f>
        <v>t CO2-e</v>
      </c>
      <c r="G67" s="168"/>
    </row>
    <row r="68" spans="4:17" ht="20.100000000000001" customHeight="1" x14ac:dyDescent="0.2">
      <c r="D68" s="25" t="s">
        <v>837</v>
      </c>
      <c r="E68" s="210">
        <f t="shared" ref="E68:E70" si="6">E44+E50+E56+E62</f>
        <v>0</v>
      </c>
      <c r="F68" s="16" t="str">
        <f t="shared" si="5"/>
        <v>t CO2-e</v>
      </c>
      <c r="G68" s="168"/>
    </row>
    <row r="69" spans="4:17" ht="20.100000000000001" customHeight="1" x14ac:dyDescent="0.2">
      <c r="D69" s="25" t="s">
        <v>838</v>
      </c>
      <c r="E69" s="210">
        <f t="shared" si="6"/>
        <v>0</v>
      </c>
      <c r="F69" s="16" t="str">
        <f t="shared" si="5"/>
        <v>t CO2-e</v>
      </c>
      <c r="G69" s="168"/>
    </row>
    <row r="70" spans="4:17" ht="20.100000000000001" customHeight="1" x14ac:dyDescent="0.2">
      <c r="D70" s="25" t="s">
        <v>298</v>
      </c>
      <c r="E70" s="210">
        <f t="shared" si="6"/>
        <v>0</v>
      </c>
      <c r="F70" s="16" t="str">
        <f t="shared" si="5"/>
        <v>t CO2-e</v>
      </c>
      <c r="G70" s="168"/>
    </row>
    <row r="71" spans="4:17" ht="20.100000000000001" customHeight="1" x14ac:dyDescent="0.2">
      <c r="G71" s="168"/>
    </row>
    <row r="341" spans="8:8" ht="20.100000000000001" customHeight="1" x14ac:dyDescent="0.2">
      <c r="H341" s="8"/>
    </row>
    <row r="342" spans="8:8" ht="20.100000000000001" customHeight="1" x14ac:dyDescent="0.2">
      <c r="H342" s="8"/>
    </row>
  </sheetData>
  <dataValidations count="1">
    <dataValidation operator="equal" allowBlank="1" showInputMessage="1" showErrorMessage="1" sqref="N172:Q172 O150:Q150 E269 N166:Q166 O143:Q144 E228 O167:Q167 G132 I129:I133 F134:I134 F129:F132 H128:H132 G129 F148:I148 I149 F150:I150" xr:uid="{22AB209A-7F11-4CA9-A799-E705C8642FA3}"/>
  </dataValidations>
  <pageMargins left="0.7" right="0.7" top="0.75" bottom="0.75" header="0.3" footer="0.3"/>
  <pageSetup paperSize="9" orientation="portrait" r:id="rId1"/>
  <drawing r:id="rId2"/>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D14E8E-764E-4878-9409-51A26CD19CAA}">
  <sheetPr>
    <tabColor rgb="FF008000"/>
  </sheetPr>
  <dimension ref="A1:R71"/>
  <sheetViews>
    <sheetView showGridLines="0" zoomScaleNormal="100" workbookViewId="0">
      <pane xSplit="1" topLeftCell="B1" activePane="topRight" state="frozen"/>
      <selection pane="topRight" activeCell="A59" sqref="A59"/>
    </sheetView>
  </sheetViews>
  <sheetFormatPr defaultRowHeight="20.100000000000001" customHeight="1" x14ac:dyDescent="0.2"/>
  <cols>
    <col min="1" max="1" width="36.7109375" customWidth="1"/>
    <col min="2" max="2" width="4.7109375" customWidth="1"/>
    <col min="3" max="3" width="4.7109375" style="1" customWidth="1"/>
    <col min="4" max="4" width="40.42578125" style="1" customWidth="1"/>
    <col min="5" max="17" width="30.7109375" style="1" customWidth="1"/>
    <col min="18" max="18" width="4.7109375" style="1" customWidth="1"/>
  </cols>
  <sheetData>
    <row r="1" spans="1:18" s="21" customFormat="1" ht="30" customHeight="1" x14ac:dyDescent="0.35">
      <c r="A1" s="10" t="e" vm="1">
        <v>#VALUE!</v>
      </c>
      <c r="C1" s="21" t="s">
        <v>840</v>
      </c>
    </row>
    <row r="2" spans="1:18" s="3" customFormat="1" ht="20.100000000000001" customHeight="1" x14ac:dyDescent="0.2">
      <c r="A2"/>
    </row>
    <row r="3" spans="1:18" ht="20.100000000000001" customHeight="1" x14ac:dyDescent="0.2">
      <c r="A3" s="5" t="str">
        <f>HYPERLINK("#'Home'!A1", "Home")</f>
        <v>Home</v>
      </c>
      <c r="C3" s="23"/>
      <c r="D3" s="23" t="s">
        <v>136</v>
      </c>
      <c r="E3" s="23"/>
      <c r="F3" s="23"/>
      <c r="G3" s="23"/>
      <c r="H3" s="23"/>
      <c r="I3" s="23"/>
      <c r="J3" s="23"/>
      <c r="K3" s="23"/>
      <c r="L3" s="23"/>
      <c r="M3" s="23"/>
      <c r="N3" s="23"/>
      <c r="O3" s="23"/>
      <c r="P3" s="23"/>
      <c r="Q3" s="23"/>
      <c r="R3" s="23"/>
    </row>
    <row r="4" spans="1:18" ht="20.100000000000001" customHeight="1" x14ac:dyDescent="0.2">
      <c r="A4" s="5" t="str">
        <f>HYPERLINK("#'Results - Activity period'!A1", "Results - Activity period")</f>
        <v>Results - Activity period</v>
      </c>
    </row>
    <row r="5" spans="1:18" ht="20.100000000000001" customHeight="1" x14ac:dyDescent="0.2">
      <c r="A5" s="5" t="str">
        <f>HYPERLINK("#'Results - Product EI'!A1", "Results - Product Emissions Intensity")</f>
        <v>Results - Product Emissions Intensity</v>
      </c>
      <c r="D5" s="2" t="s">
        <v>1570</v>
      </c>
      <c r="K5" s="2" t="s">
        <v>1572</v>
      </c>
      <c r="O5" s="168"/>
      <c r="P5" s="168"/>
      <c r="Q5" s="168"/>
      <c r="R5" s="168"/>
    </row>
    <row r="6" spans="1:18" ht="20.100000000000001" customHeight="1" x14ac:dyDescent="0.2">
      <c r="D6" s="17" t="s">
        <v>1571</v>
      </c>
      <c r="K6" s="17" t="s">
        <v>1573</v>
      </c>
      <c r="O6" s="168"/>
      <c r="P6" s="168"/>
      <c r="Q6" s="168"/>
      <c r="R6" s="168"/>
    </row>
    <row r="7" spans="1:18" ht="20.100000000000001" customHeight="1" x14ac:dyDescent="0.2">
      <c r="D7" s="103"/>
      <c r="E7" s="103"/>
      <c r="K7" s="26" t="s">
        <v>1574</v>
      </c>
      <c r="O7" s="168"/>
      <c r="P7" s="168"/>
      <c r="Q7" s="168"/>
      <c r="R7" s="168"/>
    </row>
    <row r="8" spans="1:18" ht="20.100000000000001" customHeight="1" x14ac:dyDescent="0.2">
      <c r="A8" s="7" t="s">
        <v>0</v>
      </c>
      <c r="K8" s="103"/>
      <c r="L8" s="103"/>
      <c r="O8" s="168"/>
      <c r="P8" s="168"/>
      <c r="Q8" s="168"/>
      <c r="R8" s="168"/>
    </row>
    <row r="9" spans="1:18" ht="20.100000000000001" customHeight="1" x14ac:dyDescent="0.2">
      <c r="A9" s="5" t="str">
        <f>HYPERLINK("#'Input - Enterprise'!A1", "Enterprise")</f>
        <v>Enterprise</v>
      </c>
      <c r="G9" s="17"/>
      <c r="O9" s="168"/>
      <c r="P9" s="168"/>
      <c r="Q9" s="168"/>
      <c r="R9" s="168"/>
    </row>
    <row r="10" spans="1:18" ht="20.100000000000001" customHeight="1" x14ac:dyDescent="0.2">
      <c r="A10" s="5" t="str">
        <f>HYPERLINK("#'Input - Site'!A1", "Site")</f>
        <v>Site</v>
      </c>
      <c r="O10" s="168"/>
      <c r="P10" s="168"/>
      <c r="Q10" s="168"/>
      <c r="R10" s="168"/>
    </row>
    <row r="11" spans="1:18" ht="20.100000000000001" customHeight="1" x14ac:dyDescent="0.2">
      <c r="A11" s="5" t="str">
        <f>HYPERLINK("#'Input - Pasture Beef'!A1", "Pasture Beef")</f>
        <v>Pasture Beef</v>
      </c>
      <c r="D11" s="77" t="s">
        <v>373</v>
      </c>
      <c r="E11" s="1" t="s">
        <v>1547</v>
      </c>
      <c r="K11" s="77" t="s">
        <v>373</v>
      </c>
      <c r="L11" s="1" t="s">
        <v>1575</v>
      </c>
      <c r="O11" s="168"/>
      <c r="P11" s="168"/>
      <c r="Q11" s="168"/>
      <c r="R11" s="168"/>
    </row>
    <row r="12" spans="1:18" ht="20.100000000000001" customHeight="1" x14ac:dyDescent="0.2">
      <c r="A12" s="5" t="str">
        <f>HYPERLINK("#'Input - Livestock sales'!A1", "Livestock sales")</f>
        <v>Livestock sales</v>
      </c>
      <c r="D12" s="77" t="s">
        <v>121</v>
      </c>
      <c r="E12" s="9" t="s">
        <v>292</v>
      </c>
      <c r="K12" s="77" t="s">
        <v>121</v>
      </c>
      <c r="L12" s="9" t="s">
        <v>6</v>
      </c>
    </row>
    <row r="13" spans="1:18" ht="20.100000000000001" customHeight="1" x14ac:dyDescent="0.2">
      <c r="A13" s="5" t="str">
        <f>HYPERLINK("#'Input - Beef cattle purchases'!A1", "Beef cattle purchases")</f>
        <v>Beef cattle purchases</v>
      </c>
    </row>
    <row r="14" spans="1:18" ht="20.100000000000001" customHeight="1" x14ac:dyDescent="0.2">
      <c r="A14" s="5" t="str">
        <f>HYPERLINK("#'Input - Pasture'!A1", "Pasture")</f>
        <v>Pasture</v>
      </c>
      <c r="D14" s="105" t="s">
        <v>1576</v>
      </c>
      <c r="E14" s="106" t="s">
        <v>1577</v>
      </c>
      <c r="F14" s="108"/>
      <c r="G14" s="105" t="s">
        <v>1560</v>
      </c>
      <c r="H14" s="109" t="s">
        <v>1219</v>
      </c>
      <c r="I14" s="111" t="str" cm="1">
        <f t="array" aca="1" ref="I14" ca="1">HYPERLINK(Common_InputFunctions.Utility_SourceHyperlink($D$22), $D$22)</f>
        <v>Table_E_g</v>
      </c>
      <c r="K14" s="105" t="s">
        <v>1576</v>
      </c>
      <c r="L14" s="105" t="s">
        <v>1584</v>
      </c>
      <c r="M14" s="105"/>
      <c r="N14" s="105" t="s">
        <v>874</v>
      </c>
      <c r="O14" s="109" t="s">
        <v>1219</v>
      </c>
      <c r="P14" s="111" t="str" cm="1">
        <f t="array" aca="1" ref="P14" ca="1">HYPERLINK(Common_InputFunctions.Utility_SourceHyperlink($D$22), $D$22)</f>
        <v>Table_E_g</v>
      </c>
      <c r="Q14" s="168"/>
    </row>
    <row r="15" spans="1:18" ht="20.100000000000001" customHeight="1" x14ac:dyDescent="0.2">
      <c r="A15" s="5" t="str">
        <f>HYPERLINK("#'Input - Fert Prod System'!A1", "Fert Prod System")</f>
        <v>Fert Prod System</v>
      </c>
      <c r="D15" s="105" t="s">
        <v>1578</v>
      </c>
      <c r="E15" s="106" t="s">
        <v>1579</v>
      </c>
      <c r="F15" s="108"/>
      <c r="G15" s="105" t="s">
        <v>1561</v>
      </c>
      <c r="H15" s="110" t="s">
        <v>1220</v>
      </c>
      <c r="I15" s="111" t="str" cm="1">
        <f t="array" aca="1" ref="I15" ca="1">HYPERLINK(Common_InputFunctions.Utility_SourceHyperlink($D$22), $D$22)</f>
        <v>Table_E_g</v>
      </c>
      <c r="K15" s="105" t="s">
        <v>1578</v>
      </c>
      <c r="L15" s="105" t="s">
        <v>1585</v>
      </c>
      <c r="M15" s="105"/>
      <c r="N15" s="105" t="s">
        <v>1590</v>
      </c>
      <c r="O15" s="110" t="s">
        <v>1220</v>
      </c>
      <c r="P15" s="111" t="str" cm="1">
        <f t="array" aca="1" ref="P15" ca="1">HYPERLINK(Common_InputFunctions.Utility_SourceHyperlink($D$22), $D$22)</f>
        <v>Table_E_g</v>
      </c>
      <c r="Q15" s="168"/>
    </row>
    <row r="16" spans="1:18" ht="20.100000000000001" customHeight="1" x14ac:dyDescent="0.2">
      <c r="A16" s="5" t="str">
        <f>HYPERLINK("#'Input - Fertiliser'!A1", "Fertiliser")</f>
        <v>Fertiliser</v>
      </c>
      <c r="D16" s="105" t="s">
        <v>1580</v>
      </c>
      <c r="E16" s="106" t="s">
        <v>1581</v>
      </c>
      <c r="F16" s="108"/>
      <c r="G16" s="105" t="s">
        <v>1562</v>
      </c>
      <c r="H16" s="110" t="s">
        <v>1220</v>
      </c>
      <c r="I16" s="111" t="str" cm="1">
        <f t="array" aca="1" ref="I16" ca="1">HYPERLINK(Common_InputFunctions.Utility_SourceHyperlink($D$22), $D$22)</f>
        <v>Table_E_g</v>
      </c>
      <c r="K16" s="105" t="s">
        <v>1586</v>
      </c>
      <c r="L16" s="105" t="s">
        <v>1587</v>
      </c>
      <c r="M16" s="105"/>
      <c r="N16" s="105" t="s">
        <v>1569</v>
      </c>
      <c r="O16" s="110" t="s">
        <v>1220</v>
      </c>
      <c r="P16" s="111" t="str" cm="1">
        <f t="array" aca="1" ref="P16" ca="1">HYPERLINK(Common_InputFunctions.Utility_SourceHyperlink($D$22), $D$22)</f>
        <v>Table_E_g</v>
      </c>
      <c r="Q16" s="168"/>
    </row>
    <row r="17" spans="1:17" ht="20.100000000000001" customHeight="1" x14ac:dyDescent="0.2">
      <c r="A17" s="5" t="str">
        <f>HYPERLINK("#'Input - Fuel'!A1", "Fuel")</f>
        <v>Fuel</v>
      </c>
      <c r="D17" s="105" t="s">
        <v>1555</v>
      </c>
      <c r="E17" s="106" t="s">
        <v>872</v>
      </c>
      <c r="F17" s="108"/>
      <c r="G17" s="105"/>
      <c r="H17" s="110" t="s">
        <v>1220</v>
      </c>
      <c r="I17" s="111"/>
      <c r="J17" s="168"/>
      <c r="K17" s="105" t="s">
        <v>1267</v>
      </c>
      <c r="L17" s="106" t="s">
        <v>1268</v>
      </c>
      <c r="M17" s="108"/>
      <c r="N17" s="105"/>
      <c r="O17" s="109" t="s">
        <v>1219</v>
      </c>
      <c r="P17" s="105">
        <f>X_Cell_Site_State</f>
        <v>0</v>
      </c>
      <c r="Q17" s="168"/>
    </row>
    <row r="18" spans="1:17" ht="20.100000000000001" customHeight="1" x14ac:dyDescent="0.2">
      <c r="A18" s="5" t="str">
        <f>HYPERLINK("#'Input - Electricity'!A1", "Electricity")</f>
        <v>Electricity</v>
      </c>
      <c r="D18" s="105" t="s">
        <v>1582</v>
      </c>
      <c r="E18" s="106" t="s">
        <v>1583</v>
      </c>
      <c r="F18" s="108"/>
      <c r="G18" s="105"/>
      <c r="H18" s="110" t="s">
        <v>1220</v>
      </c>
      <c r="I18" s="111"/>
      <c r="J18" s="168"/>
      <c r="K18" s="105" t="s">
        <v>1588</v>
      </c>
      <c r="L18" s="106" t="s">
        <v>1589</v>
      </c>
      <c r="M18" s="108"/>
      <c r="N18" s="105"/>
      <c r="O18" s="109" t="s">
        <v>1219</v>
      </c>
      <c r="P18" s="105">
        <f>X_Cell_Fuel_IsMetroLocation</f>
        <v>0</v>
      </c>
      <c r="Q18" s="168"/>
    </row>
    <row r="19" spans="1:17" ht="20.100000000000001" customHeight="1" x14ac:dyDescent="0.2">
      <c r="A19" s="5" t="str">
        <f>HYPERLINK("#'Input - Common farm inputs'!A1", "Common farm inputs")</f>
        <v>Common farm inputs</v>
      </c>
      <c r="D19" s="105" t="s">
        <v>1558</v>
      </c>
      <c r="E19" s="106" t="s">
        <v>1559</v>
      </c>
      <c r="F19" s="108"/>
      <c r="G19" s="105"/>
      <c r="H19" s="110" t="s">
        <v>1220</v>
      </c>
      <c r="I19" s="111"/>
      <c r="J19" s="168"/>
      <c r="L19" s="168"/>
      <c r="N19" s="168"/>
      <c r="O19" s="168"/>
      <c r="P19" s="168"/>
      <c r="Q19" s="168"/>
    </row>
    <row r="20" spans="1:17" ht="20.100000000000001" customHeight="1" x14ac:dyDescent="0.2">
      <c r="A20" s="5" t="str">
        <f>HYPERLINK("#'Input - Crop pasture farm input'!A1", "Crop pasture farm input")</f>
        <v>Crop pasture farm input</v>
      </c>
      <c r="D20" s="105">
        <v>1</v>
      </c>
      <c r="E20" s="106" t="s">
        <v>297</v>
      </c>
      <c r="F20" s="108"/>
      <c r="G20" s="105"/>
      <c r="H20" s="110" t="s">
        <v>1220</v>
      </c>
      <c r="I20" s="111"/>
      <c r="J20" s="168"/>
      <c r="L20" s="168"/>
      <c r="N20" s="168"/>
      <c r="O20" s="168"/>
      <c r="P20" s="168"/>
      <c r="Q20" s="168"/>
    </row>
    <row r="21" spans="1:17" ht="20.100000000000001" customHeight="1" x14ac:dyDescent="0.2">
      <c r="A21" s="5" t="str">
        <f>HYPERLINK("#'Input - Livestock farm Inputs'!A1", "Livestock farm Inputs")</f>
        <v>Livestock farm Inputs</v>
      </c>
      <c r="O21" s="168"/>
      <c r="P21" s="168"/>
      <c r="Q21" s="168"/>
    </row>
    <row r="22" spans="1:17" ht="20.100000000000001" customHeight="1" x14ac:dyDescent="0.2">
      <c r="A22" s="5" t="str">
        <f>HYPERLINK("#'Input - Freight'!A1", "Freight")</f>
        <v>Freight</v>
      </c>
      <c r="D22" s="112" t="s">
        <v>820</v>
      </c>
    </row>
    <row r="23" spans="1:17" ht="20.100000000000001" customHeight="1" x14ac:dyDescent="0.2">
      <c r="A23" s="5" t="str">
        <f>HYPERLINK("#'Input - Solid waste'!A1", "Solid waste")</f>
        <v>Solid waste</v>
      </c>
      <c r="D23" s="113" t="s">
        <v>841</v>
      </c>
    </row>
    <row r="24" spans="1:17" ht="20.100000000000001" customHeight="1" x14ac:dyDescent="0.2">
      <c r="A24" s="5" t="str">
        <f>HYPERLINK("#'Input - Manure sent off-site'!A1", "Manure sent off-site")</f>
        <v>Manure sent off-site</v>
      </c>
      <c r="D24" s="114" t="s">
        <v>822</v>
      </c>
      <c r="E24" s="114" t="s">
        <v>823</v>
      </c>
      <c r="F24" s="114" t="s">
        <v>824</v>
      </c>
      <c r="G24" s="114" t="s">
        <v>842</v>
      </c>
      <c r="H24" s="114" t="s">
        <v>843</v>
      </c>
      <c r="I24" s="114" t="s">
        <v>844</v>
      </c>
      <c r="J24" s="114" t="s">
        <v>845</v>
      </c>
      <c r="K24" s="114" t="s">
        <v>846</v>
      </c>
      <c r="L24" s="82" t="s">
        <v>847</v>
      </c>
      <c r="M24" s="114" t="s">
        <v>831</v>
      </c>
      <c r="N24" s="114" t="s">
        <v>832</v>
      </c>
      <c r="O24" s="114" t="s">
        <v>833</v>
      </c>
      <c r="P24" s="114" t="s">
        <v>834</v>
      </c>
      <c r="Q24" s="114" t="s">
        <v>848</v>
      </c>
    </row>
    <row r="25" spans="1:17" ht="20.100000000000001" customHeight="1" x14ac:dyDescent="0.2">
      <c r="A25" s="5" t="str">
        <f>HYPERLINK("#'Input - Data quality'!A1", "Data quality")</f>
        <v>Data quality</v>
      </c>
      <c r="D25" s="25" t="str">
        <f>Table_FuelTypesPerUse[[#Headers],[Generators]]</f>
        <v>Generators</v>
      </c>
      <c r="E25" s="192" t="str">
        <f>'Constants - Fuel'!$D$58</f>
        <v>Automotive gasoline / petrol (other than for use as fuel in an aircraft)</v>
      </c>
      <c r="F25" s="192" t="str">
        <f>'Constants - Fuel'!D131</f>
        <v>Petrol</v>
      </c>
      <c r="G25" s="15">
        <f>IFERROR(_xlfn.XLOOKUP($E25, Table_Fuel_EFs_StationaryLiquid[Fuel combusted], Table_Fuel_EFs_StationaryLiquid[Energy Content Factor (GJ per unit of fuel)]),0)</f>
        <v>34.200000000000003</v>
      </c>
      <c r="H25" s="15">
        <f>IFERROR(_xlfn.XLOOKUP($E25, Table_Fuel_EFs_StationaryLiquid[Fuel combusted], Table_Fuel_EFs_StationaryLiquid[Scope 1 Emission Factor (kg CO2 - e / GJ) CO2]),0)</f>
        <v>67.400000000000006</v>
      </c>
      <c r="I25" s="15">
        <f>IFERROR(_xlfn.XLOOKUP($E25, Table_Fuel_EFs_StationaryLiquid[Fuel combusted], Table_Fuel_EFs_StationaryLiquid[Scope 1 Emission Factor (kg CO2 - e / GJ) CH4]),0)</f>
        <v>0.2</v>
      </c>
      <c r="J25" s="15">
        <f>IFERROR(_xlfn.XLOOKUP($E25, Table_Fuel_EFs_StationaryLiquid[Fuel combusted], Table_Fuel_EFs_StationaryLiquid[Scope 1 Emission Factor (kg CO2 - e / GJ) N2O]),0)</f>
        <v>0.2</v>
      </c>
      <c r="K25" s="15">
        <f>IFERROR(_xlfn.XLOOKUP($E25, Table_Fuel_EFs_StationaryLiquid[Fuel combusted], Table_Fuel_EFs_StationaryLiquid[Scope 3 Emission Factor (kg CO2 - e / GJ)]),0)</f>
        <v>17.2</v>
      </c>
      <c r="L25" s="172" cm="1">
        <f t="array" ref="L25">Fuel_InputFunctions.Fuel_TotalConsumption(Table_Input_Fuel[Amount consumed], Table_Input_Fuel[Fuel use (select)], D25, Table_Input_Fuel[Fuel type (select)],F25)</f>
        <v>0</v>
      </c>
      <c r="M25" s="172" t="str" cm="1">
        <f t="array" ref="M25">Common_InputFunctions.Utility_LookupValueInTable(F25,Table_FuelTypes_Units[Fuel type],Table_FuelTypes_Units[Unit])</f>
        <v>kL</v>
      </c>
      <c r="N25" s="214">
        <f>((($L25 * $G25 * H25) * 10 ^ -3))</f>
        <v>0</v>
      </c>
      <c r="O25" s="214">
        <f>((($L25 * $G25 * I25) * 10 ^ -3))</f>
        <v>0</v>
      </c>
      <c r="P25" s="214">
        <f>((($L25 * $G25 * J25) * 10 ^ -3))</f>
        <v>0</v>
      </c>
      <c r="Q25" s="214">
        <f>((($L25 * $G25 * ((IF(ISNUMBER(K25), K25, 0)))) * 10 ^ -3))</f>
        <v>0</v>
      </c>
    </row>
    <row r="26" spans="1:17" ht="20.100000000000001" customHeight="1" x14ac:dyDescent="0.2">
      <c r="D26" s="194" t="str">
        <f t="shared" ref="D26:D31" si="0">$D$25</f>
        <v>Generators</v>
      </c>
      <c r="E26" s="192" t="str">
        <f>'Constants - Fuel'!$D$63</f>
        <v>Diesel oil</v>
      </c>
      <c r="F26" s="192" t="str">
        <f>'Constants - Fuel'!D132</f>
        <v>Diesel</v>
      </c>
      <c r="G26" s="15">
        <f>IFERROR(_xlfn.XLOOKUP($E26, Table_Fuel_EFs_StationaryLiquid[Fuel combusted], Table_Fuel_EFs_StationaryLiquid[Energy Content Factor (GJ per unit of fuel)]),0)</f>
        <v>38.6</v>
      </c>
      <c r="H26" s="15">
        <f>IFERROR(_xlfn.XLOOKUP($E26, Table_Fuel_EFs_StationaryLiquid[Fuel combusted], Table_Fuel_EFs_StationaryLiquid[Scope 1 Emission Factor (kg CO2 - e / GJ) CO2]),0)</f>
        <v>69.900000000000006</v>
      </c>
      <c r="I26" s="15">
        <f>IFERROR(_xlfn.XLOOKUP($E26, Table_Fuel_EFs_StationaryLiquid[Fuel combusted], Table_Fuel_EFs_StationaryLiquid[Scope 1 Emission Factor (kg CO2 - e / GJ) CH4]),0)</f>
        <v>0.1</v>
      </c>
      <c r="J26" s="15">
        <f>IFERROR(_xlfn.XLOOKUP($E26, Table_Fuel_EFs_StationaryLiquid[Fuel combusted], Table_Fuel_EFs_StationaryLiquid[Scope 1 Emission Factor (kg CO2 - e / GJ) N2O]),0)</f>
        <v>0.2</v>
      </c>
      <c r="K26" s="15">
        <f>IFERROR(_xlfn.XLOOKUP($E26, Table_Fuel_EFs_StationaryLiquid[Fuel combusted], Table_Fuel_EFs_StationaryLiquid[Scope 3 Emission Factor (kg CO2 - e / GJ)]),0)</f>
        <v>17.3</v>
      </c>
      <c r="L26" s="172" cm="1">
        <f t="array" ref="L26">Fuel_InputFunctions.Fuel_TotalConsumption(Table_Input_Fuel[Amount consumed], Table_Input_Fuel[Fuel use (select)], D26, Table_Input_Fuel[Fuel type (select)],F26)</f>
        <v>0</v>
      </c>
      <c r="M26" s="172" t="str" cm="1">
        <f t="array" ref="M26">Common_InputFunctions.Utility_LookupValueInTable(F26,Table_FuelTypes_Units[Fuel type],Table_FuelTypes_Units[Unit])</f>
        <v>kL</v>
      </c>
      <c r="N26" s="214">
        <f>((($L26 * $G26 * H26) * 10 ^ -3))</f>
        <v>0</v>
      </c>
      <c r="O26" s="214">
        <f>((($L26 * $G26 * I26) * 10 ^ -3))</f>
        <v>0</v>
      </c>
      <c r="P26" s="214">
        <f>((($L26 * $G26 * J26) * 10 ^ -3))</f>
        <v>0</v>
      </c>
      <c r="Q26" s="214">
        <f>((($L26 * $G26 * ((IF(ISNUMBER(K26), K26, 0)))) * 10 ^ -3))</f>
        <v>0</v>
      </c>
    </row>
    <row r="27" spans="1:17" ht="20.100000000000001" customHeight="1" x14ac:dyDescent="0.2">
      <c r="D27" s="194" t="str">
        <f t="shared" si="0"/>
        <v>Generators</v>
      </c>
      <c r="E27" s="192" t="str">
        <f>'Constants - Fuel'!$D$67</f>
        <v>Liquefied petroleum gas (LPG)</v>
      </c>
      <c r="F27" s="192" t="str">
        <f>'Constants - Fuel'!D133</f>
        <v>Liquefied petroleum gas (LPG)</v>
      </c>
      <c r="G27" s="15">
        <f>IFERROR(_xlfn.XLOOKUP($E27, Table_Fuel_EFs_StationaryLiquid[Fuel combusted], Table_Fuel_EFs_StationaryLiquid[Energy Content Factor (GJ per unit of fuel)]),0)</f>
        <v>25.7</v>
      </c>
      <c r="H27" s="15">
        <f>IFERROR(_xlfn.XLOOKUP($E27, Table_Fuel_EFs_StationaryLiquid[Fuel combusted], Table_Fuel_EFs_StationaryLiquid[Scope 1 Emission Factor (kg CO2 - e / GJ) CO2]),0)</f>
        <v>60.2</v>
      </c>
      <c r="I27" s="15">
        <f>IFERROR(_xlfn.XLOOKUP($E27, Table_Fuel_EFs_StationaryLiquid[Fuel combusted], Table_Fuel_EFs_StationaryLiquid[Scope 1 Emission Factor (kg CO2 - e / GJ) CH4]),0)</f>
        <v>0.2</v>
      </c>
      <c r="J27" s="15">
        <f>IFERROR(_xlfn.XLOOKUP($E27, Table_Fuel_EFs_StationaryLiquid[Fuel combusted], Table_Fuel_EFs_StationaryLiquid[Scope 1 Emission Factor (kg CO2 - e / GJ) N2O]),0)</f>
        <v>0.2</v>
      </c>
      <c r="K27" s="15">
        <f>IFERROR(_xlfn.XLOOKUP($E27, Table_Fuel_EFs_StationaryLiquid[Fuel combusted], Table_Fuel_EFs_StationaryLiquid[Scope 3 Emission Factor (kg CO2 - e / GJ)]),0)</f>
        <v>20.2</v>
      </c>
      <c r="L27" s="172" cm="1">
        <f t="array" ref="L27">Fuel_InputFunctions.Fuel_TotalConsumption(Table_Input_Fuel[Amount consumed], Table_Input_Fuel[Fuel use (select)], D27, Table_Input_Fuel[Fuel type (select)],F27)</f>
        <v>0</v>
      </c>
      <c r="M27" s="172" t="str" cm="1">
        <f t="array" ref="M27">Common_InputFunctions.Utility_LookupValueInTable(F27,Table_FuelTypes_Units[Fuel type],Table_FuelTypes_Units[Unit])</f>
        <v>kL</v>
      </c>
      <c r="N27" s="214">
        <f>((($L27 * $G27 * H27) * 10 ^ -3))</f>
        <v>0</v>
      </c>
      <c r="O27" s="214">
        <f>((($L27 * $G27 * I27) * 10 ^ -3))</f>
        <v>0</v>
      </c>
      <c r="P27" s="214">
        <f>((($L27 * $G27 * J27) * 10 ^ -3))</f>
        <v>0</v>
      </c>
      <c r="Q27" s="214">
        <f>((($L27 * $G27 * ((IF(ISNUMBER(K27), K27, 0)))) * 10 ^ -3))</f>
        <v>0</v>
      </c>
    </row>
    <row r="28" spans="1:17" ht="20.100000000000001" customHeight="1" x14ac:dyDescent="0.2">
      <c r="A28" s="6" t="s">
        <v>2</v>
      </c>
      <c r="D28" s="194" t="str">
        <f t="shared" si="0"/>
        <v>Generators</v>
      </c>
      <c r="E28" s="192" t="str">
        <f>'Constants - Fuel'!$D$73</f>
        <v>Biodiesel</v>
      </c>
      <c r="F28" s="192" t="str">
        <f>'Constants - Fuel'!D134</f>
        <v>Biodiesel</v>
      </c>
      <c r="G28" s="15">
        <f>IFERROR(_xlfn.XLOOKUP($E28, Table_Fuel_EFs_StationaryLiquid[Fuel combusted], Table_Fuel_EFs_StationaryLiquid[Energy Content Factor (GJ per unit of fuel)]),0)</f>
        <v>34.6</v>
      </c>
      <c r="H28" s="15">
        <f>IFERROR(_xlfn.XLOOKUP($E28, Table_Fuel_EFs_StationaryLiquid[Fuel combusted], Table_Fuel_EFs_StationaryLiquid[Scope 1 Emission Factor (kg CO2 - e / GJ) CO2]),0)</f>
        <v>0</v>
      </c>
      <c r="I28" s="15">
        <f>IFERROR(_xlfn.XLOOKUP($E28, Table_Fuel_EFs_StationaryLiquid[Fuel combusted], Table_Fuel_EFs_StationaryLiquid[Scope 1 Emission Factor (kg CO2 - e / GJ) CH4]),0)</f>
        <v>0.08</v>
      </c>
      <c r="J28" s="15">
        <f>IFERROR(_xlfn.XLOOKUP($E28, Table_Fuel_EFs_StationaryLiquid[Fuel combusted], Table_Fuel_EFs_StationaryLiquid[Scope 1 Emission Factor (kg CO2 - e / GJ) N2O]),0)</f>
        <v>0.2</v>
      </c>
      <c r="K28" s="15" t="str">
        <f>IFERROR(_xlfn.XLOOKUP($E28, Table_Fuel_EFs_StationaryLiquid[Fuel combusted], Table_Fuel_EFs_StationaryLiquid[Scope 3 Emission Factor (kg CO2 - e / GJ)]),0)</f>
        <v>NE</v>
      </c>
      <c r="L28" s="172" cm="1">
        <f t="array" ref="L28">Fuel_InputFunctions.Fuel_TotalConsumption(Table_Input_Fuel[Amount consumed], Table_Input_Fuel[Fuel use (select)], D28, Table_Input_Fuel[Fuel type (select)],F28)</f>
        <v>0</v>
      </c>
      <c r="M28" s="172" t="str" cm="1">
        <f t="array" ref="M28">Common_InputFunctions.Utility_LookupValueInTable(F28,Table_FuelTypes_Units[Fuel type],Table_FuelTypes_Units[Unit])</f>
        <v>kL</v>
      </c>
      <c r="N28" s="214">
        <f>((($L28 * $G28 * H28) * 10 ^ -3))</f>
        <v>0</v>
      </c>
      <c r="O28" s="214">
        <f>((($L28 * $G28 * I28) * 10 ^ -3))</f>
        <v>0</v>
      </c>
      <c r="P28" s="214">
        <f>((($L28 * $G28 * J28) * 10 ^ -3))</f>
        <v>0</v>
      </c>
      <c r="Q28" s="214">
        <f>((($L28 * $G28 * ((IF(ISNUMBER(K28), K28, 0)))) * 10 ^ -3))</f>
        <v>0</v>
      </c>
    </row>
    <row r="29" spans="1:17" ht="20.100000000000001" customHeight="1" x14ac:dyDescent="0.2">
      <c r="A29" s="5" t="str">
        <f>HYPERLINK("#'3.2.1.1-2 Enteric Methane'!A1", "3.2.1.1-2 Enteric Methane")</f>
        <v>3.2.1.1-2 Enteric Methane</v>
      </c>
      <c r="D29" s="194" t="str">
        <f t="shared" si="0"/>
        <v>Generators</v>
      </c>
      <c r="E29" s="192" t="str">
        <f>'Constants - Fuel'!$D$74</f>
        <v>Ethanol for use as a fuel in an internal combustion engine</v>
      </c>
      <c r="F29" s="192" t="str">
        <f>'Constants - Fuel'!D135</f>
        <v>Ethanol</v>
      </c>
      <c r="G29" s="15">
        <f>IFERROR(_xlfn.XLOOKUP($E29, Table_Fuel_EFs_StationaryLiquid[Fuel combusted], Table_Fuel_EFs_StationaryLiquid[Energy Content Factor (GJ per unit of fuel)]),0)</f>
        <v>23.4</v>
      </c>
      <c r="H29" s="15">
        <f>IFERROR(_xlfn.XLOOKUP($E29, Table_Fuel_EFs_StationaryLiquid[Fuel combusted], Table_Fuel_EFs_StationaryLiquid[Scope 1 Emission Factor (kg CO2 - e / GJ) CO2]),0)</f>
        <v>0</v>
      </c>
      <c r="I29" s="15">
        <f>IFERROR(_xlfn.XLOOKUP($E29, Table_Fuel_EFs_StationaryLiquid[Fuel combusted], Table_Fuel_EFs_StationaryLiquid[Scope 1 Emission Factor (kg CO2 - e / GJ) CH4]),0)</f>
        <v>0.08</v>
      </c>
      <c r="J29" s="15">
        <f>IFERROR(_xlfn.XLOOKUP($E29, Table_Fuel_EFs_StationaryLiquid[Fuel combusted], Table_Fuel_EFs_StationaryLiquid[Scope 1 Emission Factor (kg CO2 - e / GJ) N2O]),0)</f>
        <v>0.2</v>
      </c>
      <c r="K29" s="15" t="str">
        <f>IFERROR(_xlfn.XLOOKUP($E29, Table_Fuel_EFs_StationaryLiquid[Fuel combusted], Table_Fuel_EFs_StationaryLiquid[Scope 3 Emission Factor (kg CO2 - e / GJ)]),0)</f>
        <v>NE</v>
      </c>
      <c r="L29" s="172" cm="1">
        <f t="array" ref="L29">Fuel_InputFunctions.Fuel_TotalConsumption(Table_Input_Fuel[Amount consumed], Table_Input_Fuel[Fuel use (select)], D29, Table_Input_Fuel[Fuel type (select)],F29)</f>
        <v>0</v>
      </c>
      <c r="M29" s="172" t="str" cm="1">
        <f t="array" ref="M29">Common_InputFunctions.Utility_LookupValueInTable(F29,Table_FuelTypes_Units[Fuel type],Table_FuelTypes_Units[Unit])</f>
        <v>kL</v>
      </c>
      <c r="N29" s="214">
        <f>((($L29 * $G29 * H29) * 10 ^ -3))</f>
        <v>0</v>
      </c>
      <c r="O29" s="214">
        <f>((($L29 * $G29 * I29) * 10 ^ -3))</f>
        <v>0</v>
      </c>
      <c r="P29" s="214">
        <f>((($L29 * $G29 * J29) * 10 ^ -3))</f>
        <v>0</v>
      </c>
      <c r="Q29" s="214">
        <f>((($L29 * $G29 * ((IF(ISNUMBER(K29), K29, 0)))) * 10 ^ -3))</f>
        <v>0</v>
      </c>
    </row>
    <row r="30" spans="1:17" ht="20.100000000000001" customHeight="1" x14ac:dyDescent="0.2">
      <c r="A30" s="5" t="str">
        <f>HYPERLINK("#'4.2.1.1-2 Methane'!A1", "4.2.1.1-2 Manure methane")</f>
        <v>4.2.1.1-2 Manure methane</v>
      </c>
      <c r="D30" s="194" t="str">
        <f t="shared" si="0"/>
        <v>Generators</v>
      </c>
      <c r="E30" s="192" t="str">
        <f>'Constants - Fuel'!$D$75</f>
        <v>Biofuels other than those mentioned in the items above and below</v>
      </c>
      <c r="F30" s="192" t="str">
        <f>'Constants - Fuel'!D136</f>
        <v>Other biofuels</v>
      </c>
      <c r="G30" s="15">
        <f>IFERROR(_xlfn.XLOOKUP($E30, Table_Fuel_EFs_StationaryLiquid[Fuel combusted], Table_Fuel_EFs_StationaryLiquid[Energy Content Factor (GJ per unit of fuel)]),0)</f>
        <v>23.4</v>
      </c>
      <c r="H30" s="15">
        <f>IFERROR(_xlfn.XLOOKUP($E30, Table_Fuel_EFs_StationaryLiquid[Fuel combusted], Table_Fuel_EFs_StationaryLiquid[Scope 1 Emission Factor (kg CO2 - e / GJ) CO2]),0)</f>
        <v>0</v>
      </c>
      <c r="I30" s="15">
        <f>IFERROR(_xlfn.XLOOKUP($E30, Table_Fuel_EFs_StationaryLiquid[Fuel combusted], Table_Fuel_EFs_StationaryLiquid[Scope 1 Emission Factor (kg CO2 - e / GJ) CH4]),0)</f>
        <v>0.08</v>
      </c>
      <c r="J30" s="15">
        <f>IFERROR(_xlfn.XLOOKUP($E30, Table_Fuel_EFs_StationaryLiquid[Fuel combusted], Table_Fuel_EFs_StationaryLiquid[Scope 1 Emission Factor (kg CO2 - e / GJ) N2O]),0)</f>
        <v>0.2</v>
      </c>
      <c r="K30" s="15" t="str">
        <f>IFERROR(_xlfn.XLOOKUP($E30, Table_Fuel_EFs_StationaryLiquid[Fuel combusted], Table_Fuel_EFs_StationaryLiquid[Scope 3 Emission Factor (kg CO2 - e / GJ)]),0)</f>
        <v>NE</v>
      </c>
      <c r="L30" s="172" cm="1">
        <f t="array" ref="L30">Fuel_InputFunctions.Fuel_TotalConsumption(Table_Input_Fuel[Amount consumed], Table_Input_Fuel[Fuel use (select)], D30, Table_Input_Fuel[Fuel type (select)],F30)</f>
        <v>0</v>
      </c>
      <c r="M30" s="172" t="str" cm="1">
        <f t="array" ref="M30">Common_InputFunctions.Utility_LookupValueInTable(F30,Table_FuelTypes_Units[Fuel type],Table_FuelTypes_Units[Unit])</f>
        <v>kL</v>
      </c>
      <c r="N30" s="214">
        <f>((($L30 * $G30 * H30) * 10 ^ -3))</f>
        <v>0</v>
      </c>
      <c r="O30" s="214">
        <f>((($L30 * $G30 * I30) * 10 ^ -3))</f>
        <v>0</v>
      </c>
      <c r="P30" s="214">
        <f>((($L30 * $G30 * J30) * 10 ^ -3))</f>
        <v>0</v>
      </c>
      <c r="Q30" s="214">
        <f>((($L30 * $G30 * ((IF(ISNUMBER(K30), K30, 0)))) * 10 ^ -3))</f>
        <v>0</v>
      </c>
    </row>
    <row r="31" spans="1:17" ht="20.100000000000001" customHeight="1" x14ac:dyDescent="0.2">
      <c r="A31" s="5" t="str">
        <f>HYPERLINK("#'4.2.1.3-4 Soil direct N20'!A1", "4.2.1.3-4 Soil direct N2O")</f>
        <v>4.2.1.3-4 Soil direct N2O</v>
      </c>
      <c r="D31" s="194" t="str">
        <f t="shared" si="0"/>
        <v>Generators</v>
      </c>
      <c r="E31" s="192" t="str">
        <f>'Constants - Fuel'!$D$77</f>
        <v>Renewable diesel</v>
      </c>
      <c r="F31" s="192" t="str">
        <f>'Constants - Fuel'!D137</f>
        <v>Renewable diesel</v>
      </c>
      <c r="G31" s="190">
        <f>IFERROR(_xlfn.XLOOKUP($E31, Table_Fuel_EFs_StationaryLiquid[Fuel combusted], Table_Fuel_EFs_StationaryLiquid[Energy Content Factor (GJ per unit of fuel)]),0)</f>
        <v>38.6</v>
      </c>
      <c r="H31" s="190">
        <f>IFERROR(_xlfn.XLOOKUP($E31, Table_Fuel_EFs_StationaryLiquid[Fuel combusted], Table_Fuel_EFs_StationaryLiquid[Scope 1 Emission Factor (kg CO2 - e / GJ) CO2]),0)</f>
        <v>0</v>
      </c>
      <c r="I31" s="190">
        <f>IFERROR(_xlfn.XLOOKUP($E31, Table_Fuel_EFs_StationaryLiquid[Fuel combusted], Table_Fuel_EFs_StationaryLiquid[Scope 1 Emission Factor (kg CO2 - e / GJ) CH4]),0)</f>
        <v>0.1</v>
      </c>
      <c r="J31" s="190">
        <f>IFERROR(_xlfn.XLOOKUP($E31, Table_Fuel_EFs_StationaryLiquid[Fuel combusted], Table_Fuel_EFs_StationaryLiquid[Scope 1 Emission Factor (kg CO2 - e / GJ) N2O]),0)</f>
        <v>0.2</v>
      </c>
      <c r="K31" s="190" t="str">
        <f>IFERROR(_xlfn.XLOOKUP($E31, Table_Fuel_EFs_StationaryLiquid[Fuel combusted], Table_Fuel_EFs_StationaryLiquid[Scope 3 Emission Factor (kg CO2 - e / GJ)]),0)</f>
        <v>NE</v>
      </c>
      <c r="L31" s="195" cm="1">
        <f t="array" ref="L31">Fuel_InputFunctions.Fuel_TotalConsumption(Table_Input_Fuel[Amount consumed], Table_Input_Fuel[Fuel use (select)], D31, Table_Input_Fuel[Fuel type (select)],F31)</f>
        <v>0</v>
      </c>
      <c r="M31" s="195" t="str" cm="1">
        <f t="array" ref="M31">Common_InputFunctions.Utility_LookupValueInTable(F31,Table_FuelTypes_Units[Fuel type],Table_FuelTypes_Units[Unit])</f>
        <v>kL</v>
      </c>
      <c r="N31" s="215">
        <f>((($L31 * $G31 * H31) * 10 ^ -3))</f>
        <v>0</v>
      </c>
      <c r="O31" s="215">
        <f>((($L31 * $G31 * I31) * 10 ^ -3))</f>
        <v>0</v>
      </c>
      <c r="P31" s="215">
        <f>((($L31 * $G31 * J31) * 10 ^ -3))</f>
        <v>0</v>
      </c>
      <c r="Q31" s="215">
        <f>((($L31 * $G31 * ((IF(ISNUMBER(K31), K31, 0)))) * 10 ^ -3))</f>
        <v>0</v>
      </c>
    </row>
    <row r="32" spans="1:17" ht="20.100000000000001" customHeight="1" x14ac:dyDescent="0.2">
      <c r="A32" s="5" t="str">
        <f>HYPERLINK("#'4.2.1.5-6 Soil Atmos Dep'!A1", "4.2.1.5-6 Soil atm. deposition")</f>
        <v>4.2.1.5-6 Soil atm. deposition</v>
      </c>
      <c r="D32" s="197" t="str">
        <f>Table_FuelTypesPerUse[[#Headers],[Power standalone machinery or heating]]</f>
        <v>Power standalone machinery or heating</v>
      </c>
      <c r="E32" s="198" t="str">
        <f>'Constants - Fuel'!$D$58</f>
        <v>Automotive gasoline / petrol (other than for use as fuel in an aircraft)</v>
      </c>
      <c r="F32" s="198" t="str">
        <f>'Constants - Fuel'!E131</f>
        <v>Petrol</v>
      </c>
      <c r="G32" s="205">
        <f>IFERROR(_xlfn.XLOOKUP($E32, Table_Fuel_EFs_StationaryLiquid[Fuel combusted], Table_Fuel_EFs_StationaryLiquid[Energy Content Factor (GJ per unit of fuel)]),0)</f>
        <v>34.200000000000003</v>
      </c>
      <c r="H32" s="205">
        <f>IFERROR(_xlfn.XLOOKUP($E32, Table_Fuel_EFs_StationaryLiquid[Fuel combusted], Table_Fuel_EFs_StationaryLiquid[Scope 1 Emission Factor (kg CO2 - e / GJ) CO2]),0)</f>
        <v>67.400000000000006</v>
      </c>
      <c r="I32" s="205">
        <f>IFERROR(_xlfn.XLOOKUP($E32, Table_Fuel_EFs_StationaryLiquid[Fuel combusted], Table_Fuel_EFs_StationaryLiquid[Scope 1 Emission Factor (kg CO2 - e / GJ) CH4]),0)</f>
        <v>0.2</v>
      </c>
      <c r="J32" s="205">
        <f>IFERROR(_xlfn.XLOOKUP($E32, Table_Fuel_EFs_StationaryLiquid[Fuel combusted], Table_Fuel_EFs_StationaryLiquid[Scope 1 Emission Factor (kg CO2 - e / GJ) N2O]),0)</f>
        <v>0.2</v>
      </c>
      <c r="K32" s="205">
        <f>IFERROR(_xlfn.XLOOKUP($E32, Table_Fuel_EFs_StationaryLiquid[Fuel combusted], Table_Fuel_EFs_StationaryLiquid[Scope 3 Emission Factor (kg CO2 - e / GJ)]),0)</f>
        <v>17.2</v>
      </c>
      <c r="L32" s="201" cm="1">
        <f t="array" ref="L32">Fuel_InputFunctions.Fuel_TotalConsumption(Table_Input_Fuel[Amount consumed], Table_Input_Fuel[Fuel use (select)], D32, Table_Input_Fuel[Fuel type (select)],F32)</f>
        <v>0</v>
      </c>
      <c r="M32" s="202" t="str" cm="1">
        <f t="array" ref="M32">Common_InputFunctions.Utility_LookupValueInTable(F32,Table_FuelTypes_Units[Fuel type],Table_FuelTypes_Units[Unit])</f>
        <v>kL</v>
      </c>
      <c r="N32" s="216">
        <f>((($L32 * $G32 * H32) * 10 ^ -3))</f>
        <v>0</v>
      </c>
      <c r="O32" s="216">
        <f>((($L32 * $G32 * I32) * 10 ^ -3))</f>
        <v>0</v>
      </c>
      <c r="P32" s="216">
        <f>((($L32 * $G32 * J32) * 10 ^ -3))</f>
        <v>0</v>
      </c>
      <c r="Q32" s="216">
        <f>((($L32 * $G32 * ((IF(ISNUMBER(K32), K32, 0)))) * 10 ^ -3))</f>
        <v>0</v>
      </c>
    </row>
    <row r="33" spans="1:17" ht="20.100000000000001" customHeight="1" x14ac:dyDescent="0.2">
      <c r="A33" s="5" t="str">
        <f>HYPERLINK("#'4.2.1.7-8 Soil leach runoff'!A1", "4.2.1.7-8 Soil leach &amp; runoff")</f>
        <v>4.2.1.7-8 Soil leach &amp; runoff</v>
      </c>
      <c r="D33" s="194" t="str">
        <f t="shared" ref="D33:D40" si="1">$D$32</f>
        <v>Power standalone machinery or heating</v>
      </c>
      <c r="E33" s="192" t="str">
        <f>'Constants - Fuel'!$D$63</f>
        <v>Diesel oil</v>
      </c>
      <c r="F33" s="192" t="str">
        <f>'Constants - Fuel'!E132</f>
        <v>Diesel</v>
      </c>
      <c r="G33" s="15">
        <f>IFERROR(_xlfn.XLOOKUP($E33, Table_Fuel_EFs_StationaryLiquid[Fuel combusted], Table_Fuel_EFs_StationaryLiquid[Energy Content Factor (GJ per unit of fuel)]),0)</f>
        <v>38.6</v>
      </c>
      <c r="H33" s="15">
        <f>IFERROR(_xlfn.XLOOKUP($E33, Table_Fuel_EFs_StationaryLiquid[Fuel combusted], Table_Fuel_EFs_StationaryLiquid[Scope 1 Emission Factor (kg CO2 - e / GJ) CO2]),0)</f>
        <v>69.900000000000006</v>
      </c>
      <c r="I33" s="15">
        <f>IFERROR(_xlfn.XLOOKUP($E33, Table_Fuel_EFs_StationaryLiquid[Fuel combusted], Table_Fuel_EFs_StationaryLiquid[Scope 1 Emission Factor (kg CO2 - e / GJ) CH4]),0)</f>
        <v>0.1</v>
      </c>
      <c r="J33" s="15">
        <f>IFERROR(_xlfn.XLOOKUP($E33, Table_Fuel_EFs_StationaryLiquid[Fuel combusted], Table_Fuel_EFs_StationaryLiquid[Scope 1 Emission Factor (kg CO2 - e / GJ) N2O]),0)</f>
        <v>0.2</v>
      </c>
      <c r="K33" s="15">
        <f>IFERROR(_xlfn.XLOOKUP($E33, Table_Fuel_EFs_StationaryLiquid[Fuel combusted], Table_Fuel_EFs_StationaryLiquid[Scope 3 Emission Factor (kg CO2 - e / GJ)]),0)</f>
        <v>17.3</v>
      </c>
      <c r="L33" s="15" cm="1">
        <f t="array" ref="L33">Fuel_InputFunctions.Fuel_TotalConsumption(Table_Input_Fuel[Amount consumed], Table_Input_Fuel[Fuel use (select)], D33, Table_Input_Fuel[Fuel type (select)],F33)</f>
        <v>0</v>
      </c>
      <c r="M33" s="15" t="str" cm="1">
        <f t="array" ref="M33">Common_InputFunctions.Utility_LookupValueInTable(F33,Table_FuelTypes_Units[Fuel type],Table_FuelTypes_Units[Unit])</f>
        <v>kL</v>
      </c>
      <c r="N33" s="214">
        <f>((($L33 * $G33 * H33) * 10 ^ -3))</f>
        <v>0</v>
      </c>
      <c r="O33" s="214">
        <f>((($L33 * $G33 * I33) * 10 ^ -3))</f>
        <v>0</v>
      </c>
      <c r="P33" s="214">
        <f>((($L33 * $G33 * J33) * 10 ^ -3))</f>
        <v>0</v>
      </c>
      <c r="Q33" s="214">
        <f>((($L33 * $G33 * ((IF(ISNUMBER(K33), K33, 0)))) * 10 ^ -3))</f>
        <v>0</v>
      </c>
    </row>
    <row r="34" spans="1:17" ht="20.100000000000001" customHeight="1" x14ac:dyDescent="0.2">
      <c r="A34" s="5" t="str">
        <f>HYPERLINK("#'5.1.1.1-2 Inorganic fert N2O'!A1", "5.1.1.1-2 Inorganic fert N2O")</f>
        <v>5.1.1.1-2 Inorganic fert N2O</v>
      </c>
      <c r="D34" s="194" t="str">
        <f t="shared" si="1"/>
        <v>Power standalone machinery or heating</v>
      </c>
      <c r="E34" s="192" t="str">
        <f>'Constants - Fuel'!$D$67</f>
        <v>Liquefied petroleum gas (LPG)</v>
      </c>
      <c r="F34" s="192" t="str">
        <f>'Constants - Fuel'!E133</f>
        <v>Liquefied petroleum gas (LPG)</v>
      </c>
      <c r="G34" s="15">
        <f>IFERROR(_xlfn.XLOOKUP($E34, Table_Fuel_EFs_StationaryLiquid[Fuel combusted], Table_Fuel_EFs_StationaryLiquid[Energy Content Factor (GJ per unit of fuel)]),0)</f>
        <v>25.7</v>
      </c>
      <c r="H34" s="15">
        <f>IFERROR(_xlfn.XLOOKUP($E34, Table_Fuel_EFs_StationaryLiquid[Fuel combusted], Table_Fuel_EFs_StationaryLiquid[Scope 1 Emission Factor (kg CO2 - e / GJ) CO2]),0)</f>
        <v>60.2</v>
      </c>
      <c r="I34" s="15">
        <f>IFERROR(_xlfn.XLOOKUP($E34, Table_Fuel_EFs_StationaryLiquid[Fuel combusted], Table_Fuel_EFs_StationaryLiquid[Scope 1 Emission Factor (kg CO2 - e / GJ) CH4]),0)</f>
        <v>0.2</v>
      </c>
      <c r="J34" s="15">
        <f>IFERROR(_xlfn.XLOOKUP($E34, Table_Fuel_EFs_StationaryLiquid[Fuel combusted], Table_Fuel_EFs_StationaryLiquid[Scope 1 Emission Factor (kg CO2 - e / GJ) N2O]),0)</f>
        <v>0.2</v>
      </c>
      <c r="K34" s="15">
        <f>IFERROR(_xlfn.XLOOKUP($E34, Table_Fuel_EFs_StationaryLiquid[Fuel combusted], Table_Fuel_EFs_StationaryLiquid[Scope 3 Emission Factor (kg CO2 - e / GJ)]),0)</f>
        <v>20.2</v>
      </c>
      <c r="L34" s="15" cm="1">
        <f t="array" ref="L34">Fuel_InputFunctions.Fuel_TotalConsumption(Table_Input_Fuel[Amount consumed], Table_Input_Fuel[Fuel use (select)], D34, Table_Input_Fuel[Fuel type (select)],F34)</f>
        <v>0</v>
      </c>
      <c r="M34" s="15" t="str" cm="1">
        <f t="array" ref="M34">Common_InputFunctions.Utility_LookupValueInTable(F34,Table_FuelTypes_Units[Fuel type],Table_FuelTypes_Units[Unit])</f>
        <v>kL</v>
      </c>
      <c r="N34" s="214">
        <f>((($L34 * $G34 * H34) * 10 ^ -3))</f>
        <v>0</v>
      </c>
      <c r="O34" s="214">
        <f>((($L34 * $G34 * I34) * 10 ^ -3))</f>
        <v>0</v>
      </c>
      <c r="P34" s="214">
        <f>((($L34 * $G34 * J34) * 10 ^ -3))</f>
        <v>0</v>
      </c>
      <c r="Q34" s="214">
        <f>((($L34 * $G34 * ((IF(ISNUMBER(K34), K34, 0)))) * 10 ^ -3))</f>
        <v>0</v>
      </c>
    </row>
    <row r="35" spans="1:17" ht="20.100000000000001" customHeight="1" x14ac:dyDescent="0.2">
      <c r="A35" s="5" t="str">
        <f>HYPERLINK("#'5.1.1.3-4 Inorganic fert CO2'!A1", "5.1.1.3-4 Inorganic fert CO2")</f>
        <v>5.1.1.3-4 Inorganic fert CO2</v>
      </c>
      <c r="D35" s="194" t="str">
        <f t="shared" si="1"/>
        <v>Power standalone machinery or heating</v>
      </c>
      <c r="E35" s="192" t="str">
        <f>'Constants - Fuel'!$D$73</f>
        <v>Biodiesel</v>
      </c>
      <c r="F35" s="192" t="str">
        <f>'Constants - Fuel'!E134</f>
        <v>Biodiesel</v>
      </c>
      <c r="G35" s="15">
        <f>IFERROR(_xlfn.XLOOKUP($E35, Table_Fuel_EFs_StationaryLiquid[Fuel combusted], Table_Fuel_EFs_StationaryLiquid[Energy Content Factor (GJ per unit of fuel)]),0)</f>
        <v>34.6</v>
      </c>
      <c r="H35" s="15">
        <f>IFERROR(_xlfn.XLOOKUP($E35, Table_Fuel_EFs_StationaryLiquid[Fuel combusted], Table_Fuel_EFs_StationaryLiquid[Scope 1 Emission Factor (kg CO2 - e / GJ) CO2]),0)</f>
        <v>0</v>
      </c>
      <c r="I35" s="15">
        <f>IFERROR(_xlfn.XLOOKUP($E35, Table_Fuel_EFs_StationaryLiquid[Fuel combusted], Table_Fuel_EFs_StationaryLiquid[Scope 1 Emission Factor (kg CO2 - e / GJ) CH4]),0)</f>
        <v>0.08</v>
      </c>
      <c r="J35" s="15">
        <f>IFERROR(_xlfn.XLOOKUP($E35, Table_Fuel_EFs_StationaryLiquid[Fuel combusted], Table_Fuel_EFs_StationaryLiquid[Scope 1 Emission Factor (kg CO2 - e / GJ) N2O]),0)</f>
        <v>0.2</v>
      </c>
      <c r="K35" s="15" t="str">
        <f>IFERROR(_xlfn.XLOOKUP($E35, Table_Fuel_EFs_StationaryLiquid[Fuel combusted], Table_Fuel_EFs_StationaryLiquid[Scope 3 Emission Factor (kg CO2 - e / GJ)]),0)</f>
        <v>NE</v>
      </c>
      <c r="L35" s="15" cm="1">
        <f t="array" ref="L35">Fuel_InputFunctions.Fuel_TotalConsumption(Table_Input_Fuel[Amount consumed], Table_Input_Fuel[Fuel use (select)], D35, Table_Input_Fuel[Fuel type (select)],F35)</f>
        <v>0</v>
      </c>
      <c r="M35" s="15" t="str" cm="1">
        <f t="array" ref="M35">Common_InputFunctions.Utility_LookupValueInTable(F35,Table_FuelTypes_Units[Fuel type],Table_FuelTypes_Units[Unit])</f>
        <v>kL</v>
      </c>
      <c r="N35" s="214">
        <f>((($L35 * $G35 * H35) * 10 ^ -3))</f>
        <v>0</v>
      </c>
      <c r="O35" s="214">
        <f>((($L35 * $G35 * I35) * 10 ^ -3))</f>
        <v>0</v>
      </c>
      <c r="P35" s="214">
        <f>((($L35 * $G35 * J35) * 10 ^ -3))</f>
        <v>0</v>
      </c>
      <c r="Q35" s="214">
        <f>((($L35 * $G35 * ((IF(ISNUMBER(K35), K35, 0)))) * 10 ^ -3))</f>
        <v>0</v>
      </c>
    </row>
    <row r="36" spans="1:17" ht="20.100000000000001" customHeight="1" x14ac:dyDescent="0.2">
      <c r="A36" s="5" t="str">
        <f>HYPERLINK("#'5.2.1.1-2 Organic Fert N2O'!A1", "5.2.1.1-2 Organic fert N2O")</f>
        <v>5.2.1.1-2 Organic fert N2O</v>
      </c>
      <c r="D36" s="194" t="str">
        <f t="shared" si="1"/>
        <v>Power standalone machinery or heating</v>
      </c>
      <c r="E36" s="192" t="str">
        <f>'Constants - Fuel'!$D$74</f>
        <v>Ethanol for use as a fuel in an internal combustion engine</v>
      </c>
      <c r="F36" s="192" t="str">
        <f>'Constants - Fuel'!E135</f>
        <v>Ethanol</v>
      </c>
      <c r="G36" s="15">
        <f>IFERROR(_xlfn.XLOOKUP($E36, Table_Fuel_EFs_StationaryLiquid[Fuel combusted], Table_Fuel_EFs_StationaryLiquid[Energy Content Factor (GJ per unit of fuel)]),0)</f>
        <v>23.4</v>
      </c>
      <c r="H36" s="15">
        <f>IFERROR(_xlfn.XLOOKUP($E36, Table_Fuel_EFs_StationaryLiquid[Fuel combusted], Table_Fuel_EFs_StationaryLiquid[Scope 1 Emission Factor (kg CO2 - e / GJ) CO2]),0)</f>
        <v>0</v>
      </c>
      <c r="I36" s="15">
        <f>IFERROR(_xlfn.XLOOKUP($E36, Table_Fuel_EFs_StationaryLiquid[Fuel combusted], Table_Fuel_EFs_StationaryLiquid[Scope 1 Emission Factor (kg CO2 - e / GJ) CH4]),0)</f>
        <v>0.08</v>
      </c>
      <c r="J36" s="15">
        <f>IFERROR(_xlfn.XLOOKUP($E36, Table_Fuel_EFs_StationaryLiquid[Fuel combusted], Table_Fuel_EFs_StationaryLiquid[Scope 1 Emission Factor (kg CO2 - e / GJ) N2O]),0)</f>
        <v>0.2</v>
      </c>
      <c r="K36" s="15" t="str">
        <f>IFERROR(_xlfn.XLOOKUP($E36, Table_Fuel_EFs_StationaryLiquid[Fuel combusted], Table_Fuel_EFs_StationaryLiquid[Scope 3 Emission Factor (kg CO2 - e / GJ)]),0)</f>
        <v>NE</v>
      </c>
      <c r="L36" s="15" cm="1">
        <f t="array" ref="L36">Fuel_InputFunctions.Fuel_TotalConsumption(Table_Input_Fuel[Amount consumed], Table_Input_Fuel[Fuel use (select)], D36, Table_Input_Fuel[Fuel type (select)],F36)</f>
        <v>0</v>
      </c>
      <c r="M36" s="15" t="str" cm="1">
        <f t="array" ref="M36">Common_InputFunctions.Utility_LookupValueInTable(F36,Table_FuelTypes_Units[Fuel type],Table_FuelTypes_Units[Unit])</f>
        <v>kL</v>
      </c>
      <c r="N36" s="214">
        <f>((($L36 * $G36 * H36) * 10 ^ -3))</f>
        <v>0</v>
      </c>
      <c r="O36" s="214">
        <f>((($L36 * $G36 * I36) * 10 ^ -3))</f>
        <v>0</v>
      </c>
      <c r="P36" s="214">
        <f>((($L36 * $G36 * J36) * 10 ^ -3))</f>
        <v>0</v>
      </c>
      <c r="Q36" s="214">
        <f>((($L36 * $G36 * ((IF(ISNUMBER(K36), K36, 0)))) * 10 ^ -3))</f>
        <v>0</v>
      </c>
    </row>
    <row r="37" spans="1:17" ht="20.100000000000001" customHeight="1" x14ac:dyDescent="0.2">
      <c r="A37" s="5" t="str">
        <f>HYPERLINK("#'5.3.1.1-2 Lime CO2'!A1", "5.3.1.1-2 Lime CO2")</f>
        <v>5.3.1.1-2 Lime CO2</v>
      </c>
      <c r="D37" s="194" t="str">
        <f t="shared" si="1"/>
        <v>Power standalone machinery or heating</v>
      </c>
      <c r="E37" s="192" t="str">
        <f>'Constants - Fuel'!$D$75</f>
        <v>Biofuels other than those mentioned in the items above and below</v>
      </c>
      <c r="F37" s="192" t="str">
        <f>'Constants - Fuel'!E136</f>
        <v>Other biofuels</v>
      </c>
      <c r="G37" s="15">
        <f>IFERROR(_xlfn.XLOOKUP($E37, Table_Fuel_EFs_StationaryLiquid[Fuel combusted], Table_Fuel_EFs_StationaryLiquid[Energy Content Factor (GJ per unit of fuel)]),0)</f>
        <v>23.4</v>
      </c>
      <c r="H37" s="15">
        <f>IFERROR(_xlfn.XLOOKUP($E37, Table_Fuel_EFs_StationaryLiquid[Fuel combusted], Table_Fuel_EFs_StationaryLiquid[Scope 1 Emission Factor (kg CO2 - e / GJ) CO2]),0)</f>
        <v>0</v>
      </c>
      <c r="I37" s="15">
        <f>IFERROR(_xlfn.XLOOKUP($E37, Table_Fuel_EFs_StationaryLiquid[Fuel combusted], Table_Fuel_EFs_StationaryLiquid[Scope 1 Emission Factor (kg CO2 - e / GJ) CH4]),0)</f>
        <v>0.08</v>
      </c>
      <c r="J37" s="15">
        <f>IFERROR(_xlfn.XLOOKUP($E37, Table_Fuel_EFs_StationaryLiquid[Fuel combusted], Table_Fuel_EFs_StationaryLiquid[Scope 1 Emission Factor (kg CO2 - e / GJ) N2O]),0)</f>
        <v>0.2</v>
      </c>
      <c r="K37" s="15" t="str">
        <f>IFERROR(_xlfn.XLOOKUP($E37, Table_Fuel_EFs_StationaryLiquid[Fuel combusted], Table_Fuel_EFs_StationaryLiquid[Scope 3 Emission Factor (kg CO2 - e / GJ)]),0)</f>
        <v>NE</v>
      </c>
      <c r="L37" s="15" cm="1">
        <f t="array" ref="L37">Fuel_InputFunctions.Fuel_TotalConsumption(Table_Input_Fuel[Amount consumed], Table_Input_Fuel[Fuel use (select)], D37, Table_Input_Fuel[Fuel type (select)],F37)</f>
        <v>0</v>
      </c>
      <c r="M37" s="15" t="str" cm="1">
        <f t="array" ref="M37">Common_InputFunctions.Utility_LookupValueInTable(F37,Table_FuelTypes_Units[Fuel type],Table_FuelTypes_Units[Unit])</f>
        <v>kL</v>
      </c>
      <c r="N37" s="214">
        <f>((($L37 * $G37 * H37) * 10 ^ -3))</f>
        <v>0</v>
      </c>
      <c r="O37" s="214">
        <f>((($L37 * $G37 * I37) * 10 ^ -3))</f>
        <v>0</v>
      </c>
      <c r="P37" s="214">
        <f>((($L37 * $G37 * J37) * 10 ^ -3))</f>
        <v>0</v>
      </c>
      <c r="Q37" s="214">
        <f>((($L37 * $G37 * ((IF(ISNUMBER(K37), K37, 0)))) * 10 ^ -3))</f>
        <v>0</v>
      </c>
    </row>
    <row r="38" spans="1:17" ht="20.100000000000001" customHeight="1" x14ac:dyDescent="0.2">
      <c r="A38" s="5" t="str">
        <f>HYPERLINK("#'5.4.1.1-4 Atmos deposition'!A1", "5.4.1.1-4 Atmos. deposition")</f>
        <v>5.4.1.1-4 Atmos. deposition</v>
      </c>
      <c r="D38" s="194" t="str">
        <f t="shared" si="1"/>
        <v>Power standalone machinery or heating</v>
      </c>
      <c r="E38" s="192" t="str">
        <f>'Constants - Fuel'!$D$77</f>
        <v>Renewable diesel</v>
      </c>
      <c r="F38" s="192" t="str">
        <f>'Constants - Fuel'!E137</f>
        <v>Renewable diesel</v>
      </c>
      <c r="G38" s="15">
        <f>IFERROR(_xlfn.XLOOKUP($E38, Table_Fuel_EFs_StationaryLiquid[Fuel combusted], Table_Fuel_EFs_StationaryLiquid[Energy Content Factor (GJ per unit of fuel)]),0)</f>
        <v>38.6</v>
      </c>
      <c r="H38" s="15">
        <f>IFERROR(_xlfn.XLOOKUP($E38, Table_Fuel_EFs_StationaryLiquid[Fuel combusted], Table_Fuel_EFs_StationaryLiquid[Scope 1 Emission Factor (kg CO2 - e / GJ) CO2]),0)</f>
        <v>0</v>
      </c>
      <c r="I38" s="15">
        <f>IFERROR(_xlfn.XLOOKUP($E38, Table_Fuel_EFs_StationaryLiquid[Fuel combusted], Table_Fuel_EFs_StationaryLiquid[Scope 1 Emission Factor (kg CO2 - e / GJ) CH4]),0)</f>
        <v>0.1</v>
      </c>
      <c r="J38" s="15">
        <f>IFERROR(_xlfn.XLOOKUP($E38, Table_Fuel_EFs_StationaryLiquid[Fuel combusted], Table_Fuel_EFs_StationaryLiquid[Scope 1 Emission Factor (kg CO2 - e / GJ) N2O]),0)</f>
        <v>0.2</v>
      </c>
      <c r="K38" s="15" t="str">
        <f>IFERROR(_xlfn.XLOOKUP($E38, Table_Fuel_EFs_StationaryLiquid[Fuel combusted], Table_Fuel_EFs_StationaryLiquid[Scope 3 Emission Factor (kg CO2 - e / GJ)]),0)</f>
        <v>NE</v>
      </c>
      <c r="L38" s="15" cm="1">
        <f t="array" ref="L38">Fuel_InputFunctions.Fuel_TotalConsumption(Table_Input_Fuel[Amount consumed], Table_Input_Fuel[Fuel use (select)], D38, Table_Input_Fuel[Fuel type (select)],F38)</f>
        <v>0</v>
      </c>
      <c r="M38" s="15" t="str" cm="1">
        <f t="array" ref="M38">Common_InputFunctions.Utility_LookupValueInTable(F38,Table_FuelTypes_Units[Fuel type],Table_FuelTypes_Units[Unit])</f>
        <v>kL</v>
      </c>
      <c r="N38" s="214">
        <f>((($L38 * $G38 * H38) * 10 ^ -3))</f>
        <v>0</v>
      </c>
      <c r="O38" s="214">
        <f>((($L38 * $G38 * I38) * 10 ^ -3))</f>
        <v>0</v>
      </c>
      <c r="P38" s="214">
        <f>((($L38 * $G38 * J38) * 10 ^ -3))</f>
        <v>0</v>
      </c>
      <c r="Q38" s="214">
        <f>((($L38 * $G38 * ((IF(ISNUMBER(K38), K38, 0)))) * 10 ^ -3))</f>
        <v>0</v>
      </c>
    </row>
    <row r="39" spans="1:17" ht="20.100000000000001" customHeight="1" x14ac:dyDescent="0.2">
      <c r="A39" s="5" t="str">
        <f>HYPERLINK("#'5.5.1.1-2 Leaching and runoff'!A1", "5.5.1.1-2 Leaching &amp; runoff")</f>
        <v>5.5.1.1-2 Leaching &amp; runoff</v>
      </c>
      <c r="D39" s="194" t="str">
        <f t="shared" si="1"/>
        <v>Power standalone machinery or heating</v>
      </c>
      <c r="E39" s="192" t="str">
        <f>'Constants - Fuel'!$D$103</f>
        <v>Natural gas distributed in a pipeline - Gigajoules</v>
      </c>
      <c r="F39" s="192" t="str">
        <f>'Constants - Fuel'!E138</f>
        <v>Natural gas (via pipeline) in GJ</v>
      </c>
      <c r="G39" s="15">
        <f>IFERROR(_xlfn.XLOOKUP($E39, Table_Fuel_EFs_StationaryGaseous[Fuel combusted], Table_Fuel_EFs_StationaryGaseous[Energy Content Factor (GJ per unit of fuel)]),0)</f>
        <v>1</v>
      </c>
      <c r="H39" s="15">
        <f>IFERROR(_xlfn.XLOOKUP($E39, Table_Fuel_EFs_StationaryGaseous[Fuel combusted], Table_Fuel_EFs_StationaryGaseous[Scope 1 Emission Factor (kg CO2 - e / GJ) CO2]),0)</f>
        <v>51.4</v>
      </c>
      <c r="I39" s="15">
        <f>IFERROR(_xlfn.XLOOKUP($E39, Table_Fuel_EFs_StationaryGaseous[Fuel combusted], Table_Fuel_EFs_StationaryGaseous[Scope 1 Emission Factor (kg CO2 - e / GJ) CH4]),0)</f>
        <v>0.1</v>
      </c>
      <c r="J39" s="15">
        <f>IFERROR(_xlfn.XLOOKUP($E39, Table_Fuel_EFs_StationaryGaseous[Fuel combusted], Table_Fuel_EFs_StationaryGaseous[Scope 1 Emission Factor (kg CO2 - e / GJ) N2O]),0)</f>
        <v>0.03</v>
      </c>
      <c r="K39" s="15" t="str" cm="1">
        <f t="array" ref="K39">IFERROR(Common_InputFunctions.Utility_LookupValueInTableOneColumnAndHeader($P$17,$P$18,Table_Fuel_EFs_StationaryGaseous34[State or territory],Table_Fuel_EFs_StationaryGaseous34[#Headers],Table_Fuel_EFs_StationaryGaseous34[#Data]),0)</f>
        <v/>
      </c>
      <c r="L39" s="172" cm="1">
        <f t="array" ref="L39">Fuel_InputFunctions.Fuel_TotalConsumption(Table_Input_Fuel[Amount consumed], Table_Input_Fuel[Fuel use (select)], D39, Table_Input_Fuel[Fuel type (select)],F39)</f>
        <v>0</v>
      </c>
      <c r="M39" s="172" t="str" cm="1">
        <f t="array" ref="M39">Common_InputFunctions.Utility_LookupValueInTable(F39,Table_FuelTypes_Units[Fuel type],Table_FuelTypes_Units[Unit])</f>
        <v>GJ</v>
      </c>
      <c r="N39" s="214">
        <f>((($L39 * $G39 * H39) * 10 ^ -3))</f>
        <v>0</v>
      </c>
      <c r="O39" s="214">
        <f>((($L39 * $G39 * I39) * 10 ^ -3))</f>
        <v>0</v>
      </c>
      <c r="P39" s="214">
        <f>((($L39 * $G39 * J39) * 10 ^ -3))</f>
        <v>0</v>
      </c>
      <c r="Q39" s="214">
        <f>((($L39 * $G39 * ((IF(ISNUMBER(K39), K39, 0)))) * 10 ^ -3))</f>
        <v>0</v>
      </c>
    </row>
    <row r="40" spans="1:17" ht="20.100000000000001" customHeight="1" x14ac:dyDescent="0.2">
      <c r="A40" s="5" t="str">
        <f>HYPERLINK("#'6.2.1.1-2 Pasture residue N2O'!A1", "6.2.1.1-2 Pasture residue N2O")</f>
        <v>6.2.1.1-2 Pasture residue N2O</v>
      </c>
      <c r="D40" s="194" t="str">
        <f t="shared" si="1"/>
        <v>Power standalone machinery or heating</v>
      </c>
      <c r="E40" s="192" t="str">
        <f>'Constants - Fuel'!$D$104</f>
        <v>Town gas - Gigajoules</v>
      </c>
      <c r="F40" s="192" t="str">
        <f>'Constants - Fuel'!E139</f>
        <v>Town gas in GJ</v>
      </c>
      <c r="G40" s="15">
        <f>IFERROR(_xlfn.XLOOKUP($E40, Table_Fuel_EFs_StationaryGaseous[Fuel combusted], Table_Fuel_EFs_StationaryGaseous[Energy Content Factor (GJ per unit of fuel)]),0)</f>
        <v>1</v>
      </c>
      <c r="H40" s="15">
        <f>IFERROR(_xlfn.XLOOKUP($E40, Table_Fuel_EFs_StationaryGaseous[Fuel combusted], Table_Fuel_EFs_StationaryGaseous[Scope 1 Emission Factor (kg CO2 - e / GJ) CO2]),0)</f>
        <v>60.2</v>
      </c>
      <c r="I40" s="15">
        <f>IFERROR(_xlfn.XLOOKUP($E40, Table_Fuel_EFs_StationaryGaseous[Fuel combusted], Table_Fuel_EFs_StationaryGaseous[Scope 1 Emission Factor (kg CO2 - e / GJ) CH4]),0)</f>
        <v>0.04</v>
      </c>
      <c r="J40" s="15">
        <f>IFERROR(_xlfn.XLOOKUP($E40, Table_Fuel_EFs_StationaryGaseous[Fuel combusted], Table_Fuel_EFs_StationaryGaseous[Scope 1 Emission Factor (kg CO2 - e / GJ) N2O]),0)</f>
        <v>0.03</v>
      </c>
      <c r="K40" s="15" t="str" cm="1">
        <f t="array" ref="K40">IFERROR(Common_InputFunctions.Utility_LookupValueInTableOneColumnAndHeader($P$17,$P$18,Table_Fuel_EFs_StationaryGaseous34[State or territory],Table_Fuel_EFs_StationaryGaseous34[#Headers],Table_Fuel_EFs_StationaryGaseous34[#Data]),0)</f>
        <v/>
      </c>
      <c r="L40" s="172" cm="1">
        <f t="array" ref="L40">Fuel_InputFunctions.Fuel_TotalConsumption(Table_Input_Fuel[Amount consumed], Table_Input_Fuel[Fuel use (select)], D40, Table_Input_Fuel[Fuel type (select)],F40)</f>
        <v>0</v>
      </c>
      <c r="M40" s="172" t="str" cm="1">
        <f t="array" ref="M40">Common_InputFunctions.Utility_LookupValueInTable(F40,Table_FuelTypes_Units[Fuel type],Table_FuelTypes_Units[Unit])</f>
        <v>GJ</v>
      </c>
      <c r="N40" s="214">
        <f>((($L40 * $G40 * H40) * 10 ^ -3))</f>
        <v>0</v>
      </c>
      <c r="O40" s="214">
        <f>((($L40 * $G40 * I40) * 10 ^ -3))</f>
        <v>0</v>
      </c>
      <c r="P40" s="214">
        <f>((($L40 * $G40 * J40) * 10 ^ -3))</f>
        <v>0</v>
      </c>
      <c r="Q40" s="214">
        <f>((($L40 * $G40 * ((IF(ISNUMBER(K40), K40, 0)))) * 10 ^ -3))</f>
        <v>0</v>
      </c>
    </row>
    <row r="41" spans="1:17" ht="20.100000000000001" customHeight="1" x14ac:dyDescent="0.2">
      <c r="A41" s="5" t="str">
        <f>HYPERLINK("#'6.3.1.1-2 Leach runoff pasture'!A1", "6.3.1.1-2 Leach &amp; runoff (pasture)")</f>
        <v>6.3.1.1-2 Leach &amp; runoff (pasture)</v>
      </c>
    </row>
    <row r="42" spans="1:17" ht="20.100000000000001" customHeight="1" x14ac:dyDescent="0.2">
      <c r="A42" s="5" t="str">
        <f>HYPERLINK("#'8.1.1.1-2 Transport fuel'!A1", "8.1.1.1-2 Transport fuel")</f>
        <v>8.1.1.1-2 Transport fuel</v>
      </c>
      <c r="D42" s="207" t="str">
        <f>"Total scope 1 - " &amp; D25</f>
        <v>Total scope 1 - Generators</v>
      </c>
      <c r="E42" s="208"/>
      <c r="F42" s="209"/>
    </row>
    <row r="43" spans="1:17" ht="20.100000000000001" customHeight="1" x14ac:dyDescent="0.2">
      <c r="A43" s="104" t="str">
        <f>HYPERLINK("#'8.2.1.1-2 Stationary fuel'!A1", "8.2.1.1-2 Stationary fuel")</f>
        <v>8.2.1.1-2 Stationary fuel</v>
      </c>
      <c r="D43" s="25" t="s">
        <v>836</v>
      </c>
      <c r="E43" s="210">
        <f>SUM(N25:N31)+N("Partial sum")</f>
        <v>0</v>
      </c>
      <c r="F43" s="16" t="str">
        <f>$E$12</f>
        <v>t CO2-e</v>
      </c>
    </row>
    <row r="44" spans="1:17" ht="20.100000000000001" customHeight="1" x14ac:dyDescent="0.2">
      <c r="A44" s="5" t="str">
        <f>HYPERLINK("#'10.1.1-2 Solid waste treatment'!A1", "10.1.1.1-2 Solid waste")</f>
        <v>10.1.1.1-2 Solid waste</v>
      </c>
      <c r="D44" s="25" t="s">
        <v>837</v>
      </c>
      <c r="E44" s="210">
        <f>SUM(O25:O31)+N("Partial sum")</f>
        <v>0</v>
      </c>
      <c r="F44" s="16" t="str">
        <f t="shared" ref="F44:F46" si="2">$E$12</f>
        <v>t CO2-e</v>
      </c>
    </row>
    <row r="45" spans="1:17" ht="20.100000000000001" customHeight="1" x14ac:dyDescent="0.2">
      <c r="A45" s="5" t="str">
        <f>HYPERLINK("#'14.1.1-2 Purchased electricity'!A1", "14.1.1-2 Purchased electricity")</f>
        <v>14.1.1-2 Purchased electricity</v>
      </c>
      <c r="D45" s="25" t="s">
        <v>838</v>
      </c>
      <c r="E45" s="210">
        <f>SUM(P25:P31)+N("Partial sum")</f>
        <v>0</v>
      </c>
      <c r="F45" s="16" t="str">
        <f t="shared" si="2"/>
        <v>t CO2-e</v>
      </c>
    </row>
    <row r="46" spans="1:17" ht="20.100000000000001" customHeight="1" x14ac:dyDescent="0.2">
      <c r="A46" s="5" t="str">
        <f>HYPERLINK("#'15 Scope 3'!A1", "15 Scope 3")</f>
        <v>15 Scope 3</v>
      </c>
      <c r="D46" s="25" t="s">
        <v>298</v>
      </c>
      <c r="E46" s="210">
        <f>SUM(Q25:Q31)+N("Partial sum")</f>
        <v>0</v>
      </c>
      <c r="F46" s="16" t="str">
        <f t="shared" si="2"/>
        <v>t CO2-e</v>
      </c>
    </row>
    <row r="47" spans="1:17" ht="20.100000000000001" customHeight="1" x14ac:dyDescent="0.2">
      <c r="A47" s="5" t="str">
        <f>HYPERLINK("#'Calcs - Manure sent off-site'!A1", "Calcs - Manure sent off-site")</f>
        <v>Calcs - Manure sent off-site</v>
      </c>
      <c r="H47" s="168"/>
      <c r="I47" s="168"/>
      <c r="J47" s="168"/>
      <c r="L47" s="168"/>
      <c r="N47" s="168"/>
      <c r="O47" s="168"/>
      <c r="P47" s="168"/>
      <c r="Q47" s="168"/>
    </row>
    <row r="48" spans="1:17" ht="20.100000000000001" customHeight="1" x14ac:dyDescent="0.2">
      <c r="D48" s="207" t="str">
        <f>"Total scope 1 - " &amp; D32</f>
        <v>Total scope 1 - Power standalone machinery or heating</v>
      </c>
      <c r="E48" s="211"/>
      <c r="F48" s="209"/>
      <c r="H48" s="168"/>
      <c r="I48" s="168"/>
      <c r="J48" s="168"/>
      <c r="L48" s="168"/>
      <c r="N48" s="168"/>
      <c r="O48" s="168"/>
      <c r="P48" s="168"/>
      <c r="Q48" s="168"/>
    </row>
    <row r="49" spans="1:17" ht="20.100000000000001" customHeight="1" x14ac:dyDescent="0.2">
      <c r="D49" s="25" t="s">
        <v>836</v>
      </c>
      <c r="E49" s="210">
        <f>SUM(N32:N40)+N("Partial sum")</f>
        <v>0</v>
      </c>
      <c r="F49" s="16" t="str">
        <f t="shared" ref="F49:F52" si="3">$E$12</f>
        <v>t CO2-e</v>
      </c>
      <c r="H49" s="168"/>
      <c r="I49" s="168"/>
      <c r="J49" s="168"/>
      <c r="L49" s="168"/>
      <c r="N49" s="168"/>
      <c r="O49" s="168"/>
      <c r="P49" s="168"/>
      <c r="Q49" s="168"/>
    </row>
    <row r="50" spans="1:17" ht="20.100000000000001" customHeight="1" x14ac:dyDescent="0.2">
      <c r="A50" s="85" t="s">
        <v>1</v>
      </c>
      <c r="D50" s="25" t="s">
        <v>837</v>
      </c>
      <c r="E50" s="210">
        <f>SUM(O32:O40)+N("Partial sum")</f>
        <v>0</v>
      </c>
      <c r="F50" s="16" t="str">
        <f t="shared" si="3"/>
        <v>t CO2-e</v>
      </c>
      <c r="H50" s="168"/>
      <c r="I50" s="168"/>
      <c r="J50" s="168"/>
      <c r="L50" s="168"/>
      <c r="N50" s="168"/>
      <c r="O50" s="168"/>
      <c r="P50" s="168"/>
      <c r="Q50" s="168"/>
    </row>
    <row r="51" spans="1:17" ht="20.100000000000001" customHeight="1" x14ac:dyDescent="0.2">
      <c r="A51" s="5" t="str">
        <f>HYPERLINK("#'Constants - Pasture Beef'!A1", "Constants - Pasture Beef")</f>
        <v>Constants - Pasture Beef</v>
      </c>
      <c r="D51" s="25" t="s">
        <v>838</v>
      </c>
      <c r="E51" s="210">
        <f>SUM(P32:P40)+N("Partial sum")</f>
        <v>0</v>
      </c>
      <c r="F51" s="16" t="str">
        <f t="shared" si="3"/>
        <v>t CO2-e</v>
      </c>
      <c r="H51" s="168"/>
      <c r="I51" s="168"/>
      <c r="J51" s="168"/>
      <c r="L51" s="168"/>
      <c r="N51" s="168"/>
      <c r="O51" s="168"/>
      <c r="P51" s="168"/>
      <c r="Q51" s="168"/>
    </row>
    <row r="52" spans="1:17" ht="20.100000000000001" customHeight="1" x14ac:dyDescent="0.2">
      <c r="A52" s="5" t="str">
        <f>HYPERLINK("#'Constants - Ag Residue'!A1", "Constants - Ag residue")</f>
        <v>Constants - Ag residue</v>
      </c>
      <c r="D52" s="25" t="s">
        <v>298</v>
      </c>
      <c r="E52" s="210">
        <f>SUM(Q32:Q40)+N("Partial sum")</f>
        <v>0</v>
      </c>
      <c r="F52" s="16" t="str">
        <f t="shared" si="3"/>
        <v>t CO2-e</v>
      </c>
      <c r="G52" s="168"/>
      <c r="H52" s="168"/>
      <c r="I52" s="168"/>
      <c r="J52" s="168"/>
      <c r="L52" s="168"/>
      <c r="N52" s="168"/>
      <c r="O52" s="168"/>
      <c r="P52" s="168"/>
      <c r="Q52" s="168"/>
    </row>
    <row r="53" spans="1:17" ht="20.100000000000001" customHeight="1" x14ac:dyDescent="0.2">
      <c r="A53" s="5" t="str">
        <f>HYPERLINK("#'Constants - Common Livestock'!A1", "Constants - Common Livestock")</f>
        <v>Constants - Common Livestock</v>
      </c>
      <c r="G53" s="168"/>
      <c r="H53" s="168"/>
      <c r="I53" s="168"/>
      <c r="J53" s="168"/>
      <c r="L53" s="168"/>
      <c r="N53" s="168"/>
      <c r="O53" s="168"/>
      <c r="P53" s="168"/>
      <c r="Q53" s="168"/>
    </row>
    <row r="54" spans="1:17" ht="20.100000000000001" customHeight="1" x14ac:dyDescent="0.2">
      <c r="A54" s="5" t="str">
        <f>HYPERLINK("#'Constants - Electricity'!A1", "Constants - Electricity")</f>
        <v>Constants - Electricity</v>
      </c>
      <c r="D54" s="207" t="s">
        <v>849</v>
      </c>
      <c r="E54" s="211"/>
      <c r="F54" s="209"/>
      <c r="G54" s="168"/>
      <c r="H54" s="168"/>
      <c r="I54" s="168"/>
      <c r="J54" s="168"/>
      <c r="L54" s="168"/>
      <c r="N54" s="168"/>
      <c r="O54" s="168"/>
      <c r="P54" s="168"/>
      <c r="Q54" s="168"/>
    </row>
    <row r="55" spans="1:17" ht="20.100000000000001" customHeight="1" x14ac:dyDescent="0.2">
      <c r="A55" s="5" t="str">
        <f>HYPERLINK("#'Constants - Fertiliser'!A1", "Constants - Fertiliser")</f>
        <v>Constants - Fertiliser</v>
      </c>
      <c r="D55" s="25" t="s">
        <v>836</v>
      </c>
      <c r="E55" s="210">
        <f>E43+E49</f>
        <v>0</v>
      </c>
      <c r="F55" s="16" t="str">
        <f t="shared" ref="F55:F58" si="4">$E$12</f>
        <v>t CO2-e</v>
      </c>
      <c r="G55" s="168"/>
      <c r="H55" s="168"/>
      <c r="I55" s="168"/>
      <c r="J55" s="168"/>
      <c r="L55" s="168"/>
      <c r="N55" s="168"/>
      <c r="O55" s="168"/>
      <c r="P55" s="168"/>
      <c r="Q55" s="168"/>
    </row>
    <row r="56" spans="1:17" ht="20.100000000000001" customHeight="1" x14ac:dyDescent="0.2">
      <c r="A56" s="5" t="str">
        <f>HYPERLINK("#'Constants - Fuel'!A1", "Constants - Fuel")</f>
        <v>Constants - Fuel</v>
      </c>
      <c r="D56" s="25" t="s">
        <v>837</v>
      </c>
      <c r="E56" s="210">
        <f>E44+E50</f>
        <v>0</v>
      </c>
      <c r="F56" s="16" t="str">
        <f t="shared" si="4"/>
        <v>t CO2-e</v>
      </c>
      <c r="H56" s="168"/>
    </row>
    <row r="57" spans="1:17" ht="20.100000000000001" customHeight="1" x14ac:dyDescent="0.2">
      <c r="A57" s="5" t="str">
        <f>HYPERLINK("#'Constants - Scope 3'!A1", "Constants - Scope 3")</f>
        <v>Constants - Scope 3</v>
      </c>
      <c r="D57" s="25" t="s">
        <v>838</v>
      </c>
      <c r="E57" s="210">
        <f>E45+E51</f>
        <v>0</v>
      </c>
      <c r="F57" s="16" t="str">
        <f t="shared" si="4"/>
        <v>t CO2-e</v>
      </c>
      <c r="G57" s="168"/>
      <c r="H57" s="168"/>
      <c r="I57" s="168"/>
      <c r="J57" s="168"/>
      <c r="L57" s="168"/>
      <c r="N57" s="168"/>
      <c r="O57" s="168"/>
      <c r="P57" s="168"/>
      <c r="Q57" s="168"/>
    </row>
    <row r="58" spans="1:17" ht="20.100000000000001" customHeight="1" x14ac:dyDescent="0.2">
      <c r="A58" s="5" t="str">
        <f>HYPERLINK("#'Constants - Solid Waste'!A1", "Constants - Solid Waste")</f>
        <v>Constants - Solid Waste</v>
      </c>
      <c r="D58" s="25" t="s">
        <v>298</v>
      </c>
      <c r="E58" s="210">
        <f>E46+E52</f>
        <v>0</v>
      </c>
      <c r="F58" s="16" t="str">
        <f t="shared" si="4"/>
        <v>t CO2-e</v>
      </c>
      <c r="G58" s="168"/>
      <c r="H58" s="168"/>
      <c r="I58" s="168"/>
      <c r="J58" s="168"/>
      <c r="L58" s="168"/>
      <c r="N58" s="168"/>
      <c r="O58" s="168"/>
      <c r="P58" s="168"/>
      <c r="Q58" s="168"/>
    </row>
    <row r="59" spans="1:17" ht="20.100000000000001" customHeight="1" x14ac:dyDescent="0.2">
      <c r="A59" s="5" t="str">
        <f>HYPERLINK("#'Constants - Common'!A1", "Constants - Common")</f>
        <v>Constants - Common</v>
      </c>
      <c r="G59" s="168"/>
      <c r="H59" s="168"/>
      <c r="I59" s="168"/>
      <c r="J59" s="168"/>
      <c r="L59" s="168"/>
      <c r="N59" s="168"/>
      <c r="O59" s="168"/>
      <c r="P59" s="168"/>
      <c r="Q59" s="168"/>
    </row>
    <row r="60" spans="1:17" ht="20.100000000000001" customHeight="1" x14ac:dyDescent="0.2">
      <c r="A60" s="5" t="str">
        <f>HYPERLINK("#'Acknowledgements'!A1", "Acknowledgements")</f>
        <v>Acknowledgements</v>
      </c>
      <c r="G60" s="168"/>
      <c r="H60" s="168"/>
      <c r="I60" s="168"/>
      <c r="J60" s="168"/>
      <c r="L60" s="168"/>
      <c r="N60" s="168"/>
      <c r="O60" s="168"/>
      <c r="P60" s="168"/>
      <c r="Q60" s="168"/>
    </row>
    <row r="61" spans="1:17" ht="20.100000000000001" customHeight="1" x14ac:dyDescent="0.2">
      <c r="G61" s="168"/>
      <c r="H61" s="168"/>
      <c r="I61" s="168"/>
      <c r="J61" s="168"/>
      <c r="L61" s="168"/>
      <c r="N61" s="168"/>
      <c r="O61" s="168"/>
      <c r="P61" s="168"/>
      <c r="Q61" s="168"/>
    </row>
    <row r="62" spans="1:17" ht="20.100000000000001" customHeight="1" x14ac:dyDescent="0.2">
      <c r="G62" s="168"/>
      <c r="H62" s="168"/>
      <c r="I62" s="168"/>
      <c r="J62" s="168"/>
      <c r="L62" s="168"/>
      <c r="N62" s="168"/>
      <c r="O62" s="168"/>
      <c r="P62" s="168"/>
      <c r="Q62" s="168"/>
    </row>
    <row r="63" spans="1:17" ht="20.100000000000001" customHeight="1" x14ac:dyDescent="0.2">
      <c r="G63" s="168"/>
      <c r="H63" s="168"/>
      <c r="I63" s="168"/>
      <c r="J63" s="168"/>
      <c r="L63" s="168"/>
      <c r="N63" s="168"/>
      <c r="O63" s="168"/>
      <c r="P63" s="168"/>
      <c r="Q63" s="168"/>
    </row>
    <row r="64" spans="1:17" ht="20.100000000000001" customHeight="1" x14ac:dyDescent="0.2">
      <c r="G64" s="168"/>
      <c r="H64" s="168"/>
      <c r="I64" s="168"/>
      <c r="J64" s="168"/>
      <c r="L64" s="168"/>
      <c r="N64" s="168"/>
      <c r="O64" s="168"/>
      <c r="P64" s="168"/>
      <c r="Q64" s="168"/>
    </row>
    <row r="65" spans="7:17" ht="20.100000000000001" customHeight="1" x14ac:dyDescent="0.2">
      <c r="G65" s="168"/>
      <c r="H65" s="168"/>
      <c r="I65" s="168"/>
      <c r="J65" s="168"/>
      <c r="L65" s="168"/>
      <c r="N65" s="168"/>
      <c r="O65" s="168"/>
      <c r="P65" s="168"/>
      <c r="Q65" s="168"/>
    </row>
    <row r="66" spans="7:17" ht="20.100000000000001" customHeight="1" x14ac:dyDescent="0.2">
      <c r="G66" s="168"/>
      <c r="H66" s="168"/>
      <c r="I66" s="168"/>
      <c r="J66" s="168"/>
      <c r="L66" s="168"/>
      <c r="N66" s="168"/>
      <c r="O66" s="168"/>
      <c r="P66" s="168"/>
      <c r="Q66" s="168"/>
    </row>
    <row r="67" spans="7:17" ht="20.100000000000001" customHeight="1" x14ac:dyDescent="0.2">
      <c r="G67" s="168"/>
    </row>
    <row r="68" spans="7:17" ht="20.100000000000001" customHeight="1" x14ac:dyDescent="0.2">
      <c r="G68" s="168"/>
    </row>
    <row r="69" spans="7:17" ht="20.100000000000001" customHeight="1" x14ac:dyDescent="0.2">
      <c r="G69" s="168"/>
    </row>
    <row r="70" spans="7:17" ht="20.100000000000001" customHeight="1" x14ac:dyDescent="0.2">
      <c r="G70" s="168"/>
    </row>
    <row r="71" spans="7:17" ht="20.100000000000001" customHeight="1" x14ac:dyDescent="0.2">
      <c r="G71" s="168"/>
    </row>
  </sheetData>
  <pageMargins left="0.7" right="0.7" top="0.75" bottom="0.75" header="0.3" footer="0.3"/>
  <drawing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A504E8-0A13-4C1D-A164-ED7765D3C474}">
  <sheetPr>
    <tabColor rgb="FF008000"/>
  </sheetPr>
  <dimension ref="A1:L342"/>
  <sheetViews>
    <sheetView showGridLines="0" zoomScaleNormal="100" workbookViewId="0">
      <pane xSplit="1" topLeftCell="B1" activePane="topRight" state="frozen"/>
      <selection pane="topRight" activeCell="A59" sqref="A59"/>
    </sheetView>
  </sheetViews>
  <sheetFormatPr defaultRowHeight="20.100000000000001" customHeight="1" x14ac:dyDescent="0.2"/>
  <cols>
    <col min="1" max="1" width="36.7109375" customWidth="1"/>
    <col min="2" max="2" width="4.7109375" customWidth="1"/>
    <col min="3" max="3" width="4.7109375" style="1" customWidth="1"/>
    <col min="4" max="4" width="46.28515625" style="1" customWidth="1"/>
    <col min="5" max="11" width="30.7109375" style="1" customWidth="1"/>
    <col min="12" max="12" width="4.7109375" style="1" customWidth="1"/>
  </cols>
  <sheetData>
    <row r="1" spans="1:12" s="21" customFormat="1" ht="30" customHeight="1" x14ac:dyDescent="0.35">
      <c r="A1" s="10" t="e" vm="1">
        <v>#VALUE!</v>
      </c>
      <c r="C1" s="21" t="s">
        <v>900</v>
      </c>
    </row>
    <row r="2" spans="1:12" s="3" customFormat="1" ht="20.100000000000001" customHeight="1" x14ac:dyDescent="0.2">
      <c r="A2"/>
    </row>
    <row r="3" spans="1:12" ht="20.100000000000001" customHeight="1" x14ac:dyDescent="0.2">
      <c r="A3" s="5" t="str">
        <f>HYPERLINK("#'Home'!A1", "Home")</f>
        <v>Home</v>
      </c>
      <c r="C3" s="23"/>
      <c r="D3" s="23" t="s">
        <v>136</v>
      </c>
      <c r="E3" s="23"/>
      <c r="F3" s="23"/>
      <c r="G3" s="23"/>
      <c r="H3" s="23"/>
      <c r="I3" s="23"/>
      <c r="J3" s="23"/>
      <c r="K3" s="23"/>
      <c r="L3" s="23"/>
    </row>
    <row r="4" spans="1:12" ht="20.100000000000001" customHeight="1" x14ac:dyDescent="0.2">
      <c r="A4" s="5" t="str">
        <f>HYPERLINK("#'Results - Activity period'!A1", "Results - Activity period")</f>
        <v>Results - Activity period</v>
      </c>
    </row>
    <row r="5" spans="1:12" ht="20.100000000000001" customHeight="1" x14ac:dyDescent="0.2">
      <c r="A5" s="5" t="str">
        <f>HYPERLINK("#'Results - Product EI'!A1", "Results - Product Emissions Intensity")</f>
        <v>Results - Product Emissions Intensity</v>
      </c>
      <c r="D5" s="2" t="s">
        <v>1591</v>
      </c>
    </row>
    <row r="6" spans="1:12" ht="20.100000000000001" customHeight="1" x14ac:dyDescent="0.2">
      <c r="D6" s="17" t="s">
        <v>1592</v>
      </c>
    </row>
    <row r="7" spans="1:12" ht="20.100000000000001" customHeight="1" x14ac:dyDescent="0.2">
      <c r="D7" s="103"/>
      <c r="E7" s="103"/>
    </row>
    <row r="8" spans="1:12" ht="20.100000000000001" customHeight="1" x14ac:dyDescent="0.2">
      <c r="A8" s="7" t="s">
        <v>0</v>
      </c>
    </row>
    <row r="9" spans="1:12" ht="20.100000000000001" customHeight="1" x14ac:dyDescent="0.2">
      <c r="A9" s="5" t="str">
        <f>HYPERLINK("#'Input - Enterprise'!A1", "Enterprise")</f>
        <v>Enterprise</v>
      </c>
    </row>
    <row r="10" spans="1:12" ht="20.100000000000001" customHeight="1" x14ac:dyDescent="0.2">
      <c r="A10" s="5" t="str">
        <f>HYPERLINK("#'Input - Site'!A1", "Site")</f>
        <v>Site</v>
      </c>
      <c r="D10" s="77" t="s">
        <v>373</v>
      </c>
      <c r="E10" s="1" t="s">
        <v>1593</v>
      </c>
    </row>
    <row r="11" spans="1:12" ht="20.100000000000001" customHeight="1" x14ac:dyDescent="0.2">
      <c r="A11" s="5" t="str">
        <f>HYPERLINK("#'Input - Pasture Beef'!A1", "Pasture Beef")</f>
        <v>Pasture Beef</v>
      </c>
      <c r="D11" s="77" t="s">
        <v>121</v>
      </c>
      <c r="E11" s="9" t="s">
        <v>1594</v>
      </c>
    </row>
    <row r="12" spans="1:12" ht="20.100000000000001" customHeight="1" x14ac:dyDescent="0.2">
      <c r="A12" s="5" t="str">
        <f>HYPERLINK("#'Input - Livestock sales'!A1", "Livestock sales")</f>
        <v>Livestock sales</v>
      </c>
    </row>
    <row r="13" spans="1:12" ht="20.100000000000001" customHeight="1" x14ac:dyDescent="0.2">
      <c r="A13" s="5" t="str">
        <f>HYPERLINK("#'Input - Beef cattle purchases'!A1", "Beef cattle purchases")</f>
        <v>Beef cattle purchases</v>
      </c>
      <c r="D13" s="105" t="s">
        <v>1595</v>
      </c>
      <c r="E13" s="106" t="s">
        <v>1596</v>
      </c>
      <c r="F13" s="108"/>
      <c r="G13" s="105" t="s">
        <v>1602</v>
      </c>
      <c r="H13" s="109" t="s">
        <v>1219</v>
      </c>
      <c r="I13" s="111" t="str" cm="1">
        <f t="array" aca="1" ref="I13" ca="1">HYPERLINK(Common_InputFunctions.Utility_SourceHyperlink($D$18),$D$18)</f>
        <v>Table_V_w_t_onsite</v>
      </c>
      <c r="J13" s="111" t="str" cm="1">
        <f t="array" aca="1" ref="J13" ca="1">HYPERLINK(Common_InputFunctions.Utility_SourceHyperlink($D$56),$D$56)</f>
        <v>Table_V_w_t_offsite</v>
      </c>
    </row>
    <row r="14" spans="1:12" ht="20.100000000000001" customHeight="1" x14ac:dyDescent="0.2">
      <c r="A14" s="5" t="str">
        <f>HYPERLINK("#'Input - Pasture'!A1", "Pasture")</f>
        <v>Pasture</v>
      </c>
      <c r="D14" s="105" t="s">
        <v>1597</v>
      </c>
      <c r="E14" s="106" t="s">
        <v>1598</v>
      </c>
      <c r="F14" s="108"/>
      <c r="G14" s="105" t="s">
        <v>1603</v>
      </c>
      <c r="H14" s="110" t="s">
        <v>1220</v>
      </c>
      <c r="I14" s="111" t="str" cm="1">
        <f t="array" aca="1" ref="I14" ca="1">HYPERLINK(Common_InputFunctions.Utility_SourceHyperlink($D$18),$D$18)</f>
        <v>Table_V_w_t_onsite</v>
      </c>
      <c r="J14" s="111" t="str" cm="1">
        <f t="array" aca="1" ref="J14" ca="1">HYPERLINK(Common_InputFunctions.Utility_SourceHyperlink($D$56),$D$56)</f>
        <v>Table_V_w_t_offsite</v>
      </c>
    </row>
    <row r="15" spans="1:12" ht="20.100000000000001" customHeight="1" x14ac:dyDescent="0.2">
      <c r="A15" s="5" t="str">
        <f>HYPERLINK("#'Input - Fert Prod System'!A1", "Fert Prod System")</f>
        <v>Fert Prod System</v>
      </c>
      <c r="D15" s="105" t="s">
        <v>1599</v>
      </c>
      <c r="E15" s="106" t="s">
        <v>1600</v>
      </c>
      <c r="F15" s="108"/>
      <c r="G15" s="105"/>
      <c r="H15" s="109" t="s">
        <v>1219</v>
      </c>
      <c r="I15" s="111" t="str" cm="1">
        <f t="array" aca="1" ref="I15" ca="1">HYPERLINK(Common_InputFunctions.Utility_SourceHyperlink($D$18),$D$18)</f>
        <v>Table_V_w_t_onsite</v>
      </c>
      <c r="J15" s="111" t="str" cm="1">
        <f t="array" aca="1" ref="J15" ca="1">HYPERLINK(Common_InputFunctions.Utility_SourceHyperlink($D$56),$D$56)</f>
        <v>Table_V_w_t_offsite</v>
      </c>
    </row>
    <row r="16" spans="1:12" ht="20.100000000000001" customHeight="1" x14ac:dyDescent="0.2">
      <c r="A16" s="5" t="str">
        <f>HYPERLINK("#'Input - Fertiliser'!A1", "Fertiliser")</f>
        <v>Fertiliser</v>
      </c>
      <c r="D16" s="105" t="s">
        <v>1594</v>
      </c>
      <c r="E16" s="106" t="s">
        <v>1601</v>
      </c>
      <c r="F16" s="108"/>
      <c r="G16" s="105"/>
      <c r="H16" s="109" t="s">
        <v>1219</v>
      </c>
      <c r="I16" s="111" t="str" cm="1">
        <f t="array" aca="1" ref="I16" ca="1">HYPERLINK(Common_InputFunctions.Utility_SourceHyperlink($D$18),$D$18)</f>
        <v>Table_V_w_t_onsite</v>
      </c>
      <c r="J16" s="111" t="str" cm="1">
        <f t="array" aca="1" ref="J16" ca="1">HYPERLINK(Common_InputFunctions.Utility_SourceHyperlink($D$56),$D$56)</f>
        <v>Table_V_w_t_offsite</v>
      </c>
    </row>
    <row r="17" spans="1:9" ht="20.100000000000001" customHeight="1" x14ac:dyDescent="0.2">
      <c r="A17" s="5" t="str">
        <f>HYPERLINK("#'Input - Fuel'!A1", "Fuel")</f>
        <v>Fuel</v>
      </c>
    </row>
    <row r="18" spans="1:9" ht="20.100000000000001" customHeight="1" x14ac:dyDescent="0.2">
      <c r="A18" s="5" t="str">
        <f>HYPERLINK("#'Input - Electricity'!A1", "Electricity")</f>
        <v>Electricity</v>
      </c>
      <c r="D18" s="112" t="s">
        <v>901</v>
      </c>
    </row>
    <row r="19" spans="1:9" ht="20.100000000000001" customHeight="1" x14ac:dyDescent="0.2">
      <c r="A19" s="5" t="str">
        <f>HYPERLINK("#'Input - Common farm inputs'!A1", "Common farm inputs")</f>
        <v>Common farm inputs</v>
      </c>
      <c r="D19" s="113" t="s">
        <v>902</v>
      </c>
    </row>
    <row r="20" spans="1:9" ht="20.100000000000001" customHeight="1" x14ac:dyDescent="0.2">
      <c r="A20" s="5" t="str">
        <f>HYPERLINK("#'Input - Crop pasture farm input'!A1", "Crop pasture farm input")</f>
        <v>Crop pasture farm input</v>
      </c>
      <c r="D20" s="82" t="s">
        <v>903</v>
      </c>
      <c r="E20" s="82" t="s">
        <v>904</v>
      </c>
      <c r="F20" s="82"/>
      <c r="G20" s="82" t="s">
        <v>905</v>
      </c>
      <c r="H20" s="114" t="s">
        <v>906</v>
      </c>
      <c r="I20" s="114" t="s">
        <v>907</v>
      </c>
    </row>
    <row r="21" spans="1:9" ht="20.100000000000001" customHeight="1" x14ac:dyDescent="0.2">
      <c r="A21" s="5" t="str">
        <f>HYPERLINK("#'Input - Livestock farm Inputs'!A1", "Livestock farm Inputs")</f>
        <v>Livestock farm Inputs</v>
      </c>
      <c r="D21" s="105" t="str" cm="1">
        <f t="array" ref="D21:D54">Table_SourceData_WasteSolid_WasteTreatmentEFs[Treatment type t]</f>
        <v>Landfill</v>
      </c>
      <c r="E21" s="106" t="str" cm="1">
        <f t="array" ref="E21:E54">Table_SourceData_WasteSolid_WasteTreatmentEFs[Waste type w]</f>
        <v>Food waste (including animal carcasses, spoiled animal feed or crop)</v>
      </c>
      <c r="F21" s="164"/>
      <c r="G21" s="15" cm="1">
        <f t="array" ref="G21">WasteSolid_InputFunctions.WasteSolid_InputFunctions_SumWasteTreatment(Table_Input_SolidWaste[Treatment type (select)],Table_Input_SolidWaste[Waste type (select)],Table_Input_SolidWaste[Treatment location (select)],Table_Input_SolidWaste[Amount unit (select)],Table_Input_SolidWaste[Amount],D21,E21, "Treated on-site", "cubic metres m3")</f>
        <v>0</v>
      </c>
      <c r="H21" s="15" cm="1">
        <f t="array" ref="H21">Common_InputFunctions.Utility_LookupValueInTableNumber(E21,Table_SourceData_WasteSolid_VolumeToMassConversion[Waste type w],Table_SourceData_WasteSolid_VolumeToMassConversion[VTMw])</f>
        <v>0.5</v>
      </c>
      <c r="I21" s="15">
        <f>(G21 * H21)</f>
        <v>0</v>
      </c>
    </row>
    <row r="22" spans="1:9" ht="20.100000000000001" customHeight="1" x14ac:dyDescent="0.2">
      <c r="A22" s="5" t="str">
        <f>HYPERLINK("#'Input - Freight'!A1", "Freight")</f>
        <v>Freight</v>
      </c>
      <c r="D22" s="105" t="str">
        <v>Landfill</v>
      </c>
      <c r="E22" s="106" t="str">
        <v>Paper and cardboard</v>
      </c>
      <c r="F22" s="164"/>
      <c r="G22" s="15" cm="1">
        <f t="array" ref="G22">WasteSolid_InputFunctions.WasteSolid_InputFunctions_SumWasteTreatment(Table_Input_SolidWaste[Treatment type (select)],Table_Input_SolidWaste[Waste type (select)],Table_Input_SolidWaste[Treatment location (select)],Table_Input_SolidWaste[Amount unit (select)],Table_Input_SolidWaste[Amount],D22,E22, "Treated on-site", "cubic metres m3")</f>
        <v>0</v>
      </c>
      <c r="H22" s="15" cm="1">
        <f t="array" ref="H22">Common_InputFunctions.Utility_LookupValueInTableNumber(E22,Table_SourceData_WasteSolid_VolumeToMassConversion[Waste type w],Table_SourceData_WasteSolid_VolumeToMassConversion[VTMw])</f>
        <v>0.09</v>
      </c>
      <c r="I22" s="15">
        <f>(G22 * H22)</f>
        <v>0</v>
      </c>
    </row>
    <row r="23" spans="1:9" ht="20.100000000000001" customHeight="1" x14ac:dyDescent="0.2">
      <c r="A23" s="5" t="str">
        <f>HYPERLINK("#'Input - Solid waste'!A1", "Solid waste")</f>
        <v>Solid waste</v>
      </c>
      <c r="D23" s="105" t="str">
        <v>Landfill</v>
      </c>
      <c r="E23" s="106" t="str">
        <v>Green waste (including crop residues or prunings)</v>
      </c>
      <c r="F23" s="164"/>
      <c r="G23" s="15" cm="1">
        <f t="array" ref="G23">WasteSolid_InputFunctions.WasteSolid_InputFunctions_SumWasteTreatment(Table_Input_SolidWaste[Treatment type (select)],Table_Input_SolidWaste[Waste type (select)],Table_Input_SolidWaste[Treatment location (select)],Table_Input_SolidWaste[Amount unit (select)],Table_Input_SolidWaste[Amount],D23,E23, "Treated on-site", "cubic metres m3")</f>
        <v>0</v>
      </c>
      <c r="H23" s="15" cm="1">
        <f t="array" ref="H23">Common_InputFunctions.Utility_LookupValueInTableNumber(E23,Table_SourceData_WasteSolid_VolumeToMassConversion[Waste type w],Table_SourceData_WasteSolid_VolumeToMassConversion[VTMw])</f>
        <v>0.24</v>
      </c>
      <c r="I23" s="15">
        <f>(G23 * H23)</f>
        <v>0</v>
      </c>
    </row>
    <row r="24" spans="1:9" ht="20.100000000000001" customHeight="1" x14ac:dyDescent="0.2">
      <c r="A24" s="5" t="str">
        <f>HYPERLINK("#'Input - Manure sent off-site'!A1", "Manure sent off-site")</f>
        <v>Manure sent off-site</v>
      </c>
      <c r="D24" s="105" t="str">
        <v>Landfill</v>
      </c>
      <c r="E24" s="106" t="str">
        <v>Wood</v>
      </c>
      <c r="F24" s="164"/>
      <c r="G24" s="15" cm="1">
        <f t="array" ref="G24">WasteSolid_InputFunctions.WasteSolid_InputFunctions_SumWasteTreatment(Table_Input_SolidWaste[Treatment type (select)],Table_Input_SolidWaste[Waste type (select)],Table_Input_SolidWaste[Treatment location (select)],Table_Input_SolidWaste[Amount unit (select)],Table_Input_SolidWaste[Amount],D24,E24, "Treated on-site", "cubic metres m3")</f>
        <v>0</v>
      </c>
      <c r="H24" s="15" cm="1">
        <f t="array" ref="H24">Common_InputFunctions.Utility_LookupValueInTableNumber(E24,Table_SourceData_WasteSolid_VolumeToMassConversion[Waste type w],Table_SourceData_WasteSolid_VolumeToMassConversion[VTMw])</f>
        <v>0.15</v>
      </c>
      <c r="I24" s="15">
        <f>(G24 * H24)</f>
        <v>0</v>
      </c>
    </row>
    <row r="25" spans="1:9" ht="20.100000000000001" customHeight="1" x14ac:dyDescent="0.2">
      <c r="A25" s="5" t="str">
        <f>HYPERLINK("#'Input - Data quality'!A1", "Data quality")</f>
        <v>Data quality</v>
      </c>
      <c r="D25" s="105" t="str">
        <v>Landfill</v>
      </c>
      <c r="E25" s="106" t="str">
        <v>Textiles</v>
      </c>
      <c r="F25" s="164"/>
      <c r="G25" s="15" cm="1">
        <f t="array" ref="G25">WasteSolid_InputFunctions.WasteSolid_InputFunctions_SumWasteTreatment(Table_Input_SolidWaste[Treatment type (select)],Table_Input_SolidWaste[Waste type (select)],Table_Input_SolidWaste[Treatment location (select)],Table_Input_SolidWaste[Amount unit (select)],Table_Input_SolidWaste[Amount],D25,E25, "Treated on-site", "cubic metres m3")</f>
        <v>0</v>
      </c>
      <c r="H25" s="15" cm="1">
        <f t="array" ref="H25">Common_InputFunctions.Utility_LookupValueInTableNumber(E25,Table_SourceData_WasteSolid_VolumeToMassConversion[Waste type w],Table_SourceData_WasteSolid_VolumeToMassConversion[VTMw])</f>
        <v>0.14000000000000001</v>
      </c>
      <c r="I25" s="15">
        <f>(G25 * H25)</f>
        <v>0</v>
      </c>
    </row>
    <row r="26" spans="1:9" ht="20.100000000000001" customHeight="1" x14ac:dyDescent="0.2">
      <c r="D26" s="105" t="str">
        <v>Landfill</v>
      </c>
      <c r="E26" s="106" t="str">
        <v>Sludge</v>
      </c>
      <c r="F26" s="164"/>
      <c r="G26" s="15" cm="1">
        <f t="array" ref="G26">WasteSolid_InputFunctions.WasteSolid_InputFunctions_SumWasteTreatment(Table_Input_SolidWaste[Treatment type (select)],Table_Input_SolidWaste[Waste type (select)],Table_Input_SolidWaste[Treatment location (select)],Table_Input_SolidWaste[Amount unit (select)],Table_Input_SolidWaste[Amount],D26,E26, "Treated on-site", "cubic metres m3")</f>
        <v>0</v>
      </c>
      <c r="H26" s="15" cm="1">
        <f t="array" ref="H26">Common_InputFunctions.Utility_LookupValueInTableNumber(E26,Table_SourceData_WasteSolid_VolumeToMassConversion[Waste type w],Table_SourceData_WasteSolid_VolumeToMassConversion[VTMw])</f>
        <v>0.72</v>
      </c>
      <c r="I26" s="15">
        <f>(G26 * H26)</f>
        <v>0</v>
      </c>
    </row>
    <row r="27" spans="1:9" ht="20.100000000000001" customHeight="1" x14ac:dyDescent="0.2">
      <c r="D27" s="105" t="str">
        <v>Landfill</v>
      </c>
      <c r="E27" s="106" t="str">
        <v>Rubber and leather</v>
      </c>
      <c r="F27" s="164"/>
      <c r="G27" s="15" cm="1">
        <f t="array" ref="G27">WasteSolid_InputFunctions.WasteSolid_InputFunctions_SumWasteTreatment(Table_Input_SolidWaste[Treatment type (select)],Table_Input_SolidWaste[Waste type (select)],Table_Input_SolidWaste[Treatment location (select)],Table_Input_SolidWaste[Amount unit (select)],Table_Input_SolidWaste[Amount],D27,E27, "Treated on-site", "cubic metres m3")</f>
        <v>0</v>
      </c>
      <c r="H27" s="15" cm="1">
        <f t="array" ref="H27">Common_InputFunctions.Utility_LookupValueInTableNumber(E27,Table_SourceData_WasteSolid_VolumeToMassConversion[Waste type w],Table_SourceData_WasteSolid_VolumeToMassConversion[VTMw])</f>
        <v>0.14000000000000001</v>
      </c>
      <c r="I27" s="15">
        <f>(G27 * H27)</f>
        <v>0</v>
      </c>
    </row>
    <row r="28" spans="1:9" ht="20.100000000000001" customHeight="1" x14ac:dyDescent="0.2">
      <c r="A28" s="6" t="s">
        <v>2</v>
      </c>
      <c r="D28" s="105" t="str">
        <v>Landfill</v>
      </c>
      <c r="E28" s="106" t="str">
        <v>Inert waste (including concrete, metal, plastic or glass)</v>
      </c>
      <c r="F28" s="164"/>
      <c r="G28" s="15" cm="1">
        <f t="array" ref="G28">WasteSolid_InputFunctions.WasteSolid_InputFunctions_SumWasteTreatment(Table_Input_SolidWaste[Treatment type (select)],Table_Input_SolidWaste[Waste type (select)],Table_Input_SolidWaste[Treatment location (select)],Table_Input_SolidWaste[Amount unit (select)],Table_Input_SolidWaste[Amount],D28,E28, "Treated on-site", "cubic metres m3")</f>
        <v>0</v>
      </c>
      <c r="H28" s="15" cm="1">
        <f t="array" ref="H28">Common_InputFunctions.Utility_LookupValueInTableNumber(E28,Table_SourceData_WasteSolid_VolumeToMassConversion[Waste type w],Table_SourceData_WasteSolid_VolumeToMassConversion[VTMw])</f>
        <v>0.42</v>
      </c>
      <c r="I28" s="15">
        <f>(G28 * H28)</f>
        <v>0</v>
      </c>
    </row>
    <row r="29" spans="1:9" ht="20.100000000000001" customHeight="1" x14ac:dyDescent="0.2">
      <c r="A29" s="5" t="str">
        <f>HYPERLINK("#'3.2.1.1-2 Enteric Methane'!A1", "3.2.1.1-2 Enteric Methane")</f>
        <v>3.2.1.1-2 Enteric Methane</v>
      </c>
      <c r="D29" s="105" t="str">
        <v>Landfill</v>
      </c>
      <c r="E29" s="106" t="str">
        <v>Municipal solid waste</v>
      </c>
      <c r="F29" s="164"/>
      <c r="G29" s="15" cm="1">
        <f t="array" ref="G29">WasteSolid_InputFunctions.WasteSolid_InputFunctions_SumWasteTreatment(Table_Input_SolidWaste[Treatment type (select)],Table_Input_SolidWaste[Waste type (select)],Table_Input_SolidWaste[Treatment location (select)],Table_Input_SolidWaste[Amount unit (select)],Table_Input_SolidWaste[Amount],D29,E29, "Treated on-site", "cubic metres m3")</f>
        <v>0</v>
      </c>
      <c r="H29" s="15" cm="1">
        <f t="array" ref="H29">Common_InputFunctions.Utility_LookupValueInTableNumber(E29,Table_SourceData_WasteSolid_VolumeToMassConversion[Waste type w],Table_SourceData_WasteSolid_VolumeToMassConversion[VTMw])</f>
        <v>0.36</v>
      </c>
      <c r="I29" s="15">
        <f>(G29 * H29)</f>
        <v>0</v>
      </c>
    </row>
    <row r="30" spans="1:9" ht="20.100000000000001" customHeight="1" x14ac:dyDescent="0.2">
      <c r="A30" s="5" t="str">
        <f>HYPERLINK("#'4.2.1.1-2 Methane'!A1", "4.2.1.1-2 Manure methane")</f>
        <v>4.2.1.1-2 Manure methane</v>
      </c>
      <c r="D30" s="105" t="str">
        <v>Landfill</v>
      </c>
      <c r="E30" s="106" t="str">
        <v>Commercial and industrial waste</v>
      </c>
      <c r="F30" s="164"/>
      <c r="G30" s="15" cm="1">
        <f t="array" ref="G30">WasteSolid_InputFunctions.WasteSolid_InputFunctions_SumWasteTreatment(Table_Input_SolidWaste[Treatment type (select)],Table_Input_SolidWaste[Waste type (select)],Table_Input_SolidWaste[Treatment location (select)],Table_Input_SolidWaste[Amount unit (select)],Table_Input_SolidWaste[Amount],D30,E30, "Treated on-site", "cubic metres m3")</f>
        <v>0</v>
      </c>
      <c r="H30" s="15" cm="1">
        <f t="array" ref="H30">Common_InputFunctions.Utility_LookupValueInTableNumber(E30,Table_SourceData_WasteSolid_VolumeToMassConversion[Waste type w],Table_SourceData_WasteSolid_VolumeToMassConversion[VTMw])</f>
        <v>0.33</v>
      </c>
      <c r="I30" s="15">
        <f>(G30 * H30)</f>
        <v>0</v>
      </c>
    </row>
    <row r="31" spans="1:9" ht="20.100000000000001" customHeight="1" x14ac:dyDescent="0.2">
      <c r="A31" s="5" t="str">
        <f>HYPERLINK("#'4.2.1.3-4 Soil direct N20'!A1", "4.2.1.3-4 Soil direct N2O")</f>
        <v>4.2.1.3-4 Soil direct N2O</v>
      </c>
      <c r="D31" s="105" t="str">
        <v>Landfill</v>
      </c>
      <c r="E31" s="106" t="str">
        <v>Construction and demolition waste</v>
      </c>
      <c r="F31" s="164"/>
      <c r="G31" s="15" cm="1">
        <f t="array" ref="G31">WasteSolid_InputFunctions.WasteSolid_InputFunctions_SumWasteTreatment(Table_Input_SolidWaste[Treatment type (select)],Table_Input_SolidWaste[Waste type (select)],Table_Input_SolidWaste[Treatment location (select)],Table_Input_SolidWaste[Amount unit (select)],Table_Input_SolidWaste[Amount],D31,E31, "Treated on-site", "cubic metres m3")</f>
        <v>0</v>
      </c>
      <c r="H31" s="15" cm="1">
        <f t="array" ref="H31">Common_InputFunctions.Utility_LookupValueInTableNumber(E31,Table_SourceData_WasteSolid_VolumeToMassConversion[Waste type w],Table_SourceData_WasteSolid_VolumeToMassConversion[VTMw])</f>
        <v>0.39</v>
      </c>
      <c r="I31" s="15">
        <f>(G31 * H31)</f>
        <v>0</v>
      </c>
    </row>
    <row r="32" spans="1:9" ht="20.100000000000001" customHeight="1" x14ac:dyDescent="0.2">
      <c r="A32" s="5" t="str">
        <f>HYPERLINK("#'4.2.1.5-6 Soil Atmos Dep'!A1", "4.2.1.5-6 Soil atm. deposition")</f>
        <v>4.2.1.5-6 Soil atm. deposition</v>
      </c>
      <c r="D32" s="105" t="str">
        <v>Incineration</v>
      </c>
      <c r="E32" s="106" t="str">
        <v>Food waste, green waste, wood, sludge</v>
      </c>
      <c r="F32" s="164"/>
      <c r="G32" s="15" t="s">
        <v>660</v>
      </c>
      <c r="H32" s="15" t="s">
        <v>660</v>
      </c>
      <c r="I32" s="15" t="s">
        <v>660</v>
      </c>
    </row>
    <row r="33" spans="1:9" ht="20.100000000000001" customHeight="1" x14ac:dyDescent="0.2">
      <c r="A33" s="5" t="str">
        <f>HYPERLINK("#'4.2.1.7-8 Soil leach runoff'!A1", "4.2.1.7-8 Soil leach &amp; runoff")</f>
        <v>4.2.1.7-8 Soil leach &amp; runoff</v>
      </c>
      <c r="D33" s="105" t="str">
        <v>Incineration</v>
      </c>
      <c r="E33" s="106" t="str">
        <v>Food waste (including animal carcasses, spoiled animal feed or crop)</v>
      </c>
      <c r="F33" s="164"/>
      <c r="G33" s="15" cm="1">
        <f t="array" ref="G33">WasteSolid_InputFunctions.WasteSolid_InputFunctions_SumWasteTreatment(Table_Input_SolidWaste[Treatment type (select)],Table_Input_SolidWaste[Waste type (select)],Table_Input_SolidWaste[Treatment location (select)],Table_Input_SolidWaste[Amount unit (select)],Table_Input_SolidWaste[Amount],D33,E33, "Treated on-site", "cubic metres m3")</f>
        <v>0</v>
      </c>
      <c r="H33" s="15" cm="1">
        <f t="array" ref="H33">Common_InputFunctions.Utility_LookupValueInTableNumber(E33,Table_SourceData_WasteSolid_VolumeToMassConversion[Waste type w],Table_SourceData_WasteSolid_VolumeToMassConversion[VTMw])</f>
        <v>0.5</v>
      </c>
      <c r="I33" s="15">
        <f>(G33 * H33)</f>
        <v>0</v>
      </c>
    </row>
    <row r="34" spans="1:9" ht="20.100000000000001" customHeight="1" x14ac:dyDescent="0.2">
      <c r="A34" s="5" t="str">
        <f>HYPERLINK("#'5.1.1.1-2 Inorganic fert N2O'!A1", "5.1.1.1-2 Inorganic fert N2O")</f>
        <v>5.1.1.1-2 Inorganic fert N2O</v>
      </c>
      <c r="D34" s="105" t="str">
        <v>Incineration</v>
      </c>
      <c r="E34" s="106" t="str">
        <v>Green waste (including crop residues or prunings)</v>
      </c>
      <c r="F34" s="164"/>
      <c r="G34" s="15" cm="1">
        <f t="array" ref="G34">WasteSolid_InputFunctions.WasteSolid_InputFunctions_SumWasteTreatment(Table_Input_SolidWaste[Treatment type (select)],Table_Input_SolidWaste[Waste type (select)],Table_Input_SolidWaste[Treatment location (select)],Table_Input_SolidWaste[Amount unit (select)],Table_Input_SolidWaste[Amount],D34,E34, "Treated on-site", "cubic metres m3")</f>
        <v>0</v>
      </c>
      <c r="H34" s="15" cm="1">
        <f t="array" ref="H34">Common_InputFunctions.Utility_LookupValueInTableNumber(E34,Table_SourceData_WasteSolid_VolumeToMassConversion[Waste type w],Table_SourceData_WasteSolid_VolumeToMassConversion[VTMw])</f>
        <v>0.24</v>
      </c>
      <c r="I34" s="15">
        <f>(G34 * H34)</f>
        <v>0</v>
      </c>
    </row>
    <row r="35" spans="1:9" ht="20.100000000000001" customHeight="1" x14ac:dyDescent="0.2">
      <c r="A35" s="5" t="str">
        <f>HYPERLINK("#'5.1.1.3-4 Inorganic fert CO2'!A1", "5.1.1.3-4 Inorganic fert CO2")</f>
        <v>5.1.1.3-4 Inorganic fert CO2</v>
      </c>
      <c r="D35" s="105" t="str">
        <v>Incineration</v>
      </c>
      <c r="E35" s="106" t="str">
        <v>Wood</v>
      </c>
      <c r="F35" s="164"/>
      <c r="G35" s="15" cm="1">
        <f t="array" ref="G35">WasteSolid_InputFunctions.WasteSolid_InputFunctions_SumWasteTreatment(Table_Input_SolidWaste[Treatment type (select)],Table_Input_SolidWaste[Waste type (select)],Table_Input_SolidWaste[Treatment location (select)],Table_Input_SolidWaste[Amount unit (select)],Table_Input_SolidWaste[Amount],D35,E35, "Treated on-site", "cubic metres m3")</f>
        <v>0</v>
      </c>
      <c r="H35" s="15" cm="1">
        <f t="array" ref="H35">Common_InputFunctions.Utility_LookupValueInTableNumber(E35,Table_SourceData_WasteSolid_VolumeToMassConversion[Waste type w],Table_SourceData_WasteSolid_VolumeToMassConversion[VTMw])</f>
        <v>0.15</v>
      </c>
      <c r="I35" s="15">
        <f>(G35 * H35)</f>
        <v>0</v>
      </c>
    </row>
    <row r="36" spans="1:9" ht="20.100000000000001" customHeight="1" x14ac:dyDescent="0.2">
      <c r="A36" s="5" t="str">
        <f>HYPERLINK("#'5.2.1.1-2 Organic Fert N2O'!A1", "5.2.1.1-2 Organic fert N2O")</f>
        <v>5.2.1.1-2 Organic fert N2O</v>
      </c>
      <c r="D36" s="105" t="str">
        <v>Incineration</v>
      </c>
      <c r="E36" s="106" t="str">
        <v>Sludge</v>
      </c>
      <c r="F36" s="164"/>
      <c r="G36" s="15" cm="1">
        <f t="array" ref="G36">WasteSolid_InputFunctions.WasteSolid_InputFunctions_SumWasteTreatment(Table_Input_SolidWaste[Treatment type (select)],Table_Input_SolidWaste[Waste type (select)],Table_Input_SolidWaste[Treatment location (select)],Table_Input_SolidWaste[Amount unit (select)],Table_Input_SolidWaste[Amount],D36,E36, "Treated on-site", "cubic metres m3")</f>
        <v>0</v>
      </c>
      <c r="H36" s="15" cm="1">
        <f t="array" ref="H36">Common_InputFunctions.Utility_LookupValueInTableNumber(E36,Table_SourceData_WasteSolid_VolumeToMassConversion[Waste type w],Table_SourceData_WasteSolid_VolumeToMassConversion[VTMw])</f>
        <v>0.72</v>
      </c>
      <c r="I36" s="15">
        <f>(G36 * H36)</f>
        <v>0</v>
      </c>
    </row>
    <row r="37" spans="1:9" ht="20.100000000000001" customHeight="1" x14ac:dyDescent="0.2">
      <c r="A37" s="5" t="str">
        <f>HYPERLINK("#'5.3.1.1-2 Lime CO2'!A1", "5.3.1.1-2 Lime CO2")</f>
        <v>5.3.1.1-2 Lime CO2</v>
      </c>
      <c r="D37" s="105" t="str">
        <v>Incineration</v>
      </c>
      <c r="E37" s="106" t="str">
        <v>Paper and cardboard</v>
      </c>
      <c r="F37" s="164"/>
      <c r="G37" s="15" cm="1">
        <f t="array" ref="G37">WasteSolid_InputFunctions.WasteSolid_InputFunctions_SumWasteTreatment(Table_Input_SolidWaste[Treatment type (select)],Table_Input_SolidWaste[Waste type (select)],Table_Input_SolidWaste[Treatment location (select)],Table_Input_SolidWaste[Amount unit (select)],Table_Input_SolidWaste[Amount],D37,E37, "Treated on-site", "cubic metres m3")</f>
        <v>0</v>
      </c>
      <c r="H37" s="15" cm="1">
        <f t="array" ref="H37">Common_InputFunctions.Utility_LookupValueInTableNumber(E37,Table_SourceData_WasteSolid_VolumeToMassConversion[Waste type w],Table_SourceData_WasteSolid_VolumeToMassConversion[VTMw])</f>
        <v>0.09</v>
      </c>
      <c r="I37" s="15">
        <f>(G37 * H37)</f>
        <v>0</v>
      </c>
    </row>
    <row r="38" spans="1:9" ht="20.100000000000001" customHeight="1" x14ac:dyDescent="0.2">
      <c r="A38" s="5" t="str">
        <f>HYPERLINK("#'5.4.1.1-4 Atmos deposition'!A1", "5.4.1.1-4 Atmos. deposition")</f>
        <v>5.4.1.1-4 Atmos. deposition</v>
      </c>
      <c r="D38" s="105" t="str">
        <v>Incineration</v>
      </c>
      <c r="E38" s="106" t="str">
        <v>Textiles</v>
      </c>
      <c r="F38" s="164"/>
      <c r="G38" s="15" cm="1">
        <f t="array" ref="G38">WasteSolid_InputFunctions.WasteSolid_InputFunctions_SumWasteTreatment(Table_Input_SolidWaste[Treatment type (select)],Table_Input_SolidWaste[Waste type (select)],Table_Input_SolidWaste[Treatment location (select)],Table_Input_SolidWaste[Amount unit (select)],Table_Input_SolidWaste[Amount],D38,E38, "Treated on-site", "cubic metres m3")</f>
        <v>0</v>
      </c>
      <c r="H38" s="15" cm="1">
        <f t="array" ref="H38">Common_InputFunctions.Utility_LookupValueInTableNumber(E38,Table_SourceData_WasteSolid_VolumeToMassConversion[Waste type w],Table_SourceData_WasteSolid_VolumeToMassConversion[VTMw])</f>
        <v>0.14000000000000001</v>
      </c>
      <c r="I38" s="15">
        <f>(G38 * H38)</f>
        <v>0</v>
      </c>
    </row>
    <row r="39" spans="1:9" ht="20.100000000000001" customHeight="1" x14ac:dyDescent="0.2">
      <c r="A39" s="5" t="str">
        <f>HYPERLINK("#'5.5.1.1-2 Leaching and runoff'!A1", "5.5.1.1-2 Leaching &amp; runoff")</f>
        <v>5.5.1.1-2 Leaching &amp; runoff</v>
      </c>
      <c r="D39" s="105" t="str">
        <v>Incineration</v>
      </c>
      <c r="E39" s="106" t="str">
        <v>Rubber and leather</v>
      </c>
      <c r="F39" s="164"/>
      <c r="G39" s="15" cm="1">
        <f t="array" ref="G39">WasteSolid_InputFunctions.WasteSolid_InputFunctions_SumWasteTreatment(Table_Input_SolidWaste[Treatment type (select)],Table_Input_SolidWaste[Waste type (select)],Table_Input_SolidWaste[Treatment location (select)],Table_Input_SolidWaste[Amount unit (select)],Table_Input_SolidWaste[Amount],D39,E39, "Treated on-site", "cubic metres m3")</f>
        <v>0</v>
      </c>
      <c r="H39" s="15" cm="1">
        <f t="array" ref="H39">Common_InputFunctions.Utility_LookupValueInTableNumber(E39,Table_SourceData_WasteSolid_VolumeToMassConversion[Waste type w],Table_SourceData_WasteSolid_VolumeToMassConversion[VTMw])</f>
        <v>0.14000000000000001</v>
      </c>
      <c r="I39" s="15">
        <f>(G39 * H39)</f>
        <v>0</v>
      </c>
    </row>
    <row r="40" spans="1:9" ht="20.100000000000001" customHeight="1" x14ac:dyDescent="0.2">
      <c r="A40" s="5" t="str">
        <f>HYPERLINK("#'6.2.1.1-2 Pasture residue N2O'!A1", "6.2.1.1-2 Pasture residue N2O")</f>
        <v>6.2.1.1-2 Pasture residue N2O</v>
      </c>
      <c r="D40" s="105" t="str">
        <v>Incineration</v>
      </c>
      <c r="E40" s="105" t="str">
        <v>Inert waste (including concrete, metal, plastic or glass)</v>
      </c>
      <c r="F40" s="105"/>
      <c r="G40" s="15" cm="1">
        <f t="array" ref="G40">WasteSolid_InputFunctions.WasteSolid_InputFunctions_SumWasteTreatment(Table_Input_SolidWaste[Treatment type (select)],Table_Input_SolidWaste[Waste type (select)],Table_Input_SolidWaste[Treatment location (select)],Table_Input_SolidWaste[Amount unit (select)],Table_Input_SolidWaste[Amount],D40,E40, "Treated on-site", "cubic metres m3")</f>
        <v>0</v>
      </c>
      <c r="H40" s="15" cm="1">
        <f t="array" ref="H40">Common_InputFunctions.Utility_LookupValueInTableNumber(E40,Table_SourceData_WasteSolid_VolumeToMassConversion[Waste type w],Table_SourceData_WasteSolid_VolumeToMassConversion[VTMw])</f>
        <v>0.42</v>
      </c>
      <c r="I40" s="15">
        <f>(G40 * H40)</f>
        <v>0</v>
      </c>
    </row>
    <row r="41" spans="1:9" ht="20.100000000000001" customHeight="1" x14ac:dyDescent="0.2">
      <c r="A41" s="5" t="str">
        <f>HYPERLINK("#'6.3.1.1-2 Leach runoff pasture'!A1", "6.3.1.1-2 Leach &amp; runoff (pasture)")</f>
        <v>6.3.1.1-2 Leach &amp; runoff (pasture)</v>
      </c>
      <c r="D41" s="105" t="str">
        <v>Incineration</v>
      </c>
      <c r="E41" s="106" t="str">
        <v>Municipal solid waste</v>
      </c>
      <c r="F41" s="108"/>
      <c r="G41" s="15" cm="1">
        <f t="array" ref="G41">WasteSolid_InputFunctions.WasteSolid_InputFunctions_SumWasteTreatment(Table_Input_SolidWaste[Treatment type (select)],Table_Input_SolidWaste[Waste type (select)],Table_Input_SolidWaste[Treatment location (select)],Table_Input_SolidWaste[Amount unit (select)],Table_Input_SolidWaste[Amount],D41,E41, "Treated on-site", "cubic metres m3")</f>
        <v>0</v>
      </c>
      <c r="H41" s="15" cm="1">
        <f t="array" ref="H41">Common_InputFunctions.Utility_LookupValueInTableNumber(E41,Table_SourceData_WasteSolid_VolumeToMassConversion[Waste type w],Table_SourceData_WasteSolid_VolumeToMassConversion[VTMw])</f>
        <v>0.36</v>
      </c>
      <c r="I41" s="15">
        <f>(G41 * H41)</f>
        <v>0</v>
      </c>
    </row>
    <row r="42" spans="1:9" ht="20.100000000000001" customHeight="1" x14ac:dyDescent="0.2">
      <c r="A42" s="5" t="str">
        <f>HYPERLINK("#'8.1.1.1-2 Transport fuel'!A1", "8.1.1.1-2 Transport fuel")</f>
        <v>8.1.1.1-2 Transport fuel</v>
      </c>
      <c r="D42" s="105" t="str">
        <v>Incineration</v>
      </c>
      <c r="E42" s="106" t="str">
        <v>Commercial and industrial waste</v>
      </c>
      <c r="F42" s="108"/>
      <c r="G42" s="15" cm="1">
        <f t="array" ref="G42">WasteSolid_InputFunctions.WasteSolid_InputFunctions_SumWasteTreatment(Table_Input_SolidWaste[Treatment type (select)],Table_Input_SolidWaste[Waste type (select)],Table_Input_SolidWaste[Treatment location (select)],Table_Input_SolidWaste[Amount unit (select)],Table_Input_SolidWaste[Amount],D42,E42, "Treated on-site", "cubic metres m3")</f>
        <v>0</v>
      </c>
      <c r="H42" s="15" cm="1">
        <f t="array" ref="H42">Common_InputFunctions.Utility_LookupValueInTableNumber(E42,Table_SourceData_WasteSolid_VolumeToMassConversion[Waste type w],Table_SourceData_WasteSolid_VolumeToMassConversion[VTMw])</f>
        <v>0.33</v>
      </c>
      <c r="I42" s="15">
        <f>(G42 * H42)</f>
        <v>0</v>
      </c>
    </row>
    <row r="43" spans="1:9" ht="20.100000000000001" customHeight="1" x14ac:dyDescent="0.2">
      <c r="A43" s="5" t="str">
        <f>HYPERLINK("#'8.2.1.1-2 Stationary fuel'!A1", "8.2.1.1-2 Stationary fuel")</f>
        <v>8.2.1.1-2 Stationary fuel</v>
      </c>
      <c r="D43" s="105" t="str">
        <v>Composting</v>
      </c>
      <c r="E43" s="106" t="str">
        <v>All organic waste</v>
      </c>
      <c r="F43" s="108"/>
      <c r="G43" s="15" t="s">
        <v>660</v>
      </c>
      <c r="H43" s="15" t="s">
        <v>660</v>
      </c>
      <c r="I43" s="15" t="s">
        <v>660</v>
      </c>
    </row>
    <row r="44" spans="1:9" ht="20.100000000000001" customHeight="1" x14ac:dyDescent="0.2">
      <c r="A44" s="104" t="str">
        <f>HYPERLINK("#'10.1.1-2 Solid waste treatment'!A1", "10.1.1.1-2 Solid waste")</f>
        <v>10.1.1.1-2 Solid waste</v>
      </c>
      <c r="D44" s="105" t="str">
        <v>Composting</v>
      </c>
      <c r="E44" s="106" t="str">
        <v>Food waste (including animal carcasses, spoiled animal feed or crop)</v>
      </c>
      <c r="F44" s="108"/>
      <c r="G44" s="15" cm="1">
        <f t="array" ref="G44">WasteSolid_InputFunctions.WasteSolid_InputFunctions_SumWasteTreatment(Table_Input_SolidWaste[Treatment type (select)],Table_Input_SolidWaste[Waste type (select)],Table_Input_SolidWaste[Treatment location (select)],Table_Input_SolidWaste[Amount unit (select)],Table_Input_SolidWaste[Amount],D44,E44, "Treated on-site", "cubic metres m3")</f>
        <v>0</v>
      </c>
      <c r="H44" s="15" cm="1">
        <f t="array" ref="H44">Common_InputFunctions.Utility_LookupValueInTableNumber(E44,Table_SourceData_WasteSolid_VolumeToMassConversion[Waste type w],Table_SourceData_WasteSolid_VolumeToMassConversion[VTMw])</f>
        <v>0.5</v>
      </c>
      <c r="I44" s="15">
        <f>(G44 * H44)</f>
        <v>0</v>
      </c>
    </row>
    <row r="45" spans="1:9" ht="20.100000000000001" customHeight="1" x14ac:dyDescent="0.2">
      <c r="A45" s="5" t="str">
        <f>HYPERLINK("#'14.1.1-2 Purchased electricity'!A1", "14.1.1-2 Purchased electricity")</f>
        <v>14.1.1-2 Purchased electricity</v>
      </c>
      <c r="D45" s="105" t="str">
        <v>Composting</v>
      </c>
      <c r="E45" s="106" t="str">
        <v>Green waste (including crop residues or prunings)</v>
      </c>
      <c r="F45" s="108"/>
      <c r="G45" s="15" cm="1">
        <f t="array" ref="G45">WasteSolid_InputFunctions.WasteSolid_InputFunctions_SumWasteTreatment(Table_Input_SolidWaste[Treatment type (select)],Table_Input_SolidWaste[Waste type (select)],Table_Input_SolidWaste[Treatment location (select)],Table_Input_SolidWaste[Amount unit (select)],Table_Input_SolidWaste[Amount],D45,E45, "Treated on-site", "cubic metres m3")</f>
        <v>0</v>
      </c>
      <c r="H45" s="15" cm="1">
        <f t="array" ref="H45">Common_InputFunctions.Utility_LookupValueInTableNumber(E45,Table_SourceData_WasteSolid_VolumeToMassConversion[Waste type w],Table_SourceData_WasteSolid_VolumeToMassConversion[VTMw])</f>
        <v>0.24</v>
      </c>
      <c r="I45" s="15">
        <f>(G45 * H45)</f>
        <v>0</v>
      </c>
    </row>
    <row r="46" spans="1:9" ht="20.100000000000001" customHeight="1" x14ac:dyDescent="0.2">
      <c r="A46" s="5" t="str">
        <f>HYPERLINK("#'15 Scope 3'!A1", "15 Scope 3")</f>
        <v>15 Scope 3</v>
      </c>
      <c r="D46" s="105" t="str">
        <v>Composting</v>
      </c>
      <c r="E46" s="106" t="str">
        <v>Wood</v>
      </c>
      <c r="F46" s="108"/>
      <c r="G46" s="15" cm="1">
        <f t="array" ref="G46">WasteSolid_InputFunctions.WasteSolid_InputFunctions_SumWasteTreatment(Table_Input_SolidWaste[Treatment type (select)],Table_Input_SolidWaste[Waste type (select)],Table_Input_SolidWaste[Treatment location (select)],Table_Input_SolidWaste[Amount unit (select)],Table_Input_SolidWaste[Amount],D46,E46, "Treated on-site", "cubic metres m3")</f>
        <v>0</v>
      </c>
      <c r="H46" s="15" cm="1">
        <f t="array" ref="H46">Common_InputFunctions.Utility_LookupValueInTableNumber(E46,Table_SourceData_WasteSolid_VolumeToMassConversion[Waste type w],Table_SourceData_WasteSolid_VolumeToMassConversion[VTMw])</f>
        <v>0.15</v>
      </c>
      <c r="I46" s="15">
        <f>(G46 * H46)</f>
        <v>0</v>
      </c>
    </row>
    <row r="47" spans="1:9" ht="20.100000000000001" customHeight="1" x14ac:dyDescent="0.2">
      <c r="A47" s="5" t="str">
        <f>HYPERLINK("#'Calcs - Manure sent off-site'!A1", "Calcs - Manure sent off-site")</f>
        <v>Calcs - Manure sent off-site</v>
      </c>
      <c r="D47" s="105" t="str">
        <v>Composting</v>
      </c>
      <c r="E47" s="106" t="str">
        <v>Sludge</v>
      </c>
      <c r="F47" s="108"/>
      <c r="G47" s="15" cm="1">
        <f t="array" ref="G47">WasteSolid_InputFunctions.WasteSolid_InputFunctions_SumWasteTreatment(Table_Input_SolidWaste[Treatment type (select)],Table_Input_SolidWaste[Waste type (select)],Table_Input_SolidWaste[Treatment location (select)],Table_Input_SolidWaste[Amount unit (select)],Table_Input_SolidWaste[Amount],D47,E47, "Treated on-site", "cubic metres m3")</f>
        <v>0</v>
      </c>
      <c r="H47" s="15" cm="1">
        <f t="array" ref="H47">Common_InputFunctions.Utility_LookupValueInTableNumber(E47,Table_SourceData_WasteSolid_VolumeToMassConversion[Waste type w],Table_SourceData_WasteSolid_VolumeToMassConversion[VTMw])</f>
        <v>0.72</v>
      </c>
      <c r="I47" s="15">
        <f>(G47 * H47)</f>
        <v>0</v>
      </c>
    </row>
    <row r="48" spans="1:9" ht="20.100000000000001" customHeight="1" x14ac:dyDescent="0.2">
      <c r="D48" s="105" t="str">
        <v>Composting</v>
      </c>
      <c r="E48" s="106" t="str">
        <v>Paper and cardboard</v>
      </c>
      <c r="F48" s="108"/>
      <c r="G48" s="15" cm="1">
        <f t="array" ref="G48">WasteSolid_InputFunctions.WasteSolid_InputFunctions_SumWasteTreatment(Table_Input_SolidWaste[Treatment type (select)],Table_Input_SolidWaste[Waste type (select)],Table_Input_SolidWaste[Treatment location (select)],Table_Input_SolidWaste[Amount unit (select)],Table_Input_SolidWaste[Amount],D48,E48, "Treated on-site", "cubic metres m3")</f>
        <v>0</v>
      </c>
      <c r="H48" s="15" cm="1">
        <f t="array" ref="H48">Common_InputFunctions.Utility_LookupValueInTableNumber(E48,Table_SourceData_WasteSolid_VolumeToMassConversion[Waste type w],Table_SourceData_WasteSolid_VolumeToMassConversion[VTMw])</f>
        <v>0.09</v>
      </c>
      <c r="I48" s="15">
        <f>(G48 * H48)</f>
        <v>0</v>
      </c>
    </row>
    <row r="49" spans="1:9" ht="20.100000000000001" customHeight="1" x14ac:dyDescent="0.2">
      <c r="D49" s="105" t="str">
        <v>Anaerobic digestion</v>
      </c>
      <c r="E49" s="106" t="str">
        <v>All organic waste</v>
      </c>
      <c r="F49" s="108"/>
      <c r="G49" s="15" t="s">
        <v>660</v>
      </c>
      <c r="H49" s="15" t="s">
        <v>660</v>
      </c>
      <c r="I49" s="15" t="s">
        <v>660</v>
      </c>
    </row>
    <row r="50" spans="1:9" ht="20.100000000000001" customHeight="1" x14ac:dyDescent="0.2">
      <c r="A50" s="85" t="s">
        <v>1</v>
      </c>
      <c r="D50" s="105" t="str">
        <v>Anaerobic digestion</v>
      </c>
      <c r="E50" s="106" t="str">
        <v>Food waste (including animal carcasses, spoiled animal feed or crop)</v>
      </c>
      <c r="F50" s="108"/>
      <c r="G50" s="15" cm="1">
        <f t="array" ref="G50">WasteSolid_InputFunctions.WasteSolid_InputFunctions_SumWasteTreatment(Table_Input_SolidWaste[Treatment type (select)],Table_Input_SolidWaste[Waste type (select)],Table_Input_SolidWaste[Treatment location (select)],Table_Input_SolidWaste[Amount unit (select)],Table_Input_SolidWaste[Amount],D50,E50, "Treated on-site", "cubic metres m3")</f>
        <v>0</v>
      </c>
      <c r="H50" s="15" cm="1">
        <f t="array" ref="H50">Common_InputFunctions.Utility_LookupValueInTableNumber(E50,Table_SourceData_WasteSolid_VolumeToMassConversion[Waste type w],Table_SourceData_WasteSolid_VolumeToMassConversion[VTMw])</f>
        <v>0.5</v>
      </c>
      <c r="I50" s="15">
        <f>(G50 * H50)</f>
        <v>0</v>
      </c>
    </row>
    <row r="51" spans="1:9" ht="20.100000000000001" customHeight="1" x14ac:dyDescent="0.2">
      <c r="A51" s="5" t="str">
        <f>HYPERLINK("#'Constants - Pasture Beef'!A1", "Constants - Pasture Beef")</f>
        <v>Constants - Pasture Beef</v>
      </c>
      <c r="D51" s="105" t="str">
        <v>Anaerobic digestion</v>
      </c>
      <c r="E51" s="106" t="str">
        <v>Green waste (including crop residues or prunings)</v>
      </c>
      <c r="F51" s="108"/>
      <c r="G51" s="15" cm="1">
        <f t="array" ref="G51">WasteSolid_InputFunctions.WasteSolid_InputFunctions_SumWasteTreatment(Table_Input_SolidWaste[Treatment type (select)],Table_Input_SolidWaste[Waste type (select)],Table_Input_SolidWaste[Treatment location (select)],Table_Input_SolidWaste[Amount unit (select)],Table_Input_SolidWaste[Amount],D51,E51, "Treated on-site", "cubic metres m3")</f>
        <v>0</v>
      </c>
      <c r="H51" s="15" cm="1">
        <f t="array" ref="H51">Common_InputFunctions.Utility_LookupValueInTableNumber(E51,Table_SourceData_WasteSolid_VolumeToMassConversion[Waste type w],Table_SourceData_WasteSolid_VolumeToMassConversion[VTMw])</f>
        <v>0.24</v>
      </c>
      <c r="I51" s="15">
        <f>(G51 * H51)</f>
        <v>0</v>
      </c>
    </row>
    <row r="52" spans="1:9" ht="20.100000000000001" customHeight="1" x14ac:dyDescent="0.2">
      <c r="A52" s="5" t="str">
        <f>HYPERLINK("#'Constants - Ag Residue'!A1", "Constants - Ag residue")</f>
        <v>Constants - Ag residue</v>
      </c>
      <c r="D52" s="105" t="str">
        <v>Anaerobic digestion</v>
      </c>
      <c r="E52" s="106" t="str">
        <v>Wood</v>
      </c>
      <c r="F52" s="108"/>
      <c r="G52" s="15" cm="1">
        <f t="array" ref="G52">WasteSolid_InputFunctions.WasteSolid_InputFunctions_SumWasteTreatment(Table_Input_SolidWaste[Treatment type (select)],Table_Input_SolidWaste[Waste type (select)],Table_Input_SolidWaste[Treatment location (select)],Table_Input_SolidWaste[Amount unit (select)],Table_Input_SolidWaste[Amount],D52,E52, "Treated on-site", "cubic metres m3")</f>
        <v>0</v>
      </c>
      <c r="H52" s="15" cm="1">
        <f t="array" ref="H52">Common_InputFunctions.Utility_LookupValueInTableNumber(E52,Table_SourceData_WasteSolid_VolumeToMassConversion[Waste type w],Table_SourceData_WasteSolid_VolumeToMassConversion[VTMw])</f>
        <v>0.15</v>
      </c>
      <c r="I52" s="15">
        <f>(G52 * H52)</f>
        <v>0</v>
      </c>
    </row>
    <row r="53" spans="1:9" ht="20.100000000000001" customHeight="1" x14ac:dyDescent="0.2">
      <c r="A53" s="5" t="str">
        <f>HYPERLINK("#'Constants - Common Livestock'!A1", "Constants - Common Livestock")</f>
        <v>Constants - Common Livestock</v>
      </c>
      <c r="D53" s="105" t="str">
        <v>Anaerobic digestion</v>
      </c>
      <c r="E53" s="106" t="str">
        <v>Sludge</v>
      </c>
      <c r="F53" s="108"/>
      <c r="G53" s="15" cm="1">
        <f t="array" ref="G53">WasteSolid_InputFunctions.WasteSolid_InputFunctions_SumWasteTreatment(Table_Input_SolidWaste[Treatment type (select)],Table_Input_SolidWaste[Waste type (select)],Table_Input_SolidWaste[Treatment location (select)],Table_Input_SolidWaste[Amount unit (select)],Table_Input_SolidWaste[Amount],D53,E53, "Treated on-site", "cubic metres m3")</f>
        <v>0</v>
      </c>
      <c r="H53" s="15" cm="1">
        <f t="array" ref="H53">Common_InputFunctions.Utility_LookupValueInTableNumber(E53,Table_SourceData_WasteSolid_VolumeToMassConversion[Waste type w],Table_SourceData_WasteSolid_VolumeToMassConversion[VTMw])</f>
        <v>0.72</v>
      </c>
      <c r="I53" s="15">
        <f>(G53 * H53)</f>
        <v>0</v>
      </c>
    </row>
    <row r="54" spans="1:9" ht="20.100000000000001" customHeight="1" x14ac:dyDescent="0.2">
      <c r="A54" s="5" t="str">
        <f>HYPERLINK("#'Constants - Electricity'!A1", "Constants - Electricity")</f>
        <v>Constants - Electricity</v>
      </c>
      <c r="D54" s="105" t="str">
        <v>Anaerobic digestion</v>
      </c>
      <c r="E54" s="106" t="str">
        <v>Paper and cardboard</v>
      </c>
      <c r="F54" s="108"/>
      <c r="G54" s="15" cm="1">
        <f t="array" ref="G54">WasteSolid_InputFunctions.WasteSolid_InputFunctions_SumWasteTreatment(Table_Input_SolidWaste[Treatment type (select)],Table_Input_SolidWaste[Waste type (select)],Table_Input_SolidWaste[Treatment location (select)],Table_Input_SolidWaste[Amount unit (select)],Table_Input_SolidWaste[Amount],D54,E54, "Treated on-site", "cubic metres m3")</f>
        <v>0</v>
      </c>
      <c r="H54" s="15" cm="1">
        <f t="array" ref="H54">Common_InputFunctions.Utility_LookupValueInTableNumber(E54,Table_SourceData_WasteSolid_VolumeToMassConversion[Waste type w],Table_SourceData_WasteSolid_VolumeToMassConversion[VTMw])</f>
        <v>0.09</v>
      </c>
      <c r="I54" s="15">
        <f>(G54 * H54)</f>
        <v>0</v>
      </c>
    </row>
    <row r="55" spans="1:9" ht="20.100000000000001" customHeight="1" x14ac:dyDescent="0.2">
      <c r="A55" s="5" t="str">
        <f>HYPERLINK("#'Constants - Fertiliser'!A1", "Constants - Fertiliser")</f>
        <v>Constants - Fertiliser</v>
      </c>
    </row>
    <row r="56" spans="1:9" ht="20.100000000000001" customHeight="1" x14ac:dyDescent="0.2">
      <c r="A56" s="5" t="str">
        <f>HYPERLINK("#'Constants - Fuel'!A1", "Constants - Fuel")</f>
        <v>Constants - Fuel</v>
      </c>
      <c r="D56" s="112" t="s">
        <v>908</v>
      </c>
    </row>
    <row r="57" spans="1:9" ht="20.100000000000001" customHeight="1" x14ac:dyDescent="0.2">
      <c r="A57" s="5" t="str">
        <f>HYPERLINK("#'Constants - Scope 3'!A1", "Constants - Scope 3")</f>
        <v>Constants - Scope 3</v>
      </c>
      <c r="D57" s="113" t="s">
        <v>909</v>
      </c>
    </row>
    <row r="58" spans="1:9" ht="20.100000000000001" customHeight="1" x14ac:dyDescent="0.2">
      <c r="A58" s="5" t="str">
        <f>HYPERLINK("#'Constants - Solid Waste'!A1", "Constants - Solid Waste")</f>
        <v>Constants - Solid Waste</v>
      </c>
      <c r="D58" s="82" t="s">
        <v>903</v>
      </c>
      <c r="E58" s="82" t="s">
        <v>904</v>
      </c>
      <c r="F58" s="82"/>
      <c r="G58" s="82" t="s">
        <v>905</v>
      </c>
      <c r="H58" s="114" t="s">
        <v>906</v>
      </c>
      <c r="I58" s="114" t="s">
        <v>907</v>
      </c>
    </row>
    <row r="59" spans="1:9" ht="20.100000000000001" customHeight="1" x14ac:dyDescent="0.2">
      <c r="A59" s="5" t="str">
        <f>HYPERLINK("#'Constants - Common'!A1", "Constants - Common")</f>
        <v>Constants - Common</v>
      </c>
      <c r="D59" s="105" t="str" cm="1">
        <f t="array" ref="D59:D92">Table_SourceData_WasteSolid_WasteTreatmentEFs[Treatment type t]</f>
        <v>Landfill</v>
      </c>
      <c r="E59" s="106" t="str" cm="1">
        <f t="array" ref="E59:E92">Table_SourceData_WasteSolid_WasteTreatmentEFs[Waste type w]</f>
        <v>Food waste (including animal carcasses, spoiled animal feed or crop)</v>
      </c>
      <c r="F59" s="164"/>
      <c r="G59" s="15" cm="1">
        <f t="array" ref="G59">WasteSolid_InputFunctions.WasteSolid_InputFunctions_SumWasteTreatment(Table_Input_SolidWaste[Treatment type (select)],Table_Input_SolidWaste[Waste type (select)],Table_Input_SolidWaste[Treatment location (select)],Table_Input_SolidWaste[Amount unit (select)],Table_Input_SolidWaste[Amount],D59,E59, "Removed and treated off-site", "cubic metres m3")</f>
        <v>0</v>
      </c>
      <c r="H59" s="15" cm="1">
        <f t="array" ref="H59">Common_InputFunctions.Utility_LookupValueInTableNumber(E59,Table_SourceData_WasteSolid_VolumeToMassConversion[Waste type w],Table_SourceData_WasteSolid_VolumeToMassConversion[VTMw])</f>
        <v>0.5</v>
      </c>
      <c r="I59" s="15">
        <f>(G59 * H59)</f>
        <v>0</v>
      </c>
    </row>
    <row r="60" spans="1:9" ht="20.100000000000001" customHeight="1" x14ac:dyDescent="0.2">
      <c r="A60" s="5" t="str">
        <f>HYPERLINK("#'Acknowledgements'!A1", "Acknowledgements")</f>
        <v>Acknowledgements</v>
      </c>
      <c r="D60" s="105" t="str">
        <v>Landfill</v>
      </c>
      <c r="E60" s="106" t="str">
        <v>Paper and cardboard</v>
      </c>
      <c r="F60" s="164"/>
      <c r="G60" s="15" cm="1">
        <f t="array" ref="G60">WasteSolid_InputFunctions.WasteSolid_InputFunctions_SumWasteTreatment(Table_Input_SolidWaste[Treatment type (select)],Table_Input_SolidWaste[Waste type (select)],Table_Input_SolidWaste[Treatment location (select)],Table_Input_SolidWaste[Amount unit (select)],Table_Input_SolidWaste[Amount],D60,E60, "Removed and treated off-site", "cubic metres m3")</f>
        <v>0</v>
      </c>
      <c r="H60" s="15" cm="1">
        <f t="array" ref="H60">Common_InputFunctions.Utility_LookupValueInTableNumber(E60,Table_SourceData_WasteSolid_VolumeToMassConversion[Waste type w],Table_SourceData_WasteSolid_VolumeToMassConversion[VTMw])</f>
        <v>0.09</v>
      </c>
      <c r="I60" s="15">
        <f>(G60 * H60)</f>
        <v>0</v>
      </c>
    </row>
    <row r="61" spans="1:9" ht="20.100000000000001" customHeight="1" x14ac:dyDescent="0.2">
      <c r="D61" s="105" t="str">
        <v>Landfill</v>
      </c>
      <c r="E61" s="106" t="str">
        <v>Green waste (including crop residues or prunings)</v>
      </c>
      <c r="F61" s="164"/>
      <c r="G61" s="15" cm="1">
        <f t="array" ref="G61">WasteSolid_InputFunctions.WasteSolid_InputFunctions_SumWasteTreatment(Table_Input_SolidWaste[Treatment type (select)],Table_Input_SolidWaste[Waste type (select)],Table_Input_SolidWaste[Treatment location (select)],Table_Input_SolidWaste[Amount unit (select)],Table_Input_SolidWaste[Amount],D61,E61, "Removed and treated off-site", "cubic metres m3")</f>
        <v>0</v>
      </c>
      <c r="H61" s="15" cm="1">
        <f t="array" ref="H61">Common_InputFunctions.Utility_LookupValueInTableNumber(E61,Table_SourceData_WasteSolid_VolumeToMassConversion[Waste type w],Table_SourceData_WasteSolid_VolumeToMassConversion[VTMw])</f>
        <v>0.24</v>
      </c>
      <c r="I61" s="15">
        <f>(G61 * H61)</f>
        <v>0</v>
      </c>
    </row>
    <row r="62" spans="1:9" ht="20.100000000000001" customHeight="1" x14ac:dyDescent="0.2">
      <c r="D62" s="105" t="str">
        <v>Landfill</v>
      </c>
      <c r="E62" s="106" t="str">
        <v>Wood</v>
      </c>
      <c r="F62" s="164"/>
      <c r="G62" s="15" cm="1">
        <f t="array" ref="G62">WasteSolid_InputFunctions.WasteSolid_InputFunctions_SumWasteTreatment(Table_Input_SolidWaste[Treatment type (select)],Table_Input_SolidWaste[Waste type (select)],Table_Input_SolidWaste[Treatment location (select)],Table_Input_SolidWaste[Amount unit (select)],Table_Input_SolidWaste[Amount],D62,E62, "Removed and treated off-site", "cubic metres m3")</f>
        <v>0</v>
      </c>
      <c r="H62" s="15" cm="1">
        <f t="array" ref="H62">Common_InputFunctions.Utility_LookupValueInTableNumber(E62,Table_SourceData_WasteSolid_VolumeToMassConversion[Waste type w],Table_SourceData_WasteSolid_VolumeToMassConversion[VTMw])</f>
        <v>0.15</v>
      </c>
      <c r="I62" s="15">
        <f>(G62 * H62)</f>
        <v>0</v>
      </c>
    </row>
    <row r="63" spans="1:9" ht="20.100000000000001" customHeight="1" x14ac:dyDescent="0.2">
      <c r="D63" s="105" t="str">
        <v>Landfill</v>
      </c>
      <c r="E63" s="106" t="str">
        <v>Textiles</v>
      </c>
      <c r="F63" s="164"/>
      <c r="G63" s="15" cm="1">
        <f t="array" ref="G63">WasteSolid_InputFunctions.WasteSolid_InputFunctions_SumWasteTreatment(Table_Input_SolidWaste[Treatment type (select)],Table_Input_SolidWaste[Waste type (select)],Table_Input_SolidWaste[Treatment location (select)],Table_Input_SolidWaste[Amount unit (select)],Table_Input_SolidWaste[Amount],D63,E63, "Removed and treated off-site", "cubic metres m3")</f>
        <v>0</v>
      </c>
      <c r="H63" s="15" cm="1">
        <f t="array" ref="H63">Common_InputFunctions.Utility_LookupValueInTableNumber(E63,Table_SourceData_WasteSolid_VolumeToMassConversion[Waste type w],Table_SourceData_WasteSolid_VolumeToMassConversion[VTMw])</f>
        <v>0.14000000000000001</v>
      </c>
      <c r="I63" s="15">
        <f>(G63 * H63)</f>
        <v>0</v>
      </c>
    </row>
    <row r="64" spans="1:9" ht="20.100000000000001" customHeight="1" x14ac:dyDescent="0.2">
      <c r="D64" s="105" t="str">
        <v>Landfill</v>
      </c>
      <c r="E64" s="106" t="str">
        <v>Sludge</v>
      </c>
      <c r="F64" s="164"/>
      <c r="G64" s="15" cm="1">
        <f t="array" ref="G64">WasteSolid_InputFunctions.WasteSolid_InputFunctions_SumWasteTreatment(Table_Input_SolidWaste[Treatment type (select)],Table_Input_SolidWaste[Waste type (select)],Table_Input_SolidWaste[Treatment location (select)],Table_Input_SolidWaste[Amount unit (select)],Table_Input_SolidWaste[Amount],D64,E64, "Removed and treated off-site", "cubic metres m3")</f>
        <v>0</v>
      </c>
      <c r="H64" s="15" cm="1">
        <f t="array" ref="H64">Common_InputFunctions.Utility_LookupValueInTableNumber(E64,Table_SourceData_WasteSolid_VolumeToMassConversion[Waste type w],Table_SourceData_WasteSolid_VolumeToMassConversion[VTMw])</f>
        <v>0.72</v>
      </c>
      <c r="I64" s="15">
        <f>(G64 * H64)</f>
        <v>0</v>
      </c>
    </row>
    <row r="65" spans="4:9" ht="20.100000000000001" customHeight="1" x14ac:dyDescent="0.2">
      <c r="D65" s="105" t="str">
        <v>Landfill</v>
      </c>
      <c r="E65" s="106" t="str">
        <v>Rubber and leather</v>
      </c>
      <c r="F65" s="164"/>
      <c r="G65" s="15" cm="1">
        <f t="array" ref="G65">WasteSolid_InputFunctions.WasteSolid_InputFunctions_SumWasteTreatment(Table_Input_SolidWaste[Treatment type (select)],Table_Input_SolidWaste[Waste type (select)],Table_Input_SolidWaste[Treatment location (select)],Table_Input_SolidWaste[Amount unit (select)],Table_Input_SolidWaste[Amount],D65,E65, "Removed and treated off-site", "cubic metres m3")</f>
        <v>0</v>
      </c>
      <c r="H65" s="15" cm="1">
        <f t="array" ref="H65">Common_InputFunctions.Utility_LookupValueInTableNumber(E65,Table_SourceData_WasteSolid_VolumeToMassConversion[Waste type w],Table_SourceData_WasteSolid_VolumeToMassConversion[VTMw])</f>
        <v>0.14000000000000001</v>
      </c>
      <c r="I65" s="15">
        <f>(G65 * H65)</f>
        <v>0</v>
      </c>
    </row>
    <row r="66" spans="4:9" ht="20.100000000000001" customHeight="1" x14ac:dyDescent="0.2">
      <c r="D66" s="105" t="str">
        <v>Landfill</v>
      </c>
      <c r="E66" s="106" t="str">
        <v>Inert waste (including concrete, metal, plastic or glass)</v>
      </c>
      <c r="F66" s="164"/>
      <c r="G66" s="15" cm="1">
        <f t="array" ref="G66">WasteSolid_InputFunctions.WasteSolid_InputFunctions_SumWasteTreatment(Table_Input_SolidWaste[Treatment type (select)],Table_Input_SolidWaste[Waste type (select)],Table_Input_SolidWaste[Treatment location (select)],Table_Input_SolidWaste[Amount unit (select)],Table_Input_SolidWaste[Amount],D66,E66, "Removed and treated off-site", "cubic metres m3")</f>
        <v>0</v>
      </c>
      <c r="H66" s="15" cm="1">
        <f t="array" ref="H66">Common_InputFunctions.Utility_LookupValueInTableNumber(E66,Table_SourceData_WasteSolid_VolumeToMassConversion[Waste type w],Table_SourceData_WasteSolid_VolumeToMassConversion[VTMw])</f>
        <v>0.42</v>
      </c>
      <c r="I66" s="15">
        <f>(G66 * H66)</f>
        <v>0</v>
      </c>
    </row>
    <row r="67" spans="4:9" ht="20.100000000000001" customHeight="1" x14ac:dyDescent="0.2">
      <c r="D67" s="105" t="str">
        <v>Landfill</v>
      </c>
      <c r="E67" s="106" t="str">
        <v>Municipal solid waste</v>
      </c>
      <c r="F67" s="164"/>
      <c r="G67" s="15" cm="1">
        <f t="array" ref="G67">WasteSolid_InputFunctions.WasteSolid_InputFunctions_SumWasteTreatment(Table_Input_SolidWaste[Treatment type (select)],Table_Input_SolidWaste[Waste type (select)],Table_Input_SolidWaste[Treatment location (select)],Table_Input_SolidWaste[Amount unit (select)],Table_Input_SolidWaste[Amount],D67,E67, "Removed and treated off-site", "cubic metres m3")</f>
        <v>0</v>
      </c>
      <c r="H67" s="15" cm="1">
        <f t="array" ref="H67">Common_InputFunctions.Utility_LookupValueInTableNumber(E67,Table_SourceData_WasteSolid_VolumeToMassConversion[Waste type w],Table_SourceData_WasteSolid_VolumeToMassConversion[VTMw])</f>
        <v>0.36</v>
      </c>
      <c r="I67" s="15">
        <f>(G67 * H67)</f>
        <v>0</v>
      </c>
    </row>
    <row r="68" spans="4:9" ht="20.100000000000001" customHeight="1" x14ac:dyDescent="0.2">
      <c r="D68" s="105" t="str">
        <v>Landfill</v>
      </c>
      <c r="E68" s="106" t="str">
        <v>Commercial and industrial waste</v>
      </c>
      <c r="F68" s="164"/>
      <c r="G68" s="15" cm="1">
        <f t="array" ref="G68">WasteSolid_InputFunctions.WasteSolid_InputFunctions_SumWasteTreatment(Table_Input_SolidWaste[Treatment type (select)],Table_Input_SolidWaste[Waste type (select)],Table_Input_SolidWaste[Treatment location (select)],Table_Input_SolidWaste[Amount unit (select)],Table_Input_SolidWaste[Amount],D68,E68, "Removed and treated off-site", "cubic metres m3")</f>
        <v>0</v>
      </c>
      <c r="H68" s="15" cm="1">
        <f t="array" ref="H68">Common_InputFunctions.Utility_LookupValueInTableNumber(E68,Table_SourceData_WasteSolid_VolumeToMassConversion[Waste type w],Table_SourceData_WasteSolid_VolumeToMassConversion[VTMw])</f>
        <v>0.33</v>
      </c>
      <c r="I68" s="15">
        <f>(G68 * H68)</f>
        <v>0</v>
      </c>
    </row>
    <row r="69" spans="4:9" ht="20.100000000000001" customHeight="1" x14ac:dyDescent="0.2">
      <c r="D69" s="105" t="str">
        <v>Landfill</v>
      </c>
      <c r="E69" s="106" t="str">
        <v>Construction and demolition waste</v>
      </c>
      <c r="F69" s="164"/>
      <c r="G69" s="15" cm="1">
        <f t="array" ref="G69">WasteSolid_InputFunctions.WasteSolid_InputFunctions_SumWasteTreatment(Table_Input_SolidWaste[Treatment type (select)],Table_Input_SolidWaste[Waste type (select)],Table_Input_SolidWaste[Treatment location (select)],Table_Input_SolidWaste[Amount unit (select)],Table_Input_SolidWaste[Amount],D69,E69, "Removed and treated off-site", "cubic metres m3")</f>
        <v>0</v>
      </c>
      <c r="H69" s="15" cm="1">
        <f t="array" ref="H69">Common_InputFunctions.Utility_LookupValueInTableNumber(E69,Table_SourceData_WasteSolid_VolumeToMassConversion[Waste type w],Table_SourceData_WasteSolid_VolumeToMassConversion[VTMw])</f>
        <v>0.39</v>
      </c>
      <c r="I69" s="15">
        <f>(G69 * H69)</f>
        <v>0</v>
      </c>
    </row>
    <row r="70" spans="4:9" ht="20.100000000000001" customHeight="1" x14ac:dyDescent="0.2">
      <c r="D70" s="105" t="str">
        <v>Incineration</v>
      </c>
      <c r="E70" s="106" t="str">
        <v>Food waste, green waste, wood, sludge</v>
      </c>
      <c r="F70" s="164"/>
      <c r="G70" s="15" t="s">
        <v>660</v>
      </c>
      <c r="H70" s="15" t="s">
        <v>660</v>
      </c>
      <c r="I70" s="15" t="s">
        <v>660</v>
      </c>
    </row>
    <row r="71" spans="4:9" ht="20.100000000000001" customHeight="1" x14ac:dyDescent="0.2">
      <c r="D71" s="105" t="str">
        <v>Incineration</v>
      </c>
      <c r="E71" s="106" t="str">
        <v>Food waste (including animal carcasses, spoiled animal feed or crop)</v>
      </c>
      <c r="F71" s="164"/>
      <c r="G71" s="15" cm="1">
        <f t="array" ref="G71">WasteSolid_InputFunctions.WasteSolid_InputFunctions_SumWasteTreatment(Table_Input_SolidWaste[Treatment type (select)],Table_Input_SolidWaste[Waste type (select)],Table_Input_SolidWaste[Treatment location (select)],Table_Input_SolidWaste[Amount unit (select)],Table_Input_SolidWaste[Amount],D71,E71, "Removed and treated off-site", "cubic metres m3")</f>
        <v>0</v>
      </c>
      <c r="H71" s="15" cm="1">
        <f t="array" ref="H71">Common_InputFunctions.Utility_LookupValueInTableNumber(E71,Table_SourceData_WasteSolid_VolumeToMassConversion[Waste type w],Table_SourceData_WasteSolid_VolumeToMassConversion[VTMw])</f>
        <v>0.5</v>
      </c>
      <c r="I71" s="15">
        <f>(G71 * H71)</f>
        <v>0</v>
      </c>
    </row>
    <row r="72" spans="4:9" ht="20.100000000000001" customHeight="1" x14ac:dyDescent="0.2">
      <c r="D72" s="105" t="str">
        <v>Incineration</v>
      </c>
      <c r="E72" s="106" t="str">
        <v>Green waste (including crop residues or prunings)</v>
      </c>
      <c r="F72" s="164"/>
      <c r="G72" s="15" cm="1">
        <f t="array" ref="G72">WasteSolid_InputFunctions.WasteSolid_InputFunctions_SumWasteTreatment(Table_Input_SolidWaste[Treatment type (select)],Table_Input_SolidWaste[Waste type (select)],Table_Input_SolidWaste[Treatment location (select)],Table_Input_SolidWaste[Amount unit (select)],Table_Input_SolidWaste[Amount],D72,E72, "Removed and treated off-site", "cubic metres m3")</f>
        <v>0</v>
      </c>
      <c r="H72" s="15" cm="1">
        <f t="array" ref="H72">Common_InputFunctions.Utility_LookupValueInTableNumber(E72,Table_SourceData_WasteSolid_VolumeToMassConversion[Waste type w],Table_SourceData_WasteSolid_VolumeToMassConversion[VTMw])</f>
        <v>0.24</v>
      </c>
      <c r="I72" s="15">
        <f>(G72 * H72)</f>
        <v>0</v>
      </c>
    </row>
    <row r="73" spans="4:9" ht="20.100000000000001" customHeight="1" x14ac:dyDescent="0.2">
      <c r="D73" s="105" t="str">
        <v>Incineration</v>
      </c>
      <c r="E73" s="106" t="str">
        <v>Wood</v>
      </c>
      <c r="F73" s="164"/>
      <c r="G73" s="15" cm="1">
        <f t="array" ref="G73">WasteSolid_InputFunctions.WasteSolid_InputFunctions_SumWasteTreatment(Table_Input_SolidWaste[Treatment type (select)],Table_Input_SolidWaste[Waste type (select)],Table_Input_SolidWaste[Treatment location (select)],Table_Input_SolidWaste[Amount unit (select)],Table_Input_SolidWaste[Amount],D73,E73, "Removed and treated off-site", "cubic metres m3")</f>
        <v>0</v>
      </c>
      <c r="H73" s="15" cm="1">
        <f t="array" ref="H73">Common_InputFunctions.Utility_LookupValueInTableNumber(E73,Table_SourceData_WasteSolid_VolumeToMassConversion[Waste type w],Table_SourceData_WasteSolid_VolumeToMassConversion[VTMw])</f>
        <v>0.15</v>
      </c>
      <c r="I73" s="15">
        <f>(G73 * H73)</f>
        <v>0</v>
      </c>
    </row>
    <row r="74" spans="4:9" ht="20.100000000000001" customHeight="1" x14ac:dyDescent="0.2">
      <c r="D74" s="105" t="str">
        <v>Incineration</v>
      </c>
      <c r="E74" s="106" t="str">
        <v>Sludge</v>
      </c>
      <c r="F74" s="164"/>
      <c r="G74" s="15" cm="1">
        <f t="array" ref="G74">WasteSolid_InputFunctions.WasteSolid_InputFunctions_SumWasteTreatment(Table_Input_SolidWaste[Treatment type (select)],Table_Input_SolidWaste[Waste type (select)],Table_Input_SolidWaste[Treatment location (select)],Table_Input_SolidWaste[Amount unit (select)],Table_Input_SolidWaste[Amount],D74,E74, "Removed and treated off-site", "cubic metres m3")</f>
        <v>0</v>
      </c>
      <c r="H74" s="15" cm="1">
        <f t="array" ref="H74">Common_InputFunctions.Utility_LookupValueInTableNumber(E74,Table_SourceData_WasteSolid_VolumeToMassConversion[Waste type w],Table_SourceData_WasteSolid_VolumeToMassConversion[VTMw])</f>
        <v>0.72</v>
      </c>
      <c r="I74" s="15">
        <f>(G74 * H74)</f>
        <v>0</v>
      </c>
    </row>
    <row r="75" spans="4:9" ht="20.100000000000001" customHeight="1" x14ac:dyDescent="0.2">
      <c r="D75" s="105" t="str">
        <v>Incineration</v>
      </c>
      <c r="E75" s="106" t="str">
        <v>Paper and cardboard</v>
      </c>
      <c r="F75" s="164"/>
      <c r="G75" s="15" cm="1">
        <f t="array" ref="G75">WasteSolid_InputFunctions.WasteSolid_InputFunctions_SumWasteTreatment(Table_Input_SolidWaste[Treatment type (select)],Table_Input_SolidWaste[Waste type (select)],Table_Input_SolidWaste[Treatment location (select)],Table_Input_SolidWaste[Amount unit (select)],Table_Input_SolidWaste[Amount],D75,E75, "Removed and treated off-site", "cubic metres m3")</f>
        <v>0</v>
      </c>
      <c r="H75" s="15" cm="1">
        <f t="array" ref="H75">Common_InputFunctions.Utility_LookupValueInTableNumber(E75,Table_SourceData_WasteSolid_VolumeToMassConversion[Waste type w],Table_SourceData_WasteSolid_VolumeToMassConversion[VTMw])</f>
        <v>0.09</v>
      </c>
      <c r="I75" s="15">
        <f>(G75 * H75)</f>
        <v>0</v>
      </c>
    </row>
    <row r="76" spans="4:9" ht="20.100000000000001" customHeight="1" x14ac:dyDescent="0.2">
      <c r="D76" s="105" t="str">
        <v>Incineration</v>
      </c>
      <c r="E76" s="106" t="str">
        <v>Textiles</v>
      </c>
      <c r="F76" s="164"/>
      <c r="G76" s="15" cm="1">
        <f t="array" ref="G76">WasteSolid_InputFunctions.WasteSolid_InputFunctions_SumWasteTreatment(Table_Input_SolidWaste[Treatment type (select)],Table_Input_SolidWaste[Waste type (select)],Table_Input_SolidWaste[Treatment location (select)],Table_Input_SolidWaste[Amount unit (select)],Table_Input_SolidWaste[Amount],D76,E76, "Removed and treated off-site", "cubic metres m3")</f>
        <v>0</v>
      </c>
      <c r="H76" s="15" cm="1">
        <f t="array" ref="H76">Common_InputFunctions.Utility_LookupValueInTableNumber(E76,Table_SourceData_WasteSolid_VolumeToMassConversion[Waste type w],Table_SourceData_WasteSolid_VolumeToMassConversion[VTMw])</f>
        <v>0.14000000000000001</v>
      </c>
      <c r="I76" s="15">
        <f>(G76 * H76)</f>
        <v>0</v>
      </c>
    </row>
    <row r="77" spans="4:9" ht="20.100000000000001" customHeight="1" x14ac:dyDescent="0.2">
      <c r="D77" s="105" t="str">
        <v>Incineration</v>
      </c>
      <c r="E77" s="106" t="str">
        <v>Rubber and leather</v>
      </c>
      <c r="F77" s="164"/>
      <c r="G77" s="15" cm="1">
        <f t="array" ref="G77">WasteSolid_InputFunctions.WasteSolid_InputFunctions_SumWasteTreatment(Table_Input_SolidWaste[Treatment type (select)],Table_Input_SolidWaste[Waste type (select)],Table_Input_SolidWaste[Treatment location (select)],Table_Input_SolidWaste[Amount unit (select)],Table_Input_SolidWaste[Amount],D77,E77, "Removed and treated off-site", "cubic metres m3")</f>
        <v>0</v>
      </c>
      <c r="H77" s="15" cm="1">
        <f t="array" ref="H77">Common_InputFunctions.Utility_LookupValueInTableNumber(E77,Table_SourceData_WasteSolid_VolumeToMassConversion[Waste type w],Table_SourceData_WasteSolid_VolumeToMassConversion[VTMw])</f>
        <v>0.14000000000000001</v>
      </c>
      <c r="I77" s="15">
        <f>(G77 * H77)</f>
        <v>0</v>
      </c>
    </row>
    <row r="78" spans="4:9" ht="20.100000000000001" customHeight="1" x14ac:dyDescent="0.2">
      <c r="D78" s="105" t="str">
        <v>Incineration</v>
      </c>
      <c r="E78" s="106" t="str">
        <v>Inert waste (including concrete, metal, plastic or glass)</v>
      </c>
      <c r="F78" s="164"/>
      <c r="G78" s="15" cm="1">
        <f t="array" ref="G78">WasteSolid_InputFunctions.WasteSolid_InputFunctions_SumWasteTreatment(Table_Input_SolidWaste[Treatment type (select)],Table_Input_SolidWaste[Waste type (select)],Table_Input_SolidWaste[Treatment location (select)],Table_Input_SolidWaste[Amount unit (select)],Table_Input_SolidWaste[Amount],D78,E78, "Removed and treated off-site", "cubic metres m3")</f>
        <v>0</v>
      </c>
      <c r="H78" s="15" cm="1">
        <f t="array" ref="H78">Common_InputFunctions.Utility_LookupValueInTableNumber(E78,Table_SourceData_WasteSolid_VolumeToMassConversion[Waste type w],Table_SourceData_WasteSolid_VolumeToMassConversion[VTMw])</f>
        <v>0.42</v>
      </c>
      <c r="I78" s="15">
        <f>(G78 * H78)</f>
        <v>0</v>
      </c>
    </row>
    <row r="79" spans="4:9" ht="20.100000000000001" customHeight="1" x14ac:dyDescent="0.2">
      <c r="D79" s="105" t="str">
        <v>Incineration</v>
      </c>
      <c r="E79" s="106" t="str">
        <v>Municipal solid waste</v>
      </c>
      <c r="F79" s="108"/>
      <c r="G79" s="15" cm="1">
        <f t="array" ref="G79">WasteSolid_InputFunctions.WasteSolid_InputFunctions_SumWasteTreatment(Table_Input_SolidWaste[Treatment type (select)],Table_Input_SolidWaste[Waste type (select)],Table_Input_SolidWaste[Treatment location (select)],Table_Input_SolidWaste[Amount unit (select)],Table_Input_SolidWaste[Amount],D79,E79, "Removed and treated off-site", "cubic metres m3")</f>
        <v>0</v>
      </c>
      <c r="H79" s="15" cm="1">
        <f t="array" ref="H79">Common_InputFunctions.Utility_LookupValueInTableNumber(E79,Table_SourceData_WasteSolid_VolumeToMassConversion[Waste type w],Table_SourceData_WasteSolid_VolumeToMassConversion[VTMw])</f>
        <v>0.36</v>
      </c>
      <c r="I79" s="15">
        <f>(G79 * H79)</f>
        <v>0</v>
      </c>
    </row>
    <row r="80" spans="4:9" ht="20.100000000000001" customHeight="1" x14ac:dyDescent="0.2">
      <c r="D80" s="105" t="str">
        <v>Incineration</v>
      </c>
      <c r="E80" s="106" t="str">
        <v>Commercial and industrial waste</v>
      </c>
      <c r="F80" s="108"/>
      <c r="G80" s="15" cm="1">
        <f t="array" ref="G80">WasteSolid_InputFunctions.WasteSolid_InputFunctions_SumWasteTreatment(Table_Input_SolidWaste[Treatment type (select)],Table_Input_SolidWaste[Waste type (select)],Table_Input_SolidWaste[Treatment location (select)],Table_Input_SolidWaste[Amount unit (select)],Table_Input_SolidWaste[Amount],D80,E80, "Removed and treated off-site", "cubic metres m3")</f>
        <v>0</v>
      </c>
      <c r="H80" s="15" cm="1">
        <f t="array" ref="H80">Common_InputFunctions.Utility_LookupValueInTableNumber(E80,Table_SourceData_WasteSolid_VolumeToMassConversion[Waste type w],Table_SourceData_WasteSolid_VolumeToMassConversion[VTMw])</f>
        <v>0.33</v>
      </c>
      <c r="I80" s="15">
        <f>(G80 * H80)</f>
        <v>0</v>
      </c>
    </row>
    <row r="81" spans="3:12" ht="20.100000000000001" customHeight="1" x14ac:dyDescent="0.2">
      <c r="D81" s="105" t="str">
        <v>Composting</v>
      </c>
      <c r="E81" s="106" t="str">
        <v>All organic waste</v>
      </c>
      <c r="F81" s="108"/>
      <c r="G81" s="15" t="s">
        <v>660</v>
      </c>
      <c r="H81" s="15" t="s">
        <v>660</v>
      </c>
      <c r="I81" s="15" t="s">
        <v>660</v>
      </c>
    </row>
    <row r="82" spans="3:12" ht="20.100000000000001" customHeight="1" x14ac:dyDescent="0.2">
      <c r="D82" s="105" t="str">
        <v>Composting</v>
      </c>
      <c r="E82" s="106" t="str">
        <v>Food waste (including animal carcasses, spoiled animal feed or crop)</v>
      </c>
      <c r="F82" s="108"/>
      <c r="G82" s="15" cm="1">
        <f t="array" ref="G82">WasteSolid_InputFunctions.WasteSolid_InputFunctions_SumWasteTreatment(Table_Input_SolidWaste[Treatment type (select)],Table_Input_SolidWaste[Waste type (select)],Table_Input_SolidWaste[Treatment location (select)],Table_Input_SolidWaste[Amount unit (select)],Table_Input_SolidWaste[Amount],D82,E82, "Removed and treated off-site", "cubic metres m3")</f>
        <v>0</v>
      </c>
      <c r="H82" s="15" cm="1">
        <f t="array" ref="H82">Common_InputFunctions.Utility_LookupValueInTableNumber(E82,Table_SourceData_WasteSolid_VolumeToMassConversion[Waste type w],Table_SourceData_WasteSolid_VolumeToMassConversion[VTMw])</f>
        <v>0.5</v>
      </c>
      <c r="I82" s="15">
        <f>(G82 * H82)</f>
        <v>0</v>
      </c>
    </row>
    <row r="83" spans="3:12" ht="20.100000000000001" customHeight="1" x14ac:dyDescent="0.2">
      <c r="D83" s="105" t="str">
        <v>Composting</v>
      </c>
      <c r="E83" s="106" t="str">
        <v>Green waste (including crop residues or prunings)</v>
      </c>
      <c r="F83" s="108"/>
      <c r="G83" s="15" cm="1">
        <f t="array" ref="G83">WasteSolid_InputFunctions.WasteSolid_InputFunctions_SumWasteTreatment(Table_Input_SolidWaste[Treatment type (select)],Table_Input_SolidWaste[Waste type (select)],Table_Input_SolidWaste[Treatment location (select)],Table_Input_SolidWaste[Amount unit (select)],Table_Input_SolidWaste[Amount],D83,E83, "Removed and treated off-site", "cubic metres m3")</f>
        <v>0</v>
      </c>
      <c r="H83" s="15" cm="1">
        <f t="array" ref="H83">Common_InputFunctions.Utility_LookupValueInTableNumber(E83,Table_SourceData_WasteSolid_VolumeToMassConversion[Waste type w],Table_SourceData_WasteSolid_VolumeToMassConversion[VTMw])</f>
        <v>0.24</v>
      </c>
      <c r="I83" s="15">
        <f>(G83 * H83)</f>
        <v>0</v>
      </c>
    </row>
    <row r="84" spans="3:12" ht="20.100000000000001" customHeight="1" x14ac:dyDescent="0.2">
      <c r="D84" s="105" t="str">
        <v>Composting</v>
      </c>
      <c r="E84" s="106" t="str">
        <v>Wood</v>
      </c>
      <c r="F84" s="108"/>
      <c r="G84" s="15" cm="1">
        <f t="array" ref="G84">WasteSolid_InputFunctions.WasteSolid_InputFunctions_SumWasteTreatment(Table_Input_SolidWaste[Treatment type (select)],Table_Input_SolidWaste[Waste type (select)],Table_Input_SolidWaste[Treatment location (select)],Table_Input_SolidWaste[Amount unit (select)],Table_Input_SolidWaste[Amount],D84,E84, "Removed and treated off-site", "cubic metres m3")</f>
        <v>0</v>
      </c>
      <c r="H84" s="15" cm="1">
        <f t="array" ref="H84">Common_InputFunctions.Utility_LookupValueInTableNumber(E84,Table_SourceData_WasteSolid_VolumeToMassConversion[Waste type w],Table_SourceData_WasteSolid_VolumeToMassConversion[VTMw])</f>
        <v>0.15</v>
      </c>
      <c r="I84" s="15">
        <f>(G84 * H84)</f>
        <v>0</v>
      </c>
    </row>
    <row r="85" spans="3:12" ht="20.100000000000001" customHeight="1" x14ac:dyDescent="0.2">
      <c r="D85" s="105" t="str">
        <v>Composting</v>
      </c>
      <c r="E85" s="106" t="str">
        <v>Sludge</v>
      </c>
      <c r="F85" s="108"/>
      <c r="G85" s="15" cm="1">
        <f t="array" ref="G85">WasteSolid_InputFunctions.WasteSolid_InputFunctions_SumWasteTreatment(Table_Input_SolidWaste[Treatment type (select)],Table_Input_SolidWaste[Waste type (select)],Table_Input_SolidWaste[Treatment location (select)],Table_Input_SolidWaste[Amount unit (select)],Table_Input_SolidWaste[Amount],D85,E85, "Removed and treated off-site", "cubic metres m3")</f>
        <v>0</v>
      </c>
      <c r="H85" s="15" cm="1">
        <f t="array" ref="H85">Common_InputFunctions.Utility_LookupValueInTableNumber(E85,Table_SourceData_WasteSolid_VolumeToMassConversion[Waste type w],Table_SourceData_WasteSolid_VolumeToMassConversion[VTMw])</f>
        <v>0.72</v>
      </c>
      <c r="I85" s="15">
        <f>(G85 * H85)</f>
        <v>0</v>
      </c>
    </row>
    <row r="86" spans="3:12" ht="20.100000000000001" customHeight="1" x14ac:dyDescent="0.2">
      <c r="D86" s="105" t="str">
        <v>Composting</v>
      </c>
      <c r="E86" s="106" t="str">
        <v>Paper and cardboard</v>
      </c>
      <c r="F86" s="108"/>
      <c r="G86" s="15" cm="1">
        <f t="array" ref="G86">WasteSolid_InputFunctions.WasteSolid_InputFunctions_SumWasteTreatment(Table_Input_SolidWaste[Treatment type (select)],Table_Input_SolidWaste[Waste type (select)],Table_Input_SolidWaste[Treatment location (select)],Table_Input_SolidWaste[Amount unit (select)],Table_Input_SolidWaste[Amount],D86,E86, "Removed and treated off-site", "cubic metres m3")</f>
        <v>0</v>
      </c>
      <c r="H86" s="15" cm="1">
        <f t="array" ref="H86">Common_InputFunctions.Utility_LookupValueInTableNumber(E86,Table_SourceData_WasteSolid_VolumeToMassConversion[Waste type w],Table_SourceData_WasteSolid_VolumeToMassConversion[VTMw])</f>
        <v>0.09</v>
      </c>
      <c r="I86" s="15">
        <f>(G86 * H86)</f>
        <v>0</v>
      </c>
    </row>
    <row r="87" spans="3:12" ht="20.100000000000001" customHeight="1" x14ac:dyDescent="0.2">
      <c r="D87" s="105" t="str">
        <v>Anaerobic digestion</v>
      </c>
      <c r="E87" s="106" t="str">
        <v>All organic waste</v>
      </c>
      <c r="F87" s="108"/>
      <c r="G87" s="15" t="s">
        <v>660</v>
      </c>
      <c r="H87" s="15" t="s">
        <v>660</v>
      </c>
      <c r="I87" s="15" t="s">
        <v>660</v>
      </c>
    </row>
    <row r="88" spans="3:12" ht="20.100000000000001" customHeight="1" x14ac:dyDescent="0.2">
      <c r="D88" s="105" t="str">
        <v>Anaerobic digestion</v>
      </c>
      <c r="E88" s="106" t="str">
        <v>Food waste (including animal carcasses, spoiled animal feed or crop)</v>
      </c>
      <c r="F88" s="108"/>
      <c r="G88" s="15" cm="1">
        <f t="array" ref="G88">WasteSolid_InputFunctions.WasteSolid_InputFunctions_SumWasteTreatment(Table_Input_SolidWaste[Treatment type (select)],Table_Input_SolidWaste[Waste type (select)],Table_Input_SolidWaste[Treatment location (select)],Table_Input_SolidWaste[Amount unit (select)],Table_Input_SolidWaste[Amount],D88,E88, "Removed and treated off-site", "cubic metres m3")</f>
        <v>0</v>
      </c>
      <c r="H88" s="15" cm="1">
        <f t="array" ref="H88">Common_InputFunctions.Utility_LookupValueInTableNumber(E88,Table_SourceData_WasteSolid_VolumeToMassConversion[Waste type w],Table_SourceData_WasteSolid_VolumeToMassConversion[VTMw])</f>
        <v>0.5</v>
      </c>
      <c r="I88" s="15">
        <f>(G88 * H88)</f>
        <v>0</v>
      </c>
    </row>
    <row r="89" spans="3:12" ht="20.100000000000001" customHeight="1" x14ac:dyDescent="0.2">
      <c r="D89" s="105" t="str">
        <v>Anaerobic digestion</v>
      </c>
      <c r="E89" s="106" t="str">
        <v>Green waste (including crop residues or prunings)</v>
      </c>
      <c r="F89" s="108"/>
      <c r="G89" s="15" cm="1">
        <f t="array" ref="G89">WasteSolid_InputFunctions.WasteSolid_InputFunctions_SumWasteTreatment(Table_Input_SolidWaste[Treatment type (select)],Table_Input_SolidWaste[Waste type (select)],Table_Input_SolidWaste[Treatment location (select)],Table_Input_SolidWaste[Amount unit (select)],Table_Input_SolidWaste[Amount],D89,E89, "Removed and treated off-site", "cubic metres m3")</f>
        <v>0</v>
      </c>
      <c r="H89" s="15" cm="1">
        <f t="array" ref="H89">Common_InputFunctions.Utility_LookupValueInTableNumber(E89,Table_SourceData_WasteSolid_VolumeToMassConversion[Waste type w],Table_SourceData_WasteSolid_VolumeToMassConversion[VTMw])</f>
        <v>0.24</v>
      </c>
      <c r="I89" s="15">
        <f>(G89 * H89)</f>
        <v>0</v>
      </c>
    </row>
    <row r="90" spans="3:12" ht="20.100000000000001" customHeight="1" x14ac:dyDescent="0.2">
      <c r="D90" s="105" t="str">
        <v>Anaerobic digestion</v>
      </c>
      <c r="E90" s="106" t="str">
        <v>Wood</v>
      </c>
      <c r="F90" s="108"/>
      <c r="G90" s="15" cm="1">
        <f t="array" ref="G90">WasteSolid_InputFunctions.WasteSolid_InputFunctions_SumWasteTreatment(Table_Input_SolidWaste[Treatment type (select)],Table_Input_SolidWaste[Waste type (select)],Table_Input_SolidWaste[Treatment location (select)],Table_Input_SolidWaste[Amount unit (select)],Table_Input_SolidWaste[Amount],D90,E90, "Removed and treated off-site", "cubic metres m3")</f>
        <v>0</v>
      </c>
      <c r="H90" s="15" cm="1">
        <f t="array" ref="H90">Common_InputFunctions.Utility_LookupValueInTableNumber(E90,Table_SourceData_WasteSolid_VolumeToMassConversion[Waste type w],Table_SourceData_WasteSolid_VolumeToMassConversion[VTMw])</f>
        <v>0.15</v>
      </c>
      <c r="I90" s="15">
        <f>(G90 * H90)</f>
        <v>0</v>
      </c>
    </row>
    <row r="91" spans="3:12" ht="20.100000000000001" customHeight="1" x14ac:dyDescent="0.2">
      <c r="D91" s="105" t="str">
        <v>Anaerobic digestion</v>
      </c>
      <c r="E91" s="106" t="str">
        <v>Sludge</v>
      </c>
      <c r="F91" s="108"/>
      <c r="G91" s="15" cm="1">
        <f t="array" ref="G91">WasteSolid_InputFunctions.WasteSolid_InputFunctions_SumWasteTreatment(Table_Input_SolidWaste[Treatment type (select)],Table_Input_SolidWaste[Waste type (select)],Table_Input_SolidWaste[Treatment location (select)],Table_Input_SolidWaste[Amount unit (select)],Table_Input_SolidWaste[Amount],D91,E91, "Removed and treated off-site", "cubic metres m3")</f>
        <v>0</v>
      </c>
      <c r="H91" s="15" cm="1">
        <f t="array" ref="H91">Common_InputFunctions.Utility_LookupValueInTableNumber(E91,Table_SourceData_WasteSolid_VolumeToMassConversion[Waste type w],Table_SourceData_WasteSolid_VolumeToMassConversion[VTMw])</f>
        <v>0.72</v>
      </c>
      <c r="I91" s="15">
        <f>(G91 * H91)</f>
        <v>0</v>
      </c>
    </row>
    <row r="92" spans="3:12" ht="20.100000000000001" customHeight="1" x14ac:dyDescent="0.2">
      <c r="D92" s="105" t="str">
        <v>Anaerobic digestion</v>
      </c>
      <c r="E92" s="106" t="str">
        <v>Paper and cardboard</v>
      </c>
      <c r="F92" s="108"/>
      <c r="G92" s="15" cm="1">
        <f t="array" ref="G92">WasteSolid_InputFunctions.WasteSolid_InputFunctions_SumWasteTreatment(Table_Input_SolidWaste[Treatment type (select)],Table_Input_SolidWaste[Waste type (select)],Table_Input_SolidWaste[Treatment location (select)],Table_Input_SolidWaste[Amount unit (select)],Table_Input_SolidWaste[Amount],D92,E92, "Removed and treated off-site", "cubic metres m3")</f>
        <v>0</v>
      </c>
      <c r="H92" s="15" cm="1">
        <f t="array" ref="H92">Common_InputFunctions.Utility_LookupValueInTableNumber(E92,Table_SourceData_WasteSolid_VolumeToMassConversion[Waste type w],Table_SourceData_WasteSolid_VolumeToMassConversion[VTMw])</f>
        <v>0.09</v>
      </c>
      <c r="I92" s="15">
        <f>(G92 * H92)</f>
        <v>0</v>
      </c>
    </row>
    <row r="95" spans="3:12" ht="20.100000000000001" customHeight="1" x14ac:dyDescent="0.2">
      <c r="C95" s="87"/>
      <c r="D95" s="87"/>
      <c r="E95" s="87"/>
      <c r="F95" s="87"/>
      <c r="G95" s="87"/>
      <c r="H95" s="87"/>
      <c r="I95" s="87"/>
      <c r="J95" s="87"/>
      <c r="K95" s="87"/>
      <c r="L95" s="87"/>
    </row>
    <row r="96" spans="3:12" ht="20.100000000000001" customHeight="1" x14ac:dyDescent="0.2">
      <c r="D96" s="2" t="s">
        <v>1604</v>
      </c>
    </row>
    <row r="97" spans="4:9" ht="20.100000000000001" customHeight="1" x14ac:dyDescent="0.2">
      <c r="D97" s="17" t="s">
        <v>1605</v>
      </c>
    </row>
    <row r="98" spans="4:9" ht="20.100000000000001" customHeight="1" x14ac:dyDescent="0.2">
      <c r="D98" s="26" t="s">
        <v>1606</v>
      </c>
    </row>
    <row r="99" spans="4:9" ht="20.100000000000001" customHeight="1" x14ac:dyDescent="0.2">
      <c r="D99" s="103"/>
      <c r="E99" s="103"/>
    </row>
    <row r="102" spans="4:9" ht="20.100000000000001" customHeight="1" x14ac:dyDescent="0.2">
      <c r="D102" s="77" t="s">
        <v>373</v>
      </c>
      <c r="E102" s="1" t="s">
        <v>1547</v>
      </c>
    </row>
    <row r="103" spans="4:9" ht="20.100000000000001" customHeight="1" x14ac:dyDescent="0.2">
      <c r="D103" s="77" t="s">
        <v>121</v>
      </c>
      <c r="E103" s="9" t="s">
        <v>6</v>
      </c>
    </row>
    <row r="105" spans="4:9" ht="20.100000000000001" customHeight="1" x14ac:dyDescent="0.2">
      <c r="D105" s="105" t="s">
        <v>1593</v>
      </c>
      <c r="E105" s="106" t="s">
        <v>1607</v>
      </c>
      <c r="F105" s="107"/>
      <c r="G105" s="108"/>
      <c r="H105" s="105" t="s">
        <v>1594</v>
      </c>
      <c r="I105" s="110" t="s">
        <v>1615</v>
      </c>
    </row>
    <row r="106" spans="4:9" ht="20.100000000000001" customHeight="1" x14ac:dyDescent="0.2">
      <c r="D106" s="105" t="s">
        <v>1608</v>
      </c>
      <c r="E106" s="106" t="s">
        <v>1609</v>
      </c>
      <c r="F106" s="107"/>
      <c r="G106" s="108"/>
      <c r="H106" s="105" t="s">
        <v>1616</v>
      </c>
      <c r="I106" s="110" t="s">
        <v>1220</v>
      </c>
    </row>
    <row r="107" spans="4:9" ht="20.100000000000001" customHeight="1" x14ac:dyDescent="0.2">
      <c r="D107" s="105" t="s">
        <v>1599</v>
      </c>
      <c r="E107" s="106" t="s">
        <v>1600</v>
      </c>
      <c r="F107" s="107"/>
      <c r="G107" s="108"/>
      <c r="H107" s="105"/>
      <c r="I107" s="109" t="s">
        <v>1219</v>
      </c>
    </row>
    <row r="108" spans="4:9" ht="20.100000000000001" customHeight="1" x14ac:dyDescent="0.2">
      <c r="D108" s="105" t="s">
        <v>1594</v>
      </c>
      <c r="E108" s="106" t="s">
        <v>1601</v>
      </c>
      <c r="F108" s="107"/>
      <c r="G108" s="108"/>
      <c r="H108" s="105"/>
      <c r="I108" s="109" t="s">
        <v>1219</v>
      </c>
    </row>
    <row r="109" spans="4:9" ht="20.100000000000001" customHeight="1" x14ac:dyDescent="0.2">
      <c r="D109" s="105" t="s">
        <v>1558</v>
      </c>
      <c r="E109" s="106" t="s">
        <v>1610</v>
      </c>
      <c r="F109" s="107"/>
      <c r="G109" s="108"/>
      <c r="H109" s="105"/>
      <c r="I109" s="109" t="s">
        <v>1219</v>
      </c>
    </row>
    <row r="110" spans="4:9" ht="20.100000000000001" customHeight="1" x14ac:dyDescent="0.2">
      <c r="D110" s="105" t="s">
        <v>1611</v>
      </c>
      <c r="E110" s="106" t="s">
        <v>1612</v>
      </c>
      <c r="F110" s="107"/>
      <c r="G110" s="108"/>
      <c r="H110" s="105" t="s">
        <v>28</v>
      </c>
      <c r="I110" s="110" t="s">
        <v>1617</v>
      </c>
    </row>
    <row r="111" spans="4:9" ht="20.100000000000001" customHeight="1" x14ac:dyDescent="0.2">
      <c r="D111" s="105" t="s">
        <v>1613</v>
      </c>
      <c r="E111" s="106" t="s">
        <v>1614</v>
      </c>
      <c r="F111" s="107"/>
      <c r="G111" s="108"/>
      <c r="H111" s="105" t="s">
        <v>28</v>
      </c>
      <c r="I111" s="109" t="s">
        <v>1219</v>
      </c>
    </row>
    <row r="113" spans="4:11" ht="20.100000000000001" customHeight="1" x14ac:dyDescent="0.2">
      <c r="D113" s="112" t="s">
        <v>910</v>
      </c>
    </row>
    <row r="114" spans="4:11" ht="20.100000000000001" customHeight="1" x14ac:dyDescent="0.2">
      <c r="D114" s="113" t="s">
        <v>911</v>
      </c>
    </row>
    <row r="115" spans="4:11" ht="20.100000000000001" customHeight="1" x14ac:dyDescent="0.2">
      <c r="D115" s="82" t="s">
        <v>903</v>
      </c>
      <c r="E115" s="82" t="s">
        <v>904</v>
      </c>
      <c r="F115" s="82"/>
      <c r="G115" s="82" t="s">
        <v>912</v>
      </c>
      <c r="H115" s="114" t="s">
        <v>913</v>
      </c>
      <c r="I115" s="114" t="s">
        <v>907</v>
      </c>
      <c r="J115" s="114" t="s">
        <v>914</v>
      </c>
      <c r="K115" s="114" t="s">
        <v>915</v>
      </c>
    </row>
    <row r="116" spans="4:11" ht="20.100000000000001" customHeight="1" x14ac:dyDescent="0.2">
      <c r="D116" s="105" t="str" cm="1">
        <f t="array" ref="D116:D149">Table_SourceData_WasteSolid_WasteTreatmentEFs[Treatment type t]</f>
        <v>Landfill</v>
      </c>
      <c r="E116" s="106" t="str" cm="1">
        <f t="array" ref="E116:E149">Table_SourceData_WasteSolid_WasteTreatmentEFs[Waste type w]</f>
        <v>Food waste (including animal carcasses, spoiled animal feed or crop)</v>
      </c>
      <c r="F116" s="164"/>
      <c r="G116" s="15" cm="1">
        <f t="array" ref="G116">WasteSolid_InputFunctions.WasteSolid_InputFunctions_SumWasteTreatment(Table_Input_SolidWaste[Treatment type (select)],Table_Input_SolidWaste[Waste type (select)],Table_Input_SolidWaste[Treatment location (select)],Table_Input_SolidWaste[Amount unit (select)],Table_Input_SolidWaste[Amount],D21,E21, "Treated on-site", "tonnes")</f>
        <v>0</v>
      </c>
      <c r="H116" s="15">
        <f t="shared" ref="H116:H149" si="0">I21</f>
        <v>0</v>
      </c>
      <c r="I116" s="15">
        <f>G116+H116</f>
        <v>0</v>
      </c>
      <c r="J116" s="15" cm="1">
        <f t="array" ref="J116">Common_InputFunctions.Utility_LookupValueInTableTwoColumns(D116,E116,Table_SourceData_WasteSolid_WasteTreatmentEFs[Treatment type t],Table_SourceData_WasteSolid_WasteTreatmentEFs[Waste type w],Table_SourceData_WasteSolid_WasteTreatmentEFs[EFwt])</f>
        <v>2.1</v>
      </c>
      <c r="K116" s="15">
        <f>(I116 * J116)</f>
        <v>0</v>
      </c>
    </row>
    <row r="117" spans="4:11" ht="20.100000000000001" customHeight="1" x14ac:dyDescent="0.2">
      <c r="D117" s="105" t="str">
        <v>Landfill</v>
      </c>
      <c r="E117" s="106" t="str">
        <v>Paper and cardboard</v>
      </c>
      <c r="F117" s="164"/>
      <c r="G117" s="15" cm="1">
        <f t="array" ref="G117">WasteSolid_InputFunctions.WasteSolid_InputFunctions_SumWasteTreatment(Table_Input_SolidWaste[Treatment type (select)],Table_Input_SolidWaste[Waste type (select)],Table_Input_SolidWaste[Treatment location (select)],Table_Input_SolidWaste[Amount unit (select)],Table_Input_SolidWaste[Amount],D22,E22, "Treated on-site", "tonnes")</f>
        <v>0</v>
      </c>
      <c r="H117" s="15">
        <f t="shared" si="0"/>
        <v>0</v>
      </c>
      <c r="I117" s="15">
        <f t="shared" ref="I117:I126" si="1">G117+H117</f>
        <v>0</v>
      </c>
      <c r="J117" s="15" cm="1">
        <f t="array" ref="J117">Common_InputFunctions.Utility_LookupValueInTableTwoColumns(D117,E117,Table_SourceData_WasteSolid_WasteTreatmentEFs[Treatment type t],Table_SourceData_WasteSolid_WasteTreatmentEFs[Waste type w],Table_SourceData_WasteSolid_WasteTreatmentEFs[EFwt])</f>
        <v>3.3</v>
      </c>
      <c r="K117" s="15">
        <f>(I117 * J117)</f>
        <v>0</v>
      </c>
    </row>
    <row r="118" spans="4:11" ht="20.100000000000001" customHeight="1" x14ac:dyDescent="0.2">
      <c r="D118" s="105" t="str">
        <v>Landfill</v>
      </c>
      <c r="E118" s="106" t="str">
        <v>Green waste (including crop residues or prunings)</v>
      </c>
      <c r="F118" s="164"/>
      <c r="G118" s="15" cm="1">
        <f t="array" ref="G118">WasteSolid_InputFunctions.WasteSolid_InputFunctions_SumWasteTreatment(Table_Input_SolidWaste[Treatment type (select)],Table_Input_SolidWaste[Waste type (select)],Table_Input_SolidWaste[Treatment location (select)],Table_Input_SolidWaste[Amount unit (select)],Table_Input_SolidWaste[Amount],D23,E23, "Treated on-site", "tonnes")</f>
        <v>0</v>
      </c>
      <c r="H118" s="15">
        <f t="shared" si="0"/>
        <v>0</v>
      </c>
      <c r="I118" s="15">
        <f t="shared" si="1"/>
        <v>0</v>
      </c>
      <c r="J118" s="15" cm="1">
        <f t="array" ref="J118">Common_InputFunctions.Utility_LookupValueInTableTwoColumns(D118,E118,Table_SourceData_WasteSolid_WasteTreatmentEFs[Treatment type t],Table_SourceData_WasteSolid_WasteTreatmentEFs[Waste type w],Table_SourceData_WasteSolid_WasteTreatmentEFs[EFwt])</f>
        <v>1.6</v>
      </c>
      <c r="K118" s="15">
        <f>(I118 * J118)</f>
        <v>0</v>
      </c>
    </row>
    <row r="119" spans="4:11" ht="20.100000000000001" customHeight="1" x14ac:dyDescent="0.2">
      <c r="D119" s="105" t="str">
        <v>Landfill</v>
      </c>
      <c r="E119" s="106" t="str">
        <v>Wood</v>
      </c>
      <c r="F119" s="164"/>
      <c r="G119" s="15" cm="1">
        <f t="array" ref="G119">WasteSolid_InputFunctions.WasteSolid_InputFunctions_SumWasteTreatment(Table_Input_SolidWaste[Treatment type (select)],Table_Input_SolidWaste[Waste type (select)],Table_Input_SolidWaste[Treatment location (select)],Table_Input_SolidWaste[Amount unit (select)],Table_Input_SolidWaste[Amount],D24,E24, "Treated on-site", "tonnes")</f>
        <v>0</v>
      </c>
      <c r="H119" s="15">
        <f t="shared" si="0"/>
        <v>0</v>
      </c>
      <c r="I119" s="15">
        <f t="shared" si="1"/>
        <v>0</v>
      </c>
      <c r="J119" s="15" cm="1">
        <f t="array" ref="J119">Common_InputFunctions.Utility_LookupValueInTableTwoColumns(D119,E119,Table_SourceData_WasteSolid_WasteTreatmentEFs[Treatment type t],Table_SourceData_WasteSolid_WasteTreatmentEFs[Waste type w],Table_SourceData_WasteSolid_WasteTreatmentEFs[EFwt])</f>
        <v>0.7</v>
      </c>
      <c r="K119" s="15">
        <f>(I119 * J119)</f>
        <v>0</v>
      </c>
    </row>
    <row r="120" spans="4:11" ht="20.100000000000001" customHeight="1" x14ac:dyDescent="0.2">
      <c r="D120" s="105" t="str">
        <v>Landfill</v>
      </c>
      <c r="E120" s="106" t="str">
        <v>Textiles</v>
      </c>
      <c r="F120" s="164"/>
      <c r="G120" s="15" cm="1">
        <f t="array" ref="G120">WasteSolid_InputFunctions.WasteSolid_InputFunctions_SumWasteTreatment(Table_Input_SolidWaste[Treatment type (select)],Table_Input_SolidWaste[Waste type (select)],Table_Input_SolidWaste[Treatment location (select)],Table_Input_SolidWaste[Amount unit (select)],Table_Input_SolidWaste[Amount],D25,E25, "Treated on-site", "tonnes")</f>
        <v>0</v>
      </c>
      <c r="H120" s="15">
        <f t="shared" si="0"/>
        <v>0</v>
      </c>
      <c r="I120" s="15">
        <f t="shared" si="1"/>
        <v>0</v>
      </c>
      <c r="J120" s="15" cm="1">
        <f t="array" ref="J120">Common_InputFunctions.Utility_LookupValueInTableTwoColumns(D120,E120,Table_SourceData_WasteSolid_WasteTreatmentEFs[Treatment type t],Table_SourceData_WasteSolid_WasteTreatmentEFs[Waste type w],Table_SourceData_WasteSolid_WasteTreatmentEFs[EFwt])</f>
        <v>2</v>
      </c>
      <c r="K120" s="15">
        <f>(I120 * J120)</f>
        <v>0</v>
      </c>
    </row>
    <row r="121" spans="4:11" ht="20.100000000000001" customHeight="1" x14ac:dyDescent="0.2">
      <c r="D121" s="105" t="str">
        <v>Landfill</v>
      </c>
      <c r="E121" s="106" t="str">
        <v>Sludge</v>
      </c>
      <c r="F121" s="164"/>
      <c r="G121" s="15" cm="1">
        <f t="array" ref="G121">WasteSolid_InputFunctions.WasteSolid_InputFunctions_SumWasteTreatment(Table_Input_SolidWaste[Treatment type (select)],Table_Input_SolidWaste[Waste type (select)],Table_Input_SolidWaste[Treatment location (select)],Table_Input_SolidWaste[Amount unit (select)],Table_Input_SolidWaste[Amount],D26,E26, "Treated on-site", "tonnes")</f>
        <v>0</v>
      </c>
      <c r="H121" s="15">
        <f t="shared" si="0"/>
        <v>0</v>
      </c>
      <c r="I121" s="15">
        <f t="shared" si="1"/>
        <v>0</v>
      </c>
      <c r="J121" s="15" cm="1">
        <f t="array" ref="J121">Common_InputFunctions.Utility_LookupValueInTableTwoColumns(D121,E121,Table_SourceData_WasteSolid_WasteTreatmentEFs[Treatment type t],Table_SourceData_WasteSolid_WasteTreatmentEFs[Waste type w],Table_SourceData_WasteSolid_WasteTreatmentEFs[EFwt])</f>
        <v>0.4</v>
      </c>
      <c r="K121" s="15">
        <f>(I121 * J121)</f>
        <v>0</v>
      </c>
    </row>
    <row r="122" spans="4:11" ht="20.100000000000001" customHeight="1" x14ac:dyDescent="0.2">
      <c r="D122" s="105" t="str">
        <v>Landfill</v>
      </c>
      <c r="E122" s="106" t="str">
        <v>Rubber and leather</v>
      </c>
      <c r="F122" s="164"/>
      <c r="G122" s="15" cm="1">
        <f t="array" ref="G122">WasteSolid_InputFunctions.WasteSolid_InputFunctions_SumWasteTreatment(Table_Input_SolidWaste[Treatment type (select)],Table_Input_SolidWaste[Waste type (select)],Table_Input_SolidWaste[Treatment location (select)],Table_Input_SolidWaste[Amount unit (select)],Table_Input_SolidWaste[Amount],D27,E27, "Treated on-site", "tonnes")</f>
        <v>0</v>
      </c>
      <c r="H122" s="15">
        <f t="shared" si="0"/>
        <v>0</v>
      </c>
      <c r="I122" s="15">
        <f t="shared" si="1"/>
        <v>0</v>
      </c>
      <c r="J122" s="15" cm="1">
        <f t="array" ref="J122">Common_InputFunctions.Utility_LookupValueInTableTwoColumns(D122,E122,Table_SourceData_WasteSolid_WasteTreatmentEFs[Treatment type t],Table_SourceData_WasteSolid_WasteTreatmentEFs[Waste type w],Table_SourceData_WasteSolid_WasteTreatmentEFs[EFwt])</f>
        <v>3.3</v>
      </c>
      <c r="K122" s="15">
        <f>(I122 * J122)</f>
        <v>0</v>
      </c>
    </row>
    <row r="123" spans="4:11" ht="20.100000000000001" customHeight="1" x14ac:dyDescent="0.2">
      <c r="D123" s="105" t="str">
        <v>Landfill</v>
      </c>
      <c r="E123" s="106" t="str">
        <v>Inert waste (including concrete, metal, plastic or glass)</v>
      </c>
      <c r="F123" s="164"/>
      <c r="G123" s="15" cm="1">
        <f t="array" ref="G123">WasteSolid_InputFunctions.WasteSolid_InputFunctions_SumWasteTreatment(Table_Input_SolidWaste[Treatment type (select)],Table_Input_SolidWaste[Waste type (select)],Table_Input_SolidWaste[Treatment location (select)],Table_Input_SolidWaste[Amount unit (select)],Table_Input_SolidWaste[Amount],D28,E28, "Treated on-site", "tonnes")</f>
        <v>0</v>
      </c>
      <c r="H123" s="15">
        <f t="shared" si="0"/>
        <v>0</v>
      </c>
      <c r="I123" s="15">
        <f t="shared" si="1"/>
        <v>0</v>
      </c>
      <c r="J123" s="15" cm="1">
        <f t="array" ref="J123">Common_InputFunctions.Utility_LookupValueInTableTwoColumns(D123,E123,Table_SourceData_WasteSolid_WasteTreatmentEFs[Treatment type t],Table_SourceData_WasteSolid_WasteTreatmentEFs[Waste type w],Table_SourceData_WasteSolid_WasteTreatmentEFs[EFwt])</f>
        <v>0</v>
      </c>
      <c r="K123" s="15">
        <f>(I123 * J123)</f>
        <v>0</v>
      </c>
    </row>
    <row r="124" spans="4:11" ht="20.100000000000001" customHeight="1" x14ac:dyDescent="0.2">
      <c r="D124" s="105" t="str">
        <v>Landfill</v>
      </c>
      <c r="E124" s="106" t="str">
        <v>Municipal solid waste</v>
      </c>
      <c r="F124" s="164"/>
      <c r="G124" s="15" cm="1">
        <f t="array" ref="G124">WasteSolid_InputFunctions.WasteSolid_InputFunctions_SumWasteTreatment(Table_Input_SolidWaste[Treatment type (select)],Table_Input_SolidWaste[Waste type (select)],Table_Input_SolidWaste[Treatment location (select)],Table_Input_SolidWaste[Amount unit (select)],Table_Input_SolidWaste[Amount],D29,E29, "Treated on-site", "tonnes")</f>
        <v>0</v>
      </c>
      <c r="H124" s="15">
        <f t="shared" si="0"/>
        <v>0</v>
      </c>
      <c r="I124" s="15">
        <f t="shared" si="1"/>
        <v>0</v>
      </c>
      <c r="J124" s="15" cm="1">
        <f t="array" ref="J124">Common_InputFunctions.Utility_LookupValueInTableTwoColumns(D124,E124,Table_SourceData_WasteSolid_WasteTreatmentEFs[Treatment type t],Table_SourceData_WasteSolid_WasteTreatmentEFs[Waste type w],Table_SourceData_WasteSolid_WasteTreatmentEFs[EFwt])</f>
        <v>1.6</v>
      </c>
      <c r="K124" s="15">
        <f>(I124 * J124)</f>
        <v>0</v>
      </c>
    </row>
    <row r="125" spans="4:11" ht="20.100000000000001" customHeight="1" x14ac:dyDescent="0.2">
      <c r="D125" s="105" t="str">
        <v>Landfill</v>
      </c>
      <c r="E125" s="106" t="str">
        <v>Commercial and industrial waste</v>
      </c>
      <c r="F125" s="164"/>
      <c r="G125" s="15" cm="1">
        <f t="array" ref="G125">WasteSolid_InputFunctions.WasteSolid_InputFunctions_SumWasteTreatment(Table_Input_SolidWaste[Treatment type (select)],Table_Input_SolidWaste[Waste type (select)],Table_Input_SolidWaste[Treatment location (select)],Table_Input_SolidWaste[Amount unit (select)],Table_Input_SolidWaste[Amount],D30,E30, "Treated on-site", "tonnes")</f>
        <v>0</v>
      </c>
      <c r="H125" s="15">
        <f t="shared" si="0"/>
        <v>0</v>
      </c>
      <c r="I125" s="15">
        <f t="shared" si="1"/>
        <v>0</v>
      </c>
      <c r="J125" s="15" cm="1">
        <f t="array" ref="J125">Common_InputFunctions.Utility_LookupValueInTableTwoColumns(D125,E125,Table_SourceData_WasteSolid_WasteTreatmentEFs[Treatment type t],Table_SourceData_WasteSolid_WasteTreatmentEFs[Waste type w],Table_SourceData_WasteSolid_WasteTreatmentEFs[EFwt])</f>
        <v>1.3</v>
      </c>
      <c r="K125" s="15">
        <f>(I125 * J125)</f>
        <v>0</v>
      </c>
    </row>
    <row r="126" spans="4:11" ht="20.100000000000001" customHeight="1" x14ac:dyDescent="0.2">
      <c r="D126" s="105" t="str">
        <v>Landfill</v>
      </c>
      <c r="E126" s="106" t="str">
        <v>Construction and demolition waste</v>
      </c>
      <c r="F126" s="164"/>
      <c r="G126" s="15" cm="1">
        <f t="array" ref="G126">WasteSolid_InputFunctions.WasteSolid_InputFunctions_SumWasteTreatment(Table_Input_SolidWaste[Treatment type (select)],Table_Input_SolidWaste[Waste type (select)],Table_Input_SolidWaste[Treatment location (select)],Table_Input_SolidWaste[Amount unit (select)],Table_Input_SolidWaste[Amount],D31,E31, "Treated on-site", "tonnes")</f>
        <v>0</v>
      </c>
      <c r="H126" s="15">
        <f t="shared" si="0"/>
        <v>0</v>
      </c>
      <c r="I126" s="15">
        <f t="shared" si="1"/>
        <v>0</v>
      </c>
      <c r="J126" s="15" cm="1">
        <f t="array" ref="J126">Common_InputFunctions.Utility_LookupValueInTableTwoColumns(D126,E126,Table_SourceData_WasteSolid_WasteTreatmentEFs[Treatment type t],Table_SourceData_WasteSolid_WasteTreatmentEFs[Waste type w],Table_SourceData_WasteSolid_WasteTreatmentEFs[EFwt])</f>
        <v>0.2</v>
      </c>
      <c r="K126" s="15">
        <f>(I126 * J126)</f>
        <v>0</v>
      </c>
    </row>
    <row r="127" spans="4:11" ht="20.100000000000001" customHeight="1" x14ac:dyDescent="0.2">
      <c r="D127" s="105" t="str">
        <v>Incineration</v>
      </c>
      <c r="E127" s="106" t="str">
        <v>Food waste, green waste, wood, sludge</v>
      </c>
      <c r="F127" s="164"/>
      <c r="G127" s="15" t="s">
        <v>660</v>
      </c>
      <c r="H127" s="15" t="str">
        <f t="shared" si="0"/>
        <v>Not used</v>
      </c>
      <c r="I127" s="15">
        <f>SUM(G128:G131)+SUM(H128:H131)+N("Partial sum")</f>
        <v>0</v>
      </c>
      <c r="J127" s="15" cm="1">
        <f t="array" ref="J127">Common_InputFunctions.Utility_LookupValueInTableTwoColumns(D127,E127,Table_SourceData_WasteSolid_WasteTreatmentEFs[Treatment type t],Table_SourceData_WasteSolid_WasteTreatmentEFs[Waste type w],Table_SourceData_WasteSolid_WasteTreatmentEFs[EFwt])</f>
        <v>0</v>
      </c>
      <c r="K127" s="15">
        <f>(I127 * J127)</f>
        <v>0</v>
      </c>
    </row>
    <row r="128" spans="4:11" ht="20.100000000000001" customHeight="1" x14ac:dyDescent="0.2">
      <c r="D128" s="105" t="str">
        <v>Incineration</v>
      </c>
      <c r="E128" s="106" t="str">
        <v>Food waste (including animal carcasses, spoiled animal feed or crop)</v>
      </c>
      <c r="F128" s="164"/>
      <c r="G128" s="15" cm="1">
        <f t="array" ref="G128">WasteSolid_InputFunctions.WasteSolid_InputFunctions_SumWasteTreatment(Table_Input_SolidWaste[Treatment type (select)],Table_Input_SolidWaste[Waste type (select)],Table_Input_SolidWaste[Treatment location (select)],Table_Input_SolidWaste[Amount unit (select)],Table_Input_SolidWaste[Amount],D33,E33, "Treated on-site", "tonnes")</f>
        <v>0</v>
      </c>
      <c r="H128" s="15">
        <f t="shared" si="0"/>
        <v>0</v>
      </c>
      <c r="I128" s="15" t="s">
        <v>916</v>
      </c>
      <c r="J128" s="15" t="s">
        <v>660</v>
      </c>
      <c r="K128" s="15" t="s">
        <v>660</v>
      </c>
    </row>
    <row r="129" spans="4:11" ht="20.100000000000001" customHeight="1" x14ac:dyDescent="0.2">
      <c r="D129" s="105" t="str">
        <v>Incineration</v>
      </c>
      <c r="E129" s="106" t="str">
        <v>Green waste (including crop residues or prunings)</v>
      </c>
      <c r="F129" s="164"/>
      <c r="G129" s="15" cm="1">
        <f t="array" ref="G129">WasteSolid_InputFunctions.WasteSolid_InputFunctions_SumWasteTreatment(Table_Input_SolidWaste[Treatment type (select)],Table_Input_SolidWaste[Waste type (select)],Table_Input_SolidWaste[Treatment location (select)],Table_Input_SolidWaste[Amount unit (select)],Table_Input_SolidWaste[Amount],D34,E34, "Treated on-site", "tonnes")</f>
        <v>0</v>
      </c>
      <c r="H129" s="15">
        <f t="shared" si="0"/>
        <v>0</v>
      </c>
      <c r="I129" s="15" t="s">
        <v>916</v>
      </c>
      <c r="J129" s="15" t="s">
        <v>660</v>
      </c>
      <c r="K129" s="15" t="s">
        <v>660</v>
      </c>
    </row>
    <row r="130" spans="4:11" ht="20.100000000000001" customHeight="1" x14ac:dyDescent="0.2">
      <c r="D130" s="105" t="str">
        <v>Incineration</v>
      </c>
      <c r="E130" s="106" t="str">
        <v>Wood</v>
      </c>
      <c r="F130" s="164"/>
      <c r="G130" s="15" cm="1">
        <f t="array" ref="G130">WasteSolid_InputFunctions.WasteSolid_InputFunctions_SumWasteTreatment(Table_Input_SolidWaste[Treatment type (select)],Table_Input_SolidWaste[Waste type (select)],Table_Input_SolidWaste[Treatment location (select)],Table_Input_SolidWaste[Amount unit (select)],Table_Input_SolidWaste[Amount],D35,E35, "Treated on-site", "tonnes")</f>
        <v>0</v>
      </c>
      <c r="H130" s="15">
        <f t="shared" si="0"/>
        <v>0</v>
      </c>
      <c r="I130" s="15" t="s">
        <v>916</v>
      </c>
      <c r="J130" s="15" t="s">
        <v>660</v>
      </c>
      <c r="K130" s="15" t="s">
        <v>660</v>
      </c>
    </row>
    <row r="131" spans="4:11" ht="20.100000000000001" customHeight="1" x14ac:dyDescent="0.2">
      <c r="D131" s="105" t="str">
        <v>Incineration</v>
      </c>
      <c r="E131" s="106" t="str">
        <v>Sludge</v>
      </c>
      <c r="F131" s="164"/>
      <c r="G131" s="15" cm="1">
        <f t="array" ref="G131">WasteSolid_InputFunctions.WasteSolid_InputFunctions_SumWasteTreatment(Table_Input_SolidWaste[Treatment type (select)],Table_Input_SolidWaste[Waste type (select)],Table_Input_SolidWaste[Treatment location (select)],Table_Input_SolidWaste[Amount unit (select)],Table_Input_SolidWaste[Amount],D36,E36, "Treated on-site", "tonnes")</f>
        <v>0</v>
      </c>
      <c r="H131" s="15">
        <f t="shared" si="0"/>
        <v>0</v>
      </c>
      <c r="I131" s="15" t="s">
        <v>916</v>
      </c>
      <c r="J131" s="15" t="s">
        <v>660</v>
      </c>
      <c r="K131" s="15" t="s">
        <v>660</v>
      </c>
    </row>
    <row r="132" spans="4:11" ht="20.100000000000001" customHeight="1" x14ac:dyDescent="0.2">
      <c r="D132" s="105" t="str">
        <v>Incineration</v>
      </c>
      <c r="E132" s="106" t="str">
        <v>Paper and cardboard</v>
      </c>
      <c r="F132" s="164"/>
      <c r="G132" s="15" cm="1">
        <f t="array" ref="G132">WasteSolid_InputFunctions.WasteSolid_InputFunctions_SumWasteTreatment(Table_Input_SolidWaste[Treatment type (select)],Table_Input_SolidWaste[Waste type (select)],Table_Input_SolidWaste[Treatment location (select)],Table_Input_SolidWaste[Amount unit (select)],Table_Input_SolidWaste[Amount],D37,E37, "Treated on-site", "tonnes")</f>
        <v>0</v>
      </c>
      <c r="H132" s="15">
        <f t="shared" si="0"/>
        <v>0</v>
      </c>
      <c r="I132" s="15">
        <f>G132+H132+N("Partial sum")</f>
        <v>0</v>
      </c>
      <c r="J132" s="15" cm="1">
        <f t="array" ref="J132">Common_InputFunctions.Utility_LookupValueInTableTwoColumns(D132,E132,Table_SourceData_WasteSolid_WasteTreatmentEFs[Treatment type t],Table_SourceData_WasteSolid_WasteTreatmentEFs[Waste type w],Table_SourceData_WasteSolid_WasteTreatmentEFs[EFwt])</f>
        <v>1.6899999999999998E-2</v>
      </c>
      <c r="K132" s="15">
        <f>(I132 * J132)</f>
        <v>0</v>
      </c>
    </row>
    <row r="133" spans="4:11" ht="20.100000000000001" customHeight="1" x14ac:dyDescent="0.2">
      <c r="D133" s="105" t="str">
        <v>Incineration</v>
      </c>
      <c r="E133" s="106" t="str">
        <v>Textiles</v>
      </c>
      <c r="F133" s="164"/>
      <c r="G133" s="15" cm="1">
        <f t="array" ref="G133">WasteSolid_InputFunctions.WasteSolid_InputFunctions_SumWasteTreatment(Table_Input_SolidWaste[Treatment type (select)],Table_Input_SolidWaste[Waste type (select)],Table_Input_SolidWaste[Treatment location (select)],Table_Input_SolidWaste[Amount unit (select)],Table_Input_SolidWaste[Amount],D38,E38, "Treated on-site", "tonnes")</f>
        <v>0</v>
      </c>
      <c r="H133" s="15">
        <f t="shared" si="0"/>
        <v>0</v>
      </c>
      <c r="I133" s="15">
        <f t="shared" ref="I133:I137" si="2">G133+H133</f>
        <v>0</v>
      </c>
      <c r="J133" s="15" cm="1">
        <f t="array" ref="J133">Common_InputFunctions.Utility_LookupValueInTableTwoColumns(D133,E133,Table_SourceData_WasteSolid_WasteTreatmentEFs[Treatment type t],Table_SourceData_WasteSolid_WasteTreatmentEFs[Waste type w],Table_SourceData_WasteSolid_WasteTreatmentEFs[EFwt])</f>
        <v>0.36670000000000003</v>
      </c>
      <c r="K133" s="15">
        <f>(I133 * J133)</f>
        <v>0</v>
      </c>
    </row>
    <row r="134" spans="4:11" ht="20.100000000000001" customHeight="1" x14ac:dyDescent="0.2">
      <c r="D134" s="105" t="str">
        <v>Incineration</v>
      </c>
      <c r="E134" s="106" t="str">
        <v>Rubber and leather</v>
      </c>
      <c r="F134" s="164"/>
      <c r="G134" s="15" cm="1">
        <f t="array" ref="G134">WasteSolid_InputFunctions.WasteSolid_InputFunctions_SumWasteTreatment(Table_Input_SolidWaste[Treatment type (select)],Table_Input_SolidWaste[Waste type (select)],Table_Input_SolidWaste[Treatment location (select)],Table_Input_SolidWaste[Amount unit (select)],Table_Input_SolidWaste[Amount],D39,E39, "Treated on-site", "tonnes")</f>
        <v>0</v>
      </c>
      <c r="H134" s="15">
        <f t="shared" si="0"/>
        <v>0</v>
      </c>
      <c r="I134" s="15">
        <f t="shared" si="2"/>
        <v>0</v>
      </c>
      <c r="J134" s="15" cm="1">
        <f t="array" ref="J134">Common_InputFunctions.Utility_LookupValueInTableTwoColumns(D134,E134,Table_SourceData_WasteSolid_WasteTreatmentEFs[Treatment type t],Table_SourceData_WasteSolid_WasteTreatmentEFs[Waste type w],Table_SourceData_WasteSolid_WasteTreatmentEFs[EFwt])</f>
        <v>0.4919</v>
      </c>
      <c r="K134" s="15">
        <f>(I134 * J134)</f>
        <v>0</v>
      </c>
    </row>
    <row r="135" spans="4:11" ht="20.100000000000001" customHeight="1" x14ac:dyDescent="0.2">
      <c r="D135" s="105" t="str">
        <v>Incineration</v>
      </c>
      <c r="E135" s="106" t="str">
        <v>Inert waste (including concrete, metal, plastic or glass)</v>
      </c>
      <c r="F135" s="164"/>
      <c r="G135" s="15" cm="1">
        <f t="array" ref="G135">WasteSolid_InputFunctions.WasteSolid_InputFunctions_SumWasteTreatment(Table_Input_SolidWaste[Treatment type (select)],Table_Input_SolidWaste[Waste type (select)],Table_Input_SolidWaste[Treatment location (select)],Table_Input_SolidWaste[Amount unit (select)],Table_Input_SolidWaste[Amount],D40,E40, "Treated on-site", "tonnes")</f>
        <v>0</v>
      </c>
      <c r="H135" s="15">
        <f t="shared" si="0"/>
        <v>0</v>
      </c>
      <c r="I135" s="15">
        <f t="shared" si="2"/>
        <v>0</v>
      </c>
      <c r="J135" s="15" cm="1">
        <f t="array" ref="J135">Common_InputFunctions.Utility_LookupValueInTableTwoColumns(D135,E135,Table_SourceData_WasteSolid_WasteTreatmentEFs[Treatment type t],Table_SourceData_WasteSolid_WasteTreatmentEFs[Waste type w],Table_SourceData_WasteSolid_WasteTreatmentEFs[EFwt])</f>
        <v>0.11</v>
      </c>
      <c r="K135" s="15">
        <f>(I135 * J135)</f>
        <v>0</v>
      </c>
    </row>
    <row r="136" spans="4:11" ht="20.100000000000001" customHeight="1" x14ac:dyDescent="0.2">
      <c r="D136" s="105" t="str">
        <v>Incineration</v>
      </c>
      <c r="E136" s="106" t="str">
        <v>Municipal solid waste</v>
      </c>
      <c r="F136" s="108"/>
      <c r="G136" s="15" cm="1">
        <f t="array" ref="G136">WasteSolid_InputFunctions.WasteSolid_InputFunctions_SumWasteTreatment(Table_Input_SolidWaste[Treatment type (select)],Table_Input_SolidWaste[Waste type (select)],Table_Input_SolidWaste[Treatment location (select)],Table_Input_SolidWaste[Amount unit (select)],Table_Input_SolidWaste[Amount],D41,E41, "Treated on-site", "tonnes")</f>
        <v>0</v>
      </c>
      <c r="H136" s="15">
        <f t="shared" si="0"/>
        <v>0</v>
      </c>
      <c r="I136" s="15">
        <f t="shared" si="2"/>
        <v>0</v>
      </c>
      <c r="J136" s="15" cm="1">
        <f t="array" ref="J136">Common_InputFunctions.Utility_LookupValueInTableTwoColumns(D136,E136,Table_SourceData_WasteSolid_WasteTreatmentEFs[Treatment type t],Table_SourceData_WasteSolid_WasteTreatmentEFs[Waste type w],Table_SourceData_WasteSolid_WasteTreatmentEFs[EFwt])</f>
        <v>5.3699999999999998E-2</v>
      </c>
      <c r="K136" s="15">
        <f>(I136 * J136)</f>
        <v>0</v>
      </c>
    </row>
    <row r="137" spans="4:11" ht="20.100000000000001" customHeight="1" x14ac:dyDescent="0.2">
      <c r="D137" s="105" t="str">
        <v>Incineration</v>
      </c>
      <c r="E137" s="106" t="str">
        <v>Commercial and industrial waste</v>
      </c>
      <c r="F137" s="108"/>
      <c r="G137" s="15" cm="1">
        <f t="array" ref="G137">WasteSolid_InputFunctions.WasteSolid_InputFunctions_SumWasteTreatment(Table_Input_SolidWaste[Treatment type (select)],Table_Input_SolidWaste[Waste type (select)],Table_Input_SolidWaste[Treatment location (select)],Table_Input_SolidWaste[Amount unit (select)],Table_Input_SolidWaste[Amount],D42,E42, "Treated on-site", "tonnes")</f>
        <v>0</v>
      </c>
      <c r="H137" s="15">
        <f t="shared" si="0"/>
        <v>0</v>
      </c>
      <c r="I137" s="15">
        <f t="shared" si="2"/>
        <v>0</v>
      </c>
      <c r="J137" s="15" cm="1">
        <f t="array" ref="J137">Common_InputFunctions.Utility_LookupValueInTableTwoColumns(D137,E137,Table_SourceData_WasteSolid_WasteTreatmentEFs[Treatment type t],Table_SourceData_WasteSolid_WasteTreatmentEFs[Waste type w],Table_SourceData_WasteSolid_WasteTreatmentEFs[EFwt])</f>
        <v>1.649</v>
      </c>
      <c r="K137" s="15">
        <f>(I137 * J137)</f>
        <v>0</v>
      </c>
    </row>
    <row r="138" spans="4:11" ht="20.100000000000001" customHeight="1" x14ac:dyDescent="0.2">
      <c r="D138" s="105" t="str">
        <v>Composting</v>
      </c>
      <c r="E138" s="106" t="str">
        <v>All organic waste</v>
      </c>
      <c r="F138" s="108"/>
      <c r="G138" s="15" t="s">
        <v>660</v>
      </c>
      <c r="H138" s="15" t="str">
        <f t="shared" si="0"/>
        <v>Not used</v>
      </c>
      <c r="I138" s="15">
        <f>SUM(G139:G143)+SUM(H139:H143)+N("Partial sum")</f>
        <v>0</v>
      </c>
      <c r="J138" s="15" cm="1">
        <f t="array" ref="J138">Common_InputFunctions.Utility_LookupValueInTableTwoColumns(D138,E138,Table_SourceData_WasteSolid_WasteTreatmentEFs[Treatment type t],Table_SourceData_WasteSolid_WasteTreatmentEFs[Waste type w],Table_SourceData_WasteSolid_WasteTreatmentEFs[EFwt])</f>
        <v>4.5999999999999999E-2</v>
      </c>
      <c r="K138" s="15">
        <f>(I138 * J138)</f>
        <v>0</v>
      </c>
    </row>
    <row r="139" spans="4:11" ht="20.100000000000001" customHeight="1" x14ac:dyDescent="0.2">
      <c r="D139" s="105" t="str">
        <v>Composting</v>
      </c>
      <c r="E139" s="106" t="str">
        <v>Food waste (including animal carcasses, spoiled animal feed or crop)</v>
      </c>
      <c r="F139" s="108"/>
      <c r="G139" s="15" cm="1">
        <f t="array" ref="G139">WasteSolid_InputFunctions.WasteSolid_InputFunctions_SumWasteTreatment(Table_Input_SolidWaste[Treatment type (select)],Table_Input_SolidWaste[Waste type (select)],Table_Input_SolidWaste[Treatment location (select)],Table_Input_SolidWaste[Amount unit (select)],Table_Input_SolidWaste[Amount],D44,E44, "Treated on-site", "tonnes")</f>
        <v>0</v>
      </c>
      <c r="H139" s="15">
        <f t="shared" si="0"/>
        <v>0</v>
      </c>
      <c r="I139" s="15" t="s">
        <v>916</v>
      </c>
      <c r="J139" s="15" t="s">
        <v>660</v>
      </c>
      <c r="K139" s="15" t="s">
        <v>660</v>
      </c>
    </row>
    <row r="140" spans="4:11" ht="20.100000000000001" customHeight="1" x14ac:dyDescent="0.2">
      <c r="D140" s="105" t="str">
        <v>Composting</v>
      </c>
      <c r="E140" s="106" t="str">
        <v>Green waste (including crop residues or prunings)</v>
      </c>
      <c r="F140" s="108"/>
      <c r="G140" s="15" cm="1">
        <f t="array" ref="G140">WasteSolid_InputFunctions.WasteSolid_InputFunctions_SumWasteTreatment(Table_Input_SolidWaste[Treatment type (select)],Table_Input_SolidWaste[Waste type (select)],Table_Input_SolidWaste[Treatment location (select)],Table_Input_SolidWaste[Amount unit (select)],Table_Input_SolidWaste[Amount],D45,E45, "Treated on-site", "tonnes")</f>
        <v>0</v>
      </c>
      <c r="H140" s="15">
        <f t="shared" si="0"/>
        <v>0</v>
      </c>
      <c r="I140" s="15" t="s">
        <v>916</v>
      </c>
      <c r="J140" s="15" t="s">
        <v>660</v>
      </c>
      <c r="K140" s="15" t="s">
        <v>660</v>
      </c>
    </row>
    <row r="141" spans="4:11" ht="20.100000000000001" customHeight="1" x14ac:dyDescent="0.2">
      <c r="D141" s="105" t="str">
        <v>Composting</v>
      </c>
      <c r="E141" s="106" t="str">
        <v>Wood</v>
      </c>
      <c r="F141" s="108"/>
      <c r="G141" s="15" cm="1">
        <f t="array" ref="G141">WasteSolid_InputFunctions.WasteSolid_InputFunctions_SumWasteTreatment(Table_Input_SolidWaste[Treatment type (select)],Table_Input_SolidWaste[Waste type (select)],Table_Input_SolidWaste[Treatment location (select)],Table_Input_SolidWaste[Amount unit (select)],Table_Input_SolidWaste[Amount],D46,E46, "Treated on-site", "tonnes")</f>
        <v>0</v>
      </c>
      <c r="H141" s="15">
        <f t="shared" si="0"/>
        <v>0</v>
      </c>
      <c r="I141" s="15" t="s">
        <v>916</v>
      </c>
      <c r="J141" s="15" t="s">
        <v>660</v>
      </c>
      <c r="K141" s="15" t="s">
        <v>660</v>
      </c>
    </row>
    <row r="142" spans="4:11" ht="20.100000000000001" customHeight="1" x14ac:dyDescent="0.2">
      <c r="D142" s="105" t="str">
        <v>Composting</v>
      </c>
      <c r="E142" s="106" t="str">
        <v>Sludge</v>
      </c>
      <c r="F142" s="108"/>
      <c r="G142" s="15" cm="1">
        <f t="array" ref="G142">WasteSolid_InputFunctions.WasteSolid_InputFunctions_SumWasteTreatment(Table_Input_SolidWaste[Treatment type (select)],Table_Input_SolidWaste[Waste type (select)],Table_Input_SolidWaste[Treatment location (select)],Table_Input_SolidWaste[Amount unit (select)],Table_Input_SolidWaste[Amount],D47,E47, "Treated on-site", "tonnes")</f>
        <v>0</v>
      </c>
      <c r="H142" s="15">
        <f t="shared" si="0"/>
        <v>0</v>
      </c>
      <c r="I142" s="15" t="s">
        <v>916</v>
      </c>
      <c r="J142" s="15" t="s">
        <v>660</v>
      </c>
      <c r="K142" s="15" t="s">
        <v>660</v>
      </c>
    </row>
    <row r="143" spans="4:11" ht="20.100000000000001" customHeight="1" x14ac:dyDescent="0.2">
      <c r="D143" s="105" t="str">
        <v>Composting</v>
      </c>
      <c r="E143" s="106" t="str">
        <v>Paper and cardboard</v>
      </c>
      <c r="F143" s="108"/>
      <c r="G143" s="15" cm="1">
        <f t="array" ref="G143">WasteSolid_InputFunctions.WasteSolid_InputFunctions_SumWasteTreatment(Table_Input_SolidWaste[Treatment type (select)],Table_Input_SolidWaste[Waste type (select)],Table_Input_SolidWaste[Treatment location (select)],Table_Input_SolidWaste[Amount unit (select)],Table_Input_SolidWaste[Amount],D48,E48, "Treated on-site", "tonnes")</f>
        <v>0</v>
      </c>
      <c r="H143" s="15">
        <f t="shared" si="0"/>
        <v>0</v>
      </c>
      <c r="I143" s="15" t="s">
        <v>916</v>
      </c>
      <c r="J143" s="15" t="s">
        <v>660</v>
      </c>
      <c r="K143" s="15" t="s">
        <v>660</v>
      </c>
    </row>
    <row r="144" spans="4:11" ht="20.100000000000001" customHeight="1" x14ac:dyDescent="0.2">
      <c r="D144" s="105" t="str">
        <v>Anaerobic digestion</v>
      </c>
      <c r="E144" s="106" t="str">
        <v>All organic waste</v>
      </c>
      <c r="F144" s="108"/>
      <c r="G144" s="15" t="s">
        <v>660</v>
      </c>
      <c r="H144" s="15" t="str">
        <f t="shared" si="0"/>
        <v>Not used</v>
      </c>
      <c r="I144" s="15">
        <f>SUM(G145:G149)+SUM(H145:H149)+N("Partial sum")</f>
        <v>0</v>
      </c>
      <c r="J144" s="15" cm="1">
        <f t="array" ref="J144">Common_InputFunctions.Utility_LookupValueInTableTwoColumns(D144,E144,Table_SourceData_WasteSolid_WasteTreatmentEFs[Treatment type t],Table_SourceData_WasteSolid_WasteTreatmentEFs[Waste type w],Table_SourceData_WasteSolid_WasteTreatmentEFs[EFwt])</f>
        <v>2.8000000000000001E-2</v>
      </c>
      <c r="K144" s="15">
        <f>(I144 * J144)</f>
        <v>0</v>
      </c>
    </row>
    <row r="145" spans="4:11" ht="20.100000000000001" customHeight="1" x14ac:dyDescent="0.2">
      <c r="D145" s="105" t="str">
        <v>Anaerobic digestion</v>
      </c>
      <c r="E145" s="106" t="str">
        <v>Food waste (including animal carcasses, spoiled animal feed or crop)</v>
      </c>
      <c r="F145" s="108"/>
      <c r="G145" s="15" cm="1">
        <f t="array" ref="G145">WasteSolid_InputFunctions.WasteSolid_InputFunctions_SumWasteTreatment(Table_Input_SolidWaste[Treatment type (select)],Table_Input_SolidWaste[Waste type (select)],Table_Input_SolidWaste[Treatment location (select)],Table_Input_SolidWaste[Amount unit (select)],Table_Input_SolidWaste[Amount],D50,E50, "Treated on-site", "tonnes")</f>
        <v>0</v>
      </c>
      <c r="H145" s="15">
        <f t="shared" si="0"/>
        <v>0</v>
      </c>
      <c r="I145" s="15" t="s">
        <v>916</v>
      </c>
      <c r="J145" s="15" t="s">
        <v>660</v>
      </c>
      <c r="K145" s="15" t="s">
        <v>660</v>
      </c>
    </row>
    <row r="146" spans="4:11" ht="20.100000000000001" customHeight="1" x14ac:dyDescent="0.2">
      <c r="D146" s="105" t="str">
        <v>Anaerobic digestion</v>
      </c>
      <c r="E146" s="106" t="str">
        <v>Green waste (including crop residues or prunings)</v>
      </c>
      <c r="F146" s="108"/>
      <c r="G146" s="15" cm="1">
        <f t="array" ref="G146">WasteSolid_InputFunctions.WasteSolid_InputFunctions_SumWasteTreatment(Table_Input_SolidWaste[Treatment type (select)],Table_Input_SolidWaste[Waste type (select)],Table_Input_SolidWaste[Treatment location (select)],Table_Input_SolidWaste[Amount unit (select)],Table_Input_SolidWaste[Amount],D51,E51, "Treated on-site", "tonnes")</f>
        <v>0</v>
      </c>
      <c r="H146" s="15">
        <f t="shared" si="0"/>
        <v>0</v>
      </c>
      <c r="I146" s="15" t="s">
        <v>916</v>
      </c>
      <c r="J146" s="15" t="s">
        <v>660</v>
      </c>
      <c r="K146" s="15" t="s">
        <v>660</v>
      </c>
    </row>
    <row r="147" spans="4:11" ht="20.100000000000001" customHeight="1" x14ac:dyDescent="0.2">
      <c r="D147" s="105" t="str">
        <v>Anaerobic digestion</v>
      </c>
      <c r="E147" s="106" t="str">
        <v>Wood</v>
      </c>
      <c r="F147" s="108"/>
      <c r="G147" s="15" cm="1">
        <f t="array" ref="G147">WasteSolid_InputFunctions.WasteSolid_InputFunctions_SumWasteTreatment(Table_Input_SolidWaste[Treatment type (select)],Table_Input_SolidWaste[Waste type (select)],Table_Input_SolidWaste[Treatment location (select)],Table_Input_SolidWaste[Amount unit (select)],Table_Input_SolidWaste[Amount],D52,E52, "Treated on-site", "tonnes")</f>
        <v>0</v>
      </c>
      <c r="H147" s="15">
        <f t="shared" si="0"/>
        <v>0</v>
      </c>
      <c r="I147" s="15" t="s">
        <v>916</v>
      </c>
      <c r="J147" s="15" t="s">
        <v>660</v>
      </c>
      <c r="K147" s="15" t="s">
        <v>660</v>
      </c>
    </row>
    <row r="148" spans="4:11" ht="20.100000000000001" customHeight="1" x14ac:dyDescent="0.2">
      <c r="D148" s="105" t="str">
        <v>Anaerobic digestion</v>
      </c>
      <c r="E148" s="106" t="str">
        <v>Sludge</v>
      </c>
      <c r="F148" s="108"/>
      <c r="G148" s="15" cm="1">
        <f t="array" ref="G148">WasteSolid_InputFunctions.WasteSolid_InputFunctions_SumWasteTreatment(Table_Input_SolidWaste[Treatment type (select)],Table_Input_SolidWaste[Waste type (select)],Table_Input_SolidWaste[Treatment location (select)],Table_Input_SolidWaste[Amount unit (select)],Table_Input_SolidWaste[Amount],D53,E53, "Treated on-site", "tonnes")</f>
        <v>0</v>
      </c>
      <c r="H148" s="15">
        <f t="shared" si="0"/>
        <v>0</v>
      </c>
      <c r="I148" s="15" t="s">
        <v>916</v>
      </c>
      <c r="J148" s="15" t="s">
        <v>660</v>
      </c>
      <c r="K148" s="15" t="s">
        <v>660</v>
      </c>
    </row>
    <row r="149" spans="4:11" ht="20.100000000000001" customHeight="1" x14ac:dyDescent="0.2">
      <c r="D149" s="105" t="str">
        <v>Anaerobic digestion</v>
      </c>
      <c r="E149" s="106" t="str">
        <v>Paper and cardboard</v>
      </c>
      <c r="F149" s="108"/>
      <c r="G149" s="15" cm="1">
        <f t="array" ref="G149">WasteSolid_InputFunctions.WasteSolid_InputFunctions_SumWasteTreatment(Table_Input_SolidWaste[Treatment type (select)],Table_Input_SolidWaste[Waste type (select)],Table_Input_SolidWaste[Treatment location (select)],Table_Input_SolidWaste[Amount unit (select)],Table_Input_SolidWaste[Amount],D54,E54, "Treated on-site", "tonnes")</f>
        <v>0</v>
      </c>
      <c r="H149" s="15">
        <f t="shared" si="0"/>
        <v>0</v>
      </c>
      <c r="I149" s="15" t="s">
        <v>916</v>
      </c>
      <c r="J149" s="15" t="s">
        <v>660</v>
      </c>
      <c r="K149" s="15" t="s">
        <v>660</v>
      </c>
    </row>
    <row r="151" spans="4:11" ht="20.100000000000001" customHeight="1" x14ac:dyDescent="0.2">
      <c r="D151" s="90" t="s">
        <v>917</v>
      </c>
      <c r="E151" s="91">
        <f>SUM(K116:K149)</f>
        <v>0</v>
      </c>
      <c r="F151" s="95" t="str">
        <f>$E$103</f>
        <v>t CO2e</v>
      </c>
    </row>
    <row r="154" spans="4:11" ht="20.100000000000001" customHeight="1" x14ac:dyDescent="0.2">
      <c r="D154" s="112" t="s">
        <v>918</v>
      </c>
    </row>
    <row r="155" spans="4:11" ht="20.100000000000001" customHeight="1" x14ac:dyDescent="0.2">
      <c r="D155" s="113" t="s">
        <v>919</v>
      </c>
    </row>
    <row r="156" spans="4:11" ht="20.100000000000001" customHeight="1" x14ac:dyDescent="0.2">
      <c r="D156" s="82" t="s">
        <v>903</v>
      </c>
      <c r="E156" s="82" t="s">
        <v>904</v>
      </c>
      <c r="F156" s="82"/>
      <c r="G156" s="82" t="s">
        <v>912</v>
      </c>
      <c r="H156" s="114" t="s">
        <v>913</v>
      </c>
      <c r="I156" s="114" t="s">
        <v>907</v>
      </c>
      <c r="J156" s="114" t="s">
        <v>914</v>
      </c>
      <c r="K156" s="114" t="s">
        <v>915</v>
      </c>
    </row>
    <row r="157" spans="4:11" ht="20.100000000000001" customHeight="1" x14ac:dyDescent="0.2">
      <c r="D157" s="105" t="str" cm="1">
        <f t="array" ref="D157:D190">Table_SourceData_WasteSolid_WasteTreatmentEFs[Treatment type t]</f>
        <v>Landfill</v>
      </c>
      <c r="E157" s="106" t="str" cm="1">
        <f t="array" ref="E157:E190">Table_SourceData_WasteSolid_WasteTreatmentEFs[Waste type w]</f>
        <v>Food waste (including animal carcasses, spoiled animal feed or crop)</v>
      </c>
      <c r="F157" s="164"/>
      <c r="G157" s="15" cm="1">
        <f t="array" ref="G157">WasteSolid_InputFunctions.WasteSolid_InputFunctions_SumWasteTreatment(Table_Input_SolidWaste[Treatment type (select)],Table_Input_SolidWaste[Waste type (select)],Table_Input_SolidWaste[Treatment location (select)],Table_Input_SolidWaste[Amount unit (select)],Table_Input_SolidWaste[Amount],D21,E21, "Removed and treated off-site", "tonnes")</f>
        <v>0</v>
      </c>
      <c r="H157" s="15">
        <f t="shared" ref="H157:H190" si="3">I59</f>
        <v>0</v>
      </c>
      <c r="I157" s="15">
        <f>G157+H157</f>
        <v>0</v>
      </c>
      <c r="J157" s="15" cm="1">
        <f t="array" ref="J157">Common_InputFunctions.Utility_LookupValueInTableTwoColumns(D157,E157,Table_SourceData_WasteSolid_WasteTreatmentEFs[Treatment type t],Table_SourceData_WasteSolid_WasteTreatmentEFs[Waste type w],Table_SourceData_WasteSolid_WasteTreatmentEFs[EFwt])</f>
        <v>2.1</v>
      </c>
      <c r="K157" s="15">
        <f>(I157 * J157)</f>
        <v>0</v>
      </c>
    </row>
    <row r="158" spans="4:11" ht="20.100000000000001" customHeight="1" x14ac:dyDescent="0.2">
      <c r="D158" s="105" t="str">
        <v>Landfill</v>
      </c>
      <c r="E158" s="106" t="str">
        <v>Paper and cardboard</v>
      </c>
      <c r="F158" s="164"/>
      <c r="G158" s="15" cm="1">
        <f t="array" ref="G158">WasteSolid_InputFunctions.WasteSolid_InputFunctions_SumWasteTreatment(Table_Input_SolidWaste[Treatment type (select)],Table_Input_SolidWaste[Waste type (select)],Table_Input_SolidWaste[Treatment location (select)],Table_Input_SolidWaste[Amount unit (select)],Table_Input_SolidWaste[Amount],D22,E22, "Removed and treated off-site", "tonnes")</f>
        <v>0</v>
      </c>
      <c r="H158" s="15">
        <f t="shared" si="3"/>
        <v>0</v>
      </c>
      <c r="I158" s="15">
        <f t="shared" ref="I158:I167" si="4">G158+H158</f>
        <v>0</v>
      </c>
      <c r="J158" s="15" cm="1">
        <f t="array" ref="J158">Common_InputFunctions.Utility_LookupValueInTableTwoColumns(D158,E158,Table_SourceData_WasteSolid_WasteTreatmentEFs[Treatment type t],Table_SourceData_WasteSolid_WasteTreatmentEFs[Waste type w],Table_SourceData_WasteSolid_WasteTreatmentEFs[EFwt])</f>
        <v>3.3</v>
      </c>
      <c r="K158" s="15">
        <f>(I158 * J158)</f>
        <v>0</v>
      </c>
    </row>
    <row r="159" spans="4:11" ht="20.100000000000001" customHeight="1" x14ac:dyDescent="0.2">
      <c r="D159" s="105" t="str">
        <v>Landfill</v>
      </c>
      <c r="E159" s="106" t="str">
        <v>Green waste (including crop residues or prunings)</v>
      </c>
      <c r="F159" s="164"/>
      <c r="G159" s="15" cm="1">
        <f t="array" ref="G159">WasteSolid_InputFunctions.WasteSolid_InputFunctions_SumWasteTreatment(Table_Input_SolidWaste[Treatment type (select)],Table_Input_SolidWaste[Waste type (select)],Table_Input_SolidWaste[Treatment location (select)],Table_Input_SolidWaste[Amount unit (select)],Table_Input_SolidWaste[Amount],D23,E23, "Removed and treated off-site", "tonnes")</f>
        <v>0</v>
      </c>
      <c r="H159" s="15">
        <f t="shared" si="3"/>
        <v>0</v>
      </c>
      <c r="I159" s="15">
        <f t="shared" si="4"/>
        <v>0</v>
      </c>
      <c r="J159" s="15" cm="1">
        <f t="array" ref="J159">Common_InputFunctions.Utility_LookupValueInTableTwoColumns(D159,E159,Table_SourceData_WasteSolid_WasteTreatmentEFs[Treatment type t],Table_SourceData_WasteSolid_WasteTreatmentEFs[Waste type w],Table_SourceData_WasteSolid_WasteTreatmentEFs[EFwt])</f>
        <v>1.6</v>
      </c>
      <c r="K159" s="15">
        <f>(I159 * J159)</f>
        <v>0</v>
      </c>
    </row>
    <row r="160" spans="4:11" ht="20.100000000000001" customHeight="1" x14ac:dyDescent="0.2">
      <c r="D160" s="105" t="str">
        <v>Landfill</v>
      </c>
      <c r="E160" s="106" t="str">
        <v>Wood</v>
      </c>
      <c r="F160" s="164"/>
      <c r="G160" s="15" cm="1">
        <f t="array" ref="G160">WasteSolid_InputFunctions.WasteSolid_InputFunctions_SumWasteTreatment(Table_Input_SolidWaste[Treatment type (select)],Table_Input_SolidWaste[Waste type (select)],Table_Input_SolidWaste[Treatment location (select)],Table_Input_SolidWaste[Amount unit (select)],Table_Input_SolidWaste[Amount],D24,E24, "Removed and treated off-site", "tonnes")</f>
        <v>0</v>
      </c>
      <c r="H160" s="15">
        <f t="shared" si="3"/>
        <v>0</v>
      </c>
      <c r="I160" s="15">
        <f t="shared" si="4"/>
        <v>0</v>
      </c>
      <c r="J160" s="15" cm="1">
        <f t="array" ref="J160">Common_InputFunctions.Utility_LookupValueInTableTwoColumns(D160,E160,Table_SourceData_WasteSolid_WasteTreatmentEFs[Treatment type t],Table_SourceData_WasteSolid_WasteTreatmentEFs[Waste type w],Table_SourceData_WasteSolid_WasteTreatmentEFs[EFwt])</f>
        <v>0.7</v>
      </c>
      <c r="K160" s="15">
        <f>(I160 * J160)</f>
        <v>0</v>
      </c>
    </row>
    <row r="161" spans="4:11" ht="20.100000000000001" customHeight="1" x14ac:dyDescent="0.2">
      <c r="D161" s="105" t="str">
        <v>Landfill</v>
      </c>
      <c r="E161" s="106" t="str">
        <v>Textiles</v>
      </c>
      <c r="F161" s="164"/>
      <c r="G161" s="15" cm="1">
        <f t="array" ref="G161">WasteSolid_InputFunctions.WasteSolid_InputFunctions_SumWasteTreatment(Table_Input_SolidWaste[Treatment type (select)],Table_Input_SolidWaste[Waste type (select)],Table_Input_SolidWaste[Treatment location (select)],Table_Input_SolidWaste[Amount unit (select)],Table_Input_SolidWaste[Amount],D25,E25, "Removed and treated off-site", "tonnes")</f>
        <v>0</v>
      </c>
      <c r="H161" s="15">
        <f t="shared" si="3"/>
        <v>0</v>
      </c>
      <c r="I161" s="15">
        <f t="shared" si="4"/>
        <v>0</v>
      </c>
      <c r="J161" s="15" cm="1">
        <f t="array" ref="J161">Common_InputFunctions.Utility_LookupValueInTableTwoColumns(D161,E161,Table_SourceData_WasteSolid_WasteTreatmentEFs[Treatment type t],Table_SourceData_WasteSolid_WasteTreatmentEFs[Waste type w],Table_SourceData_WasteSolid_WasteTreatmentEFs[EFwt])</f>
        <v>2</v>
      </c>
      <c r="K161" s="15">
        <f>(I161 * J161)</f>
        <v>0</v>
      </c>
    </row>
    <row r="162" spans="4:11" ht="20.100000000000001" customHeight="1" x14ac:dyDescent="0.2">
      <c r="D162" s="105" t="str">
        <v>Landfill</v>
      </c>
      <c r="E162" s="106" t="str">
        <v>Sludge</v>
      </c>
      <c r="F162" s="164"/>
      <c r="G162" s="15" cm="1">
        <f t="array" ref="G162">WasteSolid_InputFunctions.WasteSolid_InputFunctions_SumWasteTreatment(Table_Input_SolidWaste[Treatment type (select)],Table_Input_SolidWaste[Waste type (select)],Table_Input_SolidWaste[Treatment location (select)],Table_Input_SolidWaste[Amount unit (select)],Table_Input_SolidWaste[Amount],D26,E26, "Removed and treated off-site", "tonnes")</f>
        <v>0</v>
      </c>
      <c r="H162" s="15">
        <f t="shared" si="3"/>
        <v>0</v>
      </c>
      <c r="I162" s="15">
        <f t="shared" si="4"/>
        <v>0</v>
      </c>
      <c r="J162" s="15" cm="1">
        <f t="array" ref="J162">Common_InputFunctions.Utility_LookupValueInTableTwoColumns(D162,E162,Table_SourceData_WasteSolid_WasteTreatmentEFs[Treatment type t],Table_SourceData_WasteSolid_WasteTreatmentEFs[Waste type w],Table_SourceData_WasteSolid_WasteTreatmentEFs[EFwt])</f>
        <v>0.4</v>
      </c>
      <c r="K162" s="15">
        <f>(I162 * J162)</f>
        <v>0</v>
      </c>
    </row>
    <row r="163" spans="4:11" ht="20.100000000000001" customHeight="1" x14ac:dyDescent="0.2">
      <c r="D163" s="105" t="str">
        <v>Landfill</v>
      </c>
      <c r="E163" s="106" t="str">
        <v>Rubber and leather</v>
      </c>
      <c r="F163" s="164"/>
      <c r="G163" s="15" cm="1">
        <f t="array" ref="G163">WasteSolid_InputFunctions.WasteSolid_InputFunctions_SumWasteTreatment(Table_Input_SolidWaste[Treatment type (select)],Table_Input_SolidWaste[Waste type (select)],Table_Input_SolidWaste[Treatment location (select)],Table_Input_SolidWaste[Amount unit (select)],Table_Input_SolidWaste[Amount],D27,E27, "Removed and treated off-site", "tonnes")</f>
        <v>0</v>
      </c>
      <c r="H163" s="15">
        <f t="shared" si="3"/>
        <v>0</v>
      </c>
      <c r="I163" s="15">
        <f t="shared" si="4"/>
        <v>0</v>
      </c>
      <c r="J163" s="15" cm="1">
        <f t="array" ref="J163">Common_InputFunctions.Utility_LookupValueInTableTwoColumns(D163,E163,Table_SourceData_WasteSolid_WasteTreatmentEFs[Treatment type t],Table_SourceData_WasteSolid_WasteTreatmentEFs[Waste type w],Table_SourceData_WasteSolid_WasteTreatmentEFs[EFwt])</f>
        <v>3.3</v>
      </c>
      <c r="K163" s="15">
        <f>(I163 * J163)</f>
        <v>0</v>
      </c>
    </row>
    <row r="164" spans="4:11" ht="20.100000000000001" customHeight="1" x14ac:dyDescent="0.2">
      <c r="D164" s="105" t="str">
        <v>Landfill</v>
      </c>
      <c r="E164" s="106" t="str">
        <v>Inert waste (including concrete, metal, plastic or glass)</v>
      </c>
      <c r="F164" s="164"/>
      <c r="G164" s="15" cm="1">
        <f t="array" ref="G164">WasteSolid_InputFunctions.WasteSolid_InputFunctions_SumWasteTreatment(Table_Input_SolidWaste[Treatment type (select)],Table_Input_SolidWaste[Waste type (select)],Table_Input_SolidWaste[Treatment location (select)],Table_Input_SolidWaste[Amount unit (select)],Table_Input_SolidWaste[Amount],D28,E28, "Removed and treated off-site", "tonnes")</f>
        <v>0</v>
      </c>
      <c r="H164" s="15">
        <f t="shared" si="3"/>
        <v>0</v>
      </c>
      <c r="I164" s="15">
        <f t="shared" si="4"/>
        <v>0</v>
      </c>
      <c r="J164" s="15" cm="1">
        <f t="array" ref="J164">Common_InputFunctions.Utility_LookupValueInTableTwoColumns(D164,E164,Table_SourceData_WasteSolid_WasteTreatmentEFs[Treatment type t],Table_SourceData_WasteSolid_WasteTreatmentEFs[Waste type w],Table_SourceData_WasteSolid_WasteTreatmentEFs[EFwt])</f>
        <v>0</v>
      </c>
      <c r="K164" s="15">
        <f>(I164 * J164)</f>
        <v>0</v>
      </c>
    </row>
    <row r="165" spans="4:11" ht="20.100000000000001" customHeight="1" x14ac:dyDescent="0.2">
      <c r="D165" s="105" t="str">
        <v>Landfill</v>
      </c>
      <c r="E165" s="106" t="str">
        <v>Municipal solid waste</v>
      </c>
      <c r="F165" s="164"/>
      <c r="G165" s="15" cm="1">
        <f t="array" ref="G165">WasteSolid_InputFunctions.WasteSolid_InputFunctions_SumWasteTreatment(Table_Input_SolidWaste[Treatment type (select)],Table_Input_SolidWaste[Waste type (select)],Table_Input_SolidWaste[Treatment location (select)],Table_Input_SolidWaste[Amount unit (select)],Table_Input_SolidWaste[Amount],D29,E29, "Removed and treated off-site", "tonnes")</f>
        <v>0</v>
      </c>
      <c r="H165" s="15">
        <f t="shared" si="3"/>
        <v>0</v>
      </c>
      <c r="I165" s="15">
        <f t="shared" si="4"/>
        <v>0</v>
      </c>
      <c r="J165" s="15" cm="1">
        <f t="array" ref="J165">Common_InputFunctions.Utility_LookupValueInTableTwoColumns(D165,E165,Table_SourceData_WasteSolid_WasteTreatmentEFs[Treatment type t],Table_SourceData_WasteSolid_WasteTreatmentEFs[Waste type w],Table_SourceData_WasteSolid_WasteTreatmentEFs[EFwt])</f>
        <v>1.6</v>
      </c>
      <c r="K165" s="15">
        <f>(I165 * J165)</f>
        <v>0</v>
      </c>
    </row>
    <row r="166" spans="4:11" ht="20.100000000000001" customHeight="1" x14ac:dyDescent="0.2">
      <c r="D166" s="105" t="str">
        <v>Landfill</v>
      </c>
      <c r="E166" s="106" t="str">
        <v>Commercial and industrial waste</v>
      </c>
      <c r="F166" s="164"/>
      <c r="G166" s="15" cm="1">
        <f t="array" ref="G166">WasteSolid_InputFunctions.WasteSolid_InputFunctions_SumWasteTreatment(Table_Input_SolidWaste[Treatment type (select)],Table_Input_SolidWaste[Waste type (select)],Table_Input_SolidWaste[Treatment location (select)],Table_Input_SolidWaste[Amount unit (select)],Table_Input_SolidWaste[Amount],D30,E30, "Removed and treated off-site", "tonnes")</f>
        <v>0</v>
      </c>
      <c r="H166" s="15">
        <f t="shared" si="3"/>
        <v>0</v>
      </c>
      <c r="I166" s="15">
        <f t="shared" si="4"/>
        <v>0</v>
      </c>
      <c r="J166" s="15" cm="1">
        <f t="array" ref="J166">Common_InputFunctions.Utility_LookupValueInTableTwoColumns(D166,E166,Table_SourceData_WasteSolid_WasteTreatmentEFs[Treatment type t],Table_SourceData_WasteSolid_WasteTreatmentEFs[Waste type w],Table_SourceData_WasteSolid_WasteTreatmentEFs[EFwt])</f>
        <v>1.3</v>
      </c>
      <c r="K166" s="15">
        <f>(I166 * J166)</f>
        <v>0</v>
      </c>
    </row>
    <row r="167" spans="4:11" ht="20.100000000000001" customHeight="1" x14ac:dyDescent="0.2">
      <c r="D167" s="105" t="str">
        <v>Landfill</v>
      </c>
      <c r="E167" s="106" t="str">
        <v>Construction and demolition waste</v>
      </c>
      <c r="F167" s="164"/>
      <c r="G167" s="15" cm="1">
        <f t="array" ref="G167">WasteSolid_InputFunctions.WasteSolid_InputFunctions_SumWasteTreatment(Table_Input_SolidWaste[Treatment type (select)],Table_Input_SolidWaste[Waste type (select)],Table_Input_SolidWaste[Treatment location (select)],Table_Input_SolidWaste[Amount unit (select)],Table_Input_SolidWaste[Amount],D31,E31, "Removed and treated off-site", "tonnes")</f>
        <v>0</v>
      </c>
      <c r="H167" s="15">
        <f t="shared" si="3"/>
        <v>0</v>
      </c>
      <c r="I167" s="15">
        <f t="shared" si="4"/>
        <v>0</v>
      </c>
      <c r="J167" s="15" cm="1">
        <f t="array" ref="J167">Common_InputFunctions.Utility_LookupValueInTableTwoColumns(D167,E167,Table_SourceData_WasteSolid_WasteTreatmentEFs[Treatment type t],Table_SourceData_WasteSolid_WasteTreatmentEFs[Waste type w],Table_SourceData_WasteSolid_WasteTreatmentEFs[EFwt])</f>
        <v>0.2</v>
      </c>
      <c r="K167" s="15">
        <f>(I167 * J167)</f>
        <v>0</v>
      </c>
    </row>
    <row r="168" spans="4:11" ht="20.100000000000001" customHeight="1" x14ac:dyDescent="0.2">
      <c r="D168" s="105" t="str">
        <v>Incineration</v>
      </c>
      <c r="E168" s="106" t="str">
        <v>Food waste, green waste, wood, sludge</v>
      </c>
      <c r="F168" s="164"/>
      <c r="G168" s="15" t="s">
        <v>660</v>
      </c>
      <c r="H168" s="15" t="str">
        <f t="shared" si="3"/>
        <v>Not used</v>
      </c>
      <c r="I168" s="15">
        <f>SUM(G169:G172)+SUM(H169:H172)+N("Partial sum")</f>
        <v>0</v>
      </c>
      <c r="J168" s="15" cm="1">
        <f t="array" ref="J168">Common_InputFunctions.Utility_LookupValueInTableTwoColumns(D168,E168,Table_SourceData_WasteSolid_WasteTreatmentEFs[Treatment type t],Table_SourceData_WasteSolid_WasteTreatmentEFs[Waste type w],Table_SourceData_WasteSolid_WasteTreatmentEFs[EFwt])</f>
        <v>0</v>
      </c>
      <c r="K168" s="15">
        <f>(I168 * J168)</f>
        <v>0</v>
      </c>
    </row>
    <row r="169" spans="4:11" ht="20.100000000000001" customHeight="1" x14ac:dyDescent="0.2">
      <c r="D169" s="105" t="str">
        <v>Incineration</v>
      </c>
      <c r="E169" s="106" t="str">
        <v>Food waste (including animal carcasses, spoiled animal feed or crop)</v>
      </c>
      <c r="F169" s="164"/>
      <c r="G169" s="15" cm="1">
        <f t="array" ref="G169">WasteSolid_InputFunctions.WasteSolid_InputFunctions_SumWasteTreatment(Table_Input_SolidWaste[Treatment type (select)],Table_Input_SolidWaste[Waste type (select)],Table_Input_SolidWaste[Treatment location (select)],Table_Input_SolidWaste[Amount unit (select)],Table_Input_SolidWaste[Amount],D33,E33, "Removed and treated off-site", "tonnes")</f>
        <v>0</v>
      </c>
      <c r="H169" s="15">
        <f t="shared" si="3"/>
        <v>0</v>
      </c>
      <c r="I169" s="15" t="s">
        <v>916</v>
      </c>
      <c r="J169" s="15" t="s">
        <v>660</v>
      </c>
      <c r="K169" s="15" t="s">
        <v>660</v>
      </c>
    </row>
    <row r="170" spans="4:11" ht="20.100000000000001" customHeight="1" x14ac:dyDescent="0.2">
      <c r="D170" s="105" t="str">
        <v>Incineration</v>
      </c>
      <c r="E170" s="106" t="str">
        <v>Green waste (including crop residues or prunings)</v>
      </c>
      <c r="F170" s="164"/>
      <c r="G170" s="15" cm="1">
        <f t="array" ref="G170">WasteSolid_InputFunctions.WasteSolid_InputFunctions_SumWasteTreatment(Table_Input_SolidWaste[Treatment type (select)],Table_Input_SolidWaste[Waste type (select)],Table_Input_SolidWaste[Treatment location (select)],Table_Input_SolidWaste[Amount unit (select)],Table_Input_SolidWaste[Amount],D34,E34, "Removed and treated off-site", "tonnes")</f>
        <v>0</v>
      </c>
      <c r="H170" s="15">
        <f t="shared" si="3"/>
        <v>0</v>
      </c>
      <c r="I170" s="15" t="s">
        <v>916</v>
      </c>
      <c r="J170" s="15" t="s">
        <v>660</v>
      </c>
      <c r="K170" s="15" t="s">
        <v>660</v>
      </c>
    </row>
    <row r="171" spans="4:11" ht="20.100000000000001" customHeight="1" x14ac:dyDescent="0.2">
      <c r="D171" s="105" t="str">
        <v>Incineration</v>
      </c>
      <c r="E171" s="106" t="str">
        <v>Wood</v>
      </c>
      <c r="F171" s="164"/>
      <c r="G171" s="15" cm="1">
        <f t="array" ref="G171">WasteSolid_InputFunctions.WasteSolid_InputFunctions_SumWasteTreatment(Table_Input_SolidWaste[Treatment type (select)],Table_Input_SolidWaste[Waste type (select)],Table_Input_SolidWaste[Treatment location (select)],Table_Input_SolidWaste[Amount unit (select)],Table_Input_SolidWaste[Amount],D35,E35, "Removed and treated off-site", "tonnes")</f>
        <v>0</v>
      </c>
      <c r="H171" s="15">
        <f t="shared" si="3"/>
        <v>0</v>
      </c>
      <c r="I171" s="15" t="s">
        <v>916</v>
      </c>
      <c r="J171" s="15" t="s">
        <v>660</v>
      </c>
      <c r="K171" s="15" t="s">
        <v>660</v>
      </c>
    </row>
    <row r="172" spans="4:11" ht="20.100000000000001" customHeight="1" x14ac:dyDescent="0.2">
      <c r="D172" s="105" t="str">
        <v>Incineration</v>
      </c>
      <c r="E172" s="106" t="str">
        <v>Sludge</v>
      </c>
      <c r="F172" s="164"/>
      <c r="G172" s="15" cm="1">
        <f t="array" ref="G172">WasteSolid_InputFunctions.WasteSolid_InputFunctions_SumWasteTreatment(Table_Input_SolidWaste[Treatment type (select)],Table_Input_SolidWaste[Waste type (select)],Table_Input_SolidWaste[Treatment location (select)],Table_Input_SolidWaste[Amount unit (select)],Table_Input_SolidWaste[Amount],D36,E36, "Removed and treated off-site", "tonnes")</f>
        <v>0</v>
      </c>
      <c r="H172" s="15">
        <f t="shared" si="3"/>
        <v>0</v>
      </c>
      <c r="I172" s="15" t="s">
        <v>916</v>
      </c>
      <c r="J172" s="15" t="s">
        <v>660</v>
      </c>
      <c r="K172" s="15" t="s">
        <v>660</v>
      </c>
    </row>
    <row r="173" spans="4:11" ht="20.100000000000001" customHeight="1" x14ac:dyDescent="0.2">
      <c r="D173" s="105" t="str">
        <v>Incineration</v>
      </c>
      <c r="E173" s="106" t="str">
        <v>Paper and cardboard</v>
      </c>
      <c r="F173" s="164"/>
      <c r="G173" s="15" cm="1">
        <f t="array" ref="G173">WasteSolid_InputFunctions.WasteSolid_InputFunctions_SumWasteTreatment(Table_Input_SolidWaste[Treatment type (select)],Table_Input_SolidWaste[Waste type (select)],Table_Input_SolidWaste[Treatment location (select)],Table_Input_SolidWaste[Amount unit (select)],Table_Input_SolidWaste[Amount],D37,E37, "Removed and treated off-site", "tonnes")</f>
        <v>0</v>
      </c>
      <c r="H173" s="15">
        <f t="shared" si="3"/>
        <v>0</v>
      </c>
      <c r="I173" s="15">
        <f t="shared" ref="I173:I178" si="5">G173+H173</f>
        <v>0</v>
      </c>
      <c r="J173" s="15" cm="1">
        <f t="array" ref="J173">Common_InputFunctions.Utility_LookupValueInTableTwoColumns(D173,E173,Table_SourceData_WasteSolid_WasteTreatmentEFs[Treatment type t],Table_SourceData_WasteSolid_WasteTreatmentEFs[Waste type w],Table_SourceData_WasteSolid_WasteTreatmentEFs[EFwt])</f>
        <v>1.6899999999999998E-2</v>
      </c>
      <c r="K173" s="15">
        <f>(I173 * J173)</f>
        <v>0</v>
      </c>
    </row>
    <row r="174" spans="4:11" ht="20.100000000000001" customHeight="1" x14ac:dyDescent="0.2">
      <c r="D174" s="105" t="str">
        <v>Incineration</v>
      </c>
      <c r="E174" s="106" t="str">
        <v>Textiles</v>
      </c>
      <c r="F174" s="164"/>
      <c r="G174" s="15" cm="1">
        <f t="array" ref="G174">WasteSolid_InputFunctions.WasteSolid_InputFunctions_SumWasteTreatment(Table_Input_SolidWaste[Treatment type (select)],Table_Input_SolidWaste[Waste type (select)],Table_Input_SolidWaste[Treatment location (select)],Table_Input_SolidWaste[Amount unit (select)],Table_Input_SolidWaste[Amount],D38,E38, "Removed and treated off-site", "tonnes")</f>
        <v>0</v>
      </c>
      <c r="H174" s="15">
        <f t="shared" si="3"/>
        <v>0</v>
      </c>
      <c r="I174" s="15">
        <f t="shared" si="5"/>
        <v>0</v>
      </c>
      <c r="J174" s="15" cm="1">
        <f t="array" ref="J174">Common_InputFunctions.Utility_LookupValueInTableTwoColumns(D174,E174,Table_SourceData_WasteSolid_WasteTreatmentEFs[Treatment type t],Table_SourceData_WasteSolid_WasteTreatmentEFs[Waste type w],Table_SourceData_WasteSolid_WasteTreatmentEFs[EFwt])</f>
        <v>0.36670000000000003</v>
      </c>
      <c r="K174" s="15">
        <f>(I174 * J174)</f>
        <v>0</v>
      </c>
    </row>
    <row r="175" spans="4:11" ht="20.100000000000001" customHeight="1" x14ac:dyDescent="0.2">
      <c r="D175" s="105" t="str">
        <v>Incineration</v>
      </c>
      <c r="E175" s="106" t="str">
        <v>Rubber and leather</v>
      </c>
      <c r="F175" s="164"/>
      <c r="G175" s="15" cm="1">
        <f t="array" ref="G175">WasteSolid_InputFunctions.WasteSolid_InputFunctions_SumWasteTreatment(Table_Input_SolidWaste[Treatment type (select)],Table_Input_SolidWaste[Waste type (select)],Table_Input_SolidWaste[Treatment location (select)],Table_Input_SolidWaste[Amount unit (select)],Table_Input_SolidWaste[Amount],D39,E39, "Removed and treated off-site", "tonnes")</f>
        <v>0</v>
      </c>
      <c r="H175" s="15">
        <f t="shared" si="3"/>
        <v>0</v>
      </c>
      <c r="I175" s="15">
        <f t="shared" si="5"/>
        <v>0</v>
      </c>
      <c r="J175" s="15" cm="1">
        <f t="array" ref="J175">Common_InputFunctions.Utility_LookupValueInTableTwoColumns(D175,E175,Table_SourceData_WasteSolid_WasteTreatmentEFs[Treatment type t],Table_SourceData_WasteSolid_WasteTreatmentEFs[Waste type w],Table_SourceData_WasteSolid_WasteTreatmentEFs[EFwt])</f>
        <v>0.4919</v>
      </c>
      <c r="K175" s="15">
        <f>(I175 * J175)</f>
        <v>0</v>
      </c>
    </row>
    <row r="176" spans="4:11" ht="20.100000000000001" customHeight="1" x14ac:dyDescent="0.2">
      <c r="D176" s="105" t="str">
        <v>Incineration</v>
      </c>
      <c r="E176" s="106" t="str">
        <v>Inert waste (including concrete, metal, plastic or glass)</v>
      </c>
      <c r="F176" s="164"/>
      <c r="G176" s="15" cm="1">
        <f t="array" ref="G176">WasteSolid_InputFunctions.WasteSolid_InputFunctions_SumWasteTreatment(Table_Input_SolidWaste[Treatment type (select)],Table_Input_SolidWaste[Waste type (select)],Table_Input_SolidWaste[Treatment location (select)],Table_Input_SolidWaste[Amount unit (select)],Table_Input_SolidWaste[Amount],D40,E40, "Removed and treated off-site", "tonnes")</f>
        <v>0</v>
      </c>
      <c r="H176" s="15">
        <f t="shared" si="3"/>
        <v>0</v>
      </c>
      <c r="I176" s="15">
        <f t="shared" si="5"/>
        <v>0</v>
      </c>
      <c r="J176" s="15" cm="1">
        <f t="array" ref="J176">Common_InputFunctions.Utility_LookupValueInTableTwoColumns(D176,E176,Table_SourceData_WasteSolid_WasteTreatmentEFs[Treatment type t],Table_SourceData_WasteSolid_WasteTreatmentEFs[Waste type w],Table_SourceData_WasteSolid_WasteTreatmentEFs[EFwt])</f>
        <v>0.11</v>
      </c>
      <c r="K176" s="15">
        <f>(I176 * J176)</f>
        <v>0</v>
      </c>
    </row>
    <row r="177" spans="4:11" ht="20.100000000000001" customHeight="1" x14ac:dyDescent="0.2">
      <c r="D177" s="105" t="str">
        <v>Incineration</v>
      </c>
      <c r="E177" s="106" t="str">
        <v>Municipal solid waste</v>
      </c>
      <c r="F177" s="108"/>
      <c r="G177" s="15" cm="1">
        <f t="array" ref="G177">WasteSolid_InputFunctions.WasteSolid_InputFunctions_SumWasteTreatment(Table_Input_SolidWaste[Treatment type (select)],Table_Input_SolidWaste[Waste type (select)],Table_Input_SolidWaste[Treatment location (select)],Table_Input_SolidWaste[Amount unit (select)],Table_Input_SolidWaste[Amount],D41,E41, "Removed and treated off-site", "tonnes")</f>
        <v>0</v>
      </c>
      <c r="H177" s="15">
        <f t="shared" si="3"/>
        <v>0</v>
      </c>
      <c r="I177" s="15">
        <f t="shared" si="5"/>
        <v>0</v>
      </c>
      <c r="J177" s="15" cm="1">
        <f t="array" ref="J177">Common_InputFunctions.Utility_LookupValueInTableTwoColumns(D177,E177,Table_SourceData_WasteSolid_WasteTreatmentEFs[Treatment type t],Table_SourceData_WasteSolid_WasteTreatmentEFs[Waste type w],Table_SourceData_WasteSolid_WasteTreatmentEFs[EFwt])</f>
        <v>5.3699999999999998E-2</v>
      </c>
      <c r="K177" s="15">
        <f>(I177 * J177)</f>
        <v>0</v>
      </c>
    </row>
    <row r="178" spans="4:11" ht="20.100000000000001" customHeight="1" x14ac:dyDescent="0.2">
      <c r="D178" s="105" t="str">
        <v>Incineration</v>
      </c>
      <c r="E178" s="106" t="str">
        <v>Commercial and industrial waste</v>
      </c>
      <c r="F178" s="108"/>
      <c r="G178" s="15" cm="1">
        <f t="array" ref="G178">WasteSolid_InputFunctions.WasteSolid_InputFunctions_SumWasteTreatment(Table_Input_SolidWaste[Treatment type (select)],Table_Input_SolidWaste[Waste type (select)],Table_Input_SolidWaste[Treatment location (select)],Table_Input_SolidWaste[Amount unit (select)],Table_Input_SolidWaste[Amount],D42,E42, "Removed and treated off-site", "tonnes")</f>
        <v>0</v>
      </c>
      <c r="H178" s="15">
        <f t="shared" si="3"/>
        <v>0</v>
      </c>
      <c r="I178" s="15">
        <f t="shared" si="5"/>
        <v>0</v>
      </c>
      <c r="J178" s="15" cm="1">
        <f t="array" ref="J178">Common_InputFunctions.Utility_LookupValueInTableTwoColumns(D178,E178,Table_SourceData_WasteSolid_WasteTreatmentEFs[Treatment type t],Table_SourceData_WasteSolid_WasteTreatmentEFs[Waste type w],Table_SourceData_WasteSolid_WasteTreatmentEFs[EFwt])</f>
        <v>1.649</v>
      </c>
      <c r="K178" s="15">
        <f>(I178 * J178)</f>
        <v>0</v>
      </c>
    </row>
    <row r="179" spans="4:11" ht="20.100000000000001" customHeight="1" x14ac:dyDescent="0.2">
      <c r="D179" s="105" t="str">
        <v>Composting</v>
      </c>
      <c r="E179" s="106" t="str">
        <v>All organic waste</v>
      </c>
      <c r="F179" s="108"/>
      <c r="G179" s="15" t="s">
        <v>660</v>
      </c>
      <c r="H179" s="15" t="str">
        <f t="shared" si="3"/>
        <v>Not used</v>
      </c>
      <c r="I179" s="15">
        <f>SUM(G180:G184)+SUM(H180:H184)+N("Partial sum")</f>
        <v>0</v>
      </c>
      <c r="J179" s="15" cm="1">
        <f t="array" ref="J179">Common_InputFunctions.Utility_LookupValueInTableTwoColumns(D179,E179,Table_SourceData_WasteSolid_WasteTreatmentEFs[Treatment type t],Table_SourceData_WasteSolid_WasteTreatmentEFs[Waste type w],Table_SourceData_WasteSolid_WasteTreatmentEFs[EFwt])</f>
        <v>4.5999999999999999E-2</v>
      </c>
      <c r="K179" s="15">
        <f>(I179 * J179)</f>
        <v>0</v>
      </c>
    </row>
    <row r="180" spans="4:11" ht="20.100000000000001" customHeight="1" x14ac:dyDescent="0.2">
      <c r="D180" s="105" t="str">
        <v>Composting</v>
      </c>
      <c r="E180" s="106" t="str">
        <v>Food waste (including animal carcasses, spoiled animal feed or crop)</v>
      </c>
      <c r="F180" s="108"/>
      <c r="G180" s="15" cm="1">
        <f t="array" ref="G180">WasteSolid_InputFunctions.WasteSolid_InputFunctions_SumWasteTreatment(Table_Input_SolidWaste[Treatment type (select)],Table_Input_SolidWaste[Waste type (select)],Table_Input_SolidWaste[Treatment location (select)],Table_Input_SolidWaste[Amount unit (select)],Table_Input_SolidWaste[Amount],D44,E44, "Removed and treated off-site", "tonnes")</f>
        <v>0</v>
      </c>
      <c r="H180" s="15">
        <f t="shared" si="3"/>
        <v>0</v>
      </c>
      <c r="I180" s="15" t="s">
        <v>916</v>
      </c>
      <c r="J180" s="15" t="s">
        <v>660</v>
      </c>
      <c r="K180" s="15" t="s">
        <v>660</v>
      </c>
    </row>
    <row r="181" spans="4:11" ht="20.100000000000001" customHeight="1" x14ac:dyDescent="0.2">
      <c r="D181" s="105" t="str">
        <v>Composting</v>
      </c>
      <c r="E181" s="106" t="str">
        <v>Green waste (including crop residues or prunings)</v>
      </c>
      <c r="F181" s="108"/>
      <c r="G181" s="15" cm="1">
        <f t="array" ref="G181">WasteSolid_InputFunctions.WasteSolid_InputFunctions_SumWasteTreatment(Table_Input_SolidWaste[Treatment type (select)],Table_Input_SolidWaste[Waste type (select)],Table_Input_SolidWaste[Treatment location (select)],Table_Input_SolidWaste[Amount unit (select)],Table_Input_SolidWaste[Amount],D45,E45, "Removed and treated off-site", "tonnes")</f>
        <v>0</v>
      </c>
      <c r="H181" s="15">
        <f t="shared" si="3"/>
        <v>0</v>
      </c>
      <c r="I181" s="15" t="s">
        <v>916</v>
      </c>
      <c r="J181" s="15" t="s">
        <v>660</v>
      </c>
      <c r="K181" s="15" t="s">
        <v>660</v>
      </c>
    </row>
    <row r="182" spans="4:11" ht="20.100000000000001" customHeight="1" x14ac:dyDescent="0.2">
      <c r="D182" s="105" t="str">
        <v>Composting</v>
      </c>
      <c r="E182" s="106" t="str">
        <v>Wood</v>
      </c>
      <c r="F182" s="108"/>
      <c r="G182" s="15" cm="1">
        <f t="array" ref="G182">WasteSolid_InputFunctions.WasteSolid_InputFunctions_SumWasteTreatment(Table_Input_SolidWaste[Treatment type (select)],Table_Input_SolidWaste[Waste type (select)],Table_Input_SolidWaste[Treatment location (select)],Table_Input_SolidWaste[Amount unit (select)],Table_Input_SolidWaste[Amount],D46,E46, "Removed and treated off-site", "tonnes")</f>
        <v>0</v>
      </c>
      <c r="H182" s="15">
        <f t="shared" si="3"/>
        <v>0</v>
      </c>
      <c r="I182" s="15" t="s">
        <v>916</v>
      </c>
      <c r="J182" s="15" t="s">
        <v>660</v>
      </c>
      <c r="K182" s="15" t="s">
        <v>660</v>
      </c>
    </row>
    <row r="183" spans="4:11" ht="20.100000000000001" customHeight="1" x14ac:dyDescent="0.2">
      <c r="D183" s="105" t="str">
        <v>Composting</v>
      </c>
      <c r="E183" s="106" t="str">
        <v>Sludge</v>
      </c>
      <c r="F183" s="108"/>
      <c r="G183" s="15" cm="1">
        <f t="array" ref="G183">WasteSolid_InputFunctions.WasteSolid_InputFunctions_SumWasteTreatment(Table_Input_SolidWaste[Treatment type (select)],Table_Input_SolidWaste[Waste type (select)],Table_Input_SolidWaste[Treatment location (select)],Table_Input_SolidWaste[Amount unit (select)],Table_Input_SolidWaste[Amount],D47,E47, "Removed and treated off-site", "tonnes")</f>
        <v>0</v>
      </c>
      <c r="H183" s="15">
        <f t="shared" si="3"/>
        <v>0</v>
      </c>
      <c r="I183" s="15" t="s">
        <v>916</v>
      </c>
      <c r="J183" s="15" t="s">
        <v>660</v>
      </c>
      <c r="K183" s="15" t="s">
        <v>660</v>
      </c>
    </row>
    <row r="184" spans="4:11" ht="20.100000000000001" customHeight="1" x14ac:dyDescent="0.2">
      <c r="D184" s="105" t="str">
        <v>Composting</v>
      </c>
      <c r="E184" s="106" t="str">
        <v>Paper and cardboard</v>
      </c>
      <c r="F184" s="108"/>
      <c r="G184" s="15" cm="1">
        <f t="array" ref="G184">WasteSolid_InputFunctions.WasteSolid_InputFunctions_SumWasteTreatment(Table_Input_SolidWaste[Treatment type (select)],Table_Input_SolidWaste[Waste type (select)],Table_Input_SolidWaste[Treatment location (select)],Table_Input_SolidWaste[Amount unit (select)],Table_Input_SolidWaste[Amount],D48,E48, "Removed and treated off-site", "tonnes")</f>
        <v>0</v>
      </c>
      <c r="H184" s="15">
        <f t="shared" si="3"/>
        <v>0</v>
      </c>
      <c r="I184" s="15" t="s">
        <v>916</v>
      </c>
      <c r="J184" s="15" t="s">
        <v>660</v>
      </c>
      <c r="K184" s="15" t="s">
        <v>660</v>
      </c>
    </row>
    <row r="185" spans="4:11" ht="20.100000000000001" customHeight="1" x14ac:dyDescent="0.2">
      <c r="D185" s="105" t="str">
        <v>Anaerobic digestion</v>
      </c>
      <c r="E185" s="106" t="str">
        <v>All organic waste</v>
      </c>
      <c r="F185" s="108"/>
      <c r="G185" s="15" t="s">
        <v>660</v>
      </c>
      <c r="H185" s="15" t="str">
        <f t="shared" si="3"/>
        <v>Not used</v>
      </c>
      <c r="I185" s="15">
        <f>SUM(G186:G190)+SUM(H186:H190)+N("Partial sum")</f>
        <v>0</v>
      </c>
      <c r="J185" s="15" cm="1">
        <f t="array" ref="J185">Common_InputFunctions.Utility_LookupValueInTableTwoColumns(D185,E185,Table_SourceData_WasteSolid_WasteTreatmentEFs[Treatment type t],Table_SourceData_WasteSolid_WasteTreatmentEFs[Waste type w],Table_SourceData_WasteSolid_WasteTreatmentEFs[EFwt])</f>
        <v>2.8000000000000001E-2</v>
      </c>
      <c r="K185" s="15">
        <f>(I185 * J185)</f>
        <v>0</v>
      </c>
    </row>
    <row r="186" spans="4:11" ht="20.100000000000001" customHeight="1" x14ac:dyDescent="0.2">
      <c r="D186" s="105" t="str">
        <v>Anaerobic digestion</v>
      </c>
      <c r="E186" s="106" t="str">
        <v>Food waste (including animal carcasses, spoiled animal feed or crop)</v>
      </c>
      <c r="F186" s="108"/>
      <c r="G186" s="15" cm="1">
        <f t="array" ref="G186">WasteSolid_InputFunctions.WasteSolid_InputFunctions_SumWasteTreatment(Table_Input_SolidWaste[Treatment type (select)],Table_Input_SolidWaste[Waste type (select)],Table_Input_SolidWaste[Treatment location (select)],Table_Input_SolidWaste[Amount unit (select)],Table_Input_SolidWaste[Amount],D50,E50, "Removed and treated off-site", "tonnes")</f>
        <v>0</v>
      </c>
      <c r="H186" s="15">
        <f t="shared" si="3"/>
        <v>0</v>
      </c>
      <c r="I186" s="15" t="s">
        <v>916</v>
      </c>
      <c r="J186" s="15" t="s">
        <v>660</v>
      </c>
      <c r="K186" s="15" t="s">
        <v>660</v>
      </c>
    </row>
    <row r="187" spans="4:11" ht="20.100000000000001" customHeight="1" x14ac:dyDescent="0.2">
      <c r="D187" s="105" t="str">
        <v>Anaerobic digestion</v>
      </c>
      <c r="E187" s="106" t="str">
        <v>Green waste (including crop residues or prunings)</v>
      </c>
      <c r="F187" s="108"/>
      <c r="G187" s="15" cm="1">
        <f t="array" ref="G187">WasteSolid_InputFunctions.WasteSolid_InputFunctions_SumWasteTreatment(Table_Input_SolidWaste[Treatment type (select)],Table_Input_SolidWaste[Waste type (select)],Table_Input_SolidWaste[Treatment location (select)],Table_Input_SolidWaste[Amount unit (select)],Table_Input_SolidWaste[Amount],D51,E51, "Removed and treated off-site", "tonnes")</f>
        <v>0</v>
      </c>
      <c r="H187" s="15">
        <f t="shared" si="3"/>
        <v>0</v>
      </c>
      <c r="I187" s="15" t="s">
        <v>916</v>
      </c>
      <c r="J187" s="15" t="s">
        <v>660</v>
      </c>
      <c r="K187" s="15" t="s">
        <v>660</v>
      </c>
    </row>
    <row r="188" spans="4:11" ht="20.100000000000001" customHeight="1" x14ac:dyDescent="0.2">
      <c r="D188" s="105" t="str">
        <v>Anaerobic digestion</v>
      </c>
      <c r="E188" s="106" t="str">
        <v>Wood</v>
      </c>
      <c r="F188" s="108"/>
      <c r="G188" s="15" cm="1">
        <f t="array" ref="G188">WasteSolid_InputFunctions.WasteSolid_InputFunctions_SumWasteTreatment(Table_Input_SolidWaste[Treatment type (select)],Table_Input_SolidWaste[Waste type (select)],Table_Input_SolidWaste[Treatment location (select)],Table_Input_SolidWaste[Amount unit (select)],Table_Input_SolidWaste[Amount],D52,E52, "Removed and treated off-site", "tonnes")</f>
        <v>0</v>
      </c>
      <c r="H188" s="15">
        <f t="shared" si="3"/>
        <v>0</v>
      </c>
      <c r="I188" s="15" t="s">
        <v>916</v>
      </c>
      <c r="J188" s="15" t="s">
        <v>660</v>
      </c>
      <c r="K188" s="15" t="s">
        <v>660</v>
      </c>
    </row>
    <row r="189" spans="4:11" ht="20.100000000000001" customHeight="1" x14ac:dyDescent="0.2">
      <c r="D189" s="105" t="str">
        <v>Anaerobic digestion</v>
      </c>
      <c r="E189" s="106" t="str">
        <v>Sludge</v>
      </c>
      <c r="F189" s="108"/>
      <c r="G189" s="15" cm="1">
        <f t="array" ref="G189">WasteSolid_InputFunctions.WasteSolid_InputFunctions_SumWasteTreatment(Table_Input_SolidWaste[Treatment type (select)],Table_Input_SolidWaste[Waste type (select)],Table_Input_SolidWaste[Treatment location (select)],Table_Input_SolidWaste[Amount unit (select)],Table_Input_SolidWaste[Amount],D53,E53, "Removed and treated off-site", "tonnes")</f>
        <v>0</v>
      </c>
      <c r="H189" s="15">
        <f t="shared" si="3"/>
        <v>0</v>
      </c>
      <c r="I189" s="15" t="s">
        <v>916</v>
      </c>
      <c r="J189" s="15" t="s">
        <v>660</v>
      </c>
      <c r="K189" s="15" t="s">
        <v>660</v>
      </c>
    </row>
    <row r="190" spans="4:11" ht="20.100000000000001" customHeight="1" x14ac:dyDescent="0.2">
      <c r="D190" s="105" t="str">
        <v>Anaerobic digestion</v>
      </c>
      <c r="E190" s="106" t="str">
        <v>Paper and cardboard</v>
      </c>
      <c r="F190" s="108"/>
      <c r="G190" s="15" cm="1">
        <f t="array" ref="G190">WasteSolid_InputFunctions.WasteSolid_InputFunctions_SumWasteTreatment(Table_Input_SolidWaste[Treatment type (select)],Table_Input_SolidWaste[Waste type (select)],Table_Input_SolidWaste[Treatment location (select)],Table_Input_SolidWaste[Amount unit (select)],Table_Input_SolidWaste[Amount],D54,E54, "Removed and treated off-site", "tonnes")</f>
        <v>0</v>
      </c>
      <c r="H190" s="15">
        <f t="shared" si="3"/>
        <v>0</v>
      </c>
      <c r="I190" s="15" t="s">
        <v>916</v>
      </c>
      <c r="J190" s="15" t="s">
        <v>660</v>
      </c>
      <c r="K190" s="15" t="s">
        <v>660</v>
      </c>
    </row>
    <row r="192" spans="4:11" ht="20.100000000000001" customHeight="1" x14ac:dyDescent="0.2">
      <c r="D192" s="90" t="s">
        <v>917</v>
      </c>
      <c r="E192" s="91">
        <f>SUM(K157:K190)</f>
        <v>0</v>
      </c>
      <c r="F192" s="95" t="str">
        <f>$E$103</f>
        <v>t CO2e</v>
      </c>
    </row>
    <row r="341" spans="8:8" ht="20.100000000000001" customHeight="1" x14ac:dyDescent="0.2">
      <c r="H341" s="8"/>
    </row>
    <row r="342" spans="8:8" ht="20.100000000000001" customHeight="1" x14ac:dyDescent="0.2">
      <c r="H342" s="8"/>
    </row>
  </sheetData>
  <dataValidations count="1">
    <dataValidation operator="equal" allowBlank="1" showInputMessage="1" showErrorMessage="1" sqref="E269 E228" xr:uid="{32430948-B5DA-4040-A983-79200F811899}"/>
  </dataValidations>
  <pageMargins left="0.7" right="0.7" top="0.75" bottom="0.75" header="0.3" footer="0.3"/>
  <pageSetup paperSize="9" orientation="portrait" r:id="rId1"/>
  <drawing r:id="rId2"/>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8F5115-3529-4D1A-A3FD-43BEC65E8525}">
  <sheetPr>
    <tabColor rgb="FF008000"/>
  </sheetPr>
  <dimension ref="A1:K342"/>
  <sheetViews>
    <sheetView showGridLines="0" zoomScaleNormal="100" workbookViewId="0">
      <pane xSplit="1" topLeftCell="B1" activePane="topRight" state="frozen"/>
      <selection pane="topRight" activeCell="A59" sqref="A59"/>
    </sheetView>
  </sheetViews>
  <sheetFormatPr defaultRowHeight="20.100000000000001" customHeight="1" x14ac:dyDescent="0.2"/>
  <cols>
    <col min="1" max="1" width="36.7109375" customWidth="1"/>
    <col min="2" max="2" width="4.7109375" customWidth="1"/>
    <col min="3" max="3" width="4.7109375" style="1" customWidth="1"/>
    <col min="4" max="4" width="46.28515625" style="1" customWidth="1"/>
    <col min="5" max="10" width="30.7109375" style="1" customWidth="1"/>
    <col min="11" max="11" width="4.7109375" style="1" customWidth="1"/>
  </cols>
  <sheetData>
    <row r="1" spans="1:11" s="21" customFormat="1" ht="30" customHeight="1" x14ac:dyDescent="0.35">
      <c r="A1" s="10" t="e" vm="1">
        <v>#VALUE!</v>
      </c>
      <c r="C1" s="21" t="s">
        <v>786</v>
      </c>
    </row>
    <row r="2" spans="1:11" s="3" customFormat="1" ht="20.100000000000001" customHeight="1" x14ac:dyDescent="0.2">
      <c r="A2"/>
    </row>
    <row r="3" spans="1:11" ht="20.100000000000001" customHeight="1" x14ac:dyDescent="0.2">
      <c r="A3" s="5" t="str">
        <f>HYPERLINK("#'Home'!A1", "Home")</f>
        <v>Home</v>
      </c>
      <c r="C3" s="23"/>
      <c r="D3" s="23" t="s">
        <v>136</v>
      </c>
      <c r="E3" s="23"/>
      <c r="F3" s="23"/>
      <c r="G3" s="23"/>
      <c r="H3" s="23"/>
      <c r="I3" s="23"/>
      <c r="J3" s="23"/>
      <c r="K3" s="23"/>
    </row>
    <row r="4" spans="1:11" ht="20.100000000000001" customHeight="1" x14ac:dyDescent="0.2">
      <c r="A4" s="5" t="str">
        <f>HYPERLINK("#'Results - Activity period'!A1", "Results - Activity period")</f>
        <v>Results - Activity period</v>
      </c>
    </row>
    <row r="5" spans="1:11" ht="20.100000000000001" customHeight="1" x14ac:dyDescent="0.2">
      <c r="A5" s="5" t="str">
        <f>HYPERLINK("#'Results - Product EI'!A1", "Results - Product Emissions Intensity")</f>
        <v>Results - Product Emissions Intensity</v>
      </c>
      <c r="D5" s="2" t="s">
        <v>1618</v>
      </c>
    </row>
    <row r="6" spans="1:11" ht="20.100000000000001" customHeight="1" x14ac:dyDescent="0.2">
      <c r="D6" s="17" t="s">
        <v>1619</v>
      </c>
    </row>
    <row r="7" spans="1:11" ht="20.100000000000001" customHeight="1" x14ac:dyDescent="0.2">
      <c r="D7" s="26" t="s">
        <v>1620</v>
      </c>
    </row>
    <row r="8" spans="1:11" ht="20.100000000000001" customHeight="1" x14ac:dyDescent="0.2">
      <c r="A8" s="7" t="s">
        <v>0</v>
      </c>
      <c r="D8" s="103"/>
      <c r="E8" s="103"/>
    </row>
    <row r="9" spans="1:11" ht="20.100000000000001" customHeight="1" x14ac:dyDescent="0.2">
      <c r="A9" s="5" t="str">
        <f>HYPERLINK("#'Input - Enterprise'!A1", "Enterprise")</f>
        <v>Enterprise</v>
      </c>
    </row>
    <row r="10" spans="1:11" ht="20.100000000000001" customHeight="1" x14ac:dyDescent="0.2">
      <c r="A10" s="5" t="str">
        <f>HYPERLINK("#'Input - Site'!A1", "Site")</f>
        <v>Site</v>
      </c>
    </row>
    <row r="11" spans="1:11" ht="20.100000000000001" customHeight="1" x14ac:dyDescent="0.2">
      <c r="A11" s="5" t="str">
        <f>HYPERLINK("#'Input - Pasture Beef'!A1", "Pasture Beef")</f>
        <v>Pasture Beef</v>
      </c>
      <c r="D11" s="77" t="s">
        <v>373</v>
      </c>
      <c r="E11" s="1" t="s">
        <v>1621</v>
      </c>
    </row>
    <row r="12" spans="1:11" ht="20.100000000000001" customHeight="1" x14ac:dyDescent="0.2">
      <c r="A12" s="5" t="str">
        <f>HYPERLINK("#'Input - Livestock sales'!A1", "Livestock sales")</f>
        <v>Livestock sales</v>
      </c>
      <c r="D12" s="77" t="s">
        <v>121</v>
      </c>
      <c r="E12" s="9" t="s">
        <v>6</v>
      </c>
    </row>
    <row r="13" spans="1:11" ht="20.100000000000001" customHeight="1" x14ac:dyDescent="0.2">
      <c r="A13" s="5" t="str">
        <f>HYPERLINK("#'Input - Beef cattle purchases'!A1", "Beef cattle purchases")</f>
        <v>Beef cattle purchases</v>
      </c>
    </row>
    <row r="14" spans="1:11" ht="20.100000000000001" customHeight="1" x14ac:dyDescent="0.2">
      <c r="A14" s="5" t="str">
        <f>HYPERLINK("#'Input - Pasture'!A1", "Pasture")</f>
        <v>Pasture</v>
      </c>
      <c r="D14" s="105" t="s">
        <v>1622</v>
      </c>
      <c r="E14" s="106" t="s">
        <v>1623</v>
      </c>
      <c r="F14" s="108"/>
      <c r="G14" s="105" t="s">
        <v>760</v>
      </c>
      <c r="H14" s="109" t="s">
        <v>1219</v>
      </c>
      <c r="I14" s="106">
        <f>X_Cell_Electricity_Location_AmountPurchasedInkWh</f>
        <v>0</v>
      </c>
      <c r="J14" s="108"/>
    </row>
    <row r="15" spans="1:11" ht="20.100000000000001" customHeight="1" x14ac:dyDescent="0.2">
      <c r="A15" s="5" t="str">
        <f>HYPERLINK("#'Input - Fert Prod System'!A1", "Fert Prod System")</f>
        <v>Fert Prod System</v>
      </c>
      <c r="D15" s="105" t="s">
        <v>1624</v>
      </c>
      <c r="E15" s="106" t="s">
        <v>1625</v>
      </c>
      <c r="F15" s="108"/>
      <c r="G15" s="105" t="s">
        <v>1627</v>
      </c>
      <c r="H15" s="110" t="s">
        <v>1220</v>
      </c>
      <c r="I15" s="106" cm="1">
        <f t="array" ref="I15">Common_InputFunctions.Utility_LookupValueInTableNumber(I16,Table_SourceData_ElectricityEFs[State, Territory or grid description],Table_SourceData_ElectricityEFs[Scope 2 Emission Factors (kg CO2-e/kWh)])</f>
        <v>0</v>
      </c>
      <c r="J15" s="108"/>
    </row>
    <row r="16" spans="1:11" ht="20.100000000000001" customHeight="1" x14ac:dyDescent="0.2">
      <c r="A16" s="5" t="str">
        <f>HYPERLINK("#'Input - Fertiliser'!A1", "Fertiliser")</f>
        <v>Fertiliser</v>
      </c>
      <c r="D16" s="105" t="s">
        <v>1558</v>
      </c>
      <c r="E16" s="106" t="s">
        <v>1626</v>
      </c>
      <c r="F16" s="108"/>
      <c r="G16" s="105"/>
      <c r="H16" s="109" t="s">
        <v>1219</v>
      </c>
      <c r="I16" s="106">
        <f>X_Cell_Electricity_Location_GridElectricityPurchasedFrom</f>
        <v>0</v>
      </c>
      <c r="J16" s="108"/>
    </row>
    <row r="17" spans="1:11" ht="20.100000000000001" customHeight="1" x14ac:dyDescent="0.2">
      <c r="A17" s="5" t="str">
        <f>HYPERLINK("#'Input - Fuel'!A1", "Fuel")</f>
        <v>Fuel</v>
      </c>
    </row>
    <row r="18" spans="1:11" ht="20.100000000000001" customHeight="1" x14ac:dyDescent="0.2">
      <c r="A18" s="5" t="str">
        <f>HYPERLINK("#'Input - Electricity'!A1", "Electricity")</f>
        <v>Electricity</v>
      </c>
      <c r="D18" s="90" t="s">
        <v>787</v>
      </c>
      <c r="E18" s="91">
        <f>(I14 * I15 * 10 ^ -3)</f>
        <v>0</v>
      </c>
      <c r="F18" s="95" t="str">
        <f>$E$12</f>
        <v>t CO2e</v>
      </c>
    </row>
    <row r="19" spans="1:11" ht="20.100000000000001" customHeight="1" x14ac:dyDescent="0.2">
      <c r="A19" s="5" t="str">
        <f>HYPERLINK("#'Input - Common farm inputs'!A1", "Common farm inputs")</f>
        <v>Common farm inputs</v>
      </c>
    </row>
    <row r="20" spans="1:11" ht="20.100000000000001" customHeight="1" x14ac:dyDescent="0.2">
      <c r="A20" s="5" t="str">
        <f>HYPERLINK("#'Input - Crop pasture farm input'!A1", "Crop pasture farm input")</f>
        <v>Crop pasture farm input</v>
      </c>
    </row>
    <row r="21" spans="1:11" ht="20.100000000000001" customHeight="1" x14ac:dyDescent="0.2">
      <c r="A21" s="5" t="str">
        <f>HYPERLINK("#'Input - Livestock farm Inputs'!A1", "Livestock farm Inputs")</f>
        <v>Livestock farm Inputs</v>
      </c>
      <c r="C21" s="87"/>
      <c r="D21" s="87"/>
      <c r="E21" s="87"/>
      <c r="F21" s="87"/>
      <c r="G21" s="87"/>
      <c r="H21" s="87"/>
      <c r="I21" s="87"/>
      <c r="J21" s="87"/>
      <c r="K21" s="87"/>
    </row>
    <row r="22" spans="1:11" ht="20.100000000000001" customHeight="1" x14ac:dyDescent="0.2">
      <c r="A22" s="5" t="str">
        <f>HYPERLINK("#'Input - Freight'!A1", "Freight")</f>
        <v>Freight</v>
      </c>
      <c r="D22" s="2" t="s">
        <v>1628</v>
      </c>
    </row>
    <row r="23" spans="1:11" ht="20.100000000000001" customHeight="1" x14ac:dyDescent="0.2">
      <c r="A23" s="5" t="str">
        <f>HYPERLINK("#'Input - Solid waste'!A1", "Solid waste")</f>
        <v>Solid waste</v>
      </c>
      <c r="D23" s="17" t="s">
        <v>1629</v>
      </c>
    </row>
    <row r="24" spans="1:11" ht="20.100000000000001" customHeight="1" x14ac:dyDescent="0.2">
      <c r="A24" s="5" t="str">
        <f>HYPERLINK("#'Input - Manure sent off-site'!A1", "Manure sent off-site")</f>
        <v>Manure sent off-site</v>
      </c>
      <c r="D24" s="26" t="s">
        <v>1630</v>
      </c>
    </row>
    <row r="25" spans="1:11" ht="20.100000000000001" customHeight="1" x14ac:dyDescent="0.2">
      <c r="A25" s="5" t="str">
        <f>HYPERLINK("#'Input - Data quality'!A1", "Data quality")</f>
        <v>Data quality</v>
      </c>
      <c r="D25" s="103"/>
      <c r="E25" s="103"/>
    </row>
    <row r="28" spans="1:11" ht="20.100000000000001" customHeight="1" x14ac:dyDescent="0.2">
      <c r="A28" s="6" t="s">
        <v>2</v>
      </c>
      <c r="D28" s="77" t="s">
        <v>373</v>
      </c>
      <c r="E28" s="1" t="s">
        <v>1621</v>
      </c>
    </row>
    <row r="29" spans="1:11" ht="20.100000000000001" customHeight="1" x14ac:dyDescent="0.2">
      <c r="A29" s="5" t="str">
        <f>HYPERLINK("#'3.2.1.1-2 Enteric Methane'!A1", "3.2.1.1-2 Enteric Methane")</f>
        <v>3.2.1.1-2 Enteric Methane</v>
      </c>
      <c r="D29" s="77" t="s">
        <v>121</v>
      </c>
      <c r="E29" s="9" t="s">
        <v>6</v>
      </c>
    </row>
    <row r="30" spans="1:11" ht="20.100000000000001" customHeight="1" x14ac:dyDescent="0.2">
      <c r="A30" s="5" t="str">
        <f>HYPERLINK("#'4.2.1.1-2 Methane'!A1", "4.2.1.1-2 Manure methane")</f>
        <v>4.2.1.1-2 Manure methane</v>
      </c>
    </row>
    <row r="31" spans="1:11" ht="20.100000000000001" customHeight="1" x14ac:dyDescent="0.2">
      <c r="A31" s="5" t="str">
        <f>HYPERLINK("#'4.2.1.3-4 Soil direct N20'!A1", "4.2.1.3-4 Soil direct N2O")</f>
        <v>4.2.1.3-4 Soil direct N2O</v>
      </c>
      <c r="D31" s="105" t="s">
        <v>1622</v>
      </c>
      <c r="E31" s="106" t="s">
        <v>1623</v>
      </c>
      <c r="F31" s="107"/>
      <c r="G31" s="107"/>
      <c r="H31" s="105" t="s">
        <v>760</v>
      </c>
      <c r="I31" s="109" t="s">
        <v>1219</v>
      </c>
      <c r="J31" s="105">
        <f>X_Cell_Electricity_Market_AmountPurchasedExcludingGreenPower</f>
        <v>0</v>
      </c>
    </row>
    <row r="32" spans="1:11" ht="20.100000000000001" customHeight="1" x14ac:dyDescent="0.2">
      <c r="A32" s="5" t="str">
        <f>HYPERLINK("#'4.2.1.5-6 Soil Atmos Dep'!A1", "4.2.1.5-6 Soil atm. deposition")</f>
        <v>4.2.1.5-6 Soil atm. deposition</v>
      </c>
      <c r="D32" s="105" t="s">
        <v>1631</v>
      </c>
      <c r="E32" s="106" t="s">
        <v>1632</v>
      </c>
      <c r="F32" s="107"/>
      <c r="G32" s="107"/>
      <c r="H32" s="105" t="s">
        <v>1641</v>
      </c>
      <c r="I32" s="109" t="s">
        <v>1219</v>
      </c>
      <c r="J32" s="185">
        <f>X_Cell_Electricity_Market_RenewablePowerPercentage</f>
        <v>0</v>
      </c>
    </row>
    <row r="33" spans="1:10" ht="20.100000000000001" customHeight="1" x14ac:dyDescent="0.2">
      <c r="A33" s="5" t="str">
        <f>HYPERLINK("#'4.2.1.7-8 Soil leach runoff'!A1", "4.2.1.7-8 Soil leach &amp; runoff")</f>
        <v>4.2.1.7-8 Soil leach &amp; runoff</v>
      </c>
      <c r="D33" s="105" t="s">
        <v>1633</v>
      </c>
      <c r="E33" s="106" t="s">
        <v>1634</v>
      </c>
      <c r="F33" s="107"/>
      <c r="G33" s="107"/>
      <c r="H33" s="105" t="s">
        <v>1641</v>
      </c>
      <c r="I33" s="109" t="s">
        <v>1219</v>
      </c>
      <c r="J33" s="185" t="str">
        <f>IF(J37="ACT", X_Cell_Electricity_Market_JurisdictionalRenewablePowerPercentage, "N/A")</f>
        <v>N/A</v>
      </c>
    </row>
    <row r="34" spans="1:10" ht="20.100000000000001" customHeight="1" x14ac:dyDescent="0.2">
      <c r="A34" s="5" t="str">
        <f>HYPERLINK("#'5.1.1.1-2 Inorganic fert N2O'!A1", "5.1.1.1-2 Inorganic fert N2O")</f>
        <v>5.1.1.1-2 Inorganic fert N2O</v>
      </c>
      <c r="D34" s="105" t="s">
        <v>1635</v>
      </c>
      <c r="E34" s="106" t="s">
        <v>1636</v>
      </c>
      <c r="F34" s="107"/>
      <c r="G34" s="107"/>
      <c r="H34" s="105" t="s">
        <v>775</v>
      </c>
      <c r="I34" s="109" t="s">
        <v>1219</v>
      </c>
      <c r="J34" s="105">
        <f>(X_Cell_Electricity_Market_AmountPurchasedGreenPower*10^-3)+X_Cell_TotalElegibleVoluntarilySurrenderedRECs</f>
        <v>0</v>
      </c>
    </row>
    <row r="35" spans="1:10" ht="20.100000000000001" customHeight="1" x14ac:dyDescent="0.2">
      <c r="A35" s="5" t="str">
        <f>HYPERLINK("#'5.1.1.3-4 Inorganic fert CO2'!A1", "5.1.1.3-4 Inorganic fert CO2")</f>
        <v>5.1.1.3-4 Inorganic fert CO2</v>
      </c>
      <c r="D35" s="105" t="s">
        <v>1637</v>
      </c>
      <c r="E35" s="106" t="s">
        <v>1638</v>
      </c>
      <c r="F35" s="107"/>
      <c r="G35" s="107"/>
      <c r="H35" s="105" t="s">
        <v>775</v>
      </c>
      <c r="I35" s="109" t="s">
        <v>1219</v>
      </c>
      <c r="J35" s="105">
        <f>X_Cell_TotalElegibleRECsForElectricityProducedOnSite</f>
        <v>0</v>
      </c>
    </row>
    <row r="36" spans="1:10" ht="20.100000000000001" customHeight="1" x14ac:dyDescent="0.2">
      <c r="A36" s="5" t="str">
        <f>HYPERLINK("#'5.2.1.1-2 Organic Fert N2O'!A1", "5.2.1.1-2 Organic fert N2O")</f>
        <v>5.2.1.1-2 Organic fert N2O</v>
      </c>
      <c r="D36" s="105" t="s">
        <v>1639</v>
      </c>
      <c r="E36" s="106" t="s">
        <v>1640</v>
      </c>
      <c r="F36" s="107"/>
      <c r="G36" s="107"/>
      <c r="H36" s="105" t="s">
        <v>1627</v>
      </c>
      <c r="I36" s="110" t="s">
        <v>1220</v>
      </c>
      <c r="J36" s="105" cm="1">
        <f t="array" ref="J36">Table_SourceData_ElectricityEFsMarketBased[Scope 2 EF (kg CO2-e/kWh)]</f>
        <v>0.81</v>
      </c>
    </row>
    <row r="37" spans="1:10" ht="20.100000000000001" customHeight="1" x14ac:dyDescent="0.2">
      <c r="A37" s="5" t="str">
        <f>HYPERLINK("#'5.3.1.1-2 Lime CO2'!A1", "5.3.1.1-2 Lime CO2")</f>
        <v>5.3.1.1-2 Lime CO2</v>
      </c>
      <c r="D37" s="105" t="s">
        <v>1267</v>
      </c>
      <c r="E37" s="106" t="s">
        <v>1268</v>
      </c>
      <c r="F37" s="107"/>
      <c r="G37" s="108"/>
      <c r="H37" s="105"/>
      <c r="I37" s="109" t="s">
        <v>1219</v>
      </c>
      <c r="J37" s="105">
        <f>X_Cell_Site_State</f>
        <v>0</v>
      </c>
    </row>
    <row r="38" spans="1:10" ht="20.100000000000001" customHeight="1" x14ac:dyDescent="0.2">
      <c r="A38" s="5" t="str">
        <f>HYPERLINK("#'5.4.1.1-4 Atmos deposition'!A1", "5.4.1.1-4 Atmos. deposition")</f>
        <v>5.4.1.1-4 Atmos. deposition</v>
      </c>
    </row>
    <row r="39" spans="1:10" ht="20.100000000000001" customHeight="1" x14ac:dyDescent="0.2">
      <c r="A39" s="5" t="str">
        <f>HYPERLINK("#'5.5.1.1-2 Leaching and runoff'!A1", "5.5.1.1-2 Leaching &amp; runoff")</f>
        <v>5.5.1.1-2 Leaching &amp; runoff</v>
      </c>
      <c r="D39" s="90" t="s">
        <v>787</v>
      </c>
      <c r="E39" s="91">
        <f>(((J31 * (1 - (J32 + (IF(ISNUMBER(J33), J33, 0))))) - ((J34 - J35) * 10 ^ 3)) * J36 * 10 ^ -3)</f>
        <v>0</v>
      </c>
      <c r="F39" s="95" t="str">
        <f>E29</f>
        <v>t CO2e</v>
      </c>
    </row>
    <row r="40" spans="1:10" ht="20.100000000000001" customHeight="1" x14ac:dyDescent="0.2">
      <c r="A40" s="5" t="str">
        <f>HYPERLINK("#'6.2.1.1-2 Pasture residue N2O'!A1", "6.2.1.1-2 Pasture residue N2O")</f>
        <v>6.2.1.1-2 Pasture residue N2O</v>
      </c>
      <c r="H40" s="1" t="s">
        <v>781</v>
      </c>
    </row>
    <row r="41" spans="1:10" ht="20.100000000000001" customHeight="1" x14ac:dyDescent="0.2">
      <c r="A41" s="5" t="str">
        <f>HYPERLINK("#'6.3.1.1-2 Leach runoff pasture'!A1", "6.3.1.1-2 Leach &amp; runoff (pasture)")</f>
        <v>6.3.1.1-2 Leach &amp; runoff (pasture)</v>
      </c>
    </row>
    <row r="42" spans="1:10" ht="20.100000000000001" customHeight="1" x14ac:dyDescent="0.2">
      <c r="A42" s="5" t="str">
        <f>HYPERLINK("#'8.1.1.1-2 Transport fuel'!A1", "8.1.1.1-2 Transport fuel")</f>
        <v>8.1.1.1-2 Transport fuel</v>
      </c>
    </row>
    <row r="43" spans="1:10" ht="20.100000000000001" customHeight="1" x14ac:dyDescent="0.2">
      <c r="A43" s="5" t="str">
        <f>HYPERLINK("#'8.2.1.1-2 Stationary fuel'!A1", "8.2.1.1-2 Stationary fuel")</f>
        <v>8.2.1.1-2 Stationary fuel</v>
      </c>
    </row>
    <row r="44" spans="1:10" ht="20.100000000000001" customHeight="1" x14ac:dyDescent="0.2">
      <c r="A44" s="5" t="str">
        <f>HYPERLINK("#'10.1.1-2 Solid waste treatment'!A1", "10.1.1.1-2 Solid waste")</f>
        <v>10.1.1.1-2 Solid waste</v>
      </c>
      <c r="E44" s="143"/>
    </row>
    <row r="45" spans="1:10" ht="20.100000000000001" customHeight="1" x14ac:dyDescent="0.2">
      <c r="A45" s="104" t="str">
        <f>HYPERLINK("#'14.1.1-2 Purchased electricity'!A1", "14.1.1-2 Purchased electricity")</f>
        <v>14.1.1-2 Purchased electricity</v>
      </c>
    </row>
    <row r="46" spans="1:10" ht="20.100000000000001" customHeight="1" x14ac:dyDescent="0.2">
      <c r="A46" s="5" t="str">
        <f>HYPERLINK("#'15 Scope 3'!A1", "15 Scope 3")</f>
        <v>15 Scope 3</v>
      </c>
    </row>
    <row r="47" spans="1:10" ht="20.100000000000001" customHeight="1" x14ac:dyDescent="0.2">
      <c r="A47" s="5" t="str">
        <f>HYPERLINK("#'Calcs - Manure sent off-site'!A1", "Calcs - Manure sent off-site")</f>
        <v>Calcs - Manure sent off-site</v>
      </c>
    </row>
    <row r="50" spans="1:1" ht="20.100000000000001" customHeight="1" x14ac:dyDescent="0.2">
      <c r="A50" s="85" t="s">
        <v>1</v>
      </c>
    </row>
    <row r="51" spans="1:1" ht="20.100000000000001" customHeight="1" x14ac:dyDescent="0.2">
      <c r="A51" s="5" t="str">
        <f>HYPERLINK("#'Constants - Pasture Beef'!A1", "Constants - Pasture Beef")</f>
        <v>Constants - Pasture Beef</v>
      </c>
    </row>
    <row r="52" spans="1:1" ht="20.100000000000001" customHeight="1" x14ac:dyDescent="0.2">
      <c r="A52" s="5" t="str">
        <f>HYPERLINK("#'Constants - Ag Residue'!A1", "Constants - Ag residue")</f>
        <v>Constants - Ag residue</v>
      </c>
    </row>
    <row r="53" spans="1:1" ht="20.100000000000001" customHeight="1" x14ac:dyDescent="0.2">
      <c r="A53" s="5" t="str">
        <f>HYPERLINK("#'Constants - Common Livestock'!A1", "Constants - Common Livestock")</f>
        <v>Constants - Common Livestock</v>
      </c>
    </row>
    <row r="54" spans="1:1" ht="20.100000000000001" customHeight="1" x14ac:dyDescent="0.2">
      <c r="A54" s="5" t="str">
        <f>HYPERLINK("#'Constants - Electricity'!A1", "Constants - Electricity")</f>
        <v>Constants - Electricity</v>
      </c>
    </row>
    <row r="55" spans="1:1" ht="20.100000000000001" customHeight="1" x14ac:dyDescent="0.2">
      <c r="A55" s="5" t="str">
        <f>HYPERLINK("#'Constants - Fertiliser'!A1", "Constants - Fertiliser")</f>
        <v>Constants - Fertiliser</v>
      </c>
    </row>
    <row r="56" spans="1:1" ht="20.100000000000001" customHeight="1" x14ac:dyDescent="0.2">
      <c r="A56" s="5" t="str">
        <f>HYPERLINK("#'Constants - Fuel'!A1", "Constants - Fuel")</f>
        <v>Constants - Fuel</v>
      </c>
    </row>
    <row r="57" spans="1:1" ht="20.100000000000001" customHeight="1" x14ac:dyDescent="0.2">
      <c r="A57" s="5" t="str">
        <f>HYPERLINK("#'Constants - Scope 3'!A1", "Constants - Scope 3")</f>
        <v>Constants - Scope 3</v>
      </c>
    </row>
    <row r="58" spans="1:1" ht="20.100000000000001" customHeight="1" x14ac:dyDescent="0.2">
      <c r="A58" s="5" t="str">
        <f>HYPERLINK("#'Constants - Solid Waste'!A1", "Constants - Solid Waste")</f>
        <v>Constants - Solid Waste</v>
      </c>
    </row>
    <row r="59" spans="1:1" ht="20.100000000000001" customHeight="1" x14ac:dyDescent="0.2">
      <c r="A59" s="5" t="str">
        <f>HYPERLINK("#'Constants - Common'!A1", "Constants - Common")</f>
        <v>Constants - Common</v>
      </c>
    </row>
    <row r="60" spans="1:1" ht="20.100000000000001" customHeight="1" x14ac:dyDescent="0.2">
      <c r="A60" s="5" t="str">
        <f>HYPERLINK("#'Acknowledgements'!A1", "Acknowledgements")</f>
        <v>Acknowledgements</v>
      </c>
    </row>
    <row r="341" spans="8:8" ht="20.100000000000001" customHeight="1" x14ac:dyDescent="0.2">
      <c r="H341" s="8"/>
    </row>
    <row r="342" spans="8:8" ht="20.100000000000001" customHeight="1" x14ac:dyDescent="0.2">
      <c r="H342" s="8"/>
    </row>
  </sheetData>
  <dataValidations count="1">
    <dataValidation operator="equal" allowBlank="1" showInputMessage="1" showErrorMessage="1" sqref="E269 E228 G132 I129:I133 F134:I134 F129:F132 H128:H132 G129 F148:I148 I149 F150:I150" xr:uid="{922A659E-CCB9-448F-AFD0-721AA201B401}"/>
  </dataValidations>
  <pageMargins left="0.7" right="0.7" top="0.75" bottom="0.75" header="0.3" footer="0.3"/>
  <pageSetup paperSize="9" orientation="portrait" r:id="rId1"/>
  <drawing r:id="rId2"/>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97AFEC-1D33-479F-9E3C-F5D7FB80AECF}">
  <sheetPr>
    <tabColor theme="9" tint="-0.249977111117893"/>
  </sheetPr>
  <dimension ref="A1:AO657"/>
  <sheetViews>
    <sheetView showGridLines="0" zoomScaleNormal="100" workbookViewId="0">
      <pane xSplit="1" topLeftCell="B1" activePane="topRight" state="frozen"/>
      <selection pane="topRight" activeCell="A59" sqref="A59"/>
    </sheetView>
  </sheetViews>
  <sheetFormatPr defaultRowHeight="20.100000000000001" customHeight="1" x14ac:dyDescent="0.2"/>
  <cols>
    <col min="1" max="1" width="36.7109375" style="239" customWidth="1"/>
    <col min="2" max="2" width="5.28515625" style="239" customWidth="1"/>
    <col min="3" max="3" width="5.28515625" style="1" customWidth="1"/>
    <col min="4" max="40" width="35" style="1" customWidth="1"/>
    <col min="41" max="41" width="5.28515625" style="1" customWidth="1"/>
    <col min="42" max="16384" width="9.140625" style="239"/>
  </cols>
  <sheetData>
    <row r="1" spans="1:41" s="21" customFormat="1" ht="30" customHeight="1" x14ac:dyDescent="0.35">
      <c r="A1" s="10" t="e" vm="1">
        <v>#VALUE!</v>
      </c>
      <c r="C1" s="21" t="s">
        <v>1059</v>
      </c>
    </row>
    <row r="2" spans="1:41" s="3" customFormat="1" ht="20.100000000000001" customHeight="1" x14ac:dyDescent="0.2">
      <c r="A2"/>
    </row>
    <row r="3" spans="1:41" ht="20.100000000000001" customHeight="1" x14ac:dyDescent="0.2">
      <c r="A3" s="5" t="str">
        <f>HYPERLINK("#'Home'!A1", "Home")</f>
        <v>Home</v>
      </c>
      <c r="C3" s="23"/>
      <c r="D3" s="23"/>
      <c r="E3" s="23"/>
      <c r="F3" s="23"/>
      <c r="G3" s="23"/>
      <c r="H3" s="23"/>
      <c r="I3" s="23"/>
      <c r="J3" s="23"/>
      <c r="K3" s="23"/>
      <c r="L3" s="23"/>
      <c r="M3" s="23"/>
      <c r="N3" s="23"/>
      <c r="O3" s="23"/>
      <c r="P3" s="23"/>
      <c r="Q3" s="23"/>
      <c r="R3" s="23"/>
      <c r="S3" s="23"/>
      <c r="T3" s="23"/>
      <c r="U3" s="23"/>
      <c r="V3" s="23"/>
      <c r="W3" s="23"/>
      <c r="X3" s="23"/>
      <c r="Y3" s="23"/>
      <c r="Z3" s="23"/>
      <c r="AA3" s="23"/>
      <c r="AB3" s="23"/>
      <c r="AC3" s="23"/>
      <c r="AD3" s="23"/>
      <c r="AE3" s="23"/>
      <c r="AF3" s="23"/>
      <c r="AG3" s="23"/>
      <c r="AH3" s="23"/>
      <c r="AI3" s="23"/>
      <c r="AJ3" s="23"/>
      <c r="AK3" s="23"/>
      <c r="AL3" s="23"/>
      <c r="AM3" s="23"/>
      <c r="AN3" s="23"/>
      <c r="AO3" s="23"/>
    </row>
    <row r="4" spans="1:41" ht="20.100000000000001" customHeight="1" x14ac:dyDescent="0.2">
      <c r="A4" s="5" t="str">
        <f>HYPERLINK("#'Results - Activity period'!A1", "Results - Activity period")</f>
        <v>Results - Activity period</v>
      </c>
    </row>
    <row r="5" spans="1:41" ht="20.100000000000001" customHeight="1" x14ac:dyDescent="0.2">
      <c r="A5" s="5" t="str">
        <f>HYPERLINK("#'Results - Product EI'!A1", "Results - Product Emissions Intensity")</f>
        <v>Results - Product Emissions Intensity</v>
      </c>
      <c r="D5" s="2" t="s">
        <v>1642</v>
      </c>
    </row>
    <row r="6" spans="1:41" ht="20.100000000000001" customHeight="1" x14ac:dyDescent="0.2">
      <c r="A6"/>
      <c r="D6" s="17" t="s">
        <v>1643</v>
      </c>
    </row>
    <row r="7" spans="1:41" ht="20.100000000000001" customHeight="1" x14ac:dyDescent="0.2">
      <c r="A7"/>
      <c r="D7" s="103"/>
      <c r="E7" s="103"/>
    </row>
    <row r="8" spans="1:41" ht="20.100000000000001" customHeight="1" x14ac:dyDescent="0.2">
      <c r="A8" s="7" t="s">
        <v>0</v>
      </c>
    </row>
    <row r="9" spans="1:41" ht="20.100000000000001" customHeight="1" x14ac:dyDescent="0.2">
      <c r="A9" s="5" t="str">
        <f>HYPERLINK("#'Input - Enterprise'!A1", "Enterprise")</f>
        <v>Enterprise</v>
      </c>
      <c r="H9" s="103"/>
    </row>
    <row r="10" spans="1:41" ht="20.100000000000001" customHeight="1" x14ac:dyDescent="0.2">
      <c r="A10" s="5" t="str">
        <f>HYPERLINK("#'Input - Site'!A1", "Site")</f>
        <v>Site</v>
      </c>
      <c r="D10" s="77" t="s">
        <v>373</v>
      </c>
      <c r="E10" s="1" t="s">
        <v>1174</v>
      </c>
    </row>
    <row r="11" spans="1:41" ht="20.100000000000001" customHeight="1" x14ac:dyDescent="0.2">
      <c r="A11" s="5" t="str">
        <f>HYPERLINK("#'Input - Pasture Beef'!A1", "Pasture Beef")</f>
        <v>Pasture Beef</v>
      </c>
      <c r="D11" s="77" t="s">
        <v>121</v>
      </c>
      <c r="E11" s="9" t="s">
        <v>6</v>
      </c>
    </row>
    <row r="12" spans="1:41" ht="20.100000000000001" customHeight="1" x14ac:dyDescent="0.2">
      <c r="A12" s="5" t="str">
        <f>HYPERLINK("#'Input - Livestock sales'!A1", "Livestock sales")</f>
        <v>Livestock sales</v>
      </c>
    </row>
    <row r="13" spans="1:41" ht="20.100000000000001" customHeight="1" x14ac:dyDescent="0.2">
      <c r="A13" s="5" t="str">
        <f>HYPERLINK("#'Input - Beef cattle purchases'!A1", "Beef cattle purchases")</f>
        <v>Beef cattle purchases</v>
      </c>
      <c r="D13" s="105" t="s">
        <v>1644</v>
      </c>
      <c r="E13" s="106" t="s">
        <v>1645</v>
      </c>
      <c r="F13" s="108"/>
      <c r="G13" s="105" t="s">
        <v>425</v>
      </c>
      <c r="H13" s="255" t="s">
        <v>1219</v>
      </c>
    </row>
    <row r="14" spans="1:41" ht="20.100000000000001" customHeight="1" x14ac:dyDescent="0.2">
      <c r="A14" s="5" t="str">
        <f>HYPERLINK("#'Input - Pasture'!A1", "Pasture")</f>
        <v>Pasture</v>
      </c>
      <c r="D14" s="105" t="s">
        <v>1646</v>
      </c>
      <c r="E14" s="106" t="s">
        <v>1647</v>
      </c>
      <c r="F14" s="108"/>
      <c r="G14" s="105" t="s">
        <v>343</v>
      </c>
      <c r="H14" s="255" t="s">
        <v>1219</v>
      </c>
    </row>
    <row r="15" spans="1:41" ht="20.100000000000001" customHeight="1" x14ac:dyDescent="0.2">
      <c r="A15" s="5" t="str">
        <f>HYPERLINK("#'Input - Fert Prod System'!A1", "Fert Prod System")</f>
        <v>Fert Prod System</v>
      </c>
      <c r="D15" s="105" t="s">
        <v>1648</v>
      </c>
      <c r="E15" s="106" t="s">
        <v>1649</v>
      </c>
      <c r="F15" s="108"/>
      <c r="G15" s="105" t="s">
        <v>1653</v>
      </c>
      <c r="H15" s="110" t="s">
        <v>1220</v>
      </c>
    </row>
    <row r="16" spans="1:41" ht="20.100000000000001" customHeight="1" x14ac:dyDescent="0.2">
      <c r="A16" s="5" t="str">
        <f>HYPERLINK("#'Input - Fertiliser'!A1", "Fertiliser")</f>
        <v>Fertiliser</v>
      </c>
      <c r="D16" s="105" t="s">
        <v>1408</v>
      </c>
      <c r="E16" s="106" t="s">
        <v>1650</v>
      </c>
      <c r="F16" s="108"/>
      <c r="G16" s="105"/>
      <c r="H16" s="255" t="s">
        <v>1219</v>
      </c>
    </row>
    <row r="17" spans="1:16" ht="20.100000000000001" customHeight="1" x14ac:dyDescent="0.2">
      <c r="A17" s="5" t="str">
        <f>HYPERLINK("#'Input - Fuel'!A1", "Fuel")</f>
        <v>Fuel</v>
      </c>
      <c r="D17" s="105" t="s">
        <v>1651</v>
      </c>
      <c r="E17" s="106" t="s">
        <v>1652</v>
      </c>
      <c r="F17" s="108"/>
      <c r="G17" s="105"/>
      <c r="H17" s="255" t="s">
        <v>1219</v>
      </c>
    </row>
    <row r="18" spans="1:16" ht="20.100000000000001" customHeight="1" x14ac:dyDescent="0.2">
      <c r="A18" s="5" t="str">
        <f>HYPERLINK("#'Input - Electricity'!A1", "Electricity")</f>
        <v>Electricity</v>
      </c>
    </row>
    <row r="19" spans="1:16" ht="20.100000000000001" customHeight="1" x14ac:dyDescent="0.2">
      <c r="A19" s="5" t="str">
        <f>HYPERLINK("#'Input - Common farm inputs'!A1", "Common farm inputs")</f>
        <v>Common farm inputs</v>
      </c>
      <c r="D19" s="36" t="s">
        <v>1060</v>
      </c>
      <c r="E19" s="38"/>
      <c r="F19" s="39"/>
    </row>
    <row r="20" spans="1:16" ht="20.100000000000001" customHeight="1" x14ac:dyDescent="0.2">
      <c r="A20" s="5" t="str">
        <f>HYPERLINK("#'Input - Crop pasture farm input'!A1", "Crop pasture farm input")</f>
        <v>Crop pasture farm input</v>
      </c>
    </row>
    <row r="21" spans="1:16" ht="20.100000000000001" customHeight="1" x14ac:dyDescent="0.2">
      <c r="A21" s="5" t="str">
        <f>HYPERLINK("#'Input - Livestock farm Inputs'!A1", "Livestock farm Inputs")</f>
        <v>Livestock farm Inputs</v>
      </c>
      <c r="D21" s="243" t="s">
        <v>1061</v>
      </c>
    </row>
    <row r="22" spans="1:16" ht="20.100000000000001" customHeight="1" x14ac:dyDescent="0.2">
      <c r="A22" s="5" t="str">
        <f>HYPERLINK("#'Input - Freight'!A1", "Freight")</f>
        <v>Freight</v>
      </c>
      <c r="D22" s="82" t="s">
        <v>1062</v>
      </c>
      <c r="E22" s="256" t="s">
        <v>1063</v>
      </c>
      <c r="F22" s="256" t="s">
        <v>1064</v>
      </c>
      <c r="G22" s="256" t="s">
        <v>1065</v>
      </c>
      <c r="H22" s="256" t="s">
        <v>1066</v>
      </c>
      <c r="I22" s="114" t="s">
        <v>1067</v>
      </c>
      <c r="J22" s="114" t="s">
        <v>1068</v>
      </c>
      <c r="K22" s="256" t="s">
        <v>1069</v>
      </c>
      <c r="L22" s="82" t="s">
        <v>1070</v>
      </c>
      <c r="M22" s="114" t="s">
        <v>1071</v>
      </c>
      <c r="N22" s="82" t="s">
        <v>1072</v>
      </c>
      <c r="O22" s="82" t="s">
        <v>1073</v>
      </c>
      <c r="P22" s="82" t="s">
        <v>1074</v>
      </c>
    </row>
    <row r="23" spans="1:16" ht="20.100000000000001" customHeight="1" x14ac:dyDescent="0.2">
      <c r="A23" s="5" t="str">
        <f>HYPERLINK("#'Input - Solid waste'!A1", "Solid waste")</f>
        <v>Solid waste</v>
      </c>
      <c r="D23" s="15" cm="1">
        <f t="array" ref="D23:D32">IFERROR(INDEX(Table_Input_LivestockPurchases_Beefcattle[Transaction name], _xlfn.SEQUENCE(10)), "")</f>
        <v>0</v>
      </c>
      <c r="E23" s="15" cm="1">
        <f t="array" ref="E23:E32">IFERROR(INDEX(Table_Input_LivestockPurchases_Beefcattle[Purchase class (select)], _xlfn.SEQUENCE(10)), "")</f>
        <v>0</v>
      </c>
      <c r="F23" s="15" t="str" cm="1">
        <f t="array" ref="F23:F32">IFERROR(_xlfn.XLOOKUP(INDEX(Table_Input_LivestockPurchases_Beefcattle[Source region (Select)], _xlfn.SEQUENCE(10)), Table_ProductRegions_Beefcattle[Region],Table_ProductRegions_Beefcattle[Scope3 region]), "")</f>
        <v/>
      </c>
      <c r="G23" s="15" cm="1">
        <f t="array" ref="G23:G32">IFERROR(INDEX(Table_Input_LivestockPurchases_Beefcattle[Quantity (head)], _xlfn.SEQUENCE(10)), "")</f>
        <v>0</v>
      </c>
      <c r="H23" s="15" cm="1">
        <f t="array" ref="H23:H32">IFERROR(INDEX(Table_Input_LivestockPurchases_Beefcattle[Liveweight (kg/head) Method 1], _xlfn.SEQUENCE(10)), 0)</f>
        <v>0</v>
      </c>
      <c r="I23" s="15">
        <v>20.8</v>
      </c>
      <c r="J23" s="257">
        <f>((G23 * H23 * I23) * 10 ^ -3)</f>
        <v>0</v>
      </c>
      <c r="K23" s="15" cm="1">
        <f t="array" ref="K23:K32">IFERROR(INDEX(Table_Input_LivestockPurchases_Beefcattle[Liveweight (kg/head) Method 2], _xlfn.SEQUENCE(10)), "")</f>
        <v>0</v>
      </c>
      <c r="L23" s="76">
        <v>20</v>
      </c>
      <c r="M23" s="257">
        <f>((G23 * K23 * (IF(L23, L23, I23))) * 10 ^ -3)</f>
        <v>0</v>
      </c>
      <c r="N23" s="34" t="s">
        <v>1075</v>
      </c>
      <c r="O23" s="13" t="s">
        <v>1076</v>
      </c>
      <c r="P23" s="239" t="s">
        <v>1077</v>
      </c>
    </row>
    <row r="24" spans="1:16" ht="20.100000000000001" customHeight="1" x14ac:dyDescent="0.2">
      <c r="A24" s="5" t="str">
        <f>HYPERLINK("#'Input - Manure sent off-site'!A1", "Manure sent off-site")</f>
        <v>Manure sent off-site</v>
      </c>
      <c r="D24" s="15">
        <v>0</v>
      </c>
      <c r="E24" s="15">
        <v>0</v>
      </c>
      <c r="F24" s="15" t="str">
        <v/>
      </c>
      <c r="G24" s="15">
        <v>0</v>
      </c>
      <c r="H24" s="15">
        <v>0</v>
      </c>
      <c r="I24" s="15">
        <v>13.1</v>
      </c>
      <c r="J24" s="257">
        <f>((G24 * H24 * I24) * 10 ^ -3)</f>
        <v>0</v>
      </c>
      <c r="K24" s="15">
        <v>0</v>
      </c>
      <c r="L24" s="76">
        <v>13</v>
      </c>
      <c r="M24" s="257">
        <f>((G24 * K24 * (IF(L24, L24, I24))) * 10 ^ -3)</f>
        <v>0</v>
      </c>
      <c r="N24" s="34"/>
      <c r="O24" s="13"/>
      <c r="P24" s="34"/>
    </row>
    <row r="25" spans="1:16" ht="20.100000000000001" customHeight="1" x14ac:dyDescent="0.2">
      <c r="A25" s="5" t="str">
        <f>HYPERLINK("#'Input - Data quality'!A1", "Data quality")</f>
        <v>Data quality</v>
      </c>
      <c r="D25" s="15">
        <v>0</v>
      </c>
      <c r="E25" s="15">
        <v>0</v>
      </c>
      <c r="F25" s="15" t="str">
        <v/>
      </c>
      <c r="G25" s="15">
        <v>0</v>
      </c>
      <c r="H25" s="15">
        <v>0</v>
      </c>
      <c r="I25" s="15">
        <v>0</v>
      </c>
      <c r="J25" s="257">
        <f>((G25 * H25 * I25) * 10 ^ -3)</f>
        <v>0</v>
      </c>
      <c r="K25" s="15">
        <v>0</v>
      </c>
      <c r="L25" s="76"/>
      <c r="M25" s="257">
        <f>((G25 * K25 * (IF(L25, L25, I25))) * 10 ^ -3)</f>
        <v>0</v>
      </c>
      <c r="N25" s="34"/>
      <c r="O25" s="13"/>
      <c r="P25" s="34"/>
    </row>
    <row r="26" spans="1:16" ht="20.100000000000001" customHeight="1" x14ac:dyDescent="0.2">
      <c r="A26"/>
      <c r="D26" s="15">
        <v>0</v>
      </c>
      <c r="E26" s="15">
        <v>0</v>
      </c>
      <c r="F26" s="15" t="str">
        <v/>
      </c>
      <c r="G26" s="15">
        <v>0</v>
      </c>
      <c r="H26" s="15">
        <v>0</v>
      </c>
      <c r="I26" s="15">
        <v>0</v>
      </c>
      <c r="J26" s="257">
        <f>((G26 * H26 * I26) * 10 ^ -3)</f>
        <v>0</v>
      </c>
      <c r="K26" s="15">
        <v>0</v>
      </c>
      <c r="L26" s="76"/>
      <c r="M26" s="257">
        <f>((G26 * K26 * (IF(L26, L26, I26))) * 10 ^ -3)</f>
        <v>0</v>
      </c>
      <c r="N26" s="34"/>
      <c r="O26" s="13"/>
      <c r="P26" s="34"/>
    </row>
    <row r="27" spans="1:16" ht="20.100000000000001" customHeight="1" x14ac:dyDescent="0.2">
      <c r="A27"/>
      <c r="D27" s="15">
        <v>0</v>
      </c>
      <c r="E27" s="15">
        <v>0</v>
      </c>
      <c r="F27" s="15" t="str">
        <v/>
      </c>
      <c r="G27" s="15">
        <v>0</v>
      </c>
      <c r="H27" s="15">
        <v>0</v>
      </c>
      <c r="I27" s="15">
        <v>0</v>
      </c>
      <c r="J27" s="257">
        <f>((G27 * H27 * I27) * 10 ^ -3)</f>
        <v>0</v>
      </c>
      <c r="K27" s="15">
        <v>0</v>
      </c>
      <c r="L27" s="76"/>
      <c r="M27" s="257">
        <f>((G27 * K27 * (IF(L27, L27, I27))) * 10 ^ -3)</f>
        <v>0</v>
      </c>
      <c r="N27" s="34"/>
      <c r="O27" s="13"/>
      <c r="P27" s="34"/>
    </row>
    <row r="28" spans="1:16" ht="20.100000000000001" customHeight="1" x14ac:dyDescent="0.2">
      <c r="A28" s="6" t="s">
        <v>2</v>
      </c>
      <c r="D28" s="15">
        <v>0</v>
      </c>
      <c r="E28" s="15">
        <v>0</v>
      </c>
      <c r="F28" s="15" t="str">
        <v/>
      </c>
      <c r="G28" s="15">
        <v>0</v>
      </c>
      <c r="H28" s="15">
        <v>0</v>
      </c>
      <c r="I28" s="15">
        <v>0</v>
      </c>
      <c r="J28" s="257">
        <f>((G28 * H28 * I28) * 10 ^ -3)</f>
        <v>0</v>
      </c>
      <c r="K28" s="15">
        <v>0</v>
      </c>
      <c r="L28" s="76"/>
      <c r="M28" s="257">
        <f>((G28 * K28 * (IF(L28, L28, I28))) * 10 ^ -3)</f>
        <v>0</v>
      </c>
      <c r="N28" s="34"/>
      <c r="O28" s="13"/>
      <c r="P28" s="34"/>
    </row>
    <row r="29" spans="1:16" ht="20.100000000000001" customHeight="1" x14ac:dyDescent="0.2">
      <c r="A29" s="5" t="str">
        <f>HYPERLINK("#'3.2.1.1-2 Enteric Methane'!A1", "3.2.1.1-2 Enteric Methane")</f>
        <v>3.2.1.1-2 Enteric Methane</v>
      </c>
      <c r="D29" s="15">
        <v>0</v>
      </c>
      <c r="E29" s="15">
        <v>0</v>
      </c>
      <c r="F29" s="15" t="str">
        <v/>
      </c>
      <c r="G29" s="15">
        <v>0</v>
      </c>
      <c r="H29" s="15">
        <v>0</v>
      </c>
      <c r="I29" s="15">
        <v>0</v>
      </c>
      <c r="J29" s="257">
        <f>((G29 * H29 * I29) * 10 ^ -3)</f>
        <v>0</v>
      </c>
      <c r="K29" s="15">
        <v>0</v>
      </c>
      <c r="L29" s="76"/>
      <c r="M29" s="257">
        <f>((G29 * K29 * (IF(L29, L29, I29))) * 10 ^ -3)</f>
        <v>0</v>
      </c>
      <c r="N29" s="34"/>
      <c r="O29" s="13"/>
      <c r="P29" s="34"/>
    </row>
    <row r="30" spans="1:16" ht="20.100000000000001" customHeight="1" x14ac:dyDescent="0.2">
      <c r="A30" s="5" t="str">
        <f>HYPERLINK("#'4.2.1.1-2 Methane'!A1", "4.2.1.1-2 Manure methane")</f>
        <v>4.2.1.1-2 Manure methane</v>
      </c>
      <c r="D30" s="15">
        <v>0</v>
      </c>
      <c r="E30" s="15">
        <v>0</v>
      </c>
      <c r="F30" s="15" t="str">
        <v/>
      </c>
      <c r="G30" s="15">
        <v>0</v>
      </c>
      <c r="H30" s="15">
        <v>0</v>
      </c>
      <c r="I30" s="15">
        <v>0</v>
      </c>
      <c r="J30" s="257">
        <f>((G30 * H30 * I30) * 10 ^ -3)</f>
        <v>0</v>
      </c>
      <c r="K30" s="15">
        <v>0</v>
      </c>
      <c r="L30" s="76"/>
      <c r="M30" s="257">
        <f>((G30 * K30 * (IF(L30, L30, I30))) * 10 ^ -3)</f>
        <v>0</v>
      </c>
      <c r="N30" s="34"/>
      <c r="O30" s="13"/>
      <c r="P30" s="34"/>
    </row>
    <row r="31" spans="1:16" ht="20.100000000000001" customHeight="1" x14ac:dyDescent="0.2">
      <c r="A31" s="5" t="str">
        <f>HYPERLINK("#'4.2.1.3-4 Soil direct N20'!A1", "4.2.1.3-4 Soil direct N2O")</f>
        <v>4.2.1.3-4 Soil direct N2O</v>
      </c>
      <c r="D31" s="15">
        <v>0</v>
      </c>
      <c r="E31" s="15">
        <v>0</v>
      </c>
      <c r="F31" s="15" t="str">
        <v/>
      </c>
      <c r="G31" s="15">
        <v>0</v>
      </c>
      <c r="H31" s="15">
        <v>0</v>
      </c>
      <c r="I31" s="15">
        <v>0</v>
      </c>
      <c r="J31" s="257">
        <f>((G31 * H31 * I31) * 10 ^ -3)</f>
        <v>0</v>
      </c>
      <c r="K31" s="15">
        <v>0</v>
      </c>
      <c r="L31" s="76"/>
      <c r="M31" s="257">
        <f>((G31 * K31 * (IF(L31, L31, I31))) * 10 ^ -3)</f>
        <v>0</v>
      </c>
      <c r="N31" s="34"/>
      <c r="O31" s="13"/>
      <c r="P31" s="34"/>
    </row>
    <row r="32" spans="1:16" ht="20.100000000000001" customHeight="1" x14ac:dyDescent="0.2">
      <c r="A32" s="5" t="str">
        <f>HYPERLINK("#'4.2.1.5-6 Soil Atmos Dep'!A1", "4.2.1.5-6 Soil atm. deposition")</f>
        <v>4.2.1.5-6 Soil atm. deposition</v>
      </c>
      <c r="D32" s="15">
        <v>0</v>
      </c>
      <c r="E32" s="15">
        <v>0</v>
      </c>
      <c r="F32" s="15" t="str">
        <v/>
      </c>
      <c r="G32" s="15">
        <v>0</v>
      </c>
      <c r="H32" s="15">
        <v>0</v>
      </c>
      <c r="I32" s="15">
        <v>0</v>
      </c>
      <c r="J32" s="257">
        <f>((G32 * H32 * I32) * 10 ^ -3)</f>
        <v>0</v>
      </c>
      <c r="K32" s="15">
        <v>0</v>
      </c>
      <c r="L32" s="76"/>
      <c r="M32" s="257">
        <f>((G32 * K32 * (IF(L32, L32, I32))) * 10 ^ -3)</f>
        <v>0</v>
      </c>
      <c r="N32" s="34"/>
      <c r="O32" s="13"/>
      <c r="P32" s="34"/>
    </row>
    <row r="33" spans="1:13" ht="20.100000000000001" customHeight="1" x14ac:dyDescent="0.2">
      <c r="A33" s="5" t="str">
        <f>HYPERLINK("#'4.2.1.7-8 Soil leach runoff'!A1", "4.2.1.7-8 Soil leach &amp; runoff")</f>
        <v>4.2.1.7-8 Soil leach &amp; runoff</v>
      </c>
    </row>
    <row r="34" spans="1:13" ht="20.100000000000001" customHeight="1" x14ac:dyDescent="0.2">
      <c r="A34" s="5" t="str">
        <f>HYPERLINK("#'5.1.1.1-2 Inorganic fert N2O'!A1", "5.1.1.1-2 Inorganic fert N2O")</f>
        <v>5.1.1.1-2 Inorganic fert N2O</v>
      </c>
      <c r="D34" s="93" t="s">
        <v>1078</v>
      </c>
      <c r="E34" s="87">
        <f>SUM(J23:J32)</f>
        <v>0</v>
      </c>
      <c r="F34" s="94" t="str">
        <f>$E$11</f>
        <v>t CO2e</v>
      </c>
    </row>
    <row r="35" spans="1:13" ht="20.100000000000001" customHeight="1" x14ac:dyDescent="0.2">
      <c r="A35" s="5" t="str">
        <f>HYPERLINK("#'5.1.1.3-4 Inorganic fert CO2'!A1", "5.1.1.3-4 Inorganic fert CO2")</f>
        <v>5.1.1.3-4 Inorganic fert CO2</v>
      </c>
      <c r="D35" s="93" t="s">
        <v>1079</v>
      </c>
      <c r="E35" s="87">
        <f>SUM(M23:M32)</f>
        <v>0</v>
      </c>
      <c r="F35" s="94" t="str">
        <f>$E$11</f>
        <v>t CO2e</v>
      </c>
    </row>
    <row r="36" spans="1:13" ht="20.100000000000001" customHeight="1" x14ac:dyDescent="0.2">
      <c r="A36" s="5" t="str">
        <f>HYPERLINK("#'5.2.1.1-2 Organic Fert N2O'!A1", "5.2.1.1-2 Organic fert N2O")</f>
        <v>5.2.1.1-2 Organic fert N2O</v>
      </c>
    </row>
    <row r="37" spans="1:13" ht="20.100000000000001" customHeight="1" x14ac:dyDescent="0.2">
      <c r="A37" s="5" t="str">
        <f>HYPERLINK("#'5.3.1.1-2 Lime CO2'!A1", "5.3.1.1-2 Lime CO2")</f>
        <v>5.3.1.1-2 Lime CO2</v>
      </c>
    </row>
    <row r="38" spans="1:13" ht="20.100000000000001" customHeight="1" x14ac:dyDescent="0.2">
      <c r="A38" s="5" t="str">
        <f>HYPERLINK("#'5.4.1.1-4 Atmos deposition'!A1", "5.4.1.1-4 Atmos. deposition")</f>
        <v>5.4.1.1-4 Atmos. deposition</v>
      </c>
      <c r="D38" s="243" t="s">
        <v>1080</v>
      </c>
    </row>
    <row r="39" spans="1:13" ht="20.100000000000001" customHeight="1" x14ac:dyDescent="0.2">
      <c r="A39" s="5" t="str">
        <f>HYPERLINK("#'5.5.1.1-2 Leaching and runoff'!A1", "5.5.1.1-2 Leaching &amp; runoff")</f>
        <v>5.5.1.1-2 Leaching &amp; runoff</v>
      </c>
      <c r="D39" s="105" t="s">
        <v>1081</v>
      </c>
      <c r="E39" s="15">
        <v>4.41</v>
      </c>
    </row>
    <row r="40" spans="1:13" ht="20.100000000000001" customHeight="1" x14ac:dyDescent="0.2">
      <c r="A40" s="5" t="str">
        <f>HYPERLINK("#'6.2.1.1-2 Pasture residue N2O'!A1", "6.2.1.1-2 Pasture residue N2O")</f>
        <v>6.2.1.1-2 Pasture residue N2O</v>
      </c>
    </row>
    <row r="41" spans="1:13" ht="20.100000000000001" customHeight="1" x14ac:dyDescent="0.2">
      <c r="A41" s="5" t="str">
        <f>HYPERLINK("#'6.3.1.1-2 Leach runoff pasture'!A1", "6.3.1.1-2 Leach &amp; runoff (pasture)")</f>
        <v>6.3.1.1-2 Leach &amp; runoff (pasture)</v>
      </c>
      <c r="D41" s="82" t="s">
        <v>1062</v>
      </c>
      <c r="E41" s="256" t="s">
        <v>1065</v>
      </c>
      <c r="F41" s="256" t="s">
        <v>1066</v>
      </c>
      <c r="G41" s="114" t="s">
        <v>1068</v>
      </c>
      <c r="H41" s="256" t="s">
        <v>1069</v>
      </c>
      <c r="I41" s="82" t="s">
        <v>1070</v>
      </c>
      <c r="J41" s="114" t="s">
        <v>1071</v>
      </c>
      <c r="K41" s="82" t="s">
        <v>1072</v>
      </c>
      <c r="L41" s="82" t="s">
        <v>1073</v>
      </c>
      <c r="M41" s="82" t="s">
        <v>1074</v>
      </c>
    </row>
    <row r="42" spans="1:13" ht="20.100000000000001" customHeight="1" x14ac:dyDescent="0.2">
      <c r="A42" s="5" t="str">
        <f>HYPERLINK("#'8.1.1.1-2 Transport fuel'!A1", "8.1.1.1-2 Transport fuel")</f>
        <v>8.1.1.1-2 Transport fuel</v>
      </c>
      <c r="D42" s="15"/>
      <c r="E42" s="15"/>
      <c r="F42" s="15"/>
      <c r="G42" s="257">
        <f>((E42 * F42 * $E$39) * 10 ^ -3)</f>
        <v>0</v>
      </c>
      <c r="H42" s="15"/>
      <c r="I42" s="76">
        <v>4</v>
      </c>
      <c r="J42" s="257">
        <f>((E42 * H42 * (IF(I42,I42,$E$39))) * 10 ^ -3)</f>
        <v>0</v>
      </c>
      <c r="K42" s="34" t="s">
        <v>1075</v>
      </c>
      <c r="L42" s="13" t="s">
        <v>1076</v>
      </c>
      <c r="M42" s="239" t="s">
        <v>1077</v>
      </c>
    </row>
    <row r="43" spans="1:13" ht="20.100000000000001" customHeight="1" x14ac:dyDescent="0.2">
      <c r="A43" s="5" t="str">
        <f>HYPERLINK("#'8.2.1.1-2 Stationary fuel'!A1", "8.2.1.1-2 Stationary fuel")</f>
        <v>8.2.1.1-2 Stationary fuel</v>
      </c>
      <c r="D43" s="15"/>
      <c r="E43" s="15"/>
      <c r="F43" s="15"/>
      <c r="G43" s="257">
        <f>((E43 * F43 * $E$39) * 10 ^ -3)</f>
        <v>0</v>
      </c>
      <c r="H43" s="15"/>
      <c r="I43" s="76"/>
      <c r="J43" s="257">
        <f>((E43 * H43 * (IF(I43,I43,$E$39))) * 10 ^ -3)</f>
        <v>0</v>
      </c>
      <c r="K43" s="34"/>
      <c r="L43" s="13"/>
      <c r="M43" s="34"/>
    </row>
    <row r="44" spans="1:13" ht="20.100000000000001" customHeight="1" x14ac:dyDescent="0.2">
      <c r="A44" s="5" t="str">
        <f>HYPERLINK("#'10.1.1-2 Solid waste treatment'!A1", "10.1.1.1-2 Solid waste")</f>
        <v>10.1.1.1-2 Solid waste</v>
      </c>
      <c r="D44" s="15"/>
      <c r="E44" s="15"/>
      <c r="F44" s="15"/>
      <c r="G44" s="257">
        <f>((E44 * F44 * $E$39) * 10 ^ -3)</f>
        <v>0</v>
      </c>
      <c r="H44" s="15"/>
      <c r="I44" s="76"/>
      <c r="J44" s="257">
        <f>((E44 * H44 * (IF(I44,I44,$E$39))) * 10 ^ -3)</f>
        <v>0</v>
      </c>
      <c r="K44" s="34"/>
      <c r="L44" s="13"/>
      <c r="M44" s="34"/>
    </row>
    <row r="45" spans="1:13" ht="20.100000000000001" customHeight="1" x14ac:dyDescent="0.2">
      <c r="A45" s="5" t="str">
        <f>HYPERLINK("#'14.1.1-2 Purchased electricity'!A1", "14.1.1-2 Purchased electricity")</f>
        <v>14.1.1-2 Purchased electricity</v>
      </c>
      <c r="D45" s="15"/>
      <c r="E45" s="15"/>
      <c r="F45" s="15"/>
      <c r="G45" s="257">
        <f>((E45 * F45 * $E$39) * 10 ^ -3)</f>
        <v>0</v>
      </c>
      <c r="H45" s="15"/>
      <c r="I45" s="76"/>
      <c r="J45" s="257">
        <f>((E45 * H45 * (IF(I45,I45,$E$39))) * 10 ^ -3)</f>
        <v>0</v>
      </c>
      <c r="K45" s="34"/>
      <c r="L45" s="13"/>
      <c r="M45" s="34"/>
    </row>
    <row r="46" spans="1:13" ht="20.100000000000001" customHeight="1" x14ac:dyDescent="0.2">
      <c r="A46" s="104" t="str">
        <f>HYPERLINK("#'15 Scope 3'!A1", "15 Scope 3")</f>
        <v>15 Scope 3</v>
      </c>
      <c r="D46" s="15"/>
      <c r="E46" s="15"/>
      <c r="F46" s="15"/>
      <c r="G46" s="257">
        <f>((E46 * F46 * $E$39) * 10 ^ -3)</f>
        <v>0</v>
      </c>
      <c r="H46" s="15"/>
      <c r="I46" s="76"/>
      <c r="J46" s="257">
        <f>((E46 * H46 * (IF(I46,I46,$E$39))) * 10 ^ -3)</f>
        <v>0</v>
      </c>
      <c r="K46" s="34"/>
      <c r="L46" s="13"/>
      <c r="M46" s="34"/>
    </row>
    <row r="47" spans="1:13" ht="20.100000000000001" customHeight="1" x14ac:dyDescent="0.2">
      <c r="A47" s="5" t="str">
        <f>HYPERLINK("#'Calcs - Manure sent off-site'!A1", "Calcs - Manure sent off-site")</f>
        <v>Calcs - Manure sent off-site</v>
      </c>
      <c r="D47" s="15"/>
      <c r="E47" s="15"/>
      <c r="F47" s="15"/>
      <c r="G47" s="257">
        <f>((E47 * F47 * $E$39) * 10 ^ -3)</f>
        <v>0</v>
      </c>
      <c r="H47" s="15"/>
      <c r="I47" s="76"/>
      <c r="J47" s="257">
        <f>((E47 * H47 * (IF(I47,I47,$E$39))) * 10 ^ -3)</f>
        <v>0</v>
      </c>
      <c r="K47" s="34"/>
      <c r="L47" s="13"/>
      <c r="M47" s="34"/>
    </row>
    <row r="48" spans="1:13" ht="20.100000000000001" customHeight="1" x14ac:dyDescent="0.2">
      <c r="A48"/>
      <c r="D48" s="15"/>
      <c r="E48" s="15"/>
      <c r="F48" s="15"/>
      <c r="G48" s="257">
        <f>((E48 * F48 * $E$39) * 10 ^ -3)</f>
        <v>0</v>
      </c>
      <c r="H48" s="15"/>
      <c r="I48" s="76"/>
      <c r="J48" s="257">
        <f>((E48 * H48 * (IF(I48,I48,$E$39))) * 10 ^ -3)</f>
        <v>0</v>
      </c>
      <c r="K48" s="34"/>
      <c r="L48" s="13"/>
      <c r="M48" s="34"/>
    </row>
    <row r="49" spans="1:13" ht="20.100000000000001" customHeight="1" x14ac:dyDescent="0.2">
      <c r="A49"/>
      <c r="D49" s="15"/>
      <c r="E49" s="15"/>
      <c r="F49" s="15"/>
      <c r="G49" s="257">
        <f>((E49 * F49 * $E$39) * 10 ^ -3)</f>
        <v>0</v>
      </c>
      <c r="H49" s="15"/>
      <c r="I49" s="76"/>
      <c r="J49" s="257">
        <f>((E49 * H49 * (IF(I49,I49,$E$39))) * 10 ^ -3)</f>
        <v>0</v>
      </c>
      <c r="K49" s="34"/>
      <c r="L49" s="13"/>
      <c r="M49" s="34"/>
    </row>
    <row r="50" spans="1:13" ht="20.100000000000001" customHeight="1" x14ac:dyDescent="0.2">
      <c r="A50" s="85" t="s">
        <v>1</v>
      </c>
      <c r="D50" s="15"/>
      <c r="E50" s="15"/>
      <c r="F50" s="15"/>
      <c r="G50" s="257">
        <f>((E50 * F50 * $E$39) * 10 ^ -3)</f>
        <v>0</v>
      </c>
      <c r="H50" s="15"/>
      <c r="I50" s="76"/>
      <c r="J50" s="257">
        <f>((E50 * H50 * (IF(I50,I50,$E$39))) * 10 ^ -3)</f>
        <v>0</v>
      </c>
      <c r="K50" s="34"/>
      <c r="L50" s="13"/>
      <c r="M50" s="34"/>
    </row>
    <row r="51" spans="1:13" ht="20.100000000000001" customHeight="1" x14ac:dyDescent="0.2">
      <c r="A51" s="5" t="str">
        <f>HYPERLINK("#'Constants - Pasture Beef'!A1", "Constants - Pasture Beef")</f>
        <v>Constants - Pasture Beef</v>
      </c>
      <c r="D51" s="15"/>
      <c r="E51" s="15"/>
      <c r="F51" s="15"/>
      <c r="G51" s="257">
        <f>((E51 * F51 * $E$39) * 10 ^ -3)</f>
        <v>0</v>
      </c>
      <c r="H51" s="15"/>
      <c r="I51" s="76"/>
      <c r="J51" s="257">
        <f>((E51 * H51 * (IF(I51,I51,$E$39))) * 10 ^ -3)</f>
        <v>0</v>
      </c>
      <c r="K51" s="34"/>
      <c r="L51" s="13"/>
      <c r="M51" s="34"/>
    </row>
    <row r="52" spans="1:13" ht="20.100000000000001" customHeight="1" x14ac:dyDescent="0.2">
      <c r="A52" s="5" t="str">
        <f>HYPERLINK("#'Constants - Ag Residue'!A1", "Constants - Ag residue")</f>
        <v>Constants - Ag residue</v>
      </c>
    </row>
    <row r="53" spans="1:13" ht="20.100000000000001" customHeight="1" x14ac:dyDescent="0.2">
      <c r="A53" s="5" t="str">
        <f>HYPERLINK("#'Constants - Common Livestock'!A1", "Constants - Common Livestock")</f>
        <v>Constants - Common Livestock</v>
      </c>
      <c r="D53" s="93" t="s">
        <v>1082</v>
      </c>
      <c r="E53" s="87">
        <f>SUM(G42:G51)</f>
        <v>0</v>
      </c>
      <c r="F53" s="94" t="str">
        <f>$E$11</f>
        <v>t CO2e</v>
      </c>
    </row>
    <row r="54" spans="1:13" ht="20.100000000000001" customHeight="1" x14ac:dyDescent="0.2">
      <c r="A54" s="5" t="str">
        <f>HYPERLINK("#'Constants - Electricity'!A1", "Constants - Electricity")</f>
        <v>Constants - Electricity</v>
      </c>
      <c r="D54" s="93" t="s">
        <v>1083</v>
      </c>
      <c r="E54" s="87">
        <f>SUM(J42:J51)</f>
        <v>0</v>
      </c>
      <c r="F54" s="94" t="str">
        <f>$E$11</f>
        <v>t CO2e</v>
      </c>
    </row>
    <row r="55" spans="1:13" ht="20.100000000000001" customHeight="1" x14ac:dyDescent="0.2">
      <c r="A55" s="5" t="str">
        <f>HYPERLINK("#'Constants - Fertiliser'!A1", "Constants - Fertiliser")</f>
        <v>Constants - Fertiliser</v>
      </c>
    </row>
    <row r="56" spans="1:13" ht="20.100000000000001" customHeight="1" x14ac:dyDescent="0.2">
      <c r="A56" s="5" t="str">
        <f>HYPERLINK("#'Constants - Fuel'!A1", "Constants - Fuel")</f>
        <v>Constants - Fuel</v>
      </c>
    </row>
    <row r="57" spans="1:13" ht="20.100000000000001" customHeight="1" x14ac:dyDescent="0.2">
      <c r="A57" s="5" t="str">
        <f>HYPERLINK("#'Constants - Scope 3'!A1", "Constants - Scope 3")</f>
        <v>Constants - Scope 3</v>
      </c>
      <c r="D57" s="243" t="s">
        <v>1084</v>
      </c>
    </row>
    <row r="58" spans="1:13" ht="20.100000000000001" customHeight="1" x14ac:dyDescent="0.2">
      <c r="A58" s="5" t="str">
        <f>HYPERLINK("#'Constants - Solid Waste'!A1", "Constants - Solid Waste")</f>
        <v>Constants - Solid Waste</v>
      </c>
      <c r="D58" s="105" t="s">
        <v>1081</v>
      </c>
      <c r="E58" s="15">
        <v>3.38</v>
      </c>
    </row>
    <row r="59" spans="1:13" ht="20.100000000000001" customHeight="1" x14ac:dyDescent="0.2">
      <c r="A59" s="5" t="str">
        <f>HYPERLINK("#'Constants - Common'!A1", "Constants - Common")</f>
        <v>Constants - Common</v>
      </c>
    </row>
    <row r="60" spans="1:13" ht="20.100000000000001" customHeight="1" x14ac:dyDescent="0.2">
      <c r="A60" s="5" t="str">
        <f>HYPERLINK("#'Acknowledgements'!A1", "Acknowledgements")</f>
        <v>Acknowledgements</v>
      </c>
      <c r="D60" s="82" t="s">
        <v>1062</v>
      </c>
      <c r="E60" s="256" t="s">
        <v>1065</v>
      </c>
      <c r="F60" s="256" t="s">
        <v>1066</v>
      </c>
      <c r="G60" s="114" t="s">
        <v>1068</v>
      </c>
      <c r="H60" s="256" t="s">
        <v>1069</v>
      </c>
      <c r="I60" s="82" t="s">
        <v>1070</v>
      </c>
      <c r="J60" s="114" t="s">
        <v>1071</v>
      </c>
      <c r="K60" s="82" t="s">
        <v>1072</v>
      </c>
      <c r="L60" s="82" t="s">
        <v>1073</v>
      </c>
      <c r="M60" s="82" t="s">
        <v>1074</v>
      </c>
    </row>
    <row r="61" spans="1:13" ht="20.100000000000001" customHeight="1" x14ac:dyDescent="0.2">
      <c r="A61"/>
      <c r="D61" s="15"/>
      <c r="E61" s="15"/>
      <c r="F61" s="15"/>
      <c r="G61" s="257">
        <f>((E61 * F61 * $E$58) * 10 ^ -3)</f>
        <v>0</v>
      </c>
      <c r="H61" s="15"/>
      <c r="I61" s="76">
        <v>3.38</v>
      </c>
      <c r="J61" s="257">
        <f>((E61 * H61 * (IF(I61, I61,$E$58))) * 10 ^ -3)</f>
        <v>0</v>
      </c>
      <c r="K61" s="34"/>
      <c r="L61" s="13"/>
      <c r="M61" s="239"/>
    </row>
    <row r="62" spans="1:13" ht="20.100000000000001" customHeight="1" x14ac:dyDescent="0.2">
      <c r="A62"/>
      <c r="D62" s="15"/>
      <c r="E62" s="15"/>
      <c r="F62" s="15"/>
      <c r="G62" s="257">
        <f>((E62 * F62 * $E$58) * 10 ^ -3)</f>
        <v>0</v>
      </c>
      <c r="H62" s="15"/>
      <c r="I62" s="76">
        <v>3.3</v>
      </c>
      <c r="J62" s="257">
        <f>((E62 * H62 * (IF(I62, I62,$E$58))) * 10 ^ -3)</f>
        <v>0</v>
      </c>
      <c r="K62" s="34"/>
      <c r="L62" s="13"/>
      <c r="M62" s="34"/>
    </row>
    <row r="63" spans="1:13" ht="20.100000000000001" customHeight="1" x14ac:dyDescent="0.2">
      <c r="A63"/>
      <c r="D63" s="15"/>
      <c r="E63" s="15"/>
      <c r="F63" s="15"/>
      <c r="G63" s="257">
        <f>((E63 * F63 * $E$58) * 10 ^ -3)</f>
        <v>0</v>
      </c>
      <c r="H63" s="15"/>
      <c r="I63" s="76"/>
      <c r="J63" s="257">
        <f>((E63 * H63 * (IF(I63, I63,$E$58))) * 10 ^ -3)</f>
        <v>0</v>
      </c>
      <c r="K63" s="34"/>
      <c r="L63" s="13"/>
      <c r="M63" s="34"/>
    </row>
    <row r="64" spans="1:13" ht="20.100000000000001" customHeight="1" x14ac:dyDescent="0.2">
      <c r="A64"/>
      <c r="D64" s="15"/>
      <c r="E64" s="15"/>
      <c r="F64" s="15"/>
      <c r="G64" s="257">
        <f>((E64 * F64 * $E$58) * 10 ^ -3)</f>
        <v>0</v>
      </c>
      <c r="H64" s="15"/>
      <c r="I64" s="76"/>
      <c r="J64" s="257">
        <f>((E64 * H64 * (IF(I64, I64,$E$58))) * 10 ^ -3)</f>
        <v>0</v>
      </c>
      <c r="K64" s="34"/>
      <c r="L64" s="13"/>
      <c r="M64" s="34"/>
    </row>
    <row r="65" spans="1:13" ht="20.100000000000001" customHeight="1" x14ac:dyDescent="0.2">
      <c r="A65"/>
      <c r="D65" s="15"/>
      <c r="E65" s="15"/>
      <c r="F65" s="15"/>
      <c r="G65" s="257">
        <f>((E65 * F65 * $E$58) * 10 ^ -3)</f>
        <v>0</v>
      </c>
      <c r="H65" s="15"/>
      <c r="I65" s="76"/>
      <c r="J65" s="257">
        <f>((E65 * H65 * (IF(I65, I65,$E$58))) * 10 ^ -3)</f>
        <v>0</v>
      </c>
      <c r="K65" s="34"/>
      <c r="L65" s="13"/>
      <c r="M65" s="34"/>
    </row>
    <row r="66" spans="1:13" ht="20.100000000000001" customHeight="1" x14ac:dyDescent="0.2">
      <c r="A66"/>
      <c r="D66" s="15"/>
      <c r="E66" s="15"/>
      <c r="F66" s="15"/>
      <c r="G66" s="257">
        <f>((E66 * F66 * $E$58) * 10 ^ -3)</f>
        <v>0</v>
      </c>
      <c r="H66" s="15"/>
      <c r="I66" s="76"/>
      <c r="J66" s="257">
        <f>((E66 * H66 * (IF(I66, I66,$E$58))) * 10 ^ -3)</f>
        <v>0</v>
      </c>
      <c r="K66" s="34"/>
      <c r="L66" s="13"/>
      <c r="M66" s="34"/>
    </row>
    <row r="67" spans="1:13" ht="20.100000000000001" customHeight="1" x14ac:dyDescent="0.2">
      <c r="A67"/>
      <c r="D67" s="15"/>
      <c r="E67" s="15"/>
      <c r="F67" s="15"/>
      <c r="G67" s="257">
        <f>((E67 * F67 * $E$58) * 10 ^ -3)</f>
        <v>0</v>
      </c>
      <c r="H67" s="15"/>
      <c r="I67" s="76"/>
      <c r="J67" s="257">
        <f>((E67 * H67 * (IF(I67, I67,$E$58))) * 10 ^ -3)</f>
        <v>0</v>
      </c>
      <c r="K67" s="34"/>
      <c r="L67" s="13"/>
      <c r="M67" s="34"/>
    </row>
    <row r="68" spans="1:13" ht="20.100000000000001" customHeight="1" x14ac:dyDescent="0.2">
      <c r="A68"/>
      <c r="D68" s="15"/>
      <c r="E68" s="15"/>
      <c r="F68" s="15"/>
      <c r="G68" s="257">
        <f>((E68 * F68 * $E$58) * 10 ^ -3)</f>
        <v>0</v>
      </c>
      <c r="H68" s="15"/>
      <c r="I68" s="76"/>
      <c r="J68" s="257">
        <f>((E68 * H68 * (IF(I68, I68,$E$58))) * 10 ^ -3)</f>
        <v>0</v>
      </c>
      <c r="K68" s="34"/>
      <c r="L68" s="13"/>
      <c r="M68" s="34"/>
    </row>
    <row r="69" spans="1:13" ht="20.100000000000001" customHeight="1" x14ac:dyDescent="0.2">
      <c r="A69"/>
      <c r="D69" s="15"/>
      <c r="E69" s="15"/>
      <c r="F69" s="15"/>
      <c r="G69" s="257">
        <f>((E69 * F69 * $E$58) * 10 ^ -3)</f>
        <v>0</v>
      </c>
      <c r="H69" s="15"/>
      <c r="I69" s="76"/>
      <c r="J69" s="257">
        <f>((E69 * H69 * (IF(I69, I69,$E$58))) * 10 ^ -3)</f>
        <v>0</v>
      </c>
      <c r="K69" s="34"/>
      <c r="L69" s="13"/>
      <c r="M69" s="34"/>
    </row>
    <row r="70" spans="1:13" ht="20.100000000000001" customHeight="1" x14ac:dyDescent="0.2">
      <c r="A70"/>
      <c r="D70" s="15"/>
      <c r="E70" s="15"/>
      <c r="F70" s="15"/>
      <c r="G70" s="257">
        <f>((E70 * F70 * $E$58) * 10 ^ -3)</f>
        <v>0</v>
      </c>
      <c r="H70" s="15"/>
      <c r="I70" s="76"/>
      <c r="J70" s="257">
        <f>((E70 * H70 * (IF(I70, I70,$E$58))) * 10 ^ -3)</f>
        <v>0</v>
      </c>
      <c r="K70" s="34"/>
      <c r="L70" s="13"/>
      <c r="M70" s="34"/>
    </row>
    <row r="71" spans="1:13" ht="20.100000000000001" customHeight="1" x14ac:dyDescent="0.2">
      <c r="A71"/>
    </row>
    <row r="72" spans="1:13" ht="20.100000000000001" customHeight="1" x14ac:dyDescent="0.2">
      <c r="A72"/>
      <c r="D72" s="93" t="s">
        <v>1085</v>
      </c>
      <c r="E72" s="87">
        <f>SUM(G61:G70)</f>
        <v>0</v>
      </c>
      <c r="F72" s="94" t="str">
        <f>$E$11</f>
        <v>t CO2e</v>
      </c>
    </row>
    <row r="73" spans="1:13" ht="20.100000000000001" customHeight="1" x14ac:dyDescent="0.2">
      <c r="A73"/>
      <c r="D73" s="93" t="s">
        <v>1086</v>
      </c>
      <c r="E73" s="87">
        <f>SUM(J61:J70)</f>
        <v>0</v>
      </c>
      <c r="F73" s="94" t="str">
        <f>$E$11</f>
        <v>t CO2e</v>
      </c>
    </row>
    <row r="74" spans="1:13" ht="20.100000000000001" customHeight="1" x14ac:dyDescent="0.2">
      <c r="A74"/>
    </row>
    <row r="75" spans="1:13" ht="20.100000000000001" customHeight="1" x14ac:dyDescent="0.2">
      <c r="A75"/>
      <c r="D75" s="243" t="s">
        <v>1087</v>
      </c>
    </row>
    <row r="76" spans="1:13" ht="20.100000000000001" customHeight="1" x14ac:dyDescent="0.2">
      <c r="A76"/>
      <c r="D76" s="105" t="s">
        <v>1081</v>
      </c>
      <c r="E76" s="15">
        <v>1.36</v>
      </c>
    </row>
    <row r="77" spans="1:13" ht="20.100000000000001" customHeight="1" x14ac:dyDescent="0.2">
      <c r="A77"/>
    </row>
    <row r="78" spans="1:13" ht="20.100000000000001" customHeight="1" x14ac:dyDescent="0.2">
      <c r="A78"/>
      <c r="D78" s="82" t="s">
        <v>1062</v>
      </c>
      <c r="E78" s="256" t="s">
        <v>1065</v>
      </c>
      <c r="F78" s="256" t="s">
        <v>1066</v>
      </c>
      <c r="G78" s="114" t="s">
        <v>1068</v>
      </c>
      <c r="H78" s="256" t="s">
        <v>1069</v>
      </c>
      <c r="I78" s="82" t="s">
        <v>1070</v>
      </c>
      <c r="J78" s="114" t="s">
        <v>1071</v>
      </c>
      <c r="K78" s="82" t="s">
        <v>1072</v>
      </c>
      <c r="L78" s="82" t="s">
        <v>1073</v>
      </c>
      <c r="M78" s="82" t="s">
        <v>1074</v>
      </c>
    </row>
    <row r="79" spans="1:13" ht="20.100000000000001" customHeight="1" x14ac:dyDescent="0.2">
      <c r="A79"/>
      <c r="D79" s="15"/>
      <c r="E79" s="15"/>
      <c r="F79" s="15"/>
      <c r="G79" s="257">
        <f>((E79 * F79 * $E$76) * 10 ^ -3)</f>
        <v>0</v>
      </c>
      <c r="H79" s="15"/>
      <c r="I79" s="76">
        <v>1.3</v>
      </c>
      <c r="J79" s="257">
        <f>((E79 * H79 * (IF(I79, I79,$E$76))) * 10 ^ -3)</f>
        <v>0</v>
      </c>
      <c r="K79" s="34"/>
      <c r="L79" s="13"/>
      <c r="M79" s="239"/>
    </row>
    <row r="80" spans="1:13" ht="20.100000000000001" customHeight="1" x14ac:dyDescent="0.2">
      <c r="A80"/>
      <c r="D80" s="15"/>
      <c r="E80" s="15"/>
      <c r="F80" s="15"/>
      <c r="G80" s="257">
        <f>((E80 * F80 * $E$76) * 10 ^ -3)</f>
        <v>0</v>
      </c>
      <c r="H80" s="15"/>
      <c r="I80" s="76"/>
      <c r="J80" s="257">
        <f>((E80 * H80 * (IF(I80, I80,$E$76))) * 10 ^ -3)</f>
        <v>0</v>
      </c>
      <c r="K80" s="34"/>
      <c r="L80" s="13"/>
      <c r="M80" s="34"/>
    </row>
    <row r="81" spans="1:13" ht="20.100000000000001" customHeight="1" x14ac:dyDescent="0.2">
      <c r="A81"/>
      <c r="D81" s="15"/>
      <c r="E81" s="15"/>
      <c r="F81" s="15"/>
      <c r="G81" s="257">
        <f>((E81 * F81 * $E$76) * 10 ^ -3)</f>
        <v>0</v>
      </c>
      <c r="H81" s="15"/>
      <c r="I81" s="76"/>
      <c r="J81" s="257">
        <f>((E81 * H81 * (IF(I81, I81,$E$76))) * 10 ^ -3)</f>
        <v>0</v>
      </c>
      <c r="K81" s="34"/>
      <c r="L81" s="13"/>
      <c r="M81" s="34"/>
    </row>
    <row r="82" spans="1:13" ht="20.100000000000001" customHeight="1" x14ac:dyDescent="0.2">
      <c r="A82"/>
      <c r="D82" s="15"/>
      <c r="E82" s="15"/>
      <c r="F82" s="15"/>
      <c r="G82" s="257">
        <f>((E82 * F82 * $E$76) * 10 ^ -3)</f>
        <v>0</v>
      </c>
      <c r="H82" s="15"/>
      <c r="I82" s="76"/>
      <c r="J82" s="257">
        <f>((E82 * H82 * (IF(I82, I82,$E$76))) * 10 ^ -3)</f>
        <v>0</v>
      </c>
      <c r="K82" s="34"/>
      <c r="L82" s="13"/>
      <c r="M82" s="34"/>
    </row>
    <row r="83" spans="1:13" ht="20.100000000000001" customHeight="1" x14ac:dyDescent="0.2">
      <c r="A83"/>
      <c r="D83" s="15"/>
      <c r="E83" s="15"/>
      <c r="F83" s="15"/>
      <c r="G83" s="257">
        <f>((E83 * F83 * $E$76) * 10 ^ -3)</f>
        <v>0</v>
      </c>
      <c r="H83" s="15"/>
      <c r="I83" s="76"/>
      <c r="J83" s="257">
        <f>((E83 * H83 * (IF(I83, I83,$E$76))) * 10 ^ -3)</f>
        <v>0</v>
      </c>
      <c r="K83" s="34"/>
      <c r="L83" s="13"/>
      <c r="M83" s="34"/>
    </row>
    <row r="84" spans="1:13" ht="20.100000000000001" customHeight="1" x14ac:dyDescent="0.2">
      <c r="A84"/>
      <c r="D84" s="15"/>
      <c r="E84" s="15"/>
      <c r="F84" s="15"/>
      <c r="G84" s="257">
        <f>((E84 * F84 * $E$76) * 10 ^ -3)</f>
        <v>0</v>
      </c>
      <c r="H84" s="15"/>
      <c r="I84" s="76"/>
      <c r="J84" s="257">
        <f>((E84 * H84 * (IF(I84, I84,$E$76))) * 10 ^ -3)</f>
        <v>0</v>
      </c>
      <c r="K84" s="34"/>
      <c r="L84" s="13"/>
      <c r="M84" s="34"/>
    </row>
    <row r="85" spans="1:13" ht="20.100000000000001" customHeight="1" x14ac:dyDescent="0.2">
      <c r="A85"/>
      <c r="D85" s="15"/>
      <c r="E85" s="15"/>
      <c r="F85" s="15"/>
      <c r="G85" s="257">
        <f>((E85 * F85 * $E$76) * 10 ^ -3)</f>
        <v>0</v>
      </c>
      <c r="H85" s="15"/>
      <c r="I85" s="76"/>
      <c r="J85" s="257">
        <f>((E85 * H85 * (IF(I85, I85,$E$76))) * 10 ^ -3)</f>
        <v>0</v>
      </c>
      <c r="K85" s="34"/>
      <c r="L85" s="13"/>
      <c r="M85" s="34"/>
    </row>
    <row r="86" spans="1:13" ht="20.100000000000001" customHeight="1" x14ac:dyDescent="0.2">
      <c r="A86"/>
      <c r="D86" s="15"/>
      <c r="E86" s="15"/>
      <c r="F86" s="15"/>
      <c r="G86" s="257">
        <f>((E86 * F86 * $E$76) * 10 ^ -3)</f>
        <v>0</v>
      </c>
      <c r="H86" s="15"/>
      <c r="I86" s="76"/>
      <c r="J86" s="257">
        <f>((E86 * H86 * (IF(I86, I86,$E$76))) * 10 ^ -3)</f>
        <v>0</v>
      </c>
      <c r="K86" s="34"/>
      <c r="L86" s="13"/>
      <c r="M86" s="34"/>
    </row>
    <row r="87" spans="1:13" ht="20.100000000000001" customHeight="1" x14ac:dyDescent="0.2">
      <c r="A87"/>
      <c r="D87" s="15"/>
      <c r="E87" s="15"/>
      <c r="F87" s="15"/>
      <c r="G87" s="257">
        <f>((E87 * F87 * $E$76) * 10 ^ -3)</f>
        <v>0</v>
      </c>
      <c r="H87" s="15"/>
      <c r="I87" s="76"/>
      <c r="J87" s="257">
        <f>((E87 * H87 * (IF(I87, I87,$E$76))) * 10 ^ -3)</f>
        <v>0</v>
      </c>
      <c r="K87" s="34"/>
      <c r="L87" s="13"/>
      <c r="M87" s="34"/>
    </row>
    <row r="88" spans="1:13" ht="20.100000000000001" customHeight="1" x14ac:dyDescent="0.2">
      <c r="A88"/>
      <c r="D88" s="15"/>
      <c r="E88" s="15"/>
      <c r="F88" s="15"/>
      <c r="G88" s="257">
        <f>((E88 * F88 * $E$76) * 10 ^ -3)</f>
        <v>0</v>
      </c>
      <c r="H88" s="15"/>
      <c r="I88" s="76"/>
      <c r="J88" s="257">
        <f>((E88 * H88 * (IF(I88, I88,$E$76))) * 10 ^ -3)</f>
        <v>0</v>
      </c>
      <c r="K88" s="34"/>
      <c r="L88" s="13"/>
      <c r="M88" s="34"/>
    </row>
    <row r="89" spans="1:13" ht="20.100000000000001" customHeight="1" x14ac:dyDescent="0.2">
      <c r="A89"/>
    </row>
    <row r="90" spans="1:13" ht="20.100000000000001" customHeight="1" x14ac:dyDescent="0.2">
      <c r="A90"/>
      <c r="D90" s="93" t="s">
        <v>1088</v>
      </c>
      <c r="E90" s="87">
        <f>SUM(G79:G88)</f>
        <v>0</v>
      </c>
      <c r="F90" s="94" t="str">
        <f>$E$11</f>
        <v>t CO2e</v>
      </c>
    </row>
    <row r="91" spans="1:13" ht="20.100000000000001" customHeight="1" x14ac:dyDescent="0.2">
      <c r="A91"/>
      <c r="D91" s="93" t="s">
        <v>1089</v>
      </c>
      <c r="E91" s="87">
        <f>SUM(J79:J88)</f>
        <v>0</v>
      </c>
      <c r="F91" s="94" t="str">
        <f>$E$11</f>
        <v>t CO2e</v>
      </c>
    </row>
    <row r="92" spans="1:13" ht="20.100000000000001" customHeight="1" x14ac:dyDescent="0.2">
      <c r="A92"/>
    </row>
    <row r="93" spans="1:13" ht="20.100000000000001" customHeight="1" x14ac:dyDescent="0.2">
      <c r="A93"/>
      <c r="D93" s="90" t="s">
        <v>1068</v>
      </c>
      <c r="E93" s="91">
        <f>VEERG_15_1_1_1__1_EmissionsFromPurchasedLivestock_BeefCattle_Result_Method1+VEERG_15_1_1_1__1_EmissionsFromPurchasedLivestock_DairyCattle_Result_Method1+VEERG_15_1_1_1__1_EmissionsFromPurchasedLivestock_Pigs_Result_Method1+VEERG_15_1_1_1__1_EmissionsFromPurchasedLivestock_Poultry_Result_Method1</f>
        <v>0</v>
      </c>
      <c r="F93" s="95" t="str">
        <f>$E$11</f>
        <v>t CO2e</v>
      </c>
    </row>
    <row r="94" spans="1:13" ht="20.100000000000001" customHeight="1" x14ac:dyDescent="0.2">
      <c r="A94"/>
      <c r="D94" s="90" t="s">
        <v>1071</v>
      </c>
      <c r="E94" s="91">
        <f>VEERG_15_1_1_1__1_EmissionsFromPurchasedLivestock_BeefCattle_Result_Method2+VEERG_15_1_1_1__1_EmissionsFromPurchasedLivestock_DairyCattle_Result_Method2+VEERG_15_1_1_1__1_EmissionsFromPurchasedLivestock_Pigs_Result_Method2+VEERG_15_1_1_1__1_EmissionsFromPurchasedLivestock_Poultry_Result_Method2</f>
        <v>0</v>
      </c>
      <c r="F94" s="95" t="str">
        <f>$E$11</f>
        <v>t CO2e</v>
      </c>
    </row>
    <row r="95" spans="1:13" ht="20.100000000000001" customHeight="1" x14ac:dyDescent="0.2">
      <c r="A95"/>
    </row>
    <row r="96" spans="1:13" ht="20.100000000000001" customHeight="1" x14ac:dyDescent="0.2">
      <c r="A96"/>
    </row>
    <row r="97" spans="1:41" ht="20.100000000000001" customHeight="1" x14ac:dyDescent="0.2">
      <c r="A97"/>
      <c r="C97" s="87"/>
      <c r="D97" s="87"/>
      <c r="E97" s="87"/>
      <c r="F97" s="87"/>
      <c r="G97" s="87"/>
      <c r="H97" s="87"/>
      <c r="I97" s="87"/>
      <c r="J97" s="87"/>
      <c r="K97" s="87"/>
      <c r="L97" s="87"/>
      <c r="M97" s="87"/>
      <c r="N97" s="87"/>
      <c r="O97" s="87"/>
      <c r="P97" s="87"/>
      <c r="Q97" s="87"/>
      <c r="R97" s="87"/>
      <c r="S97" s="87"/>
      <c r="T97" s="87"/>
      <c r="U97" s="87"/>
      <c r="V97" s="87"/>
      <c r="W97" s="87"/>
      <c r="X97" s="87"/>
      <c r="Y97" s="87"/>
      <c r="Z97" s="87"/>
      <c r="AA97" s="87"/>
      <c r="AB97" s="87"/>
      <c r="AC97" s="87"/>
      <c r="AD97" s="87"/>
      <c r="AE97" s="87"/>
      <c r="AF97" s="87"/>
      <c r="AG97" s="87"/>
      <c r="AH97" s="87"/>
      <c r="AI97" s="87"/>
      <c r="AJ97" s="87"/>
      <c r="AK97" s="87"/>
      <c r="AL97" s="87"/>
      <c r="AM97" s="87"/>
      <c r="AN97" s="87"/>
      <c r="AO97" s="87"/>
    </row>
    <row r="98" spans="1:41" ht="20.100000000000001" customHeight="1" x14ac:dyDescent="0.2">
      <c r="A98"/>
      <c r="D98" s="2" t="s">
        <v>1654</v>
      </c>
    </row>
    <row r="99" spans="1:41" ht="20.100000000000001" customHeight="1" x14ac:dyDescent="0.2">
      <c r="A99"/>
      <c r="D99" s="17" t="s">
        <v>1655</v>
      </c>
    </row>
    <row r="100" spans="1:41" ht="20.100000000000001" customHeight="1" x14ac:dyDescent="0.2">
      <c r="A100"/>
      <c r="D100" s="26" t="s">
        <v>1656</v>
      </c>
    </row>
    <row r="101" spans="1:41" ht="20.100000000000001" customHeight="1" x14ac:dyDescent="0.2">
      <c r="A101"/>
      <c r="D101" s="103"/>
      <c r="E101" s="103"/>
      <c r="H101" s="26"/>
    </row>
    <row r="102" spans="1:41" ht="20.100000000000001" customHeight="1" x14ac:dyDescent="0.2">
      <c r="A102"/>
    </row>
    <row r="103" spans="1:41" ht="20.100000000000001" customHeight="1" x14ac:dyDescent="0.2">
      <c r="A103"/>
      <c r="H103" s="103"/>
    </row>
    <row r="104" spans="1:41" ht="20.100000000000001" customHeight="1" x14ac:dyDescent="0.2">
      <c r="A104"/>
      <c r="D104" s="77" t="s">
        <v>373</v>
      </c>
      <c r="E104" s="1" t="s">
        <v>1174</v>
      </c>
    </row>
    <row r="105" spans="1:41" ht="20.100000000000001" customHeight="1" x14ac:dyDescent="0.2">
      <c r="A105"/>
      <c r="D105" s="77" t="s">
        <v>121</v>
      </c>
      <c r="E105" s="9" t="s">
        <v>6</v>
      </c>
    </row>
    <row r="106" spans="1:41" ht="20.100000000000001" customHeight="1" x14ac:dyDescent="0.2">
      <c r="A106"/>
    </row>
    <row r="107" spans="1:41" ht="20.100000000000001" customHeight="1" x14ac:dyDescent="0.2">
      <c r="A107"/>
      <c r="D107" s="105" t="s">
        <v>1657</v>
      </c>
      <c r="E107" s="106" t="s">
        <v>1658</v>
      </c>
      <c r="F107" s="108"/>
      <c r="G107" s="105" t="s">
        <v>636</v>
      </c>
      <c r="H107" s="255" t="s">
        <v>1219</v>
      </c>
    </row>
    <row r="108" spans="1:41" ht="20.100000000000001" customHeight="1" x14ac:dyDescent="0.2">
      <c r="A108"/>
      <c r="D108" s="105" t="s">
        <v>1659</v>
      </c>
      <c r="E108" s="106" t="s">
        <v>1660</v>
      </c>
      <c r="F108" s="108"/>
      <c r="G108" s="105" t="s">
        <v>1653</v>
      </c>
      <c r="H108" s="110" t="s">
        <v>1220</v>
      </c>
    </row>
    <row r="109" spans="1:41" ht="20.100000000000001" customHeight="1" x14ac:dyDescent="0.2">
      <c r="A109"/>
      <c r="D109" s="105" t="s">
        <v>1350</v>
      </c>
      <c r="E109" s="106" t="s">
        <v>1661</v>
      </c>
      <c r="F109" s="108"/>
      <c r="G109" s="105"/>
      <c r="H109" s="255" t="s">
        <v>1219</v>
      </c>
    </row>
    <row r="110" spans="1:41" ht="20.100000000000001" customHeight="1" x14ac:dyDescent="0.2">
      <c r="A110"/>
    </row>
    <row r="111" spans="1:41" ht="20.100000000000001" customHeight="1" x14ac:dyDescent="0.2">
      <c r="A111"/>
      <c r="D111" s="243" t="s">
        <v>1090</v>
      </c>
    </row>
    <row r="112" spans="1:41" ht="20.100000000000001" customHeight="1" x14ac:dyDescent="0.2">
      <c r="A112"/>
    </row>
    <row r="113" spans="1:28" ht="20.100000000000001" customHeight="1" x14ac:dyDescent="0.2">
      <c r="A113"/>
      <c r="D113" s="126" t="s">
        <v>1091</v>
      </c>
      <c r="E113" s="45"/>
      <c r="F113" s="126"/>
      <c r="G113" s="44"/>
      <c r="H113" s="45"/>
    </row>
    <row r="114" spans="1:28" ht="20.100000000000001" customHeight="1" x14ac:dyDescent="0.2">
      <c r="A114"/>
      <c r="D114" s="152" t="s">
        <v>1092</v>
      </c>
      <c r="E114" s="154"/>
      <c r="F114" s="152"/>
      <c r="G114" s="153"/>
      <c r="H114" s="154"/>
    </row>
    <row r="115" spans="1:28" ht="20.100000000000001" customHeight="1" x14ac:dyDescent="0.2">
      <c r="A115"/>
      <c r="D115" s="46" t="s">
        <v>1093</v>
      </c>
      <c r="E115" s="48"/>
      <c r="F115" s="46"/>
      <c r="G115" s="47"/>
      <c r="H115" s="48"/>
    </row>
    <row r="116" spans="1:28" ht="20.100000000000001" customHeight="1" x14ac:dyDescent="0.2">
      <c r="A116"/>
    </row>
    <row r="117" spans="1:28" ht="20.100000000000001" customHeight="1" x14ac:dyDescent="0.2">
      <c r="A117"/>
      <c r="D117" s="36" t="s">
        <v>1094</v>
      </c>
      <c r="E117" s="38"/>
      <c r="F117" s="39"/>
    </row>
    <row r="118" spans="1:28" ht="20.100000000000001" customHeight="1" x14ac:dyDescent="0.2">
      <c r="A118"/>
    </row>
    <row r="119" spans="1:28" ht="20.100000000000001" customHeight="1" x14ac:dyDescent="0.2">
      <c r="A119"/>
      <c r="D119" s="82" t="s">
        <v>1095</v>
      </c>
      <c r="E119" s="82" t="s">
        <v>1096</v>
      </c>
      <c r="F119" s="114" t="s">
        <v>1097</v>
      </c>
      <c r="G119" s="114" t="s">
        <v>1068</v>
      </c>
      <c r="H119" s="82" t="s">
        <v>1098</v>
      </c>
      <c r="I119" s="114" t="s">
        <v>1071</v>
      </c>
      <c r="J119" s="82" t="s">
        <v>1072</v>
      </c>
      <c r="K119" s="82" t="s">
        <v>1073</v>
      </c>
      <c r="L119" s="82" t="s">
        <v>1074</v>
      </c>
      <c r="M119" s="114" t="s">
        <v>589</v>
      </c>
      <c r="N119" s="114" t="s">
        <v>1099</v>
      </c>
      <c r="O119" s="114" t="s">
        <v>590</v>
      </c>
      <c r="P119" s="114" t="s">
        <v>1100</v>
      </c>
      <c r="Q119" s="114" t="s">
        <v>591</v>
      </c>
      <c r="R119" s="114" t="s">
        <v>1101</v>
      </c>
      <c r="S119" s="114" t="s">
        <v>592</v>
      </c>
      <c r="T119" s="114" t="s">
        <v>1102</v>
      </c>
      <c r="U119" s="114" t="s">
        <v>593</v>
      </c>
      <c r="V119" s="114" t="s">
        <v>1103</v>
      </c>
      <c r="W119" s="114" t="s">
        <v>594</v>
      </c>
      <c r="X119" s="114" t="s">
        <v>1104</v>
      </c>
      <c r="Y119" s="114" t="s">
        <v>595</v>
      </c>
      <c r="Z119" s="114" t="s">
        <v>1105</v>
      </c>
      <c r="AA119" s="114" t="s">
        <v>596</v>
      </c>
      <c r="AB119" s="114" t="s">
        <v>1106</v>
      </c>
    </row>
    <row r="120" spans="1:28" ht="20.100000000000001" customHeight="1" x14ac:dyDescent="0.2">
      <c r="A120"/>
      <c r="D120" s="15" cm="1">
        <f t="array" ref="D120:D129">IFERROR(INDEX(Table_Input_FeedBlends[Feed blend name], _xlfn.SEQUENCE(10)), "")</f>
        <v>0</v>
      </c>
      <c r="E120" s="15" cm="1">
        <f t="array" ref="E120:E129">IFERROR(INDEX(Table_Input_FeedBlends[Amount fed (kg)], _xlfn.SEQUENCE(10)), "")</f>
        <v>0</v>
      </c>
      <c r="F120" s="15">
        <f t="shared" ref="F120:F129" si="0">IFERROR((O120*P120)+(S120*T120)+(W120*X120)+(AA120*AB120), 0)</f>
        <v>0</v>
      </c>
      <c r="G120" s="257">
        <f>((E120 * F120) * 10 ^ -3)</f>
        <v>0</v>
      </c>
      <c r="H120" s="76">
        <v>0.04</v>
      </c>
      <c r="I120" s="257">
        <f>((E120 * (IF(H120,H120, F120))) * 10 ^ -3)</f>
        <v>0</v>
      </c>
      <c r="J120" s="34"/>
      <c r="K120" s="13"/>
      <c r="L120" s="239"/>
      <c r="M120" s="15" cm="1">
        <f t="array" ref="M120:M129">IFERROR(INDEX(Table_Input_FeedBlends[Ingredient 1 (select)], _xlfn.SEQUENCE(10)), "")</f>
        <v>0</v>
      </c>
      <c r="N120" s="15" cm="1">
        <f t="array" ref="N120:N129">IFERROR(INDEX(Table_Input_FeedBlends[Ingredient 1 source region], _xlfn.SEQUENCE(10)), "")</f>
        <v>0</v>
      </c>
      <c r="O120" s="15" cm="1">
        <f t="array" ref="O120:O129">IFERROR(INDEX(Table_Input_FeedBlends[Ingredient 1 percent], _xlfn.SEQUENCE(10)), "")</f>
        <v>0</v>
      </c>
      <c r="P120" s="15" cm="1">
        <f t="array" ref="P120">_xlfn.LET(_xlpm.result, Common_InputFunctions.Utility_LookupValueInTableTwoColumns(M120, N120, Table_SourceData_Scope3_Feed[Product], Table_SourceData_Scope3_Feed[Region of origin], Table_SourceData_Scope3_Feed[Emissions intensity]), IF(_xlpm.result="", 0, _xlpm.result))</f>
        <v>0</v>
      </c>
      <c r="Q120" s="15" cm="1">
        <f t="array" ref="Q120:Q129">IFERROR(INDEX(Table_Input_FeedBlends[Ingredient 2 (select)], _xlfn.SEQUENCE(10)), "")</f>
        <v>0</v>
      </c>
      <c r="R120" s="15" cm="1">
        <f t="array" ref="R120:R129">IFERROR(INDEX(Table_Input_FeedBlends[Ingredient 2 source region], _xlfn.SEQUENCE(10)), "")</f>
        <v>0</v>
      </c>
      <c r="S120" s="15" cm="1">
        <f t="array" ref="S120:S129">IFERROR(INDEX(Table_Input_FeedBlends[Ingredient 2 percent], _xlfn.SEQUENCE(10)), "")</f>
        <v>0</v>
      </c>
      <c r="T120" s="15" cm="1">
        <f t="array" ref="T120">_xlfn.LET(_xlpm.result, Common_InputFunctions.Utility_LookupValueInTableTwoColumns(Q120, R120, Table_SourceData_Scope3_Feed[Product], Table_SourceData_Scope3_Feed[Region of origin], Table_SourceData_Scope3_Feed[Emissions intensity]), IF(_xlpm.result="", 0, _xlpm.result))</f>
        <v>0</v>
      </c>
      <c r="U120" s="15" cm="1">
        <f t="array" ref="U120:U129">IFERROR(INDEX(Table_Input_FeedBlends[Ingredient 3 (select)], _xlfn.SEQUENCE(10)), "")</f>
        <v>0</v>
      </c>
      <c r="V120" s="15" cm="1">
        <f t="array" ref="V120:V129">IFERROR(INDEX(Table_Input_FeedBlends[Ingredient 3 source region], _xlfn.SEQUENCE(10)), "")</f>
        <v>0</v>
      </c>
      <c r="W120" s="15" cm="1">
        <f t="array" ref="W120:W129">IFERROR(INDEX(Table_Input_FeedBlends[Ingredient 3 percent], _xlfn.SEQUENCE(10)), "")</f>
        <v>0</v>
      </c>
      <c r="X120" s="15" cm="1">
        <f t="array" ref="X120">_xlfn.LET(_xlpm.result, Common_InputFunctions.Utility_LookupValueInTableTwoColumns(U120, V120, Table_SourceData_Scope3_Feed[Product], Table_SourceData_Scope3_Feed[Region of origin], Table_SourceData_Scope3_Feed[Emissions intensity]), IF(_xlpm.result="", 0, _xlpm.result))</f>
        <v>0</v>
      </c>
      <c r="Y120" s="15" cm="1">
        <f t="array" ref="Y120:Y129">IFERROR(INDEX(Table_Input_FeedBlends[Ingredient 4 (select)], _xlfn.SEQUENCE(10)), "")</f>
        <v>0</v>
      </c>
      <c r="Z120" s="15" cm="1">
        <f t="array" ref="Z120:Z129">IFERROR(INDEX(Table_Input_FeedBlends[Ingredient 4 source region], _xlfn.SEQUENCE(10)), "")</f>
        <v>0</v>
      </c>
      <c r="AA120" s="15" cm="1">
        <f t="array" ref="AA120:AA129">IFERROR(INDEX(Table_Input_FeedBlends[Ingredient 4 percent], _xlfn.SEQUENCE(10)), "")</f>
        <v>0</v>
      </c>
      <c r="AB120" s="15" cm="1">
        <f t="array" ref="AB120">_xlfn.LET(_xlpm.result, Common_InputFunctions.Utility_LookupValueInTableTwoColumns(Y120, Z120, Table_SourceData_Scope3_Feed[Product], Table_SourceData_Scope3_Feed[Region of origin], Table_SourceData_Scope3_Feed[Emissions intensity]), IF(_xlpm.result="", 0, _xlpm.result))</f>
        <v>0</v>
      </c>
    </row>
    <row r="121" spans="1:28" ht="20.100000000000001" customHeight="1" x14ac:dyDescent="0.2">
      <c r="A121"/>
      <c r="D121" s="15">
        <v>0</v>
      </c>
      <c r="E121" s="15">
        <v>0</v>
      </c>
      <c r="F121" s="15">
        <f t="shared" si="0"/>
        <v>0</v>
      </c>
      <c r="G121" s="257">
        <f>((E121 * F121) * 10 ^ -3)</f>
        <v>0</v>
      </c>
      <c r="H121" s="76">
        <v>0.03</v>
      </c>
      <c r="I121" s="257">
        <f>((E121 * (IF(H121,H121, F121))) * 10 ^ -3)</f>
        <v>0</v>
      </c>
      <c r="J121" s="34"/>
      <c r="K121" s="13"/>
      <c r="L121" s="34"/>
      <c r="M121" s="15">
        <v>0</v>
      </c>
      <c r="N121" s="15">
        <v>0</v>
      </c>
      <c r="O121" s="15">
        <v>0</v>
      </c>
      <c r="P121" s="15" cm="1">
        <f t="array" ref="P121">_xlfn.LET(_xlpm.result, Common_InputFunctions.Utility_LookupValueInTableTwoColumns(M121, N121, Table_SourceData_Scope3_Feed[Product], Table_SourceData_Scope3_Feed[Region of origin], Table_SourceData_Scope3_Feed[Emissions intensity]), IF(_xlpm.result="", 0, _xlpm.result))</f>
        <v>0</v>
      </c>
      <c r="Q121" s="15">
        <v>0</v>
      </c>
      <c r="R121" s="15">
        <v>0</v>
      </c>
      <c r="S121" s="15">
        <v>0</v>
      </c>
      <c r="T121" s="15" cm="1">
        <f t="array" ref="T121">_xlfn.LET(_xlpm.result, Common_InputFunctions.Utility_LookupValueInTableTwoColumns(Q121, R121, Table_SourceData_Scope3_Feed[Product], Table_SourceData_Scope3_Feed[Region of origin], Table_SourceData_Scope3_Feed[Emissions intensity]), IF(_xlpm.result="", 0, _xlpm.result))</f>
        <v>0</v>
      </c>
      <c r="U121" s="15">
        <v>0</v>
      </c>
      <c r="V121" s="15">
        <v>0</v>
      </c>
      <c r="W121" s="15">
        <v>0</v>
      </c>
      <c r="X121" s="15" cm="1">
        <f t="array" ref="X121">_xlfn.LET(_xlpm.result, Common_InputFunctions.Utility_LookupValueInTableTwoColumns(U121, V121, Table_SourceData_Scope3_Feed[Product], Table_SourceData_Scope3_Feed[Region of origin], Table_SourceData_Scope3_Feed[Emissions intensity]), IF(_xlpm.result="", 0, _xlpm.result))</f>
        <v>0</v>
      </c>
      <c r="Y121" s="15">
        <v>0</v>
      </c>
      <c r="Z121" s="15">
        <v>0</v>
      </c>
      <c r="AA121" s="15">
        <v>0</v>
      </c>
      <c r="AB121" s="15" cm="1">
        <f t="array" ref="AB121">_xlfn.LET(_xlpm.result, Common_InputFunctions.Utility_LookupValueInTableTwoColumns(Y121, Z121, Table_SourceData_Scope3_Feed[Product], Table_SourceData_Scope3_Feed[Region of origin], Table_SourceData_Scope3_Feed[Emissions intensity]), IF(_xlpm.result="", 0, _xlpm.result))</f>
        <v>0</v>
      </c>
    </row>
    <row r="122" spans="1:28" ht="20.100000000000001" customHeight="1" x14ac:dyDescent="0.2">
      <c r="A122"/>
      <c r="D122" s="15">
        <v>0</v>
      </c>
      <c r="E122" s="15">
        <v>0</v>
      </c>
      <c r="F122" s="15">
        <f t="shared" si="0"/>
        <v>0</v>
      </c>
      <c r="G122" s="257">
        <f>((E122 * F122) * 10 ^ -3)</f>
        <v>0</v>
      </c>
      <c r="H122" s="76">
        <v>0.14000000000000001</v>
      </c>
      <c r="I122" s="257">
        <f>((E122 * (IF(H122,H122, F122))) * 10 ^ -3)</f>
        <v>0</v>
      </c>
      <c r="J122" s="34"/>
      <c r="K122" s="13"/>
      <c r="L122" s="34"/>
      <c r="M122" s="15">
        <v>0</v>
      </c>
      <c r="N122" s="15">
        <v>0</v>
      </c>
      <c r="O122" s="15">
        <v>0</v>
      </c>
      <c r="P122" s="15" cm="1">
        <f t="array" ref="P122">_xlfn.LET(_xlpm.result, Common_InputFunctions.Utility_LookupValueInTableTwoColumns(M122, N122, Table_SourceData_Scope3_Feed[Product], Table_SourceData_Scope3_Feed[Region of origin], Table_SourceData_Scope3_Feed[Emissions intensity]), IF(_xlpm.result="", 0, _xlpm.result))</f>
        <v>0</v>
      </c>
      <c r="Q122" s="15">
        <v>0</v>
      </c>
      <c r="R122" s="15">
        <v>0</v>
      </c>
      <c r="S122" s="15">
        <v>0</v>
      </c>
      <c r="T122" s="15" cm="1">
        <f t="array" ref="T122">_xlfn.LET(_xlpm.result, Common_InputFunctions.Utility_LookupValueInTableTwoColumns(Q122, R122, Table_SourceData_Scope3_Feed[Product], Table_SourceData_Scope3_Feed[Region of origin], Table_SourceData_Scope3_Feed[Emissions intensity]), IF(_xlpm.result="", 0, _xlpm.result))</f>
        <v>0</v>
      </c>
      <c r="U122" s="15">
        <v>0</v>
      </c>
      <c r="V122" s="15">
        <v>0</v>
      </c>
      <c r="W122" s="15">
        <v>0</v>
      </c>
      <c r="X122" s="15" cm="1">
        <f t="array" ref="X122">_xlfn.LET(_xlpm.result, Common_InputFunctions.Utility_LookupValueInTableTwoColumns(U122, V122, Table_SourceData_Scope3_Feed[Product], Table_SourceData_Scope3_Feed[Region of origin], Table_SourceData_Scope3_Feed[Emissions intensity]), IF(_xlpm.result="", 0, _xlpm.result))</f>
        <v>0</v>
      </c>
      <c r="Y122" s="15">
        <v>0</v>
      </c>
      <c r="Z122" s="15">
        <v>0</v>
      </c>
      <c r="AA122" s="15">
        <v>0</v>
      </c>
      <c r="AB122" s="15" cm="1">
        <f t="array" ref="AB122">_xlfn.LET(_xlpm.result, Common_InputFunctions.Utility_LookupValueInTableTwoColumns(Y122, Z122, Table_SourceData_Scope3_Feed[Product], Table_SourceData_Scope3_Feed[Region of origin], Table_SourceData_Scope3_Feed[Emissions intensity]), IF(_xlpm.result="", 0, _xlpm.result))</f>
        <v>0</v>
      </c>
    </row>
    <row r="123" spans="1:28" ht="20.100000000000001" customHeight="1" x14ac:dyDescent="0.2">
      <c r="A123"/>
      <c r="D123" s="15">
        <v>0</v>
      </c>
      <c r="E123" s="15">
        <v>0</v>
      </c>
      <c r="F123" s="15">
        <f t="shared" si="0"/>
        <v>0</v>
      </c>
      <c r="G123" s="257">
        <f>((E123 * F123) * 10 ^ -3)</f>
        <v>0</v>
      </c>
      <c r="H123" s="76"/>
      <c r="I123" s="257">
        <f>((E123 * (IF(H123,H123, F123))) * 10 ^ -3)</f>
        <v>0</v>
      </c>
      <c r="J123" s="34"/>
      <c r="K123" s="13"/>
      <c r="L123" s="34"/>
      <c r="M123" s="15">
        <v>0</v>
      </c>
      <c r="N123" s="15">
        <v>0</v>
      </c>
      <c r="O123" s="15">
        <v>0</v>
      </c>
      <c r="P123" s="15" cm="1">
        <f t="array" ref="P123">_xlfn.LET(_xlpm.result, Common_InputFunctions.Utility_LookupValueInTableTwoColumns(M123, N123, Table_SourceData_Scope3_Feed[Product], Table_SourceData_Scope3_Feed[Region of origin], Table_SourceData_Scope3_Feed[Emissions intensity]), IF(_xlpm.result="", 0, _xlpm.result))</f>
        <v>0</v>
      </c>
      <c r="Q123" s="15">
        <v>0</v>
      </c>
      <c r="R123" s="15">
        <v>0</v>
      </c>
      <c r="S123" s="15">
        <v>0</v>
      </c>
      <c r="T123" s="15" cm="1">
        <f t="array" ref="T123">_xlfn.LET(_xlpm.result, Common_InputFunctions.Utility_LookupValueInTableTwoColumns(Q123, R123, Table_SourceData_Scope3_Feed[Product], Table_SourceData_Scope3_Feed[Region of origin], Table_SourceData_Scope3_Feed[Emissions intensity]), IF(_xlpm.result="", 0, _xlpm.result))</f>
        <v>0</v>
      </c>
      <c r="U123" s="15">
        <v>0</v>
      </c>
      <c r="V123" s="15">
        <v>0</v>
      </c>
      <c r="W123" s="15">
        <v>0</v>
      </c>
      <c r="X123" s="15" cm="1">
        <f t="array" ref="X123">_xlfn.LET(_xlpm.result, Common_InputFunctions.Utility_LookupValueInTableTwoColumns(U123, V123, Table_SourceData_Scope3_Feed[Product], Table_SourceData_Scope3_Feed[Region of origin], Table_SourceData_Scope3_Feed[Emissions intensity]), IF(_xlpm.result="", 0, _xlpm.result))</f>
        <v>0</v>
      </c>
      <c r="Y123" s="15">
        <v>0</v>
      </c>
      <c r="Z123" s="15">
        <v>0</v>
      </c>
      <c r="AA123" s="15">
        <v>0</v>
      </c>
      <c r="AB123" s="15" cm="1">
        <f t="array" ref="AB123">_xlfn.LET(_xlpm.result, Common_InputFunctions.Utility_LookupValueInTableTwoColumns(Y123, Z123, Table_SourceData_Scope3_Feed[Product], Table_SourceData_Scope3_Feed[Region of origin], Table_SourceData_Scope3_Feed[Emissions intensity]), IF(_xlpm.result="", 0, _xlpm.result))</f>
        <v>0</v>
      </c>
    </row>
    <row r="124" spans="1:28" ht="20.100000000000001" customHeight="1" x14ac:dyDescent="0.2">
      <c r="A124"/>
      <c r="D124" s="15">
        <v>0</v>
      </c>
      <c r="E124" s="15">
        <v>0</v>
      </c>
      <c r="F124" s="15">
        <f t="shared" si="0"/>
        <v>0</v>
      </c>
      <c r="G124" s="257">
        <f>((E124 * F124) * 10 ^ -3)</f>
        <v>0</v>
      </c>
      <c r="H124" s="76"/>
      <c r="I124" s="257">
        <f>((E124 * (IF(H124,H124, F124))) * 10 ^ -3)</f>
        <v>0</v>
      </c>
      <c r="J124" s="34"/>
      <c r="K124" s="13"/>
      <c r="L124" s="34"/>
      <c r="M124" s="15">
        <v>0</v>
      </c>
      <c r="N124" s="15">
        <v>0</v>
      </c>
      <c r="O124" s="15">
        <v>0</v>
      </c>
      <c r="P124" s="15" cm="1">
        <f t="array" ref="P124">_xlfn.LET(_xlpm.result, Common_InputFunctions.Utility_LookupValueInTableTwoColumns(M124, N124, Table_SourceData_Scope3_Feed[Product], Table_SourceData_Scope3_Feed[Region of origin], Table_SourceData_Scope3_Feed[Emissions intensity]), IF(_xlpm.result="", 0, _xlpm.result))</f>
        <v>0</v>
      </c>
      <c r="Q124" s="15">
        <v>0</v>
      </c>
      <c r="R124" s="15">
        <v>0</v>
      </c>
      <c r="S124" s="15">
        <v>0</v>
      </c>
      <c r="T124" s="15" cm="1">
        <f t="array" ref="T124">_xlfn.LET(_xlpm.result, Common_InputFunctions.Utility_LookupValueInTableTwoColumns(Q124, R124, Table_SourceData_Scope3_Feed[Product], Table_SourceData_Scope3_Feed[Region of origin], Table_SourceData_Scope3_Feed[Emissions intensity]), IF(_xlpm.result="", 0, _xlpm.result))</f>
        <v>0</v>
      </c>
      <c r="U124" s="15">
        <v>0</v>
      </c>
      <c r="V124" s="15">
        <v>0</v>
      </c>
      <c r="W124" s="15">
        <v>0</v>
      </c>
      <c r="X124" s="15" cm="1">
        <f t="array" ref="X124">_xlfn.LET(_xlpm.result, Common_InputFunctions.Utility_LookupValueInTableTwoColumns(U124, V124, Table_SourceData_Scope3_Feed[Product], Table_SourceData_Scope3_Feed[Region of origin], Table_SourceData_Scope3_Feed[Emissions intensity]), IF(_xlpm.result="", 0, _xlpm.result))</f>
        <v>0</v>
      </c>
      <c r="Y124" s="15">
        <v>0</v>
      </c>
      <c r="Z124" s="15">
        <v>0</v>
      </c>
      <c r="AA124" s="15">
        <v>0</v>
      </c>
      <c r="AB124" s="15" cm="1">
        <f t="array" ref="AB124">_xlfn.LET(_xlpm.result, Common_InputFunctions.Utility_LookupValueInTableTwoColumns(Y124, Z124, Table_SourceData_Scope3_Feed[Product], Table_SourceData_Scope3_Feed[Region of origin], Table_SourceData_Scope3_Feed[Emissions intensity]), IF(_xlpm.result="", 0, _xlpm.result))</f>
        <v>0</v>
      </c>
    </row>
    <row r="125" spans="1:28" ht="20.100000000000001" customHeight="1" x14ac:dyDescent="0.2">
      <c r="A125"/>
      <c r="D125" s="15">
        <v>0</v>
      </c>
      <c r="E125" s="15">
        <v>0</v>
      </c>
      <c r="F125" s="15">
        <f t="shared" si="0"/>
        <v>0</v>
      </c>
      <c r="G125" s="257">
        <f>((E125 * F125) * 10 ^ -3)</f>
        <v>0</v>
      </c>
      <c r="H125" s="76"/>
      <c r="I125" s="257">
        <f>((E125 * (IF(H125,H125, F125))) * 10 ^ -3)</f>
        <v>0</v>
      </c>
      <c r="J125" s="34"/>
      <c r="K125" s="13"/>
      <c r="L125" s="34"/>
      <c r="M125" s="15">
        <v>0</v>
      </c>
      <c r="N125" s="15">
        <v>0</v>
      </c>
      <c r="O125" s="15">
        <v>0</v>
      </c>
      <c r="P125" s="15" cm="1">
        <f t="array" ref="P125">_xlfn.LET(_xlpm.result, Common_InputFunctions.Utility_LookupValueInTableTwoColumns(M125, N125, Table_SourceData_Scope3_Feed[Product], Table_SourceData_Scope3_Feed[Region of origin], Table_SourceData_Scope3_Feed[Emissions intensity]), IF(_xlpm.result="", 0, _xlpm.result))</f>
        <v>0</v>
      </c>
      <c r="Q125" s="15">
        <v>0</v>
      </c>
      <c r="R125" s="15">
        <v>0</v>
      </c>
      <c r="S125" s="15">
        <v>0</v>
      </c>
      <c r="T125" s="15" cm="1">
        <f t="array" ref="T125">_xlfn.LET(_xlpm.result, Common_InputFunctions.Utility_LookupValueInTableTwoColumns(Q125, R125, Table_SourceData_Scope3_Feed[Product], Table_SourceData_Scope3_Feed[Region of origin], Table_SourceData_Scope3_Feed[Emissions intensity]), IF(_xlpm.result="", 0, _xlpm.result))</f>
        <v>0</v>
      </c>
      <c r="U125" s="15">
        <v>0</v>
      </c>
      <c r="V125" s="15">
        <v>0</v>
      </c>
      <c r="W125" s="15">
        <v>0</v>
      </c>
      <c r="X125" s="15" cm="1">
        <f t="array" ref="X125">_xlfn.LET(_xlpm.result, Common_InputFunctions.Utility_LookupValueInTableTwoColumns(U125, V125, Table_SourceData_Scope3_Feed[Product], Table_SourceData_Scope3_Feed[Region of origin], Table_SourceData_Scope3_Feed[Emissions intensity]), IF(_xlpm.result="", 0, _xlpm.result))</f>
        <v>0</v>
      </c>
      <c r="Y125" s="15">
        <v>0</v>
      </c>
      <c r="Z125" s="15">
        <v>0</v>
      </c>
      <c r="AA125" s="15">
        <v>0</v>
      </c>
      <c r="AB125" s="15" cm="1">
        <f t="array" ref="AB125">_xlfn.LET(_xlpm.result, Common_InputFunctions.Utility_LookupValueInTableTwoColumns(Y125, Z125, Table_SourceData_Scope3_Feed[Product], Table_SourceData_Scope3_Feed[Region of origin], Table_SourceData_Scope3_Feed[Emissions intensity]), IF(_xlpm.result="", 0, _xlpm.result))</f>
        <v>0</v>
      </c>
    </row>
    <row r="126" spans="1:28" ht="20.100000000000001" customHeight="1" x14ac:dyDescent="0.2">
      <c r="A126"/>
      <c r="D126" s="15">
        <v>0</v>
      </c>
      <c r="E126" s="15">
        <v>0</v>
      </c>
      <c r="F126" s="15">
        <f t="shared" si="0"/>
        <v>0</v>
      </c>
      <c r="G126" s="257">
        <f>((E126 * F126) * 10 ^ -3)</f>
        <v>0</v>
      </c>
      <c r="H126" s="76"/>
      <c r="I126" s="257">
        <f>((E126 * (IF(H126,H126, F126))) * 10 ^ -3)</f>
        <v>0</v>
      </c>
      <c r="J126" s="34"/>
      <c r="K126" s="13"/>
      <c r="L126" s="34"/>
      <c r="M126" s="15">
        <v>0</v>
      </c>
      <c r="N126" s="15">
        <v>0</v>
      </c>
      <c r="O126" s="15">
        <v>0</v>
      </c>
      <c r="P126" s="15" cm="1">
        <f t="array" ref="P126">_xlfn.LET(_xlpm.result, Common_InputFunctions.Utility_LookupValueInTableTwoColumns(M126, N126, Table_SourceData_Scope3_Feed[Product], Table_SourceData_Scope3_Feed[Region of origin], Table_SourceData_Scope3_Feed[Emissions intensity]), IF(_xlpm.result="", 0, _xlpm.result))</f>
        <v>0</v>
      </c>
      <c r="Q126" s="15">
        <v>0</v>
      </c>
      <c r="R126" s="15">
        <v>0</v>
      </c>
      <c r="S126" s="15">
        <v>0</v>
      </c>
      <c r="T126" s="15" cm="1">
        <f t="array" ref="T126">_xlfn.LET(_xlpm.result, Common_InputFunctions.Utility_LookupValueInTableTwoColumns(Q126, R126, Table_SourceData_Scope3_Feed[Product], Table_SourceData_Scope3_Feed[Region of origin], Table_SourceData_Scope3_Feed[Emissions intensity]), IF(_xlpm.result="", 0, _xlpm.result))</f>
        <v>0</v>
      </c>
      <c r="U126" s="15">
        <v>0</v>
      </c>
      <c r="V126" s="15">
        <v>0</v>
      </c>
      <c r="W126" s="15">
        <v>0</v>
      </c>
      <c r="X126" s="15" cm="1">
        <f t="array" ref="X126">_xlfn.LET(_xlpm.result, Common_InputFunctions.Utility_LookupValueInTableTwoColumns(U126, V126, Table_SourceData_Scope3_Feed[Product], Table_SourceData_Scope3_Feed[Region of origin], Table_SourceData_Scope3_Feed[Emissions intensity]), IF(_xlpm.result="", 0, _xlpm.result))</f>
        <v>0</v>
      </c>
      <c r="Y126" s="15">
        <v>0</v>
      </c>
      <c r="Z126" s="15">
        <v>0</v>
      </c>
      <c r="AA126" s="15">
        <v>0</v>
      </c>
      <c r="AB126" s="15" cm="1">
        <f t="array" ref="AB126">_xlfn.LET(_xlpm.result, Common_InputFunctions.Utility_LookupValueInTableTwoColumns(Y126, Z126, Table_SourceData_Scope3_Feed[Product], Table_SourceData_Scope3_Feed[Region of origin], Table_SourceData_Scope3_Feed[Emissions intensity]), IF(_xlpm.result="", 0, _xlpm.result))</f>
        <v>0</v>
      </c>
    </row>
    <row r="127" spans="1:28" ht="20.100000000000001" customHeight="1" x14ac:dyDescent="0.2">
      <c r="A127"/>
      <c r="D127" s="15">
        <v>0</v>
      </c>
      <c r="E127" s="15">
        <v>0</v>
      </c>
      <c r="F127" s="15">
        <f t="shared" si="0"/>
        <v>0</v>
      </c>
      <c r="G127" s="257">
        <f>((E127 * F127) * 10 ^ -3)</f>
        <v>0</v>
      </c>
      <c r="H127" s="76"/>
      <c r="I127" s="257">
        <f>((E127 * (IF(H127,H127, F127))) * 10 ^ -3)</f>
        <v>0</v>
      </c>
      <c r="J127" s="34"/>
      <c r="K127" s="13"/>
      <c r="L127" s="34"/>
      <c r="M127" s="15">
        <v>0</v>
      </c>
      <c r="N127" s="15">
        <v>0</v>
      </c>
      <c r="O127" s="15">
        <v>0</v>
      </c>
      <c r="P127" s="15" cm="1">
        <f t="array" ref="P127">_xlfn.LET(_xlpm.result, Common_InputFunctions.Utility_LookupValueInTableTwoColumns(M127, N127, Table_SourceData_Scope3_Feed[Product], Table_SourceData_Scope3_Feed[Region of origin], Table_SourceData_Scope3_Feed[Emissions intensity]), IF(_xlpm.result="", 0, _xlpm.result))</f>
        <v>0</v>
      </c>
      <c r="Q127" s="15">
        <v>0</v>
      </c>
      <c r="R127" s="15">
        <v>0</v>
      </c>
      <c r="S127" s="15">
        <v>0</v>
      </c>
      <c r="T127" s="15" cm="1">
        <f t="array" ref="T127">_xlfn.LET(_xlpm.result, Common_InputFunctions.Utility_LookupValueInTableTwoColumns(Q127, R127, Table_SourceData_Scope3_Feed[Product], Table_SourceData_Scope3_Feed[Region of origin], Table_SourceData_Scope3_Feed[Emissions intensity]), IF(_xlpm.result="", 0, _xlpm.result))</f>
        <v>0</v>
      </c>
      <c r="U127" s="15">
        <v>0</v>
      </c>
      <c r="V127" s="15">
        <v>0</v>
      </c>
      <c r="W127" s="15">
        <v>0</v>
      </c>
      <c r="X127" s="15" cm="1">
        <f t="array" ref="X127">_xlfn.LET(_xlpm.result, Common_InputFunctions.Utility_LookupValueInTableTwoColumns(U127, V127, Table_SourceData_Scope3_Feed[Product], Table_SourceData_Scope3_Feed[Region of origin], Table_SourceData_Scope3_Feed[Emissions intensity]), IF(_xlpm.result="", 0, _xlpm.result))</f>
        <v>0</v>
      </c>
      <c r="Y127" s="15">
        <v>0</v>
      </c>
      <c r="Z127" s="15">
        <v>0</v>
      </c>
      <c r="AA127" s="15">
        <v>0</v>
      </c>
      <c r="AB127" s="15" cm="1">
        <f t="array" ref="AB127">_xlfn.LET(_xlpm.result, Common_InputFunctions.Utility_LookupValueInTableTwoColumns(Y127, Z127, Table_SourceData_Scope3_Feed[Product], Table_SourceData_Scope3_Feed[Region of origin], Table_SourceData_Scope3_Feed[Emissions intensity]), IF(_xlpm.result="", 0, _xlpm.result))</f>
        <v>0</v>
      </c>
    </row>
    <row r="128" spans="1:28" ht="20.100000000000001" customHeight="1" x14ac:dyDescent="0.2">
      <c r="A128"/>
      <c r="D128" s="15">
        <v>0</v>
      </c>
      <c r="E128" s="15">
        <v>0</v>
      </c>
      <c r="F128" s="15">
        <f t="shared" si="0"/>
        <v>0</v>
      </c>
      <c r="G128" s="257">
        <f>((E128 * F128) * 10 ^ -3)</f>
        <v>0</v>
      </c>
      <c r="H128" s="76"/>
      <c r="I128" s="257">
        <f>((E128 * (IF(H128,H128, F128))) * 10 ^ -3)</f>
        <v>0</v>
      </c>
      <c r="J128" s="34"/>
      <c r="K128" s="13"/>
      <c r="L128" s="34"/>
      <c r="M128" s="15">
        <v>0</v>
      </c>
      <c r="N128" s="15">
        <v>0</v>
      </c>
      <c r="O128" s="15">
        <v>0</v>
      </c>
      <c r="P128" s="15" cm="1">
        <f t="array" ref="P128">_xlfn.LET(_xlpm.result, Common_InputFunctions.Utility_LookupValueInTableTwoColumns(M128, N128, Table_SourceData_Scope3_Feed[Product], Table_SourceData_Scope3_Feed[Region of origin], Table_SourceData_Scope3_Feed[Emissions intensity]), IF(_xlpm.result="", 0, _xlpm.result))</f>
        <v>0</v>
      </c>
      <c r="Q128" s="15">
        <v>0</v>
      </c>
      <c r="R128" s="15">
        <v>0</v>
      </c>
      <c r="S128" s="15">
        <v>0</v>
      </c>
      <c r="T128" s="15" cm="1">
        <f t="array" ref="T128">_xlfn.LET(_xlpm.result, Common_InputFunctions.Utility_LookupValueInTableTwoColumns(Q128, R128, Table_SourceData_Scope3_Feed[Product], Table_SourceData_Scope3_Feed[Region of origin], Table_SourceData_Scope3_Feed[Emissions intensity]), IF(_xlpm.result="", 0, _xlpm.result))</f>
        <v>0</v>
      </c>
      <c r="U128" s="15">
        <v>0</v>
      </c>
      <c r="V128" s="15">
        <v>0</v>
      </c>
      <c r="W128" s="15">
        <v>0</v>
      </c>
      <c r="X128" s="15" cm="1">
        <f t="array" ref="X128">_xlfn.LET(_xlpm.result, Common_InputFunctions.Utility_LookupValueInTableTwoColumns(U128, V128, Table_SourceData_Scope3_Feed[Product], Table_SourceData_Scope3_Feed[Region of origin], Table_SourceData_Scope3_Feed[Emissions intensity]), IF(_xlpm.result="", 0, _xlpm.result))</f>
        <v>0</v>
      </c>
      <c r="Y128" s="15">
        <v>0</v>
      </c>
      <c r="Z128" s="15">
        <v>0</v>
      </c>
      <c r="AA128" s="15">
        <v>0</v>
      </c>
      <c r="AB128" s="15" cm="1">
        <f t="array" ref="AB128">_xlfn.LET(_xlpm.result, Common_InputFunctions.Utility_LookupValueInTableTwoColumns(Y128, Z128, Table_SourceData_Scope3_Feed[Product], Table_SourceData_Scope3_Feed[Region of origin], Table_SourceData_Scope3_Feed[Emissions intensity]), IF(_xlpm.result="", 0, _xlpm.result))</f>
        <v>0</v>
      </c>
    </row>
    <row r="129" spans="1:28" ht="20.100000000000001" customHeight="1" x14ac:dyDescent="0.2">
      <c r="A129"/>
      <c r="D129" s="15">
        <v>0</v>
      </c>
      <c r="E129" s="15">
        <v>0</v>
      </c>
      <c r="F129" s="15">
        <f t="shared" si="0"/>
        <v>0</v>
      </c>
      <c r="G129" s="257">
        <f>((E129 * F129) * 10 ^ -3)</f>
        <v>0</v>
      </c>
      <c r="H129" s="76"/>
      <c r="I129" s="257">
        <f>((E129 * (IF(H129,H129, F129))) * 10 ^ -3)</f>
        <v>0</v>
      </c>
      <c r="J129" s="34"/>
      <c r="K129" s="13"/>
      <c r="L129" s="34"/>
      <c r="M129" s="15">
        <v>0</v>
      </c>
      <c r="N129" s="15">
        <v>0</v>
      </c>
      <c r="O129" s="15">
        <v>0</v>
      </c>
      <c r="P129" s="15" cm="1">
        <f t="array" ref="P129">_xlfn.LET(_xlpm.result, Common_InputFunctions.Utility_LookupValueInTableTwoColumns(M129, N129, Table_SourceData_Scope3_Feed[Product], Table_SourceData_Scope3_Feed[Region of origin], Table_SourceData_Scope3_Feed[Emissions intensity]), IF(_xlpm.result="", 0, _xlpm.result))</f>
        <v>0</v>
      </c>
      <c r="Q129" s="15">
        <v>0</v>
      </c>
      <c r="R129" s="15">
        <v>0</v>
      </c>
      <c r="S129" s="15">
        <v>0</v>
      </c>
      <c r="T129" s="15" cm="1">
        <f t="array" ref="T129">_xlfn.LET(_xlpm.result, Common_InputFunctions.Utility_LookupValueInTableTwoColumns(Q129, R129, Table_SourceData_Scope3_Feed[Product], Table_SourceData_Scope3_Feed[Region of origin], Table_SourceData_Scope3_Feed[Emissions intensity]), IF(_xlpm.result="", 0, _xlpm.result))</f>
        <v>0</v>
      </c>
      <c r="U129" s="15">
        <v>0</v>
      </c>
      <c r="V129" s="15">
        <v>0</v>
      </c>
      <c r="W129" s="15">
        <v>0</v>
      </c>
      <c r="X129" s="15" cm="1">
        <f t="array" ref="X129">_xlfn.LET(_xlpm.result, Common_InputFunctions.Utility_LookupValueInTableTwoColumns(U129, V129, Table_SourceData_Scope3_Feed[Product], Table_SourceData_Scope3_Feed[Region of origin], Table_SourceData_Scope3_Feed[Emissions intensity]), IF(_xlpm.result="", 0, _xlpm.result))</f>
        <v>0</v>
      </c>
      <c r="Y129" s="15">
        <v>0</v>
      </c>
      <c r="Z129" s="15">
        <v>0</v>
      </c>
      <c r="AA129" s="15">
        <v>0</v>
      </c>
      <c r="AB129" s="15" cm="1">
        <f t="array" ref="AB129">_xlfn.LET(_xlpm.result, Common_InputFunctions.Utility_LookupValueInTableTwoColumns(Y129, Z129, Table_SourceData_Scope3_Feed[Product], Table_SourceData_Scope3_Feed[Region of origin], Table_SourceData_Scope3_Feed[Emissions intensity]), IF(_xlpm.result="", 0, _xlpm.result))</f>
        <v>0</v>
      </c>
    </row>
    <row r="130" spans="1:28" ht="20.100000000000001" customHeight="1" x14ac:dyDescent="0.2">
      <c r="A130"/>
    </row>
    <row r="131" spans="1:28" ht="20.100000000000001" customHeight="1" x14ac:dyDescent="0.2">
      <c r="A131"/>
      <c r="D131" s="93" t="s">
        <v>1068</v>
      </c>
      <c r="E131" s="87">
        <f>SUM(G120:G129)</f>
        <v>0</v>
      </c>
      <c r="F131" s="94" t="str">
        <f>$E$105</f>
        <v>t CO2e</v>
      </c>
    </row>
    <row r="132" spans="1:28" ht="20.100000000000001" customHeight="1" x14ac:dyDescent="0.2">
      <c r="A132"/>
      <c r="D132" s="93" t="s">
        <v>1071</v>
      </c>
      <c r="E132" s="87">
        <f>SUM(I120:I129)</f>
        <v>0</v>
      </c>
      <c r="F132" s="94" t="str">
        <f>$E$105</f>
        <v>t CO2e</v>
      </c>
    </row>
    <row r="133" spans="1:28" ht="20.100000000000001" customHeight="1" x14ac:dyDescent="0.2">
      <c r="A133"/>
    </row>
    <row r="134" spans="1:28" ht="20.100000000000001" customHeight="1" x14ac:dyDescent="0.2">
      <c r="A134"/>
    </row>
    <row r="135" spans="1:28" ht="20.100000000000001" customHeight="1" x14ac:dyDescent="0.2">
      <c r="A135"/>
      <c r="D135" s="243" t="s">
        <v>1027</v>
      </c>
    </row>
    <row r="136" spans="1:28" ht="20.100000000000001" customHeight="1" x14ac:dyDescent="0.2">
      <c r="A136"/>
      <c r="D136" s="82" t="s">
        <v>139</v>
      </c>
      <c r="E136" s="82" t="s">
        <v>1096</v>
      </c>
      <c r="F136" s="114" t="s">
        <v>1097</v>
      </c>
      <c r="G136" s="114" t="s">
        <v>1068</v>
      </c>
      <c r="H136" s="82" t="s">
        <v>1098</v>
      </c>
      <c r="I136" s="114" t="s">
        <v>1071</v>
      </c>
      <c r="J136" s="82" t="s">
        <v>1072</v>
      </c>
      <c r="K136" s="82" t="s">
        <v>1073</v>
      </c>
      <c r="L136" s="82" t="s">
        <v>1074</v>
      </c>
    </row>
    <row r="137" spans="1:28" ht="20.100000000000001" customHeight="1" x14ac:dyDescent="0.2">
      <c r="A137"/>
      <c r="D137" s="15" t="str">
        <f>'Input - Livestock farm Inputs'!D12</f>
        <v>Feed for chickens</v>
      </c>
      <c r="E137" s="15">
        <f>IFERROR(X_Cell_FarmInputs_FeedRations_Chickens, 0)</f>
        <v>0</v>
      </c>
      <c r="F137" s="15" cm="1">
        <f t="array" ref="F137">Common_InputFunctions.Utility_LookupValueInTableNumber(D137,Table_SourceData_Scope3_MixedRations[Product],Table_SourceData_Scope3_MixedRations[Emissions intensity])</f>
        <v>0.59399999999999997</v>
      </c>
      <c r="G137" s="257">
        <f>((E137 * F137) * 10 ^ -3)</f>
        <v>0</v>
      </c>
      <c r="H137" s="76">
        <v>0.5</v>
      </c>
      <c r="I137" s="257">
        <f>((E137 * (IF(H137,H137, F137))) * 10 ^ -3)</f>
        <v>0</v>
      </c>
      <c r="J137" s="34"/>
      <c r="K137" s="13"/>
      <c r="L137" s="34"/>
    </row>
    <row r="138" spans="1:28" ht="20.100000000000001" customHeight="1" x14ac:dyDescent="0.2">
      <c r="A138"/>
      <c r="D138" s="15" t="str">
        <f>'Input - Livestock farm Inputs'!D13</f>
        <v>Feed for dairy calves</v>
      </c>
      <c r="E138" s="15">
        <f>IFERROR(X_Cell_FarmInputs_FeedRations_DairyCalves, 0)</f>
        <v>0</v>
      </c>
      <c r="F138" s="15" cm="1">
        <f t="array" ref="F138">Common_InputFunctions.Utility_LookupValueInTableNumber(D138,Table_SourceData_Scope3_MixedRations[Product],Table_SourceData_Scope3_MixedRations[Emissions intensity])</f>
        <v>0.41899999999999998</v>
      </c>
      <c r="G138" s="257">
        <f>((E138 * F138) * 10 ^ -3)</f>
        <v>0</v>
      </c>
      <c r="H138" s="76">
        <v>0.4</v>
      </c>
      <c r="I138" s="257">
        <f>((E138 * (IF(H138,H138, F138))) * 10 ^ -3)</f>
        <v>0</v>
      </c>
      <c r="J138" s="34"/>
      <c r="K138" s="13"/>
      <c r="L138" s="34"/>
    </row>
    <row r="139" spans="1:28" ht="20.100000000000001" customHeight="1" x14ac:dyDescent="0.2">
      <c r="A139"/>
      <c r="D139" s="15" t="str">
        <f>'Input - Livestock farm Inputs'!D14</f>
        <v>Feed for dairy cows</v>
      </c>
      <c r="E139" s="15">
        <f>IFERROR(X_Cell_FarmInputs_FeedRations_DairyCows, 0)</f>
        <v>0</v>
      </c>
      <c r="F139" s="15" cm="1">
        <f t="array" ref="F139">Common_InputFunctions.Utility_LookupValueInTableNumber(D139,Table_SourceData_Scope3_MixedRations[Product],Table_SourceData_Scope3_MixedRations[Emissions intensity])</f>
        <v>0.33300000000000002</v>
      </c>
      <c r="G139" s="257">
        <f>((E139 * F139) * 10 ^ -3)</f>
        <v>0</v>
      </c>
      <c r="H139" s="76">
        <v>0</v>
      </c>
      <c r="I139" s="257">
        <f>((E139 * (IF(H139,H139, F139))) * 10 ^ -3)</f>
        <v>0</v>
      </c>
      <c r="J139" s="34"/>
      <c r="K139" s="13"/>
      <c r="L139" s="34"/>
    </row>
    <row r="140" spans="1:28" ht="20.100000000000001" customHeight="1" x14ac:dyDescent="0.2">
      <c r="A140"/>
      <c r="D140" s="15" t="str">
        <f>'Input - Livestock farm Inputs'!D15</f>
        <v>Feed for pigs</v>
      </c>
      <c r="E140" s="15">
        <f>IFERROR(X_Cell_FarmInputs_FeedRations_Pigs, 0)</f>
        <v>0</v>
      </c>
      <c r="F140" s="15" cm="1">
        <f t="array" ref="F140">Common_InputFunctions.Utility_LookupValueInTableNumber(D140,Table_SourceData_Scope3_MixedRations[Product],Table_SourceData_Scope3_MixedRations[Emissions intensity])</f>
        <v>0.40300000000000002</v>
      </c>
      <c r="G140" s="257">
        <f>((E140 * F140) * 10 ^ -3)</f>
        <v>0</v>
      </c>
      <c r="H140" s="76">
        <v>0</v>
      </c>
      <c r="I140" s="257">
        <f>((E140 * (IF(H140,H140, F140))) * 10 ^ -3)</f>
        <v>0</v>
      </c>
      <c r="J140" s="34"/>
      <c r="K140" s="13"/>
      <c r="L140" s="34"/>
    </row>
    <row r="141" spans="1:28" ht="20.100000000000001" customHeight="1" x14ac:dyDescent="0.2">
      <c r="A141"/>
    </row>
    <row r="142" spans="1:28" ht="20.100000000000001" customHeight="1" x14ac:dyDescent="0.2">
      <c r="A142"/>
      <c r="D142" s="93" t="s">
        <v>1068</v>
      </c>
      <c r="E142" s="87">
        <f>SUM(G137:G140)</f>
        <v>0</v>
      </c>
      <c r="F142" s="94" t="str">
        <f>$E$105</f>
        <v>t CO2e</v>
      </c>
    </row>
    <row r="143" spans="1:28" ht="20.100000000000001" customHeight="1" x14ac:dyDescent="0.2">
      <c r="A143"/>
      <c r="D143" s="93" t="s">
        <v>1071</v>
      </c>
      <c r="E143" s="87">
        <f>SUM(I137:I140)</f>
        <v>0</v>
      </c>
      <c r="F143" s="94" t="str">
        <f>$E$105</f>
        <v>t CO2e</v>
      </c>
    </row>
    <row r="144" spans="1:28" ht="20.100000000000001" customHeight="1" x14ac:dyDescent="0.2">
      <c r="A144"/>
    </row>
    <row r="145" spans="1:12" ht="20.100000000000001" customHeight="1" x14ac:dyDescent="0.2">
      <c r="A145"/>
    </row>
    <row r="146" spans="1:12" ht="20.100000000000001" customHeight="1" x14ac:dyDescent="0.2">
      <c r="A146"/>
      <c r="D146" s="243" t="s">
        <v>1107</v>
      </c>
    </row>
    <row r="147" spans="1:12" ht="20.100000000000001" customHeight="1" x14ac:dyDescent="0.2">
      <c r="A147"/>
      <c r="D147" s="82" t="s">
        <v>139</v>
      </c>
      <c r="E147" s="82" t="s">
        <v>1096</v>
      </c>
      <c r="F147" s="114" t="s">
        <v>1097</v>
      </c>
      <c r="G147" s="114" t="s">
        <v>1068</v>
      </c>
      <c r="H147" s="82" t="s">
        <v>1098</v>
      </c>
      <c r="I147" s="114" t="s">
        <v>1071</v>
      </c>
      <c r="J147" s="82" t="s">
        <v>1072</v>
      </c>
      <c r="K147" s="82" t="s">
        <v>1073</v>
      </c>
      <c r="L147" s="82" t="s">
        <v>1074</v>
      </c>
    </row>
    <row r="148" spans="1:12" ht="20.100000000000001" customHeight="1" x14ac:dyDescent="0.2">
      <c r="A148"/>
      <c r="D148" s="15"/>
      <c r="E148" s="15">
        <f>IFERROR(X_Cell_Input_AquacultureInput_SardinesSouthAustralia, 0)</f>
        <v>0</v>
      </c>
      <c r="F148" s="15" cm="1">
        <f t="array" ref="F148">Common_InputFunctions.Utility_LookupValueInTableNumber("Sardines (whole)" &amp;"SA", Table_SourceData_Scope3_FishFeedAndBait[Product]&amp;Table_SourceData_Scope3_FishFeedAndBait[Region of origin], Table_SourceData_Scope3_FishFeedAndBait[Emissions intensity])</f>
        <v>0.376</v>
      </c>
      <c r="G148" s="257">
        <f>((E148 * F148) * 10 ^ -3)</f>
        <v>0</v>
      </c>
      <c r="H148" s="76">
        <v>0.2</v>
      </c>
      <c r="I148" s="257">
        <f>((E148 * (IF(H148,H148, F148))) * 10 ^ -3)</f>
        <v>0</v>
      </c>
      <c r="J148" s="34"/>
      <c r="K148" s="34"/>
      <c r="L148" s="34"/>
    </row>
    <row r="149" spans="1:12" ht="20.100000000000001" customHeight="1" x14ac:dyDescent="0.2">
      <c r="A149"/>
      <c r="D149" s="15"/>
      <c r="E149" s="15">
        <f>IFERROR(X_Cell_Input_AquacultureInput_SardinesAustralia, 0)</f>
        <v>0</v>
      </c>
      <c r="F149" s="15" cm="1">
        <f t="array" ref="F149">Common_InputFunctions.Utility_LookupValueInTableNumber("Sardines (whole)" &amp;"Australia", Table_SourceData_Scope3_FishFeedAndBait[Product]&amp;Table_SourceData_Scope3_FishFeedAndBait[Region of origin], Table_SourceData_Scope3_FishFeedAndBait[Emissions intensity])</f>
        <v>0.3</v>
      </c>
      <c r="G149" s="257">
        <f>((E149 * F149) * 10 ^ -3)</f>
        <v>0</v>
      </c>
      <c r="H149" s="76">
        <v>0</v>
      </c>
      <c r="I149" s="257">
        <f>((E149 * (IF(H149,H149, F149))) * 10 ^ -3)</f>
        <v>0</v>
      </c>
      <c r="J149" s="34"/>
      <c r="K149" s="34"/>
      <c r="L149" s="34"/>
    </row>
    <row r="150" spans="1:12" ht="20.100000000000001" customHeight="1" x14ac:dyDescent="0.2">
      <c r="A150"/>
      <c r="D150" s="15"/>
      <c r="E150" s="15">
        <f>IFERROR(X_Cell_Input_AquacultureInput_LowAnimalProteinFormulatedFeed, 0)</f>
        <v>0</v>
      </c>
      <c r="F150" s="15" cm="1">
        <f t="array" ref="F150">Common_InputFunctions.Utility_LookupValueInTableNumber(D150&amp;"Australia", Table_SourceData_Scope3_FishFeedAndBait[Product]&amp;Table_SourceData_Scope3_FishFeedAndBait[Region of origin], Table_SourceData_Scope3_FishFeedAndBait[Emissions intensity])</f>
        <v>0</v>
      </c>
      <c r="G150" s="257">
        <f>((E150 * F150) * 10 ^ -3)</f>
        <v>0</v>
      </c>
      <c r="H150" s="76">
        <v>0</v>
      </c>
      <c r="I150" s="257">
        <f>((E150 * (IF(H150,H150, F150))) * 10 ^ -3)</f>
        <v>0</v>
      </c>
      <c r="J150" s="34"/>
      <c r="K150" s="34"/>
      <c r="L150" s="34"/>
    </row>
    <row r="151" spans="1:12" ht="20.100000000000001" customHeight="1" x14ac:dyDescent="0.2">
      <c r="A151"/>
      <c r="D151" s="15"/>
      <c r="E151" s="15">
        <f>IFERROR(X_Cell_Input_AquacultureInput_Squid, 0)</f>
        <v>0</v>
      </c>
      <c r="F151" s="15" cm="1">
        <f t="array" ref="F151">Common_InputFunctions.Utility_LookupValueInTableNumber(D151&amp;"Australia", Table_SourceData_Scope3_FishFeedAndBait[Product]&amp;Table_SourceData_Scope3_FishFeedAndBait[Region of origin], Table_SourceData_Scope3_FishFeedAndBait[Emissions intensity])</f>
        <v>0</v>
      </c>
      <c r="G151" s="257">
        <f>((E151 * F151) * 10 ^ -3)</f>
        <v>0</v>
      </c>
      <c r="H151" s="76">
        <v>0</v>
      </c>
      <c r="I151" s="257">
        <f>((E151 * (IF(H151,H151, F151))) * 10 ^ -3)</f>
        <v>0</v>
      </c>
      <c r="J151" s="34"/>
      <c r="K151" s="34"/>
      <c r="L151" s="34"/>
    </row>
    <row r="152" spans="1:12" ht="20.100000000000001" customHeight="1" x14ac:dyDescent="0.2">
      <c r="A152"/>
      <c r="D152" s="15"/>
      <c r="E152" s="15">
        <f>IFERROR(X_Cell_Input_AquacultureInput_WholeFish, 0)</f>
        <v>0</v>
      </c>
      <c r="F152" s="15" cm="1">
        <f t="array" ref="F152">Common_InputFunctions.Utility_LookupValueInTableNumber(D152&amp;"Australia", Table_SourceData_Scope3_FishFeedAndBait[Product]&amp;Table_SourceData_Scope3_FishFeedAndBait[Region of origin], Table_SourceData_Scope3_FishFeedAndBait[Emissions intensity])</f>
        <v>0</v>
      </c>
      <c r="G152" s="257">
        <f>((E152 * F152) * 10 ^ -3)</f>
        <v>0</v>
      </c>
      <c r="H152" s="76">
        <v>0</v>
      </c>
      <c r="I152" s="257">
        <f>((E152 * (IF(H152,H152, F152))) * 10 ^ -3)</f>
        <v>0</v>
      </c>
      <c r="J152" s="34"/>
      <c r="K152" s="34"/>
      <c r="L152" s="34"/>
    </row>
    <row r="153" spans="1:12" ht="20.100000000000001" customHeight="1" x14ac:dyDescent="0.2">
      <c r="A153"/>
      <c r="D153" s="15"/>
      <c r="E153" s="15">
        <f>IFERROR(X_Cell_Input_AquacultureInput_CustomBait, 0)</f>
        <v>0</v>
      </c>
      <c r="F153" s="15" cm="1">
        <f t="array" ref="F153">Common_InputFunctions.Utility_LookupValueInTableNumber(D153&amp;"Australia", Table_SourceData_Scope3_FishFeedAndBait[Product]&amp;Table_SourceData_Scope3_FishFeedAndBait[Region of origin], Table_SourceData_Scope3_FishFeedAndBait[Emissions intensity])</f>
        <v>0</v>
      </c>
      <c r="G153" s="257">
        <f>((E153 * F153) * 10 ^ -3)</f>
        <v>0</v>
      </c>
      <c r="H153" s="76">
        <v>0</v>
      </c>
      <c r="I153" s="257">
        <f>((E153 * (IF(H153,H153, F153))) * 10 ^ -3)</f>
        <v>0</v>
      </c>
      <c r="J153" s="34"/>
      <c r="K153" s="34"/>
      <c r="L153" s="34"/>
    </row>
    <row r="154" spans="1:12" ht="20.100000000000001" customHeight="1" x14ac:dyDescent="0.2">
      <c r="A154"/>
    </row>
    <row r="155" spans="1:12" ht="20.100000000000001" customHeight="1" x14ac:dyDescent="0.2">
      <c r="A155"/>
      <c r="D155" s="93" t="s">
        <v>1068</v>
      </c>
      <c r="E155" s="87">
        <f>SUM(G148:G153)</f>
        <v>0</v>
      </c>
      <c r="F155" s="94" t="str">
        <f>$E$105</f>
        <v>t CO2e</v>
      </c>
    </row>
    <row r="156" spans="1:12" ht="20.100000000000001" customHeight="1" x14ac:dyDescent="0.2">
      <c r="A156"/>
      <c r="D156" s="93" t="s">
        <v>1071</v>
      </c>
      <c r="E156" s="87">
        <f>SUM(I148:I153)</f>
        <v>0</v>
      </c>
      <c r="F156" s="94" t="str">
        <f>$E$105</f>
        <v>t CO2e</v>
      </c>
    </row>
    <row r="157" spans="1:12" ht="20.100000000000001" customHeight="1" x14ac:dyDescent="0.2">
      <c r="A157"/>
    </row>
    <row r="158" spans="1:12" ht="20.100000000000001" customHeight="1" x14ac:dyDescent="0.2">
      <c r="A158"/>
    </row>
    <row r="159" spans="1:12" ht="20.100000000000001" customHeight="1" x14ac:dyDescent="0.2">
      <c r="A159"/>
      <c r="D159" s="90" t="s">
        <v>1068</v>
      </c>
      <c r="E159" s="91">
        <f>E131+E142+E155</f>
        <v>0</v>
      </c>
      <c r="F159" s="95" t="str">
        <f>$E$105</f>
        <v>t CO2e</v>
      </c>
    </row>
    <row r="160" spans="1:12" ht="20.100000000000001" customHeight="1" x14ac:dyDescent="0.2">
      <c r="A160"/>
      <c r="D160" s="90" t="s">
        <v>1071</v>
      </c>
      <c r="E160" s="91">
        <f>E132+E143+E156</f>
        <v>0</v>
      </c>
      <c r="F160" s="95" t="str">
        <f>$E$105</f>
        <v>t CO2e</v>
      </c>
    </row>
    <row r="163" spans="3:41" ht="20.100000000000001" customHeight="1" x14ac:dyDescent="0.2">
      <c r="C163" s="87"/>
      <c r="D163" s="87"/>
      <c r="E163" s="87"/>
      <c r="F163" s="87"/>
      <c r="G163" s="87"/>
      <c r="H163" s="87"/>
      <c r="I163" s="87"/>
      <c r="J163" s="87"/>
      <c r="K163" s="87"/>
      <c r="L163" s="87"/>
      <c r="M163" s="87"/>
      <c r="N163" s="87"/>
      <c r="O163" s="87"/>
      <c r="P163" s="87"/>
      <c r="Q163" s="87"/>
      <c r="R163" s="87"/>
      <c r="S163" s="87"/>
      <c r="T163" s="87"/>
      <c r="U163" s="87"/>
      <c r="V163" s="87"/>
      <c r="W163" s="87"/>
      <c r="X163" s="87"/>
      <c r="Y163" s="87"/>
      <c r="Z163" s="87"/>
      <c r="AA163" s="87"/>
      <c r="AB163" s="87"/>
      <c r="AC163" s="87"/>
      <c r="AD163" s="87"/>
      <c r="AE163" s="87"/>
      <c r="AF163" s="87"/>
      <c r="AG163" s="87"/>
      <c r="AH163" s="87"/>
      <c r="AI163" s="87"/>
      <c r="AJ163" s="87"/>
      <c r="AK163" s="87"/>
      <c r="AL163" s="87"/>
      <c r="AM163" s="87"/>
      <c r="AN163" s="87"/>
      <c r="AO163" s="87"/>
    </row>
    <row r="164" spans="3:41" ht="20.100000000000001" customHeight="1" x14ac:dyDescent="0.2">
      <c r="D164" s="2" t="s">
        <v>1662</v>
      </c>
    </row>
    <row r="165" spans="3:41" ht="20.100000000000001" customHeight="1" x14ac:dyDescent="0.2">
      <c r="D165" s="17" t="s">
        <v>1663</v>
      </c>
    </row>
    <row r="166" spans="3:41" ht="20.100000000000001" customHeight="1" x14ac:dyDescent="0.2">
      <c r="D166" s="103"/>
      <c r="E166" s="103"/>
    </row>
    <row r="168" spans="3:41" ht="20.100000000000001" customHeight="1" x14ac:dyDescent="0.2">
      <c r="F168" s="26" t="s">
        <v>1656</v>
      </c>
      <c r="H168" s="103"/>
    </row>
    <row r="169" spans="3:41" ht="20.100000000000001" customHeight="1" x14ac:dyDescent="0.2">
      <c r="D169" s="77" t="s">
        <v>373</v>
      </c>
      <c r="E169" s="1" t="s">
        <v>1174</v>
      </c>
    </row>
    <row r="170" spans="3:41" ht="20.100000000000001" customHeight="1" x14ac:dyDescent="0.2">
      <c r="D170" s="77" t="s">
        <v>121</v>
      </c>
      <c r="E170" s="9" t="s">
        <v>6</v>
      </c>
    </row>
    <row r="172" spans="3:41" ht="20.100000000000001" customHeight="1" x14ac:dyDescent="0.2">
      <c r="D172" s="105" t="s">
        <v>1664</v>
      </c>
      <c r="E172" s="106" t="s">
        <v>1665</v>
      </c>
      <c r="F172" s="108"/>
      <c r="G172" s="105" t="s">
        <v>636</v>
      </c>
      <c r="H172" s="255" t="s">
        <v>1219</v>
      </c>
    </row>
    <row r="173" spans="3:41" ht="20.100000000000001" customHeight="1" x14ac:dyDescent="0.2">
      <c r="D173" s="105" t="s">
        <v>1666</v>
      </c>
      <c r="E173" s="106" t="s">
        <v>1667</v>
      </c>
      <c r="F173" s="108"/>
      <c r="G173" s="105" t="s">
        <v>1653</v>
      </c>
      <c r="H173" s="255" t="s">
        <v>1220</v>
      </c>
    </row>
    <row r="174" spans="3:41" ht="20.100000000000001" customHeight="1" x14ac:dyDescent="0.2">
      <c r="D174" s="105" t="s">
        <v>1588</v>
      </c>
      <c r="E174" s="106" t="s">
        <v>1668</v>
      </c>
      <c r="F174" s="108"/>
      <c r="G174" s="105"/>
      <c r="H174" s="110" t="s">
        <v>1219</v>
      </c>
    </row>
    <row r="176" spans="3:41" ht="20.100000000000001" customHeight="1" x14ac:dyDescent="0.2">
      <c r="D176" s="82" t="s">
        <v>139</v>
      </c>
      <c r="E176" s="82" t="s">
        <v>1108</v>
      </c>
      <c r="F176" s="114" t="s">
        <v>1109</v>
      </c>
      <c r="G176" s="114" t="s">
        <v>1068</v>
      </c>
      <c r="H176" s="82" t="s">
        <v>1110</v>
      </c>
      <c r="I176" s="114" t="s">
        <v>1071</v>
      </c>
      <c r="J176" s="82" t="s">
        <v>1072</v>
      </c>
      <c r="K176" s="82" t="s">
        <v>1073</v>
      </c>
      <c r="L176" s="82" t="s">
        <v>1074</v>
      </c>
    </row>
    <row r="177" spans="3:41" ht="20.100000000000001" customHeight="1" x14ac:dyDescent="0.2">
      <c r="D177" s="15" t="str">
        <f>'Input - Livestock farm Inputs'!D7</f>
        <v>Lick block, dry season mix</v>
      </c>
      <c r="E177" s="15">
        <f>IFERROR(X_Cell_FarmInputs_LickBlocks_DrySeasonMix, 0)</f>
        <v>0</v>
      </c>
      <c r="F177" s="15" cm="1">
        <f t="array" ref="F177">Common_InputFunctions.Utility_LookupValueInTableNumber(D177,Table_SourceData_Scope3_LickBlocks[Product],Table_SourceData_Scope3_LickBlocks[Emissions intensity])</f>
        <v>0.88100000000000001</v>
      </c>
      <c r="G177" s="257">
        <f>((E177 * F177) * 10 ^ -3)</f>
        <v>0</v>
      </c>
      <c r="H177" s="76">
        <v>0.8</v>
      </c>
      <c r="I177" s="257">
        <f>((E177 * (IF(H177, H177, F177))) * 10 ^ -3)</f>
        <v>0</v>
      </c>
      <c r="J177" s="34"/>
      <c r="K177" s="13"/>
      <c r="L177" s="34"/>
    </row>
    <row r="178" spans="3:41" ht="20.100000000000001" customHeight="1" x14ac:dyDescent="0.2">
      <c r="D178" s="15" t="str">
        <f>'Input - Livestock farm Inputs'!D8</f>
        <v>Lick block, mineral</v>
      </c>
      <c r="E178" s="15">
        <f>IFERROR(X_Cell_FarmInputs_LickBlocks_Mineral, 0)</f>
        <v>0</v>
      </c>
      <c r="F178" s="15" cm="1">
        <f t="array" ref="F178">Common_InputFunctions.Utility_LookupValueInTableNumber(D178,Table_SourceData_Scope3_LickBlocks[Product],Table_SourceData_Scope3_LickBlocks[Emissions intensity])</f>
        <v>0.67700000000000005</v>
      </c>
      <c r="G178" s="257">
        <f>((E178 * F178) * 10 ^ -3)</f>
        <v>0</v>
      </c>
      <c r="H178" s="76">
        <v>0.6</v>
      </c>
      <c r="I178" s="257">
        <f>((E178 * (IF(H178, H178, F178))) * 10 ^ -3)</f>
        <v>0</v>
      </c>
      <c r="J178" s="34"/>
      <c r="K178" s="13"/>
      <c r="L178" s="34"/>
    </row>
    <row r="179" spans="3:41" ht="20.100000000000001" customHeight="1" x14ac:dyDescent="0.2">
      <c r="D179" s="15" t="str">
        <f>'Input - Livestock farm Inputs'!D9</f>
        <v>Lick block, weaner</v>
      </c>
      <c r="E179" s="15">
        <f>IFERROR(X_Cell_FarmInputs_LickBlocks_Weaner, 0)</f>
        <v>0</v>
      </c>
      <c r="F179" s="15" cm="1">
        <f t="array" ref="F179">Common_InputFunctions.Utility_LookupValueInTableNumber(D179,Table_SourceData_Scope3_LickBlocks[Product],Table_SourceData_Scope3_LickBlocks[Emissions intensity])</f>
        <v>0.23100000000000001</v>
      </c>
      <c r="G179" s="257">
        <f>((E179 * F179) * 10 ^ -3)</f>
        <v>0</v>
      </c>
      <c r="H179" s="76">
        <v>0.2</v>
      </c>
      <c r="I179" s="257">
        <f>((E179 * (IF(H179, H179, F179))) * 10 ^ -3)</f>
        <v>0</v>
      </c>
      <c r="J179" s="34"/>
      <c r="K179" s="13"/>
      <c r="L179" s="34"/>
    </row>
    <row r="181" spans="3:41" ht="20.100000000000001" customHeight="1" x14ac:dyDescent="0.2">
      <c r="D181" s="90" t="s">
        <v>1068</v>
      </c>
      <c r="E181" s="91">
        <f>SUM(G177:G179)</f>
        <v>0</v>
      </c>
      <c r="F181" s="95" t="str">
        <f>$E$170</f>
        <v>t CO2e</v>
      </c>
    </row>
    <row r="182" spans="3:41" ht="20.100000000000001" customHeight="1" x14ac:dyDescent="0.2">
      <c r="D182" s="90" t="s">
        <v>1071</v>
      </c>
      <c r="E182" s="91">
        <f>SUM(I177:I179)</f>
        <v>0</v>
      </c>
      <c r="F182" s="95" t="str">
        <f>$E$170</f>
        <v>t CO2e</v>
      </c>
    </row>
    <row r="185" spans="3:41" ht="20.100000000000001" customHeight="1" x14ac:dyDescent="0.2">
      <c r="C185" s="87"/>
      <c r="D185" s="87"/>
      <c r="E185" s="87"/>
      <c r="F185" s="87"/>
      <c r="G185" s="87"/>
      <c r="H185" s="87"/>
      <c r="I185" s="87"/>
      <c r="J185" s="87"/>
      <c r="K185" s="87"/>
      <c r="L185" s="87"/>
      <c r="M185" s="87"/>
      <c r="N185" s="87"/>
      <c r="O185" s="87"/>
      <c r="P185" s="87"/>
      <c r="Q185" s="87"/>
      <c r="R185" s="87"/>
      <c r="S185" s="87"/>
      <c r="T185" s="87"/>
      <c r="U185" s="87"/>
      <c r="V185" s="87"/>
      <c r="W185" s="87"/>
      <c r="X185" s="87"/>
      <c r="Y185" s="87"/>
      <c r="Z185" s="87"/>
      <c r="AA185" s="87"/>
      <c r="AB185" s="87"/>
      <c r="AC185" s="87"/>
      <c r="AD185" s="87"/>
      <c r="AE185" s="87"/>
      <c r="AF185" s="87"/>
      <c r="AG185" s="87"/>
      <c r="AH185" s="87"/>
      <c r="AI185" s="87"/>
      <c r="AJ185" s="87"/>
      <c r="AK185" s="87"/>
      <c r="AL185" s="87"/>
      <c r="AM185" s="87"/>
      <c r="AN185" s="87"/>
      <c r="AO185" s="87"/>
    </row>
    <row r="186" spans="3:41" ht="20.100000000000001" customHeight="1" x14ac:dyDescent="0.2">
      <c r="D186" s="2" t="s">
        <v>1669</v>
      </c>
    </row>
    <row r="187" spans="3:41" ht="20.100000000000001" customHeight="1" x14ac:dyDescent="0.2">
      <c r="D187" s="17" t="s">
        <v>1670</v>
      </c>
    </row>
    <row r="188" spans="3:41" ht="20.100000000000001" customHeight="1" x14ac:dyDescent="0.2">
      <c r="D188" s="26" t="s">
        <v>1671</v>
      </c>
    </row>
    <row r="189" spans="3:41" ht="20.100000000000001" customHeight="1" x14ac:dyDescent="0.2">
      <c r="D189" s="103"/>
      <c r="E189" s="103"/>
    </row>
    <row r="192" spans="3:41" ht="20.100000000000001" customHeight="1" x14ac:dyDescent="0.2">
      <c r="D192" s="77" t="s">
        <v>373</v>
      </c>
      <c r="E192" s="1" t="s">
        <v>1672</v>
      </c>
    </row>
    <row r="193" spans="4:8" ht="20.100000000000001" customHeight="1" x14ac:dyDescent="0.2">
      <c r="D193" s="77" t="s">
        <v>121</v>
      </c>
      <c r="E193" s="9" t="s">
        <v>1673</v>
      </c>
    </row>
    <row r="195" spans="4:8" ht="20.100000000000001" customHeight="1" x14ac:dyDescent="0.2">
      <c r="D195" s="105" t="s">
        <v>1674</v>
      </c>
      <c r="E195" s="106" t="s">
        <v>1675</v>
      </c>
      <c r="F195" s="108"/>
      <c r="G195" s="105" t="s">
        <v>1680</v>
      </c>
      <c r="H195" s="255" t="s">
        <v>1219</v>
      </c>
    </row>
    <row r="196" spans="4:8" ht="20.100000000000001" customHeight="1" x14ac:dyDescent="0.2">
      <c r="D196" s="105" t="s">
        <v>1676</v>
      </c>
      <c r="E196" s="106" t="s">
        <v>1677</v>
      </c>
      <c r="F196" s="108"/>
      <c r="G196" s="105" t="s">
        <v>1681</v>
      </c>
      <c r="H196" s="110" t="s">
        <v>1220</v>
      </c>
    </row>
    <row r="197" spans="4:8" ht="20.100000000000001" customHeight="1" x14ac:dyDescent="0.2">
      <c r="D197" s="105" t="s">
        <v>1408</v>
      </c>
      <c r="E197" s="106" t="s">
        <v>1678</v>
      </c>
      <c r="F197" s="108"/>
      <c r="G197" s="105"/>
      <c r="H197" s="255" t="s">
        <v>1219</v>
      </c>
    </row>
    <row r="198" spans="4:8" ht="20.100000000000001" customHeight="1" x14ac:dyDescent="0.2">
      <c r="D198" s="105" t="s">
        <v>1390</v>
      </c>
      <c r="E198" s="106" t="s">
        <v>1679</v>
      </c>
      <c r="F198" s="108"/>
      <c r="G198" s="105"/>
      <c r="H198" s="255" t="s">
        <v>1219</v>
      </c>
    </row>
    <row r="201" spans="4:8" ht="20.100000000000001" customHeight="1" x14ac:dyDescent="0.2">
      <c r="D201" s="2" t="s">
        <v>1682</v>
      </c>
    </row>
    <row r="202" spans="4:8" ht="20.100000000000001" customHeight="1" x14ac:dyDescent="0.2">
      <c r="D202" s="17" t="s">
        <v>1683</v>
      </c>
    </row>
    <row r="203" spans="4:8" ht="20.100000000000001" customHeight="1" x14ac:dyDescent="0.2">
      <c r="D203" s="103"/>
      <c r="E203" s="103"/>
    </row>
    <row r="206" spans="4:8" ht="20.100000000000001" customHeight="1" x14ac:dyDescent="0.2">
      <c r="D206" s="77" t="s">
        <v>373</v>
      </c>
      <c r="E206" s="1" t="s">
        <v>1174</v>
      </c>
    </row>
    <row r="207" spans="4:8" ht="20.100000000000001" customHeight="1" x14ac:dyDescent="0.2">
      <c r="D207" s="77" t="s">
        <v>121</v>
      </c>
      <c r="E207" s="9" t="s">
        <v>6</v>
      </c>
    </row>
    <row r="209" spans="4:8" ht="20.100000000000001" customHeight="1" x14ac:dyDescent="0.2">
      <c r="D209" s="105" t="s">
        <v>1377</v>
      </c>
      <c r="E209" s="105" t="s">
        <v>1684</v>
      </c>
      <c r="F209" s="105"/>
      <c r="G209" s="105" t="s">
        <v>636</v>
      </c>
      <c r="H209" s="255" t="s">
        <v>1219</v>
      </c>
    </row>
    <row r="210" spans="4:8" ht="20.100000000000001" customHeight="1" x14ac:dyDescent="0.2">
      <c r="D210" s="105" t="s">
        <v>1672</v>
      </c>
      <c r="E210" s="105" t="s">
        <v>1685</v>
      </c>
      <c r="F210" s="105"/>
      <c r="G210" s="105" t="s">
        <v>1653</v>
      </c>
      <c r="H210" s="110" t="s">
        <v>1220</v>
      </c>
    </row>
    <row r="211" spans="4:8" ht="20.100000000000001" customHeight="1" x14ac:dyDescent="0.2">
      <c r="D211" s="105" t="s">
        <v>1350</v>
      </c>
      <c r="E211" s="106" t="s">
        <v>1351</v>
      </c>
      <c r="F211" s="108"/>
      <c r="G211" s="105"/>
      <c r="H211" s="255" t="s">
        <v>1219</v>
      </c>
    </row>
    <row r="212" spans="4:8" ht="20.100000000000001" customHeight="1" x14ac:dyDescent="0.2">
      <c r="D212" s="105" t="s">
        <v>1390</v>
      </c>
      <c r="E212" s="106" t="s">
        <v>1679</v>
      </c>
      <c r="F212" s="108"/>
      <c r="G212" s="105"/>
      <c r="H212" s="255" t="s">
        <v>1219</v>
      </c>
    </row>
    <row r="215" spans="4:8" ht="20.100000000000001" customHeight="1" x14ac:dyDescent="0.2">
      <c r="D215" s="2" t="s">
        <v>1686</v>
      </c>
    </row>
    <row r="216" spans="4:8" ht="20.100000000000001" customHeight="1" x14ac:dyDescent="0.2">
      <c r="D216" s="17" t="s">
        <v>1687</v>
      </c>
    </row>
    <row r="217" spans="4:8" ht="20.100000000000001" customHeight="1" x14ac:dyDescent="0.2">
      <c r="D217" s="26" t="s">
        <v>1688</v>
      </c>
    </row>
    <row r="218" spans="4:8" ht="20.100000000000001" customHeight="1" x14ac:dyDescent="0.2">
      <c r="D218" s="103"/>
      <c r="E218" s="103"/>
    </row>
    <row r="221" spans="4:8" ht="20.100000000000001" customHeight="1" x14ac:dyDescent="0.2">
      <c r="D221" s="77" t="s">
        <v>373</v>
      </c>
      <c r="E221" s="1" t="s">
        <v>1174</v>
      </c>
    </row>
    <row r="222" spans="4:8" ht="20.100000000000001" customHeight="1" x14ac:dyDescent="0.2">
      <c r="D222" s="77" t="s">
        <v>121</v>
      </c>
      <c r="E222" s="9" t="s">
        <v>6</v>
      </c>
    </row>
    <row r="224" spans="4:8" ht="20.100000000000001" customHeight="1" x14ac:dyDescent="0.2">
      <c r="D224" s="105" t="s">
        <v>1674</v>
      </c>
      <c r="E224" s="106" t="s">
        <v>1675</v>
      </c>
      <c r="F224" s="108"/>
      <c r="G224" s="105" t="s">
        <v>1680</v>
      </c>
      <c r="H224" s="255" t="s">
        <v>1219</v>
      </c>
    </row>
    <row r="225" spans="4:40" ht="20.100000000000001" customHeight="1" x14ac:dyDescent="0.2">
      <c r="D225" s="105" t="s">
        <v>1377</v>
      </c>
      <c r="E225" s="106" t="s">
        <v>1684</v>
      </c>
      <c r="F225" s="108"/>
      <c r="G225" s="105" t="s">
        <v>636</v>
      </c>
      <c r="H225" s="110" t="s">
        <v>1219</v>
      </c>
    </row>
    <row r="226" spans="4:40" ht="20.100000000000001" customHeight="1" x14ac:dyDescent="0.2">
      <c r="D226" s="105" t="s">
        <v>1676</v>
      </c>
      <c r="E226" s="106" t="s">
        <v>1677</v>
      </c>
      <c r="F226" s="108"/>
      <c r="G226" s="105" t="s">
        <v>1681</v>
      </c>
      <c r="H226" s="110" t="s">
        <v>1220</v>
      </c>
    </row>
    <row r="227" spans="4:40" ht="20.100000000000001" customHeight="1" x14ac:dyDescent="0.2">
      <c r="D227" s="105" t="s">
        <v>1408</v>
      </c>
      <c r="E227" s="106" t="s">
        <v>1678</v>
      </c>
      <c r="F227" s="108"/>
      <c r="G227" s="105"/>
      <c r="H227" s="255" t="s">
        <v>1219</v>
      </c>
    </row>
    <row r="228" spans="4:40" ht="20.100000000000001" customHeight="1" x14ac:dyDescent="0.2">
      <c r="D228" s="105" t="s">
        <v>1390</v>
      </c>
      <c r="E228" s="106" t="s">
        <v>1679</v>
      </c>
      <c r="F228" s="108"/>
      <c r="G228" s="105"/>
      <c r="H228" s="255" t="s">
        <v>1219</v>
      </c>
    </row>
    <row r="229" spans="4:40" ht="20.100000000000001" customHeight="1" x14ac:dyDescent="0.2">
      <c r="D229" s="105" t="s">
        <v>1350</v>
      </c>
      <c r="E229" s="106" t="s">
        <v>1351</v>
      </c>
      <c r="F229" s="108"/>
      <c r="G229" s="105"/>
      <c r="H229" s="255" t="s">
        <v>1219</v>
      </c>
    </row>
    <row r="231" spans="4:40" ht="20.100000000000001" customHeight="1" x14ac:dyDescent="0.2">
      <c r="D231" s="243" t="s">
        <v>1111</v>
      </c>
    </row>
    <row r="233" spans="4:40" ht="20.100000000000001" customHeight="1" x14ac:dyDescent="0.2">
      <c r="D233" s="36" t="s">
        <v>1112</v>
      </c>
      <c r="E233" s="38"/>
      <c r="F233" s="39"/>
    </row>
    <row r="235" spans="4:40" ht="20.100000000000001" customHeight="1" x14ac:dyDescent="0.2">
      <c r="D235" s="82" t="s">
        <v>139</v>
      </c>
      <c r="E235" s="82" t="s">
        <v>1113</v>
      </c>
      <c r="F235" s="114" t="s">
        <v>1114</v>
      </c>
      <c r="G235" s="114" t="s">
        <v>1115</v>
      </c>
      <c r="H235" s="114" t="s">
        <v>1116</v>
      </c>
      <c r="I235" s="82" t="s">
        <v>1117</v>
      </c>
      <c r="J235" s="114" t="s">
        <v>1118</v>
      </c>
      <c r="K235" s="114" t="s">
        <v>1119</v>
      </c>
      <c r="L235" s="82" t="s">
        <v>1072</v>
      </c>
      <c r="M235" s="82" t="s">
        <v>1073</v>
      </c>
      <c r="N235" s="82" t="s">
        <v>1074</v>
      </c>
      <c r="O235" s="114" t="s">
        <v>604</v>
      </c>
      <c r="P235" s="114" t="s">
        <v>605</v>
      </c>
      <c r="Q235" s="114" t="s">
        <v>589</v>
      </c>
      <c r="R235" s="114" t="s">
        <v>590</v>
      </c>
      <c r="S235" s="114" t="s">
        <v>1120</v>
      </c>
      <c r="T235" s="82" t="s">
        <v>1121</v>
      </c>
      <c r="U235" s="114" t="s">
        <v>591</v>
      </c>
      <c r="V235" s="114" t="s">
        <v>592</v>
      </c>
      <c r="W235" s="114" t="s">
        <v>1122</v>
      </c>
      <c r="X235" s="82" t="s">
        <v>1123</v>
      </c>
      <c r="Y235" s="114" t="s">
        <v>593</v>
      </c>
      <c r="Z235" s="114" t="s">
        <v>594</v>
      </c>
      <c r="AA235" s="114" t="s">
        <v>1124</v>
      </c>
      <c r="AB235" s="82" t="s">
        <v>1125</v>
      </c>
      <c r="AC235" s="114" t="s">
        <v>595</v>
      </c>
      <c r="AD235" s="114" t="s">
        <v>596</v>
      </c>
      <c r="AE235" s="114" t="s">
        <v>1126</v>
      </c>
      <c r="AF235" s="82" t="s">
        <v>1127</v>
      </c>
      <c r="AG235" s="114" t="s">
        <v>597</v>
      </c>
      <c r="AH235" s="114" t="s">
        <v>598</v>
      </c>
      <c r="AI235" s="114" t="s">
        <v>1128</v>
      </c>
      <c r="AJ235" s="82" t="s">
        <v>1129</v>
      </c>
      <c r="AK235" s="114" t="s">
        <v>599</v>
      </c>
      <c r="AL235" s="114" t="s">
        <v>600</v>
      </c>
      <c r="AM235" s="114" t="s">
        <v>1130</v>
      </c>
      <c r="AN235" s="82" t="s">
        <v>1131</v>
      </c>
    </row>
    <row r="236" spans="4:40" ht="20.100000000000001" customHeight="1" x14ac:dyDescent="0.2">
      <c r="D236" s="15" cm="1">
        <f t="array" ref="D236:D245">IFERROR(INDEX(Table_Input_InorganicFertiliser_Brands[Product (select)], _xlfn.SEQUENCE(10)), "")</f>
        <v>0</v>
      </c>
      <c r="E236" s="15" cm="1">
        <f t="array" ref="E236:E245">IFERROR(INDEX(Table_Input_InorganicFertiliser_Brands[Total applied (kg)], _xlfn.SEQUENCE(10)), 0)</f>
        <v>0</v>
      </c>
      <c r="F236" s="15">
        <f>(R236 * S236)+
(V236 * W236)+
(Z236 * AA236)+
(AD236 * AE236)+
(AH236 * AI236)+
(AL236 * AM236)</f>
        <v>0</v>
      </c>
      <c r="G236" s="257">
        <f>((E236 * F236) * 10 ^ -3)</f>
        <v>0</v>
      </c>
      <c r="H236" s="15">
        <f>((R236 * $E236) * S236 * 10 ^ -3)+
((V236 * $E236) * W236 * 10 ^ -3)+
((Z236 * $E236) * AA236 * 10 ^ -3)+
((AD236 * $E236) * AE236 * 10 ^ -3)+
((AH236 * $E236) * AI236 * 10 ^ -3)+
((AL236 * $E236) * AM236 * 10 ^ -3)</f>
        <v>0</v>
      </c>
      <c r="I236" s="76">
        <v>0.4</v>
      </c>
      <c r="J236" s="257">
        <f>((E236 * I236) * 10 ^ -3)</f>
        <v>0</v>
      </c>
      <c r="K236" s="257">
        <f>((R236 * $E236) * (IF(T236,T236,S236)) * 10 ^ -3)+
((V236 * $E236) * (IF(X236,X236,W236)) * 10 ^ -3)+
((Z236 * $E236) * (IF(AB236,AB236,AA236)) * 10 ^ -3)+
((AD236 * $E236) * (IF(AF236,AF236,AE236)) * 10 ^ -3)+
((AH236 * $E236) * (IF(AJ236,AJ236,AI236)) * 10 ^ -3)+
((AL236 * $E236) * (IF(AN236,AN236,AM236)) * 10 ^ -3)</f>
        <v>0</v>
      </c>
      <c r="L236" s="34"/>
      <c r="M236" s="13"/>
      <c r="N236" s="239"/>
      <c r="O236" s="15" t="str" cm="1">
        <f t="array" ref="O236:O245">IFERROR(INDEX(Table_Input_InorganicFertiliser_Brands[Urea source], _xlfn.SEQUENCE(10)), "")</f>
        <v/>
      </c>
      <c r="P236" s="15" t="str" cm="1">
        <f t="array" ref="P236:P245">IFERROR(INDEX(Table_Input_InorganicFertiliser_Brands[Ammonia source], _xlfn.SEQUENCE(10)), "")</f>
        <v/>
      </c>
      <c r="Q236" s="15" t="str" cm="1">
        <f t="array" ref="Q236:Q245">IFERROR(INDEX(Table_Input_InorganicFertiliser_Brands[Ingredient 1], _xlfn.SEQUENCE(10)), "")</f>
        <v/>
      </c>
      <c r="R236" s="15" cm="1">
        <f t="array" ref="R236:R245">IFERROR(INDEX(_xlfn.LET(_xlpm.result, Table_Input_InorganicFertiliser_Brands[Ingredient 1 percent], IF(_xlpm.result="", 0, _xlpm.result)), _xlfn.SEQUENCE(10)), 0)</f>
        <v>0</v>
      </c>
      <c r="S236" s="15" cm="1">
        <f t="array" ref="S236">_xlfn.LET(_xlpm.result, Common_InputFunctions.Utility_LookupValueInTableTwoColumns(Q236, _xlfn.IFS(Q236="Urea",IF($O236="", "Global", $O236), Q236="Ammonia", IF($P236="", "Global", $P236), TRUE, "Global"), Table_SourceData_Scope3_InorganicFertiliser[Chemical compound],Table_SourceData_Scope3_InorganicFertiliser[Region of origin],Table_SourceData_Scope3_InorganicFertiliser[Emissions intensity]), IF(_xlpm.result="", 0, _xlpm.result))</f>
        <v>0</v>
      </c>
      <c r="T236" s="76">
        <v>0.9</v>
      </c>
      <c r="U236" s="15" t="str" cm="1">
        <f t="array" ref="U236:U245">IFERROR(INDEX(Table_Input_InorganicFertiliser_Brands[Ingredient 2], _xlfn.SEQUENCE(10)), "")</f>
        <v/>
      </c>
      <c r="V236" s="15" cm="1">
        <f t="array" ref="V236:V245">IFERROR(INDEX(_xlfn.LET(_xlpm.result, Table_Input_InorganicFertiliser_Brands[Ingredient 2 percent], IF(_xlpm.result="", 0, _xlpm.result)), _xlfn.SEQUENCE(10)), 0)</f>
        <v>0</v>
      </c>
      <c r="W236" s="15" cm="1">
        <f t="array" ref="W236">_xlfn.LET(_xlpm.result, Common_InputFunctions.Utility_LookupValueInTableTwoColumns(U236, _xlfn.IFS(U236="Urea",IF($O236="", "Global", $O236), U236="Ammonia", IF($P236="", "Global", $P236), TRUE, "Global"), Table_SourceData_Scope3_InorganicFertiliser[Chemical compound],Table_SourceData_Scope3_InorganicFertiliser[Region of origin],Table_SourceData_Scope3_InorganicFertiliser[Emissions intensity]), IF(_xlpm.result="", 0, _xlpm.result))</f>
        <v>0</v>
      </c>
      <c r="X236" s="76">
        <v>0.9</v>
      </c>
      <c r="Y236" s="15" t="str" cm="1">
        <f t="array" ref="Y236:Y245">IFERROR(INDEX(Table_Input_InorganicFertiliser_Brands[Ingredient 3], _xlfn.SEQUENCE(10)), "")</f>
        <v/>
      </c>
      <c r="Z236" s="15" cm="1">
        <f t="array" ref="Z236:Z245">IFERROR(INDEX(_xlfn.LET(_xlpm.result, Table_Input_InorganicFertiliser_Brands[Ingredient 3 percent], IF(_xlpm.result="", 0, _xlpm.result)), _xlfn.SEQUENCE(10)), 0)</f>
        <v>0</v>
      </c>
      <c r="AA236" s="15" cm="1">
        <f t="array" ref="AA236">_xlfn.LET(_xlpm.result, Common_InputFunctions.Utility_LookupValueInTableTwoColumns(Y236, _xlfn.IFS(Y236="Urea",IF($O236="", "Global", $O236), Y236="Ammonia", IF($P236="", "Global", $P236), TRUE, "Global"), Table_SourceData_Scope3_InorganicFertiliser[Chemical compound],Table_SourceData_Scope3_InorganicFertiliser[Region of origin],Table_SourceData_Scope3_InorganicFertiliser[Emissions intensity]), IF(_xlpm.result="", 0, _xlpm.result))</f>
        <v>0</v>
      </c>
      <c r="AB236" s="76">
        <v>4</v>
      </c>
      <c r="AC236" s="15" t="str" cm="1">
        <f t="array" ref="AC236:AC245">IFERROR(INDEX(Table_Input_InorganicFertiliser_Brands[Ingredient 4], _xlfn.SEQUENCE(10)), "")</f>
        <v/>
      </c>
      <c r="AD236" s="15" cm="1">
        <f t="array" ref="AD236:AD245">IFERROR(INDEX(_xlfn.LET(_xlpm.result, Table_Input_InorganicFertiliser_Brands[Ingredient 4 percent], IF(_xlpm.result="", 0, _xlpm.result)), _xlfn.SEQUENCE(10)), 0)</f>
        <v>0</v>
      </c>
      <c r="AE236" s="15" cm="1">
        <f t="array" ref="AE236">_xlfn.LET(_xlpm.result, Common_InputFunctions.Utility_LookupValueInTableTwoColumns(AC236, _xlfn.IFS(AC236="Urea",IF($O236="", "Global", $O236), AC236="Ammonia", IF($P236="", "Global", $P236), TRUE, "Global"), Table_SourceData_Scope3_InorganicFertiliser[Chemical compound],Table_SourceData_Scope3_InorganicFertiliser[Region of origin],Table_SourceData_Scope3_InorganicFertiliser[Emissions intensity]), IF(_xlpm.result="", 0, _xlpm.result))</f>
        <v>0</v>
      </c>
      <c r="AF236" s="76">
        <v>0</v>
      </c>
      <c r="AG236" s="15" t="str" cm="1">
        <f t="array" ref="AG236:AG245">IFERROR(INDEX(Table_Input_InorganicFertiliser_Brands[Ingredient 5], _xlfn.SEQUENCE(10)), "")</f>
        <v/>
      </c>
      <c r="AH236" s="15" cm="1">
        <f t="array" ref="AH236:AH245">IFERROR(INDEX(_xlfn.LET(_xlpm.result, Table_Input_InorganicFertiliser_Brands[Ingredient 5 percent], IF(_xlpm.result="", 0, _xlpm.result)), _xlfn.SEQUENCE(10)), 0)</f>
        <v>0</v>
      </c>
      <c r="AI236" s="15" cm="1">
        <f t="array" ref="AI236">_xlfn.LET(_xlpm.result, Common_InputFunctions.Utility_LookupValueInTableTwoColumns(AG236, _xlfn.IFS(AG236="Urea",IF($O236="", "Global", $O236), AG236="Ammonia", IF($P236="", "Global", $P236), TRUE, "Global"), Table_SourceData_Scope3_InorganicFertiliser[Chemical compound],Table_SourceData_Scope3_InorganicFertiliser[Region of origin],Table_SourceData_Scope3_InorganicFertiliser[Emissions intensity]), IF(_xlpm.result="", 0, _xlpm.result))</f>
        <v>0</v>
      </c>
      <c r="AJ236" s="76">
        <v>0</v>
      </c>
      <c r="AK236" s="15" t="str" cm="1">
        <f t="array" ref="AK236:AK245">IFERROR(INDEX(Table_Input_InorganicFertiliser_Brands[Ingredient 6], _xlfn.SEQUENCE(10)), "")</f>
        <v/>
      </c>
      <c r="AL236" s="15" cm="1">
        <f t="array" ref="AL236:AL245">IFERROR(INDEX(_xlfn.LET(_xlpm.result, Table_Input_InorganicFertiliser_Brands[Ingredient 6 percent], IF(_xlpm.result="", 0, _xlpm.result)), _xlfn.SEQUENCE(10)), 0)</f>
        <v>0</v>
      </c>
      <c r="AM236" s="15" cm="1">
        <f t="array" ref="AM236">_xlfn.LET(_xlpm.result, Common_InputFunctions.Utility_LookupValueInTableTwoColumns(AK236, _xlfn.IFS(AK236="Urea",IF($O236="", "Global", $O236), AK236="Ammonia", IF($P236="", "Global", $P236), TRUE, "Global"), Table_SourceData_Scope3_InorganicFertiliser[Chemical compound],Table_SourceData_Scope3_InorganicFertiliser[Region of origin],Table_SourceData_Scope3_InorganicFertiliser[Emissions intensity]), IF(_xlpm.result="", 0, _xlpm.result))</f>
        <v>0</v>
      </c>
      <c r="AN236" s="76"/>
    </row>
    <row r="237" spans="4:40" ht="20.100000000000001" customHeight="1" x14ac:dyDescent="0.2">
      <c r="D237" s="15">
        <v>0</v>
      </c>
      <c r="E237" s="15">
        <v>0</v>
      </c>
      <c r="F237" s="15">
        <f>(R237 * S237)+
(V237 * W237)+
(Z237 * AA237)+
(AD237 * AE237)+
(AH237 * AI237)+
(AL237 * AM237)</f>
        <v>0</v>
      </c>
      <c r="G237" s="257">
        <f>((E237 * F237) * 10 ^ -3)</f>
        <v>0</v>
      </c>
      <c r="H237" s="15">
        <f>((R237 * $E237) * S237 * 10 ^ -3)+
((V237 * $E237) * W237 * 10 ^ -3)+
((Z237 * $E237) * AA237 * 10 ^ -3)+
((AD237 * $E237) * AE237 * 10 ^ -3)+
((AH237 * $E237) * AI237 * 10 ^ -3)+
((AL237 * $E237) * AM237 * 10 ^ -3)</f>
        <v>0</v>
      </c>
      <c r="I237" s="76">
        <v>0.9</v>
      </c>
      <c r="J237" s="257">
        <f>((E237 * I237) * 10 ^ -3)</f>
        <v>0</v>
      </c>
      <c r="K237" s="257">
        <f>((R237 * $E237) * (IF(T237,T237,S237)) * 10 ^ -3)+
((V237 * $E237) * (IF(X237,X237,W237)) * 10 ^ -3)+
((Z237 * $E237) * (IF(AB237,AB237,AA237)) * 10 ^ -3)+
((AD237 * $E237) * (IF(AF237,AF237,AE237)) * 10 ^ -3)+
((AH237 * $E237) * (IF(AJ237,AJ237,AI237)) * 10 ^ -3)+
((AL237 * $E237) * (IF(AN237,AN237,AM237)) * 10 ^ -3)</f>
        <v>0</v>
      </c>
      <c r="L237" s="34"/>
      <c r="M237" s="13"/>
      <c r="N237" s="34"/>
      <c r="O237" s="15" t="str">
        <v/>
      </c>
      <c r="P237" s="15" t="str">
        <v/>
      </c>
      <c r="Q237" s="15" t="str">
        <v/>
      </c>
      <c r="R237" s="15">
        <v>0</v>
      </c>
      <c r="S237" s="15" cm="1">
        <f t="array" ref="S237">_xlfn.LET(_xlpm.result, Common_InputFunctions.Utility_LookupValueInTableTwoColumns(Q237, _xlfn.IFS(Q237="Urea",IF($O237="", "Global", $O237), Q237="Ammonia", IF($P237="", "Global", $P237), TRUE, "Global"), Table_SourceData_Scope3_InorganicFertiliser[Chemical compound],Table_SourceData_Scope3_InorganicFertiliser[Region of origin],Table_SourceData_Scope3_InorganicFertiliser[Emissions intensity]), IF(_xlpm.result="", 0, _xlpm.result))</f>
        <v>0</v>
      </c>
      <c r="T237" s="76"/>
      <c r="U237" s="15" t="str">
        <v/>
      </c>
      <c r="V237" s="15">
        <v>0</v>
      </c>
      <c r="W237" s="15" cm="1">
        <f t="array" ref="W237">_xlfn.LET(_xlpm.result, Common_InputFunctions.Utility_LookupValueInTableTwoColumns(U237, _xlfn.IFS(U237="Urea",IF($O237="", "Global", $O237), U237="Ammonia", IF($P237="", "Global", $P237), TRUE, "Global"), Table_SourceData_Scope3_InorganicFertiliser[Chemical compound],Table_SourceData_Scope3_InorganicFertiliser[Region of origin],Table_SourceData_Scope3_InorganicFertiliser[Emissions intensity]), IF(_xlpm.result="", 0, _xlpm.result))</f>
        <v>0</v>
      </c>
      <c r="X237" s="76"/>
      <c r="Y237" s="15" t="str">
        <v/>
      </c>
      <c r="Z237" s="15">
        <v>0</v>
      </c>
      <c r="AA237" s="15" cm="1">
        <f t="array" ref="AA237">_xlfn.LET(_xlpm.result, Common_InputFunctions.Utility_LookupValueInTableTwoColumns(Y237, _xlfn.IFS(Y237="Urea",IF($O237="", "Global", $O237), Y237="Ammonia", IF($P237="", "Global", $P237), TRUE, "Global"), Table_SourceData_Scope3_InorganicFertiliser[Chemical compound],Table_SourceData_Scope3_InorganicFertiliser[Region of origin],Table_SourceData_Scope3_InorganicFertiliser[Emissions intensity]), IF(_xlpm.result="", 0, _xlpm.result))</f>
        <v>0</v>
      </c>
      <c r="AB237" s="76"/>
      <c r="AC237" s="15" t="str">
        <v/>
      </c>
      <c r="AD237" s="15">
        <v>0</v>
      </c>
      <c r="AE237" s="15" cm="1">
        <f t="array" ref="AE237">_xlfn.LET(_xlpm.result, Common_InputFunctions.Utility_LookupValueInTableTwoColumns(AC237, _xlfn.IFS(AC237="Urea",IF($O237="", "Global", $O237), AC237="Ammonia", IF($P237="", "Global", $P237), TRUE, "Global"), Table_SourceData_Scope3_InorganicFertiliser[Chemical compound],Table_SourceData_Scope3_InorganicFertiliser[Region of origin],Table_SourceData_Scope3_InorganicFertiliser[Emissions intensity]), IF(_xlpm.result="", 0, _xlpm.result))</f>
        <v>0</v>
      </c>
      <c r="AF237" s="76"/>
      <c r="AG237" s="15" t="str">
        <v/>
      </c>
      <c r="AH237" s="15">
        <v>0</v>
      </c>
      <c r="AI237" s="15" cm="1">
        <f t="array" ref="AI237">_xlfn.LET(_xlpm.result, Common_InputFunctions.Utility_LookupValueInTableTwoColumns(AG237, _xlfn.IFS(AG237="Urea",IF($O237="", "Global", $O237), AG237="Ammonia", IF($P237="", "Global", $P237), TRUE, "Global"), Table_SourceData_Scope3_InorganicFertiliser[Chemical compound],Table_SourceData_Scope3_InorganicFertiliser[Region of origin],Table_SourceData_Scope3_InorganicFertiliser[Emissions intensity]), IF(_xlpm.result="", 0, _xlpm.result))</f>
        <v>0</v>
      </c>
      <c r="AJ237" s="76"/>
      <c r="AK237" s="15" t="str">
        <v/>
      </c>
      <c r="AL237" s="15">
        <v>0</v>
      </c>
      <c r="AM237" s="15" cm="1">
        <f t="array" ref="AM237">_xlfn.LET(_xlpm.result, Common_InputFunctions.Utility_LookupValueInTableTwoColumns(AK237, _xlfn.IFS(AK237="Urea",IF($O237="", "Global", $O237), AK237="Ammonia", IF($P237="", "Global", $P237), TRUE, "Global"), Table_SourceData_Scope3_InorganicFertiliser[Chemical compound],Table_SourceData_Scope3_InorganicFertiliser[Region of origin],Table_SourceData_Scope3_InorganicFertiliser[Emissions intensity]), IF(_xlpm.result="", 0, _xlpm.result))</f>
        <v>0</v>
      </c>
      <c r="AN237" s="76"/>
    </row>
    <row r="238" spans="4:40" ht="20.100000000000001" customHeight="1" x14ac:dyDescent="0.2">
      <c r="D238" s="15">
        <v>0</v>
      </c>
      <c r="E238" s="15">
        <v>0</v>
      </c>
      <c r="F238" s="15">
        <f>(R238 * S238)+
(V238 * W238)+
(Z238 * AA238)+
(AD238 * AE238)+
(AH238 * AI238)+
(AL238 * AM238)</f>
        <v>0</v>
      </c>
      <c r="G238" s="257">
        <f>((E238 * F238) * 10 ^ -3)</f>
        <v>0</v>
      </c>
      <c r="H238" s="15">
        <f>((R238 * $E238) * S238 * 10 ^ -3)+
((V238 * $E238) * W238 * 10 ^ -3)+
((Z238 * $E238) * AA238 * 10 ^ -3)+
((AD238 * $E238) * AE238 * 10 ^ -3)+
((AH238 * $E238) * AI238 * 10 ^ -3)+
((AL238 * $E238) * AM238 * 10 ^ -3)</f>
        <v>0</v>
      </c>
      <c r="I238" s="76">
        <v>0.4</v>
      </c>
      <c r="J238" s="257">
        <f>((E238 * I238) * 10 ^ -3)</f>
        <v>0</v>
      </c>
      <c r="K238" s="257">
        <f>((R238 * $E238) * (IF(T238,T238,S238)) * 10 ^ -3)+
((V238 * $E238) * (IF(X238,X238,W238)) * 10 ^ -3)+
((Z238 * $E238) * (IF(AB238,AB238,AA238)) * 10 ^ -3)+
((AD238 * $E238) * (IF(AF238,AF238,AE238)) * 10 ^ -3)+
((AH238 * $E238) * (IF(AJ238,AJ238,AI238)) * 10 ^ -3)+
((AL238 * $E238) * (IF(AN238,AN238,AM238)) * 10 ^ -3)</f>
        <v>0</v>
      </c>
      <c r="L238" s="34"/>
      <c r="M238" s="13"/>
      <c r="N238" s="34"/>
      <c r="O238" s="15" t="str">
        <v/>
      </c>
      <c r="P238" s="15" t="str">
        <v/>
      </c>
      <c r="Q238" s="15" t="str">
        <v/>
      </c>
      <c r="R238" s="15">
        <v>0</v>
      </c>
      <c r="S238" s="15" cm="1">
        <f t="array" ref="S238">_xlfn.LET(_xlpm.result, Common_InputFunctions.Utility_LookupValueInTableTwoColumns(Q238, _xlfn.IFS(Q238="Urea",IF($O238="", "Global", $O238), Q238="Ammonia", IF($P238="", "Global", $P238), TRUE, "Global"), Table_SourceData_Scope3_InorganicFertiliser[Chemical compound],Table_SourceData_Scope3_InorganicFertiliser[Region of origin],Table_SourceData_Scope3_InorganicFertiliser[Emissions intensity]), IF(_xlpm.result="", 0, _xlpm.result))</f>
        <v>0</v>
      </c>
      <c r="T238" s="76"/>
      <c r="U238" s="15" t="str">
        <v/>
      </c>
      <c r="V238" s="15">
        <v>0</v>
      </c>
      <c r="W238" s="15" cm="1">
        <f t="array" ref="W238">_xlfn.LET(_xlpm.result, Common_InputFunctions.Utility_LookupValueInTableTwoColumns(U238, _xlfn.IFS(U238="Urea",IF($O238="", "Global", $O238), U238="Ammonia", IF($P238="", "Global", $P238), TRUE, "Global"), Table_SourceData_Scope3_InorganicFertiliser[Chemical compound],Table_SourceData_Scope3_InorganicFertiliser[Region of origin],Table_SourceData_Scope3_InorganicFertiliser[Emissions intensity]), IF(_xlpm.result="", 0, _xlpm.result))</f>
        <v>0</v>
      </c>
      <c r="X238" s="76"/>
      <c r="Y238" s="15" t="str">
        <v/>
      </c>
      <c r="Z238" s="15">
        <v>0</v>
      </c>
      <c r="AA238" s="15" cm="1">
        <f t="array" ref="AA238">_xlfn.LET(_xlpm.result, Common_InputFunctions.Utility_LookupValueInTableTwoColumns(Y238, _xlfn.IFS(Y238="Urea",IF($O238="", "Global", $O238), Y238="Ammonia", IF($P238="", "Global", $P238), TRUE, "Global"), Table_SourceData_Scope3_InorganicFertiliser[Chemical compound],Table_SourceData_Scope3_InorganicFertiliser[Region of origin],Table_SourceData_Scope3_InorganicFertiliser[Emissions intensity]), IF(_xlpm.result="", 0, _xlpm.result))</f>
        <v>0</v>
      </c>
      <c r="AB238" s="76"/>
      <c r="AC238" s="15" t="str">
        <v/>
      </c>
      <c r="AD238" s="15">
        <v>0</v>
      </c>
      <c r="AE238" s="15" cm="1">
        <f t="array" ref="AE238">_xlfn.LET(_xlpm.result, Common_InputFunctions.Utility_LookupValueInTableTwoColumns(AC238, _xlfn.IFS(AC238="Urea",IF($O238="", "Global", $O238), AC238="Ammonia", IF($P238="", "Global", $P238), TRUE, "Global"), Table_SourceData_Scope3_InorganicFertiliser[Chemical compound],Table_SourceData_Scope3_InorganicFertiliser[Region of origin],Table_SourceData_Scope3_InorganicFertiliser[Emissions intensity]), IF(_xlpm.result="", 0, _xlpm.result))</f>
        <v>0</v>
      </c>
      <c r="AF238" s="76"/>
      <c r="AG238" s="15" t="str">
        <v/>
      </c>
      <c r="AH238" s="15">
        <v>0</v>
      </c>
      <c r="AI238" s="15" cm="1">
        <f t="array" ref="AI238">_xlfn.LET(_xlpm.result, Common_InputFunctions.Utility_LookupValueInTableTwoColumns(AG238, _xlfn.IFS(AG238="Urea",IF($O238="", "Global", $O238), AG238="Ammonia", IF($P238="", "Global", $P238), TRUE, "Global"), Table_SourceData_Scope3_InorganicFertiliser[Chemical compound],Table_SourceData_Scope3_InorganicFertiliser[Region of origin],Table_SourceData_Scope3_InorganicFertiliser[Emissions intensity]), IF(_xlpm.result="", 0, _xlpm.result))</f>
        <v>0</v>
      </c>
      <c r="AJ238" s="76"/>
      <c r="AK238" s="15" t="str">
        <v/>
      </c>
      <c r="AL238" s="15">
        <v>0</v>
      </c>
      <c r="AM238" s="15" cm="1">
        <f t="array" ref="AM238">_xlfn.LET(_xlpm.result, Common_InputFunctions.Utility_LookupValueInTableTwoColumns(AK238, _xlfn.IFS(AK238="Urea",IF($O238="", "Global", $O238), AK238="Ammonia", IF($P238="", "Global", $P238), TRUE, "Global"), Table_SourceData_Scope3_InorganicFertiliser[Chemical compound],Table_SourceData_Scope3_InorganicFertiliser[Region of origin],Table_SourceData_Scope3_InorganicFertiliser[Emissions intensity]), IF(_xlpm.result="", 0, _xlpm.result))</f>
        <v>0</v>
      </c>
      <c r="AN238" s="76"/>
    </row>
    <row r="239" spans="4:40" ht="20.100000000000001" customHeight="1" x14ac:dyDescent="0.2">
      <c r="D239" s="15">
        <v>0</v>
      </c>
      <c r="E239" s="15">
        <v>0</v>
      </c>
      <c r="F239" s="15">
        <f>(R239 * S239)+
(V239 * W239)+
(Z239 * AA239)+
(AD239 * AE239)+
(AH239 * AI239)+
(AL239 * AM239)</f>
        <v>0</v>
      </c>
      <c r="G239" s="257">
        <f>((E239 * F239) * 10 ^ -3)</f>
        <v>0</v>
      </c>
      <c r="H239" s="15">
        <f>((R239 * $E239) * S239 * 10 ^ -3)+
((V239 * $E239) * W239 * 10 ^ -3)+
((Z239 * $E239) * AA239 * 10 ^ -3)+
((AD239 * $E239) * AE239 * 10 ^ -3)+
((AH239 * $E239) * AI239 * 10 ^ -3)+
((AL239 * $E239) * AM239 * 10 ^ -3)</f>
        <v>0</v>
      </c>
      <c r="I239" s="76"/>
      <c r="J239" s="257">
        <f>((E239 * I239) * 10 ^ -3)</f>
        <v>0</v>
      </c>
      <c r="K239" s="257">
        <f>((R239 * $E239) * (IF(T239,T239,S239)) * 10 ^ -3)+
((V239 * $E239) * (IF(X239,X239,W239)) * 10 ^ -3)+
((Z239 * $E239) * (IF(AB239,AB239,AA239)) * 10 ^ -3)+
((AD239 * $E239) * (IF(AF239,AF239,AE239)) * 10 ^ -3)+
((AH239 * $E239) * (IF(AJ239,AJ239,AI239)) * 10 ^ -3)+
((AL239 * $E239) * (IF(AN239,AN239,AM239)) * 10 ^ -3)</f>
        <v>0</v>
      </c>
      <c r="L239" s="34"/>
      <c r="M239" s="13"/>
      <c r="N239" s="34"/>
      <c r="O239" s="15" t="str">
        <v/>
      </c>
      <c r="P239" s="15" t="str">
        <v/>
      </c>
      <c r="Q239" s="15" t="str">
        <v/>
      </c>
      <c r="R239" s="15">
        <v>0</v>
      </c>
      <c r="S239" s="15" cm="1">
        <f t="array" ref="S239">_xlfn.LET(_xlpm.result, Common_InputFunctions.Utility_LookupValueInTableTwoColumns(Q239, _xlfn.IFS(Q239="Urea",IF($O239="", "Global", $O239), Q239="Ammonia", IF($P239="", "Global", $P239), TRUE, "Global"), Table_SourceData_Scope3_InorganicFertiliser[Chemical compound],Table_SourceData_Scope3_InorganicFertiliser[Region of origin],Table_SourceData_Scope3_InorganicFertiliser[Emissions intensity]), IF(_xlpm.result="", 0, _xlpm.result))</f>
        <v>0</v>
      </c>
      <c r="T239" s="76"/>
      <c r="U239" s="15" t="str">
        <v/>
      </c>
      <c r="V239" s="15">
        <v>0</v>
      </c>
      <c r="W239" s="15" cm="1">
        <f t="array" ref="W239">_xlfn.LET(_xlpm.result, Common_InputFunctions.Utility_LookupValueInTableTwoColumns(U239, _xlfn.IFS(U239="Urea",IF($O239="", "Global", $O239), U239="Ammonia", IF($P239="", "Global", $P239), TRUE, "Global"), Table_SourceData_Scope3_InorganicFertiliser[Chemical compound],Table_SourceData_Scope3_InorganicFertiliser[Region of origin],Table_SourceData_Scope3_InorganicFertiliser[Emissions intensity]), IF(_xlpm.result="", 0, _xlpm.result))</f>
        <v>0</v>
      </c>
      <c r="X239" s="76"/>
      <c r="Y239" s="15" t="str">
        <v/>
      </c>
      <c r="Z239" s="15">
        <v>0</v>
      </c>
      <c r="AA239" s="15" cm="1">
        <f t="array" ref="AA239">_xlfn.LET(_xlpm.result, Common_InputFunctions.Utility_LookupValueInTableTwoColumns(Y239, _xlfn.IFS(Y239="Urea",IF($O239="", "Global", $O239), Y239="Ammonia", IF($P239="", "Global", $P239), TRUE, "Global"), Table_SourceData_Scope3_InorganicFertiliser[Chemical compound],Table_SourceData_Scope3_InorganicFertiliser[Region of origin],Table_SourceData_Scope3_InorganicFertiliser[Emissions intensity]), IF(_xlpm.result="", 0, _xlpm.result))</f>
        <v>0</v>
      </c>
      <c r="AB239" s="76"/>
      <c r="AC239" s="15" t="str">
        <v/>
      </c>
      <c r="AD239" s="15">
        <v>0</v>
      </c>
      <c r="AE239" s="15" cm="1">
        <f t="array" ref="AE239">_xlfn.LET(_xlpm.result, Common_InputFunctions.Utility_LookupValueInTableTwoColumns(AC239, _xlfn.IFS(AC239="Urea",IF($O239="", "Global", $O239), AC239="Ammonia", IF($P239="", "Global", $P239), TRUE, "Global"), Table_SourceData_Scope3_InorganicFertiliser[Chemical compound],Table_SourceData_Scope3_InorganicFertiliser[Region of origin],Table_SourceData_Scope3_InorganicFertiliser[Emissions intensity]), IF(_xlpm.result="", 0, _xlpm.result))</f>
        <v>0</v>
      </c>
      <c r="AF239" s="76"/>
      <c r="AG239" s="15" t="str">
        <v/>
      </c>
      <c r="AH239" s="15">
        <v>0</v>
      </c>
      <c r="AI239" s="15" cm="1">
        <f t="array" ref="AI239">_xlfn.LET(_xlpm.result, Common_InputFunctions.Utility_LookupValueInTableTwoColumns(AG239, _xlfn.IFS(AG239="Urea",IF($O239="", "Global", $O239), AG239="Ammonia", IF($P239="", "Global", $P239), TRUE, "Global"), Table_SourceData_Scope3_InorganicFertiliser[Chemical compound],Table_SourceData_Scope3_InorganicFertiliser[Region of origin],Table_SourceData_Scope3_InorganicFertiliser[Emissions intensity]), IF(_xlpm.result="", 0, _xlpm.result))</f>
        <v>0</v>
      </c>
      <c r="AJ239" s="76"/>
      <c r="AK239" s="15" t="str">
        <v/>
      </c>
      <c r="AL239" s="15">
        <v>0</v>
      </c>
      <c r="AM239" s="15" cm="1">
        <f t="array" ref="AM239">_xlfn.LET(_xlpm.result, Common_InputFunctions.Utility_LookupValueInTableTwoColumns(AK239, _xlfn.IFS(AK239="Urea",IF($O239="", "Global", $O239), AK239="Ammonia", IF($P239="", "Global", $P239), TRUE, "Global"), Table_SourceData_Scope3_InorganicFertiliser[Chemical compound],Table_SourceData_Scope3_InorganicFertiliser[Region of origin],Table_SourceData_Scope3_InorganicFertiliser[Emissions intensity]), IF(_xlpm.result="", 0, _xlpm.result))</f>
        <v>0</v>
      </c>
      <c r="AN239" s="76"/>
    </row>
    <row r="240" spans="4:40" ht="20.100000000000001" customHeight="1" x14ac:dyDescent="0.2">
      <c r="D240" s="15">
        <v>0</v>
      </c>
      <c r="E240" s="15">
        <v>0</v>
      </c>
      <c r="F240" s="15">
        <f>(R240 * S240)+
(V240 * W240)+
(Z240 * AA240)+
(AD240 * AE240)+
(AH240 * AI240)+
(AL240 * AM240)</f>
        <v>0</v>
      </c>
      <c r="G240" s="257">
        <f>((E240 * F240) * 10 ^ -3)</f>
        <v>0</v>
      </c>
      <c r="H240" s="15">
        <f>((R240 * $E240) * S240 * 10 ^ -3)+
((V240 * $E240) * W240 * 10 ^ -3)+
((Z240 * $E240) * AA240 * 10 ^ -3)+
((AD240 * $E240) * AE240 * 10 ^ -3)+
((AH240 * $E240) * AI240 * 10 ^ -3)+
((AL240 * $E240) * AM240 * 10 ^ -3)</f>
        <v>0</v>
      </c>
      <c r="I240" s="76"/>
      <c r="J240" s="257">
        <f>((E240 * I240) * 10 ^ -3)</f>
        <v>0</v>
      </c>
      <c r="K240" s="257">
        <f>((R240 * $E240) * (IF(T240,T240,S240)) * 10 ^ -3)+
((V240 * $E240) * (IF(X240,X240,W240)) * 10 ^ -3)+
((Z240 * $E240) * (IF(AB240,AB240,AA240)) * 10 ^ -3)+
((AD240 * $E240) * (IF(AF240,AF240,AE240)) * 10 ^ -3)+
((AH240 * $E240) * (IF(AJ240,AJ240,AI240)) * 10 ^ -3)+
((AL240 * $E240) * (IF(AN240,AN240,AM240)) * 10 ^ -3)</f>
        <v>0</v>
      </c>
      <c r="L240" s="34"/>
      <c r="M240" s="13"/>
      <c r="N240" s="34"/>
      <c r="O240" s="15" t="str">
        <v/>
      </c>
      <c r="P240" s="15" t="str">
        <v/>
      </c>
      <c r="Q240" s="15" t="str">
        <v/>
      </c>
      <c r="R240" s="15">
        <v>0</v>
      </c>
      <c r="S240" s="15" cm="1">
        <f t="array" ref="S240">_xlfn.LET(_xlpm.result, Common_InputFunctions.Utility_LookupValueInTableTwoColumns(Q240, _xlfn.IFS(Q240="Urea",IF($O240="", "Global", $O240), Q240="Ammonia", IF($P240="", "Global", $P240), TRUE, "Global"), Table_SourceData_Scope3_InorganicFertiliser[Chemical compound],Table_SourceData_Scope3_InorganicFertiliser[Region of origin],Table_SourceData_Scope3_InorganicFertiliser[Emissions intensity]), IF(_xlpm.result="", 0, _xlpm.result))</f>
        <v>0</v>
      </c>
      <c r="T240" s="76"/>
      <c r="U240" s="15" t="str">
        <v/>
      </c>
      <c r="V240" s="15">
        <v>0</v>
      </c>
      <c r="W240" s="15" cm="1">
        <f t="array" ref="W240">_xlfn.LET(_xlpm.result, Common_InputFunctions.Utility_LookupValueInTableTwoColumns(U240, _xlfn.IFS(U240="Urea",IF($O240="", "Global", $O240), U240="Ammonia", IF($P240="", "Global", $P240), TRUE, "Global"), Table_SourceData_Scope3_InorganicFertiliser[Chemical compound],Table_SourceData_Scope3_InorganicFertiliser[Region of origin],Table_SourceData_Scope3_InorganicFertiliser[Emissions intensity]), IF(_xlpm.result="", 0, _xlpm.result))</f>
        <v>0</v>
      </c>
      <c r="X240" s="76"/>
      <c r="Y240" s="15" t="str">
        <v/>
      </c>
      <c r="Z240" s="15">
        <v>0</v>
      </c>
      <c r="AA240" s="15" cm="1">
        <f t="array" ref="AA240">_xlfn.LET(_xlpm.result, Common_InputFunctions.Utility_LookupValueInTableTwoColumns(Y240, _xlfn.IFS(Y240="Urea",IF($O240="", "Global", $O240), Y240="Ammonia", IF($P240="", "Global", $P240), TRUE, "Global"), Table_SourceData_Scope3_InorganicFertiliser[Chemical compound],Table_SourceData_Scope3_InorganicFertiliser[Region of origin],Table_SourceData_Scope3_InorganicFertiliser[Emissions intensity]), IF(_xlpm.result="", 0, _xlpm.result))</f>
        <v>0</v>
      </c>
      <c r="AB240" s="76"/>
      <c r="AC240" s="15" t="str">
        <v/>
      </c>
      <c r="AD240" s="15">
        <v>0</v>
      </c>
      <c r="AE240" s="15" cm="1">
        <f t="array" ref="AE240">_xlfn.LET(_xlpm.result, Common_InputFunctions.Utility_LookupValueInTableTwoColumns(AC240, _xlfn.IFS(AC240="Urea",IF($O240="", "Global", $O240), AC240="Ammonia", IF($P240="", "Global", $P240), TRUE, "Global"), Table_SourceData_Scope3_InorganicFertiliser[Chemical compound],Table_SourceData_Scope3_InorganicFertiliser[Region of origin],Table_SourceData_Scope3_InorganicFertiliser[Emissions intensity]), IF(_xlpm.result="", 0, _xlpm.result))</f>
        <v>0</v>
      </c>
      <c r="AF240" s="76"/>
      <c r="AG240" s="15" t="str">
        <v/>
      </c>
      <c r="AH240" s="15">
        <v>0</v>
      </c>
      <c r="AI240" s="15" cm="1">
        <f t="array" ref="AI240">_xlfn.LET(_xlpm.result, Common_InputFunctions.Utility_LookupValueInTableTwoColumns(AG240, _xlfn.IFS(AG240="Urea",IF($O240="", "Global", $O240), AG240="Ammonia", IF($P240="", "Global", $P240), TRUE, "Global"), Table_SourceData_Scope3_InorganicFertiliser[Chemical compound],Table_SourceData_Scope3_InorganicFertiliser[Region of origin],Table_SourceData_Scope3_InorganicFertiliser[Emissions intensity]), IF(_xlpm.result="", 0, _xlpm.result))</f>
        <v>0</v>
      </c>
      <c r="AJ240" s="76"/>
      <c r="AK240" s="15" t="str">
        <v/>
      </c>
      <c r="AL240" s="15">
        <v>0</v>
      </c>
      <c r="AM240" s="15" cm="1">
        <f t="array" ref="AM240">_xlfn.LET(_xlpm.result, Common_InputFunctions.Utility_LookupValueInTableTwoColumns(AK240, _xlfn.IFS(AK240="Urea",IF($O240="", "Global", $O240), AK240="Ammonia", IF($P240="", "Global", $P240), TRUE, "Global"), Table_SourceData_Scope3_InorganicFertiliser[Chemical compound],Table_SourceData_Scope3_InorganicFertiliser[Region of origin],Table_SourceData_Scope3_InorganicFertiliser[Emissions intensity]), IF(_xlpm.result="", 0, _xlpm.result))</f>
        <v>0</v>
      </c>
      <c r="AN240" s="76"/>
    </row>
    <row r="241" spans="4:40" ht="20.100000000000001" customHeight="1" x14ac:dyDescent="0.2">
      <c r="D241" s="15">
        <v>0</v>
      </c>
      <c r="E241" s="15">
        <v>0</v>
      </c>
      <c r="F241" s="15">
        <f>(R241 * S241)+
(V241 * W241)+
(Z241 * AA241)+
(AD241 * AE241)+
(AH241 * AI241)+
(AL241 * AM241)</f>
        <v>0</v>
      </c>
      <c r="G241" s="257">
        <f>((E241 * F241) * 10 ^ -3)</f>
        <v>0</v>
      </c>
      <c r="H241" s="15">
        <f>((R241 * $E241) * S241 * 10 ^ -3)+
((V241 * $E241) * W241 * 10 ^ -3)+
((Z241 * $E241) * AA241 * 10 ^ -3)+
((AD241 * $E241) * AE241 * 10 ^ -3)+
((AH241 * $E241) * AI241 * 10 ^ -3)+
((AL241 * $E241) * AM241 * 10 ^ -3)</f>
        <v>0</v>
      </c>
      <c r="I241" s="76"/>
      <c r="J241" s="257">
        <f>((E241 * I241) * 10 ^ -3)</f>
        <v>0</v>
      </c>
      <c r="K241" s="257">
        <f>((R241 * $E241) * (IF(T241,T241,S241)) * 10 ^ -3)+
((V241 * $E241) * (IF(X241,X241,W241)) * 10 ^ -3)+
((Z241 * $E241) * (IF(AB241,AB241,AA241)) * 10 ^ -3)+
((AD241 * $E241) * (IF(AF241,AF241,AE241)) * 10 ^ -3)+
((AH241 * $E241) * (IF(AJ241,AJ241,AI241)) * 10 ^ -3)+
((AL241 * $E241) * (IF(AN241,AN241,AM241)) * 10 ^ -3)</f>
        <v>0</v>
      </c>
      <c r="L241" s="34"/>
      <c r="M241" s="13"/>
      <c r="N241" s="34"/>
      <c r="O241" s="15" t="str">
        <v/>
      </c>
      <c r="P241" s="15" t="str">
        <v/>
      </c>
      <c r="Q241" s="15" t="str">
        <v/>
      </c>
      <c r="R241" s="15">
        <v>0</v>
      </c>
      <c r="S241" s="15" cm="1">
        <f t="array" ref="S241">_xlfn.LET(_xlpm.result, Common_InputFunctions.Utility_LookupValueInTableTwoColumns(Q241, _xlfn.IFS(Q241="Urea",IF($O241="", "Global", $O241), Q241="Ammonia", IF($P241="", "Global", $P241), TRUE, "Global"), Table_SourceData_Scope3_InorganicFertiliser[Chemical compound],Table_SourceData_Scope3_InorganicFertiliser[Region of origin],Table_SourceData_Scope3_InorganicFertiliser[Emissions intensity]), IF(_xlpm.result="", 0, _xlpm.result))</f>
        <v>0</v>
      </c>
      <c r="T241" s="76"/>
      <c r="U241" s="15" t="str">
        <v/>
      </c>
      <c r="V241" s="15">
        <v>0</v>
      </c>
      <c r="W241" s="15" cm="1">
        <f t="array" ref="W241">_xlfn.LET(_xlpm.result, Common_InputFunctions.Utility_LookupValueInTableTwoColumns(U241, _xlfn.IFS(U241="Urea",IF($O241="", "Global", $O241), U241="Ammonia", IF($P241="", "Global", $P241), TRUE, "Global"), Table_SourceData_Scope3_InorganicFertiliser[Chemical compound],Table_SourceData_Scope3_InorganicFertiliser[Region of origin],Table_SourceData_Scope3_InorganicFertiliser[Emissions intensity]), IF(_xlpm.result="", 0, _xlpm.result))</f>
        <v>0</v>
      </c>
      <c r="X241" s="76"/>
      <c r="Y241" s="15" t="str">
        <v/>
      </c>
      <c r="Z241" s="15">
        <v>0</v>
      </c>
      <c r="AA241" s="15" cm="1">
        <f t="array" ref="AA241">_xlfn.LET(_xlpm.result, Common_InputFunctions.Utility_LookupValueInTableTwoColumns(Y241, _xlfn.IFS(Y241="Urea",IF($O241="", "Global", $O241), Y241="Ammonia", IF($P241="", "Global", $P241), TRUE, "Global"), Table_SourceData_Scope3_InorganicFertiliser[Chemical compound],Table_SourceData_Scope3_InorganicFertiliser[Region of origin],Table_SourceData_Scope3_InorganicFertiliser[Emissions intensity]), IF(_xlpm.result="", 0, _xlpm.result))</f>
        <v>0</v>
      </c>
      <c r="AB241" s="76"/>
      <c r="AC241" s="15" t="str">
        <v/>
      </c>
      <c r="AD241" s="15">
        <v>0</v>
      </c>
      <c r="AE241" s="15" cm="1">
        <f t="array" ref="AE241">_xlfn.LET(_xlpm.result, Common_InputFunctions.Utility_LookupValueInTableTwoColumns(AC241, _xlfn.IFS(AC241="Urea",IF($O241="", "Global", $O241), AC241="Ammonia", IF($P241="", "Global", $P241), TRUE, "Global"), Table_SourceData_Scope3_InorganicFertiliser[Chemical compound],Table_SourceData_Scope3_InorganicFertiliser[Region of origin],Table_SourceData_Scope3_InorganicFertiliser[Emissions intensity]), IF(_xlpm.result="", 0, _xlpm.result))</f>
        <v>0</v>
      </c>
      <c r="AF241" s="76"/>
      <c r="AG241" s="15" t="str">
        <v/>
      </c>
      <c r="AH241" s="15">
        <v>0</v>
      </c>
      <c r="AI241" s="15" cm="1">
        <f t="array" ref="AI241">_xlfn.LET(_xlpm.result, Common_InputFunctions.Utility_LookupValueInTableTwoColumns(AG241, _xlfn.IFS(AG241="Urea",IF($O241="", "Global", $O241), AG241="Ammonia", IF($P241="", "Global", $P241), TRUE, "Global"), Table_SourceData_Scope3_InorganicFertiliser[Chemical compound],Table_SourceData_Scope3_InorganicFertiliser[Region of origin],Table_SourceData_Scope3_InorganicFertiliser[Emissions intensity]), IF(_xlpm.result="", 0, _xlpm.result))</f>
        <v>0</v>
      </c>
      <c r="AJ241" s="76"/>
      <c r="AK241" s="15" t="str">
        <v/>
      </c>
      <c r="AL241" s="15">
        <v>0</v>
      </c>
      <c r="AM241" s="15" cm="1">
        <f t="array" ref="AM241">_xlfn.LET(_xlpm.result, Common_InputFunctions.Utility_LookupValueInTableTwoColumns(AK241, _xlfn.IFS(AK241="Urea",IF($O241="", "Global", $O241), AK241="Ammonia", IF($P241="", "Global", $P241), TRUE, "Global"), Table_SourceData_Scope3_InorganicFertiliser[Chemical compound],Table_SourceData_Scope3_InorganicFertiliser[Region of origin],Table_SourceData_Scope3_InorganicFertiliser[Emissions intensity]), IF(_xlpm.result="", 0, _xlpm.result))</f>
        <v>0</v>
      </c>
      <c r="AN241" s="76"/>
    </row>
    <row r="242" spans="4:40" ht="20.100000000000001" customHeight="1" x14ac:dyDescent="0.2">
      <c r="D242" s="15">
        <v>0</v>
      </c>
      <c r="E242" s="15">
        <v>0</v>
      </c>
      <c r="F242" s="15">
        <f>(R242 * S242)+
(V242 * W242)+
(Z242 * AA242)+
(AD242 * AE242)+
(AH242 * AI242)+
(AL242 * AM242)</f>
        <v>0</v>
      </c>
      <c r="G242" s="257">
        <f>((E242 * F242) * 10 ^ -3)</f>
        <v>0</v>
      </c>
      <c r="H242" s="15">
        <f>((R242 * $E242) * S242 * 10 ^ -3)+
((V242 * $E242) * W242 * 10 ^ -3)+
((Z242 * $E242) * AA242 * 10 ^ -3)+
((AD242 * $E242) * AE242 * 10 ^ -3)+
((AH242 * $E242) * AI242 * 10 ^ -3)+
((AL242 * $E242) * AM242 * 10 ^ -3)</f>
        <v>0</v>
      </c>
      <c r="I242" s="76"/>
      <c r="J242" s="257">
        <f>((E242 * I242) * 10 ^ -3)</f>
        <v>0</v>
      </c>
      <c r="K242" s="257">
        <f>((R242 * $E242) * (IF(T242,T242,S242)) * 10 ^ -3)+
((V242 * $E242) * (IF(X242,X242,W242)) * 10 ^ -3)+
((Z242 * $E242) * (IF(AB242,AB242,AA242)) * 10 ^ -3)+
((AD242 * $E242) * (IF(AF242,AF242,AE242)) * 10 ^ -3)+
((AH242 * $E242) * (IF(AJ242,AJ242,AI242)) * 10 ^ -3)+
((AL242 * $E242) * (IF(AN242,AN242,AM242)) * 10 ^ -3)</f>
        <v>0</v>
      </c>
      <c r="L242" s="34"/>
      <c r="M242" s="13"/>
      <c r="N242" s="34"/>
      <c r="O242" s="15" t="str">
        <v/>
      </c>
      <c r="P242" s="15" t="str">
        <v/>
      </c>
      <c r="Q242" s="15" t="str">
        <v/>
      </c>
      <c r="R242" s="15">
        <v>0</v>
      </c>
      <c r="S242" s="15" cm="1">
        <f t="array" ref="S242">_xlfn.LET(_xlpm.result, Common_InputFunctions.Utility_LookupValueInTableTwoColumns(Q242, _xlfn.IFS(Q242="Urea",IF($O242="", "Global", $O242), Q242="Ammonia", IF($P242="", "Global", $P242), TRUE, "Global"), Table_SourceData_Scope3_InorganicFertiliser[Chemical compound],Table_SourceData_Scope3_InorganicFertiliser[Region of origin],Table_SourceData_Scope3_InorganicFertiliser[Emissions intensity]), IF(_xlpm.result="", 0, _xlpm.result))</f>
        <v>0</v>
      </c>
      <c r="T242" s="76"/>
      <c r="U242" s="15" t="str">
        <v/>
      </c>
      <c r="V242" s="15">
        <v>0</v>
      </c>
      <c r="W242" s="15" cm="1">
        <f t="array" ref="W242">_xlfn.LET(_xlpm.result, Common_InputFunctions.Utility_LookupValueInTableTwoColumns(U242, _xlfn.IFS(U242="Urea",IF($O242="", "Global", $O242), U242="Ammonia", IF($P242="", "Global", $P242), TRUE, "Global"), Table_SourceData_Scope3_InorganicFertiliser[Chemical compound],Table_SourceData_Scope3_InorganicFertiliser[Region of origin],Table_SourceData_Scope3_InorganicFertiliser[Emissions intensity]), IF(_xlpm.result="", 0, _xlpm.result))</f>
        <v>0</v>
      </c>
      <c r="X242" s="76"/>
      <c r="Y242" s="15" t="str">
        <v/>
      </c>
      <c r="Z242" s="15">
        <v>0</v>
      </c>
      <c r="AA242" s="15" cm="1">
        <f t="array" ref="AA242">_xlfn.LET(_xlpm.result, Common_InputFunctions.Utility_LookupValueInTableTwoColumns(Y242, _xlfn.IFS(Y242="Urea",IF($O242="", "Global", $O242), Y242="Ammonia", IF($P242="", "Global", $P242), TRUE, "Global"), Table_SourceData_Scope3_InorganicFertiliser[Chemical compound],Table_SourceData_Scope3_InorganicFertiliser[Region of origin],Table_SourceData_Scope3_InorganicFertiliser[Emissions intensity]), IF(_xlpm.result="", 0, _xlpm.result))</f>
        <v>0</v>
      </c>
      <c r="AB242" s="76"/>
      <c r="AC242" s="15" t="str">
        <v/>
      </c>
      <c r="AD242" s="15">
        <v>0</v>
      </c>
      <c r="AE242" s="15" cm="1">
        <f t="array" ref="AE242">_xlfn.LET(_xlpm.result, Common_InputFunctions.Utility_LookupValueInTableTwoColumns(AC242, _xlfn.IFS(AC242="Urea",IF($O242="", "Global", $O242), AC242="Ammonia", IF($P242="", "Global", $P242), TRUE, "Global"), Table_SourceData_Scope3_InorganicFertiliser[Chemical compound],Table_SourceData_Scope3_InorganicFertiliser[Region of origin],Table_SourceData_Scope3_InorganicFertiliser[Emissions intensity]), IF(_xlpm.result="", 0, _xlpm.result))</f>
        <v>0</v>
      </c>
      <c r="AF242" s="76"/>
      <c r="AG242" s="15" t="str">
        <v/>
      </c>
      <c r="AH242" s="15">
        <v>0</v>
      </c>
      <c r="AI242" s="15" cm="1">
        <f t="array" ref="AI242">_xlfn.LET(_xlpm.result, Common_InputFunctions.Utility_LookupValueInTableTwoColumns(AG242, _xlfn.IFS(AG242="Urea",IF($O242="", "Global", $O242), AG242="Ammonia", IF($P242="", "Global", $P242), TRUE, "Global"), Table_SourceData_Scope3_InorganicFertiliser[Chemical compound],Table_SourceData_Scope3_InorganicFertiliser[Region of origin],Table_SourceData_Scope3_InorganicFertiliser[Emissions intensity]), IF(_xlpm.result="", 0, _xlpm.result))</f>
        <v>0</v>
      </c>
      <c r="AJ242" s="76"/>
      <c r="AK242" s="15" t="str">
        <v/>
      </c>
      <c r="AL242" s="15">
        <v>0</v>
      </c>
      <c r="AM242" s="15" cm="1">
        <f t="array" ref="AM242">_xlfn.LET(_xlpm.result, Common_InputFunctions.Utility_LookupValueInTableTwoColumns(AK242, _xlfn.IFS(AK242="Urea",IF($O242="", "Global", $O242), AK242="Ammonia", IF($P242="", "Global", $P242), TRUE, "Global"), Table_SourceData_Scope3_InorganicFertiliser[Chemical compound],Table_SourceData_Scope3_InorganicFertiliser[Region of origin],Table_SourceData_Scope3_InorganicFertiliser[Emissions intensity]), IF(_xlpm.result="", 0, _xlpm.result))</f>
        <v>0</v>
      </c>
      <c r="AN242" s="76"/>
    </row>
    <row r="243" spans="4:40" ht="20.100000000000001" customHeight="1" x14ac:dyDescent="0.2">
      <c r="D243" s="15">
        <v>0</v>
      </c>
      <c r="E243" s="15">
        <v>0</v>
      </c>
      <c r="F243" s="15">
        <f>(R243 * S243)+
(V243 * W243)+
(Z243 * AA243)+
(AD243 * AE243)+
(AH243 * AI243)+
(AL243 * AM243)</f>
        <v>0</v>
      </c>
      <c r="G243" s="257">
        <f>((E243 * F243) * 10 ^ -3)</f>
        <v>0</v>
      </c>
      <c r="H243" s="15">
        <f>((R243 * $E243) * S243 * 10 ^ -3)+
((V243 * $E243) * W243 * 10 ^ -3)+
((Z243 * $E243) * AA243 * 10 ^ -3)+
((AD243 * $E243) * AE243 * 10 ^ -3)+
((AH243 * $E243) * AI243 * 10 ^ -3)+
((AL243 * $E243) * AM243 * 10 ^ -3)</f>
        <v>0</v>
      </c>
      <c r="I243" s="76"/>
      <c r="J243" s="257">
        <f>((E243 * I243) * 10 ^ -3)</f>
        <v>0</v>
      </c>
      <c r="K243" s="257">
        <f>((R243 * $E243) * (IF(T243,T243,S243)) * 10 ^ -3)+
((V243 * $E243) * (IF(X243,X243,W243)) * 10 ^ -3)+
((Z243 * $E243) * (IF(AB243,AB243,AA243)) * 10 ^ -3)+
((AD243 * $E243) * (IF(AF243,AF243,AE243)) * 10 ^ -3)+
((AH243 * $E243) * (IF(AJ243,AJ243,AI243)) * 10 ^ -3)+
((AL243 * $E243) * (IF(AN243,AN243,AM243)) * 10 ^ -3)</f>
        <v>0</v>
      </c>
      <c r="L243" s="34"/>
      <c r="M243" s="13"/>
      <c r="N243" s="34"/>
      <c r="O243" s="15" t="str">
        <v/>
      </c>
      <c r="P243" s="15" t="str">
        <v/>
      </c>
      <c r="Q243" s="15" t="str">
        <v/>
      </c>
      <c r="R243" s="15">
        <v>0</v>
      </c>
      <c r="S243" s="15" cm="1">
        <f t="array" ref="S243">_xlfn.LET(_xlpm.result, Common_InputFunctions.Utility_LookupValueInTableTwoColumns(Q243, _xlfn.IFS(Q243="Urea",IF($O243="", "Global", $O243), Q243="Ammonia", IF($P243="", "Global", $P243), TRUE, "Global"), Table_SourceData_Scope3_InorganicFertiliser[Chemical compound],Table_SourceData_Scope3_InorganicFertiliser[Region of origin],Table_SourceData_Scope3_InorganicFertiliser[Emissions intensity]), IF(_xlpm.result="", 0, _xlpm.result))</f>
        <v>0</v>
      </c>
      <c r="T243" s="76"/>
      <c r="U243" s="15" t="str">
        <v/>
      </c>
      <c r="V243" s="15">
        <v>0</v>
      </c>
      <c r="W243" s="15" cm="1">
        <f t="array" ref="W243">_xlfn.LET(_xlpm.result, Common_InputFunctions.Utility_LookupValueInTableTwoColumns(U243, _xlfn.IFS(U243="Urea",IF($O243="", "Global", $O243), U243="Ammonia", IF($P243="", "Global", $P243), TRUE, "Global"), Table_SourceData_Scope3_InorganicFertiliser[Chemical compound],Table_SourceData_Scope3_InorganicFertiliser[Region of origin],Table_SourceData_Scope3_InorganicFertiliser[Emissions intensity]), IF(_xlpm.result="", 0, _xlpm.result))</f>
        <v>0</v>
      </c>
      <c r="X243" s="76"/>
      <c r="Y243" s="15" t="str">
        <v/>
      </c>
      <c r="Z243" s="15">
        <v>0</v>
      </c>
      <c r="AA243" s="15" cm="1">
        <f t="array" ref="AA243">_xlfn.LET(_xlpm.result, Common_InputFunctions.Utility_LookupValueInTableTwoColumns(Y243, _xlfn.IFS(Y243="Urea",IF($O243="", "Global", $O243), Y243="Ammonia", IF($P243="", "Global", $P243), TRUE, "Global"), Table_SourceData_Scope3_InorganicFertiliser[Chemical compound],Table_SourceData_Scope3_InorganicFertiliser[Region of origin],Table_SourceData_Scope3_InorganicFertiliser[Emissions intensity]), IF(_xlpm.result="", 0, _xlpm.result))</f>
        <v>0</v>
      </c>
      <c r="AB243" s="76"/>
      <c r="AC243" s="15" t="str">
        <v/>
      </c>
      <c r="AD243" s="15">
        <v>0</v>
      </c>
      <c r="AE243" s="15" cm="1">
        <f t="array" ref="AE243">_xlfn.LET(_xlpm.result, Common_InputFunctions.Utility_LookupValueInTableTwoColumns(AC243, _xlfn.IFS(AC243="Urea",IF($O243="", "Global", $O243), AC243="Ammonia", IF($P243="", "Global", $P243), TRUE, "Global"), Table_SourceData_Scope3_InorganicFertiliser[Chemical compound],Table_SourceData_Scope3_InorganicFertiliser[Region of origin],Table_SourceData_Scope3_InorganicFertiliser[Emissions intensity]), IF(_xlpm.result="", 0, _xlpm.result))</f>
        <v>0</v>
      </c>
      <c r="AF243" s="76"/>
      <c r="AG243" s="15" t="str">
        <v/>
      </c>
      <c r="AH243" s="15">
        <v>0</v>
      </c>
      <c r="AI243" s="15" cm="1">
        <f t="array" ref="AI243">_xlfn.LET(_xlpm.result, Common_InputFunctions.Utility_LookupValueInTableTwoColumns(AG243, _xlfn.IFS(AG243="Urea",IF($O243="", "Global", $O243), AG243="Ammonia", IF($P243="", "Global", $P243), TRUE, "Global"), Table_SourceData_Scope3_InorganicFertiliser[Chemical compound],Table_SourceData_Scope3_InorganicFertiliser[Region of origin],Table_SourceData_Scope3_InorganicFertiliser[Emissions intensity]), IF(_xlpm.result="", 0, _xlpm.result))</f>
        <v>0</v>
      </c>
      <c r="AJ243" s="76"/>
      <c r="AK243" s="15" t="str">
        <v/>
      </c>
      <c r="AL243" s="15">
        <v>0</v>
      </c>
      <c r="AM243" s="15" cm="1">
        <f t="array" ref="AM243">_xlfn.LET(_xlpm.result, Common_InputFunctions.Utility_LookupValueInTableTwoColumns(AK243, _xlfn.IFS(AK243="Urea",IF($O243="", "Global", $O243), AK243="Ammonia", IF($P243="", "Global", $P243), TRUE, "Global"), Table_SourceData_Scope3_InorganicFertiliser[Chemical compound],Table_SourceData_Scope3_InorganicFertiliser[Region of origin],Table_SourceData_Scope3_InorganicFertiliser[Emissions intensity]), IF(_xlpm.result="", 0, _xlpm.result))</f>
        <v>0</v>
      </c>
      <c r="AN243" s="76"/>
    </row>
    <row r="244" spans="4:40" ht="20.100000000000001" customHeight="1" x14ac:dyDescent="0.2">
      <c r="D244" s="15">
        <v>0</v>
      </c>
      <c r="E244" s="15">
        <v>0</v>
      </c>
      <c r="F244" s="15">
        <f>(R244 * S244)+
(V244 * W244)+
(Z244 * AA244)+
(AD244 * AE244)+
(AH244 * AI244)+
(AL244 * AM244)</f>
        <v>0</v>
      </c>
      <c r="G244" s="257">
        <f>((E244 * F244) * 10 ^ -3)</f>
        <v>0</v>
      </c>
      <c r="H244" s="15">
        <f>((R244 * $E244) * S244 * 10 ^ -3)+
((V244 * $E244) * W244 * 10 ^ -3)+
((Z244 * $E244) * AA244 * 10 ^ -3)+
((AD244 * $E244) * AE244 * 10 ^ -3)+
((AH244 * $E244) * AI244 * 10 ^ -3)+
((AL244 * $E244) * AM244 * 10 ^ -3)</f>
        <v>0</v>
      </c>
      <c r="I244" s="76"/>
      <c r="J244" s="257">
        <f>((E244 * I244) * 10 ^ -3)</f>
        <v>0</v>
      </c>
      <c r="K244" s="257">
        <f>((R244 * $E244) * (IF(T244,T244,S244)) * 10 ^ -3)+
((V244 * $E244) * (IF(X244,X244,W244)) * 10 ^ -3)+
((Z244 * $E244) * (IF(AB244,AB244,AA244)) * 10 ^ -3)+
((AD244 * $E244) * (IF(AF244,AF244,AE244)) * 10 ^ -3)+
((AH244 * $E244) * (IF(AJ244,AJ244,AI244)) * 10 ^ -3)+
((AL244 * $E244) * (IF(AN244,AN244,AM244)) * 10 ^ -3)</f>
        <v>0</v>
      </c>
      <c r="L244" s="34"/>
      <c r="M244" s="13"/>
      <c r="N244" s="34"/>
      <c r="O244" s="15" t="str">
        <v/>
      </c>
      <c r="P244" s="15" t="str">
        <v/>
      </c>
      <c r="Q244" s="15" t="str">
        <v/>
      </c>
      <c r="R244" s="15">
        <v>0</v>
      </c>
      <c r="S244" s="15" cm="1">
        <f t="array" ref="S244">_xlfn.LET(_xlpm.result, Common_InputFunctions.Utility_LookupValueInTableTwoColumns(Q244, _xlfn.IFS(Q244="Urea",IF($O244="", "Global", $O244), Q244="Ammonia", IF($P244="", "Global", $P244), TRUE, "Global"), Table_SourceData_Scope3_InorganicFertiliser[Chemical compound],Table_SourceData_Scope3_InorganicFertiliser[Region of origin],Table_SourceData_Scope3_InorganicFertiliser[Emissions intensity]), IF(_xlpm.result="", 0, _xlpm.result))</f>
        <v>0</v>
      </c>
      <c r="T244" s="76"/>
      <c r="U244" s="15" t="str">
        <v/>
      </c>
      <c r="V244" s="15">
        <v>0</v>
      </c>
      <c r="W244" s="15" cm="1">
        <f t="array" ref="W244">_xlfn.LET(_xlpm.result, Common_InputFunctions.Utility_LookupValueInTableTwoColumns(U244, _xlfn.IFS(U244="Urea",IF($O244="", "Global", $O244), U244="Ammonia", IF($P244="", "Global", $P244), TRUE, "Global"), Table_SourceData_Scope3_InorganicFertiliser[Chemical compound],Table_SourceData_Scope3_InorganicFertiliser[Region of origin],Table_SourceData_Scope3_InorganicFertiliser[Emissions intensity]), IF(_xlpm.result="", 0, _xlpm.result))</f>
        <v>0</v>
      </c>
      <c r="X244" s="76"/>
      <c r="Y244" s="15" t="str">
        <v/>
      </c>
      <c r="Z244" s="15">
        <v>0</v>
      </c>
      <c r="AA244" s="15" cm="1">
        <f t="array" ref="AA244">_xlfn.LET(_xlpm.result, Common_InputFunctions.Utility_LookupValueInTableTwoColumns(Y244, _xlfn.IFS(Y244="Urea",IF($O244="", "Global", $O244), Y244="Ammonia", IF($P244="", "Global", $P244), TRUE, "Global"), Table_SourceData_Scope3_InorganicFertiliser[Chemical compound],Table_SourceData_Scope3_InorganicFertiliser[Region of origin],Table_SourceData_Scope3_InorganicFertiliser[Emissions intensity]), IF(_xlpm.result="", 0, _xlpm.result))</f>
        <v>0</v>
      </c>
      <c r="AB244" s="76"/>
      <c r="AC244" s="15" t="str">
        <v/>
      </c>
      <c r="AD244" s="15">
        <v>0</v>
      </c>
      <c r="AE244" s="15" cm="1">
        <f t="array" ref="AE244">_xlfn.LET(_xlpm.result, Common_InputFunctions.Utility_LookupValueInTableTwoColumns(AC244, _xlfn.IFS(AC244="Urea",IF($O244="", "Global", $O244), AC244="Ammonia", IF($P244="", "Global", $P244), TRUE, "Global"), Table_SourceData_Scope3_InorganicFertiliser[Chemical compound],Table_SourceData_Scope3_InorganicFertiliser[Region of origin],Table_SourceData_Scope3_InorganicFertiliser[Emissions intensity]), IF(_xlpm.result="", 0, _xlpm.result))</f>
        <v>0</v>
      </c>
      <c r="AF244" s="76"/>
      <c r="AG244" s="15" t="str">
        <v/>
      </c>
      <c r="AH244" s="15">
        <v>0</v>
      </c>
      <c r="AI244" s="15" cm="1">
        <f t="array" ref="AI244">_xlfn.LET(_xlpm.result, Common_InputFunctions.Utility_LookupValueInTableTwoColumns(AG244, _xlfn.IFS(AG244="Urea",IF($O244="", "Global", $O244), AG244="Ammonia", IF($P244="", "Global", $P244), TRUE, "Global"), Table_SourceData_Scope3_InorganicFertiliser[Chemical compound],Table_SourceData_Scope3_InorganicFertiliser[Region of origin],Table_SourceData_Scope3_InorganicFertiliser[Emissions intensity]), IF(_xlpm.result="", 0, _xlpm.result))</f>
        <v>0</v>
      </c>
      <c r="AJ244" s="76"/>
      <c r="AK244" s="15" t="str">
        <v/>
      </c>
      <c r="AL244" s="15">
        <v>0</v>
      </c>
      <c r="AM244" s="15" cm="1">
        <f t="array" ref="AM244">_xlfn.LET(_xlpm.result, Common_InputFunctions.Utility_LookupValueInTableTwoColumns(AK244, _xlfn.IFS(AK244="Urea",IF($O244="", "Global", $O244), AK244="Ammonia", IF($P244="", "Global", $P244), TRUE, "Global"), Table_SourceData_Scope3_InorganicFertiliser[Chemical compound],Table_SourceData_Scope3_InorganicFertiliser[Region of origin],Table_SourceData_Scope3_InorganicFertiliser[Emissions intensity]), IF(_xlpm.result="", 0, _xlpm.result))</f>
        <v>0</v>
      </c>
      <c r="AN244" s="76"/>
    </row>
    <row r="245" spans="4:40" ht="20.100000000000001" customHeight="1" x14ac:dyDescent="0.2">
      <c r="D245" s="15">
        <v>0</v>
      </c>
      <c r="E245" s="15">
        <v>0</v>
      </c>
      <c r="F245" s="15">
        <f>(R245 * S245)+
(V245 * W245)+
(Z245 * AA245)+
(AD245 * AE245)+
(AH245 * AI245)+
(AL245 * AM245)</f>
        <v>0</v>
      </c>
      <c r="G245" s="257">
        <f>((E245 * F245) * 10 ^ -3)</f>
        <v>0</v>
      </c>
      <c r="H245" s="15">
        <f>((R245 * $E245) * S245 * 10 ^ -3)+
((V245 * $E245) * W245 * 10 ^ -3)+
((Z245 * $E245) * AA245 * 10 ^ -3)+
((AD245 * $E245) * AE245 * 10 ^ -3)+
((AH245 * $E245) * AI245 * 10 ^ -3)+
((AL245 * $E245) * AM245 * 10 ^ -3)</f>
        <v>0</v>
      </c>
      <c r="I245" s="76"/>
      <c r="J245" s="257">
        <f>((E245 * I245) * 10 ^ -3)</f>
        <v>0</v>
      </c>
      <c r="K245" s="257">
        <f>((R245 * $E245) * (IF(T245,T245,S245)) * 10 ^ -3)+
((V245 * $E245) * (IF(X245,X245,W245)) * 10 ^ -3)+
((Z245 * $E245) * (IF(AB245,AB245,AA245)) * 10 ^ -3)+
((AD245 * $E245) * (IF(AF245,AF245,AE245)) * 10 ^ -3)+
((AH245 * $E245) * (IF(AJ245,AJ245,AI245)) * 10 ^ -3)+
((AL245 * $E245) * (IF(AN245,AN245,AM245)) * 10 ^ -3)</f>
        <v>0</v>
      </c>
      <c r="L245" s="34"/>
      <c r="M245" s="13"/>
      <c r="N245" s="34"/>
      <c r="O245" s="15" t="str">
        <v/>
      </c>
      <c r="P245" s="15" t="str">
        <v/>
      </c>
      <c r="Q245" s="15" t="str">
        <v/>
      </c>
      <c r="R245" s="15">
        <v>0</v>
      </c>
      <c r="S245" s="15" cm="1">
        <f t="array" ref="S245">_xlfn.LET(_xlpm.result, Common_InputFunctions.Utility_LookupValueInTableTwoColumns(Q245, _xlfn.IFS(Q245="Urea",IF($O245="", "Global", $O245), Q245="Ammonia", IF($P245="", "Global", $P245), TRUE, "Global"), Table_SourceData_Scope3_InorganicFertiliser[Chemical compound],Table_SourceData_Scope3_InorganicFertiliser[Region of origin],Table_SourceData_Scope3_InorganicFertiliser[Emissions intensity]), IF(_xlpm.result="", 0, _xlpm.result))</f>
        <v>0</v>
      </c>
      <c r="T245" s="76"/>
      <c r="U245" s="15" t="str">
        <v/>
      </c>
      <c r="V245" s="15">
        <v>0</v>
      </c>
      <c r="W245" s="15" cm="1">
        <f t="array" ref="W245">_xlfn.LET(_xlpm.result, Common_InputFunctions.Utility_LookupValueInTableTwoColumns(U245, _xlfn.IFS(U245="Urea",IF($O245="", "Global", $O245), U245="Ammonia", IF($P245="", "Global", $P245), TRUE, "Global"), Table_SourceData_Scope3_InorganicFertiliser[Chemical compound],Table_SourceData_Scope3_InorganicFertiliser[Region of origin],Table_SourceData_Scope3_InorganicFertiliser[Emissions intensity]), IF(_xlpm.result="", 0, _xlpm.result))</f>
        <v>0</v>
      </c>
      <c r="X245" s="76"/>
      <c r="Y245" s="15" t="str">
        <v/>
      </c>
      <c r="Z245" s="15">
        <v>0</v>
      </c>
      <c r="AA245" s="15" cm="1">
        <f t="array" ref="AA245">_xlfn.LET(_xlpm.result, Common_InputFunctions.Utility_LookupValueInTableTwoColumns(Y245, _xlfn.IFS(Y245="Urea",IF($O245="", "Global", $O245), Y245="Ammonia", IF($P245="", "Global", $P245), TRUE, "Global"), Table_SourceData_Scope3_InorganicFertiliser[Chemical compound],Table_SourceData_Scope3_InorganicFertiliser[Region of origin],Table_SourceData_Scope3_InorganicFertiliser[Emissions intensity]), IF(_xlpm.result="", 0, _xlpm.result))</f>
        <v>0</v>
      </c>
      <c r="AB245" s="76"/>
      <c r="AC245" s="15" t="str">
        <v/>
      </c>
      <c r="AD245" s="15">
        <v>0</v>
      </c>
      <c r="AE245" s="15" cm="1">
        <f t="array" ref="AE245">_xlfn.LET(_xlpm.result, Common_InputFunctions.Utility_LookupValueInTableTwoColumns(AC245, _xlfn.IFS(AC245="Urea",IF($O245="", "Global", $O245), AC245="Ammonia", IF($P245="", "Global", $P245), TRUE, "Global"), Table_SourceData_Scope3_InorganicFertiliser[Chemical compound],Table_SourceData_Scope3_InorganicFertiliser[Region of origin],Table_SourceData_Scope3_InorganicFertiliser[Emissions intensity]), IF(_xlpm.result="", 0, _xlpm.result))</f>
        <v>0</v>
      </c>
      <c r="AF245" s="76"/>
      <c r="AG245" s="15" t="str">
        <v/>
      </c>
      <c r="AH245" s="15">
        <v>0</v>
      </c>
      <c r="AI245" s="15" cm="1">
        <f t="array" ref="AI245">_xlfn.LET(_xlpm.result, Common_InputFunctions.Utility_LookupValueInTableTwoColumns(AG245, _xlfn.IFS(AG245="Urea",IF($O245="", "Global", $O245), AG245="Ammonia", IF($P245="", "Global", $P245), TRUE, "Global"), Table_SourceData_Scope3_InorganicFertiliser[Chemical compound],Table_SourceData_Scope3_InorganicFertiliser[Region of origin],Table_SourceData_Scope3_InorganicFertiliser[Emissions intensity]), IF(_xlpm.result="", 0, _xlpm.result))</f>
        <v>0</v>
      </c>
      <c r="AJ245" s="76"/>
      <c r="AK245" s="15" t="str">
        <v/>
      </c>
      <c r="AL245" s="15">
        <v>0</v>
      </c>
      <c r="AM245" s="15" cm="1">
        <f t="array" ref="AM245">_xlfn.LET(_xlpm.result, Common_InputFunctions.Utility_LookupValueInTableTwoColumns(AK245, _xlfn.IFS(AK245="Urea",IF($O245="", "Global", $O245), AK245="Ammonia", IF($P245="", "Global", $P245), TRUE, "Global"), Table_SourceData_Scope3_InorganicFertiliser[Chemical compound],Table_SourceData_Scope3_InorganicFertiliser[Region of origin],Table_SourceData_Scope3_InorganicFertiliser[Emissions intensity]), IF(_xlpm.result="", 0, _xlpm.result))</f>
        <v>0</v>
      </c>
      <c r="AN245" s="76"/>
    </row>
    <row r="247" spans="4:40" ht="20.100000000000001" customHeight="1" x14ac:dyDescent="0.2">
      <c r="D247" s="243" t="s">
        <v>1132</v>
      </c>
    </row>
    <row r="249" spans="4:40" ht="20.100000000000001" customHeight="1" x14ac:dyDescent="0.2">
      <c r="D249" s="36" t="s">
        <v>1133</v>
      </c>
      <c r="E249" s="38"/>
      <c r="F249" s="39"/>
    </row>
    <row r="251" spans="4:40" ht="20.100000000000001" customHeight="1" x14ac:dyDescent="0.2">
      <c r="D251" s="82" t="s">
        <v>1095</v>
      </c>
      <c r="E251" s="82" t="s">
        <v>1113</v>
      </c>
      <c r="F251" s="114" t="s">
        <v>1114</v>
      </c>
      <c r="G251" s="114" t="s">
        <v>1115</v>
      </c>
      <c r="H251" s="114" t="s">
        <v>1116</v>
      </c>
      <c r="I251" s="82" t="s">
        <v>1117</v>
      </c>
      <c r="J251" s="114" t="s">
        <v>1118</v>
      </c>
      <c r="K251" s="114" t="s">
        <v>1119</v>
      </c>
      <c r="L251" s="82" t="s">
        <v>1072</v>
      </c>
      <c r="M251" s="82" t="s">
        <v>1073</v>
      </c>
      <c r="N251" s="82" t="s">
        <v>1074</v>
      </c>
      <c r="O251" s="114" t="s">
        <v>604</v>
      </c>
      <c r="P251" s="114" t="s">
        <v>605</v>
      </c>
      <c r="Q251" s="114" t="s">
        <v>589</v>
      </c>
      <c r="R251" s="114" t="s">
        <v>590</v>
      </c>
      <c r="S251" s="114" t="s">
        <v>1120</v>
      </c>
      <c r="T251" s="82" t="s">
        <v>1121</v>
      </c>
      <c r="U251" s="114" t="s">
        <v>591</v>
      </c>
      <c r="V251" s="114" t="s">
        <v>592</v>
      </c>
      <c r="W251" s="114" t="s">
        <v>1122</v>
      </c>
      <c r="X251" s="82" t="s">
        <v>1123</v>
      </c>
      <c r="Y251" s="114" t="s">
        <v>593</v>
      </c>
      <c r="Z251" s="114" t="s">
        <v>594</v>
      </c>
      <c r="AA251" s="114" t="s">
        <v>1124</v>
      </c>
      <c r="AB251" s="82" t="s">
        <v>1125</v>
      </c>
      <c r="AC251" s="114" t="s">
        <v>595</v>
      </c>
      <c r="AD251" s="114" t="s">
        <v>596</v>
      </c>
      <c r="AE251" s="114" t="s">
        <v>1126</v>
      </c>
      <c r="AF251" s="82" t="s">
        <v>1127</v>
      </c>
    </row>
    <row r="252" spans="4:40" ht="20.100000000000001" customHeight="1" x14ac:dyDescent="0.2">
      <c r="D252" s="15" cm="1">
        <f t="array" ref="D252:D261">IFERROR(INDEX(Table_Input_InorganicFertiliser_Custom[Custom blend name], _xlfn.SEQUENCE(10)), "")</f>
        <v>0</v>
      </c>
      <c r="E252" s="15" cm="1">
        <f t="array" ref="E252:E261">IFERROR(INDEX(Table_Input_InorganicFertiliser_Custom[Total applied (kg)], _xlfn.SEQUENCE(10)), 0)</f>
        <v>0</v>
      </c>
      <c r="F252" s="15">
        <f>(R252 * S252)+
(V252 * W252)+
(Z252 * AA252)+
(AD252 * AE252)</f>
        <v>0</v>
      </c>
      <c r="G252" s="257">
        <f>((E252 * F252) * 10 ^ -3)</f>
        <v>0</v>
      </c>
      <c r="H252" s="15">
        <f>((R252 * $E252) * S252 * 10 ^ -3)+
((V252 * $E252) * W252 * 10 ^ -3)+
((Z252 * $E252) * AA252 * 10 ^ -3)+
((AD252 * $E252) * AE252 * 10 ^ -3)</f>
        <v>0</v>
      </c>
      <c r="I252" s="76">
        <v>0.4</v>
      </c>
      <c r="J252" s="257">
        <f>((E252 * I252) * 10 ^ -3)</f>
        <v>0</v>
      </c>
      <c r="K252" s="257">
        <f>((R252 * $E252) * (IF(T252,T252,S252)) * 10 ^ -3)+
((V252 * $E252) * (IF(X252,X252,W252)) * 10 ^ -3)+
((Z252 * $E252) * (IF(AB252,AB252,AA252)) * 10 ^ -3)+
((AD252 * $E252) * (IF(AF252,AF252,AE252)) * 10 ^ -3)</f>
        <v>0</v>
      </c>
      <c r="L252" s="34"/>
      <c r="M252" s="13"/>
      <c r="N252" s="239"/>
      <c r="O252" s="15" t="str" cm="1">
        <f t="array" ref="O252:O261">_xlfn.LET(_xlpm.v, INDEX(Table_Input_InorganicFertiliser_Custom[Urea source (Select)], _xlfn.SEQUENCE(10)), IFERROR(IF(_xlpm.v=0, "", _xlpm.v), ""))</f>
        <v/>
      </c>
      <c r="P252" s="15" t="str" cm="1">
        <f t="array" ref="P252:P261">_xlfn.LET(_xlpm.v, INDEX(Table_Input_InorganicFertiliser_Custom[Ammonia source (select)], _xlfn.SEQUENCE(10)), IFERROR(IF(_xlpm.v=0, "", _xlpm.v), ""))</f>
        <v/>
      </c>
      <c r="Q252" s="15" cm="1">
        <f t="array" ref="Q252:Q261">IFERROR(INDEX(Table_Input_InorganicFertiliser_Custom[Ingredient 1 (select)], _xlfn.SEQUENCE(10)), "")</f>
        <v>0</v>
      </c>
      <c r="R252" s="15" cm="1">
        <f t="array" ref="R252:R261">IFERROR(INDEX(_xlfn.LET(_xlpm.result, Table_Input_InorganicFertiliser_Custom[Ingredient 1 percent], IF(_xlpm.result="", 0, _xlpm.result)), _xlfn.SEQUENCE(10)), 0)</f>
        <v>0</v>
      </c>
      <c r="S252" s="15" cm="1">
        <f t="array" ref="S252">_xlfn.LET(_xlpm.result, Common_InputFunctions.Utility_LookupValueInTableTwoColumns(Q252, _xlfn.IFS(Q252="Urea",IF($O252="", "Global", $O252), Q252="Ammonia", IF($P252="", "Global", $P252), TRUE, "Global"), Table_SourceData_Scope3_InorganicFertiliser[Chemical compound],Table_SourceData_Scope3_InorganicFertiliser[Region of origin],Table_SourceData_Scope3_InorganicFertiliser[Emissions intensity]), IF(_xlpm.result="", 0, _xlpm.result))</f>
        <v>0</v>
      </c>
      <c r="T252" s="76">
        <v>0.9</v>
      </c>
      <c r="U252" s="15" cm="1">
        <f t="array" ref="U252:U261">IFERROR(INDEX(Table_Input_InorganicFertiliser_Custom[Ingredient 2], _xlfn.SEQUENCE(10)), "")</f>
        <v>0</v>
      </c>
      <c r="V252" s="15" cm="1">
        <f t="array" ref="V252:V261">IFERROR(INDEX(_xlfn.LET(_xlpm.result, Table_Input_InorganicFertiliser_Custom[Ingredient 2 percent], IF(_xlpm.result="", 0, _xlpm.result)), _xlfn.SEQUENCE(10)), 0)</f>
        <v>0</v>
      </c>
      <c r="W252" s="15" cm="1">
        <f t="array" ref="W252">_xlfn.LET(_xlpm.result, Common_InputFunctions.Utility_LookupValueInTableTwoColumns(U252, _xlfn.IFS(U252="Urea",IF($O252="", "Global", $O252), U252="Ammonia", IF($P252="", "Global", $P252), TRUE, "Global"), Table_SourceData_Scope3_InorganicFertiliser[Chemical compound],Table_SourceData_Scope3_InorganicFertiliser[Region of origin],Table_SourceData_Scope3_InorganicFertiliser[Emissions intensity]), IF(_xlpm.result="", 0, _xlpm.result))</f>
        <v>0</v>
      </c>
      <c r="X252" s="76">
        <v>0.9</v>
      </c>
      <c r="Y252" s="15" cm="1">
        <f t="array" ref="Y252:Y261">IFERROR(INDEX(Table_Input_InorganicFertiliser_Custom[Ingredient 3], _xlfn.SEQUENCE(10)), "")</f>
        <v>0</v>
      </c>
      <c r="Z252" s="15" cm="1">
        <f t="array" ref="Z252:Z261">IFERROR(INDEX(_xlfn.LET(_xlpm.result, Table_Input_InorganicFertiliser_Custom[Ingredient 3 percent], IF(_xlpm.result="", 0, _xlpm.result)), _xlfn.SEQUENCE(10)), 0)</f>
        <v>0</v>
      </c>
      <c r="AA252" s="15" cm="1">
        <f t="array" ref="AA252">_xlfn.LET(_xlpm.result, Common_InputFunctions.Utility_LookupValueInTableTwoColumns(Y252, _xlfn.IFS(Y252="Urea",IF($O252="", "Global", $O252), Y252="Ammonia", IF($P252="", "Global", $P252), TRUE, "Global"), Table_SourceData_Scope3_InorganicFertiliser[Chemical compound],Table_SourceData_Scope3_InorganicFertiliser[Region of origin],Table_SourceData_Scope3_InorganicFertiliser[Emissions intensity]), IF(_xlpm.result="", 0, _xlpm.result))</f>
        <v>0</v>
      </c>
      <c r="AB252" s="76">
        <v>4</v>
      </c>
      <c r="AC252" s="15" cm="1">
        <f t="array" ref="AC252:AC261">IFERROR(INDEX(Table_Input_InorganicFertiliser_Custom[Ingredient 4], _xlfn.SEQUENCE(10)), "")</f>
        <v>0</v>
      </c>
      <c r="AD252" s="15" cm="1">
        <f t="array" ref="AD252:AD261">IFERROR(INDEX(_xlfn.LET(_xlpm.result, Table_Input_InorganicFertiliser_Custom[Ingredient 4 percent], IF(_xlpm.result="", 0, _xlpm.result)), _xlfn.SEQUENCE(10)), 0)</f>
        <v>0</v>
      </c>
      <c r="AE252" s="15" cm="1">
        <f t="array" ref="AE252">_xlfn.LET(_xlpm.result, Common_InputFunctions.Utility_LookupValueInTableTwoColumns(AC252, _xlfn.IFS(AC252="Urea",IF($O252="", "Global", $O252), AC252="Ammonia", IF($P252="", "Global", $P252), TRUE, "Global"), Table_SourceData_Scope3_InorganicFertiliser[Chemical compound],Table_SourceData_Scope3_InorganicFertiliser[Region of origin],Table_SourceData_Scope3_InorganicFertiliser[Emissions intensity]), IF(_xlpm.result="", 0, _xlpm.result))</f>
        <v>0</v>
      </c>
      <c r="AF252" s="76">
        <v>0</v>
      </c>
    </row>
    <row r="253" spans="4:40" ht="20.100000000000001" customHeight="1" x14ac:dyDescent="0.2">
      <c r="D253" s="15">
        <v>0</v>
      </c>
      <c r="E253" s="15">
        <v>0</v>
      </c>
      <c r="F253" s="15">
        <f>(R253 * S253)+
(V253 * W253)+
(Z253 * AA253)+
(AD253 * AE253)</f>
        <v>0</v>
      </c>
      <c r="G253" s="257">
        <f>((E253 * F253) * 10 ^ -3)</f>
        <v>0</v>
      </c>
      <c r="H253" s="15">
        <f>((R253 * $E253) * S253 * 10 ^ -3)+
((V253 * $E253) * W253 * 10 ^ -3)+
((Z253 * $E253) * AA253 * 10 ^ -3)+
((AD253 * $E253) * AE253 * 10 ^ -3)</f>
        <v>0</v>
      </c>
      <c r="I253" s="76">
        <v>0.9</v>
      </c>
      <c r="J253" s="257">
        <f>((E253 * I253) * 10 ^ -3)</f>
        <v>0</v>
      </c>
      <c r="K253" s="257">
        <f>((R253 * $E253) * (IF(T253,T253,S253)) * 10 ^ -3)+
((V253 * $E253) * (IF(X253,X253,W253)) * 10 ^ -3)+
((Z253 * $E253) * (IF(AB253,AB253,AA253)) * 10 ^ -3)+
((AD253 * $E253) * (IF(AF253,AF253,AE253)) * 10 ^ -3)</f>
        <v>0</v>
      </c>
      <c r="L253" s="34"/>
      <c r="M253" s="13"/>
      <c r="N253" s="34"/>
      <c r="O253" s="258" t="str">
        <v/>
      </c>
      <c r="P253" s="258" t="str">
        <v/>
      </c>
      <c r="Q253" s="15">
        <v>0</v>
      </c>
      <c r="R253" s="15">
        <v>0</v>
      </c>
      <c r="S253" s="15" cm="1">
        <f t="array" ref="S253">_xlfn.LET(_xlpm.result, Common_InputFunctions.Utility_LookupValueInTableTwoColumns(Q253, _xlfn.IFS(Q253="Urea",IF($O253="", "Global", $O253), Q253="Ammonia", IF($P253="", "Global", $P253), TRUE, "Global"), Table_SourceData_Scope3_InorganicFertiliser[Chemical compound],Table_SourceData_Scope3_InorganicFertiliser[Region of origin],Table_SourceData_Scope3_InorganicFertiliser[Emissions intensity]), IF(_xlpm.result="", 0, _xlpm.result))</f>
        <v>0</v>
      </c>
      <c r="T253" s="76"/>
      <c r="U253" s="15">
        <v>0</v>
      </c>
      <c r="V253" s="15">
        <v>0</v>
      </c>
      <c r="W253" s="15" cm="1">
        <f t="array" ref="W253">_xlfn.LET(_xlpm.result, Common_InputFunctions.Utility_LookupValueInTableTwoColumns(U253, _xlfn.IFS(U253="Urea",IF($O253="", "Global", $O253), U253="Ammonia", IF($P253="", "Global", $P253), TRUE, "Global"), Table_SourceData_Scope3_InorganicFertiliser[Chemical compound],Table_SourceData_Scope3_InorganicFertiliser[Region of origin],Table_SourceData_Scope3_InorganicFertiliser[Emissions intensity]), IF(_xlpm.result="", 0, _xlpm.result))</f>
        <v>0</v>
      </c>
      <c r="X253" s="76"/>
      <c r="Y253" s="15">
        <v>0</v>
      </c>
      <c r="Z253" s="15">
        <v>0</v>
      </c>
      <c r="AA253" s="15" cm="1">
        <f t="array" ref="AA253">_xlfn.LET(_xlpm.result, Common_InputFunctions.Utility_LookupValueInTableTwoColumns(Y253, _xlfn.IFS(Y253="Urea",IF($O253="", "Global", $O253), Y253="Ammonia", IF($P253="", "Global", $P253), TRUE, "Global"), Table_SourceData_Scope3_InorganicFertiliser[Chemical compound],Table_SourceData_Scope3_InorganicFertiliser[Region of origin],Table_SourceData_Scope3_InorganicFertiliser[Emissions intensity]), IF(_xlpm.result="", 0, _xlpm.result))</f>
        <v>0</v>
      </c>
      <c r="AB253" s="76"/>
      <c r="AC253" s="15">
        <v>0</v>
      </c>
      <c r="AD253" s="15">
        <v>0</v>
      </c>
      <c r="AE253" s="15" cm="1">
        <f t="array" ref="AE253">_xlfn.LET(_xlpm.result, Common_InputFunctions.Utility_LookupValueInTableTwoColumns(AC253, _xlfn.IFS(AC253="Urea",IF($O253="", "Global", $O253), AC253="Ammonia", IF($P253="", "Global", $P253), TRUE, "Global"), Table_SourceData_Scope3_InorganicFertiliser[Chemical compound],Table_SourceData_Scope3_InorganicFertiliser[Region of origin],Table_SourceData_Scope3_InorganicFertiliser[Emissions intensity]), IF(_xlpm.result="", 0, _xlpm.result))</f>
        <v>0</v>
      </c>
      <c r="AF253" s="76"/>
    </row>
    <row r="254" spans="4:40" ht="20.100000000000001" customHeight="1" x14ac:dyDescent="0.2">
      <c r="D254" s="15">
        <v>0</v>
      </c>
      <c r="E254" s="15">
        <v>0</v>
      </c>
      <c r="F254" s="15">
        <f>(R254 * S254)+
(V254 * W254)+
(Z254 * AA254)+
(AD254 * AE254)</f>
        <v>0</v>
      </c>
      <c r="G254" s="257">
        <f>((E254 * F254) * 10 ^ -3)</f>
        <v>0</v>
      </c>
      <c r="H254" s="15">
        <f>((R254 * $E254) * S254 * 10 ^ -3)+
((V254 * $E254) * W254 * 10 ^ -3)+
((Z254 * $E254) * AA254 * 10 ^ -3)+
((AD254 * $E254) * AE254 * 10 ^ -3)</f>
        <v>0</v>
      </c>
      <c r="I254" s="76">
        <v>0.4</v>
      </c>
      <c r="J254" s="257">
        <f>((E254 * I254) * 10 ^ -3)</f>
        <v>0</v>
      </c>
      <c r="K254" s="257">
        <f>((R254 * $E254) * (IF(T254,T254,S254)) * 10 ^ -3)+
((V254 * $E254) * (IF(X254,X254,W254)) * 10 ^ -3)+
((Z254 * $E254) * (IF(AB254,AB254,AA254)) * 10 ^ -3)+
((AD254 * $E254) * (IF(AF254,AF254,AE254)) * 10 ^ -3)</f>
        <v>0</v>
      </c>
      <c r="L254" s="34"/>
      <c r="M254" s="13"/>
      <c r="N254" s="34"/>
      <c r="O254" s="258" t="str">
        <v/>
      </c>
      <c r="P254" s="258" t="str">
        <v/>
      </c>
      <c r="Q254" s="15">
        <v>0</v>
      </c>
      <c r="R254" s="15">
        <v>0</v>
      </c>
      <c r="S254" s="15" cm="1">
        <f t="array" ref="S254">_xlfn.LET(_xlpm.result, Common_InputFunctions.Utility_LookupValueInTableTwoColumns(Q254, _xlfn.IFS(Q254="Urea",IF($O254="", "Global", $O254), Q254="Ammonia", IF($P254="", "Global", $P254), TRUE, "Global"), Table_SourceData_Scope3_InorganicFertiliser[Chemical compound],Table_SourceData_Scope3_InorganicFertiliser[Region of origin],Table_SourceData_Scope3_InorganicFertiliser[Emissions intensity]), IF(_xlpm.result="", 0, _xlpm.result))</f>
        <v>0</v>
      </c>
      <c r="T254" s="76"/>
      <c r="U254" s="15">
        <v>0</v>
      </c>
      <c r="V254" s="15">
        <v>0</v>
      </c>
      <c r="W254" s="15" cm="1">
        <f t="array" ref="W254">_xlfn.LET(_xlpm.result, Common_InputFunctions.Utility_LookupValueInTableTwoColumns(U254, _xlfn.IFS(U254="Urea",IF($O254="", "Global", $O254), U254="Ammonia", IF($P254="", "Global", $P254), TRUE, "Global"), Table_SourceData_Scope3_InorganicFertiliser[Chemical compound],Table_SourceData_Scope3_InorganicFertiliser[Region of origin],Table_SourceData_Scope3_InorganicFertiliser[Emissions intensity]), IF(_xlpm.result="", 0, _xlpm.result))</f>
        <v>0</v>
      </c>
      <c r="X254" s="76"/>
      <c r="Y254" s="15">
        <v>0</v>
      </c>
      <c r="Z254" s="15">
        <v>0</v>
      </c>
      <c r="AA254" s="15" cm="1">
        <f t="array" ref="AA254">_xlfn.LET(_xlpm.result, Common_InputFunctions.Utility_LookupValueInTableTwoColumns(Y254, _xlfn.IFS(Y254="Urea",IF($O254="", "Global", $O254), Y254="Ammonia", IF($P254="", "Global", $P254), TRUE, "Global"), Table_SourceData_Scope3_InorganicFertiliser[Chemical compound],Table_SourceData_Scope3_InorganicFertiliser[Region of origin],Table_SourceData_Scope3_InorganicFertiliser[Emissions intensity]), IF(_xlpm.result="", 0, _xlpm.result))</f>
        <v>0</v>
      </c>
      <c r="AB254" s="76"/>
      <c r="AC254" s="15">
        <v>0</v>
      </c>
      <c r="AD254" s="15">
        <v>0</v>
      </c>
      <c r="AE254" s="15" cm="1">
        <f t="array" ref="AE254">_xlfn.LET(_xlpm.result, Common_InputFunctions.Utility_LookupValueInTableTwoColumns(AC254, _xlfn.IFS(AC254="Urea",IF($O254="", "Global", $O254), AC254="Ammonia", IF($P254="", "Global", $P254), TRUE, "Global"), Table_SourceData_Scope3_InorganicFertiliser[Chemical compound],Table_SourceData_Scope3_InorganicFertiliser[Region of origin],Table_SourceData_Scope3_InorganicFertiliser[Emissions intensity]), IF(_xlpm.result="", 0, _xlpm.result))</f>
        <v>0</v>
      </c>
      <c r="AF254" s="76"/>
    </row>
    <row r="255" spans="4:40" ht="20.100000000000001" customHeight="1" x14ac:dyDescent="0.2">
      <c r="D255" s="15">
        <v>0</v>
      </c>
      <c r="E255" s="15">
        <v>0</v>
      </c>
      <c r="F255" s="15">
        <f>(R255 * S255)+
(V255 * W255)+
(Z255 * AA255)+
(AD255 * AE255)</f>
        <v>0</v>
      </c>
      <c r="G255" s="257">
        <f>((E255 * F255) * 10 ^ -3)</f>
        <v>0</v>
      </c>
      <c r="H255" s="15">
        <f>((R255 * $E255) * S255 * 10 ^ -3)+
((V255 * $E255) * W255 * 10 ^ -3)+
((Z255 * $E255) * AA255 * 10 ^ -3)+
((AD255 * $E255) * AE255 * 10 ^ -3)</f>
        <v>0</v>
      </c>
      <c r="I255" s="76"/>
      <c r="J255" s="257">
        <f>((E255 * I255) * 10 ^ -3)</f>
        <v>0</v>
      </c>
      <c r="K255" s="257">
        <f>((R255 * $E255) * (IF(T255,T255,S255)) * 10 ^ -3)+
((V255 * $E255) * (IF(X255,X255,W255)) * 10 ^ -3)+
((Z255 * $E255) * (IF(AB255,AB255,AA255)) * 10 ^ -3)+
((AD255 * $E255) * (IF(AF255,AF255,AE255)) * 10 ^ -3)</f>
        <v>0</v>
      </c>
      <c r="L255" s="34"/>
      <c r="M255" s="13"/>
      <c r="N255" s="34"/>
      <c r="O255" s="258" t="str">
        <v/>
      </c>
      <c r="P255" s="258" t="str">
        <v/>
      </c>
      <c r="Q255" s="15">
        <v>0</v>
      </c>
      <c r="R255" s="15">
        <v>0</v>
      </c>
      <c r="S255" s="15" cm="1">
        <f t="array" ref="S255">_xlfn.LET(_xlpm.result, Common_InputFunctions.Utility_LookupValueInTableTwoColumns(Q255, _xlfn.IFS(Q255="Urea",IF($O255="", "Global", $O255), Q255="Ammonia", IF($P255="", "Global", $P255), TRUE, "Global"), Table_SourceData_Scope3_InorganicFertiliser[Chemical compound],Table_SourceData_Scope3_InorganicFertiliser[Region of origin],Table_SourceData_Scope3_InorganicFertiliser[Emissions intensity]), IF(_xlpm.result="", 0, _xlpm.result))</f>
        <v>0</v>
      </c>
      <c r="T255" s="76"/>
      <c r="U255" s="15">
        <v>0</v>
      </c>
      <c r="V255" s="15">
        <v>0</v>
      </c>
      <c r="W255" s="15" cm="1">
        <f t="array" ref="W255">_xlfn.LET(_xlpm.result, Common_InputFunctions.Utility_LookupValueInTableTwoColumns(U255, _xlfn.IFS(U255="Urea",IF($O255="", "Global", $O255), U255="Ammonia", IF($P255="", "Global", $P255), TRUE, "Global"), Table_SourceData_Scope3_InorganicFertiliser[Chemical compound],Table_SourceData_Scope3_InorganicFertiliser[Region of origin],Table_SourceData_Scope3_InorganicFertiliser[Emissions intensity]), IF(_xlpm.result="", 0, _xlpm.result))</f>
        <v>0</v>
      </c>
      <c r="X255" s="76"/>
      <c r="Y255" s="15">
        <v>0</v>
      </c>
      <c r="Z255" s="15">
        <v>0</v>
      </c>
      <c r="AA255" s="15" cm="1">
        <f t="array" ref="AA255">_xlfn.LET(_xlpm.result, Common_InputFunctions.Utility_LookupValueInTableTwoColumns(Y255, _xlfn.IFS(Y255="Urea",IF($O255="", "Global", $O255), Y255="Ammonia", IF($P255="", "Global", $P255), TRUE, "Global"), Table_SourceData_Scope3_InorganicFertiliser[Chemical compound],Table_SourceData_Scope3_InorganicFertiliser[Region of origin],Table_SourceData_Scope3_InorganicFertiliser[Emissions intensity]), IF(_xlpm.result="", 0, _xlpm.result))</f>
        <v>0</v>
      </c>
      <c r="AB255" s="76"/>
      <c r="AC255" s="15">
        <v>0</v>
      </c>
      <c r="AD255" s="15">
        <v>0</v>
      </c>
      <c r="AE255" s="15" cm="1">
        <f t="array" ref="AE255">_xlfn.LET(_xlpm.result, Common_InputFunctions.Utility_LookupValueInTableTwoColumns(AC255, _xlfn.IFS(AC255="Urea",IF($O255="", "Global", $O255), AC255="Ammonia", IF($P255="", "Global", $P255), TRUE, "Global"), Table_SourceData_Scope3_InorganicFertiliser[Chemical compound],Table_SourceData_Scope3_InorganicFertiliser[Region of origin],Table_SourceData_Scope3_InorganicFertiliser[Emissions intensity]), IF(_xlpm.result="", 0, _xlpm.result))</f>
        <v>0</v>
      </c>
      <c r="AF255" s="76"/>
    </row>
    <row r="256" spans="4:40" ht="20.100000000000001" customHeight="1" x14ac:dyDescent="0.2">
      <c r="D256" s="15">
        <v>0</v>
      </c>
      <c r="E256" s="15">
        <v>0</v>
      </c>
      <c r="F256" s="15">
        <f>(R256 * S256)+
(V256 * W256)+
(Z256 * AA256)+
(AD256 * AE256)</f>
        <v>0</v>
      </c>
      <c r="G256" s="257">
        <f>((E256 * F256) * 10 ^ -3)</f>
        <v>0</v>
      </c>
      <c r="H256" s="15">
        <f>((R256 * $E256) * S256 * 10 ^ -3)+
((V256 * $E256) * W256 * 10 ^ -3)+
((Z256 * $E256) * AA256 * 10 ^ -3)+
((AD256 * $E256) * AE256 * 10 ^ -3)</f>
        <v>0</v>
      </c>
      <c r="I256" s="76"/>
      <c r="J256" s="257">
        <f>((E256 * I256) * 10 ^ -3)</f>
        <v>0</v>
      </c>
      <c r="K256" s="257">
        <f>((R256 * $E256) * (IF(T256,T256,S256)) * 10 ^ -3)+
((V256 * $E256) * (IF(X256,X256,W256)) * 10 ^ -3)+
((Z256 * $E256) * (IF(AB256,AB256,AA256)) * 10 ^ -3)+
((AD256 * $E256) * (IF(AF256,AF256,AE256)) * 10 ^ -3)</f>
        <v>0</v>
      </c>
      <c r="L256" s="34"/>
      <c r="M256" s="13"/>
      <c r="N256" s="34"/>
      <c r="O256" s="258" t="str">
        <v/>
      </c>
      <c r="P256" s="258" t="str">
        <v/>
      </c>
      <c r="Q256" s="15">
        <v>0</v>
      </c>
      <c r="R256" s="15">
        <v>0</v>
      </c>
      <c r="S256" s="15" cm="1">
        <f t="array" ref="S256">_xlfn.LET(_xlpm.result, Common_InputFunctions.Utility_LookupValueInTableTwoColumns(Q256, _xlfn.IFS(Q256="Urea",IF($O256="", "Global", $O256), Q256="Ammonia", IF($P256="", "Global", $P256), TRUE, "Global"), Table_SourceData_Scope3_InorganicFertiliser[Chemical compound],Table_SourceData_Scope3_InorganicFertiliser[Region of origin],Table_SourceData_Scope3_InorganicFertiliser[Emissions intensity]), IF(_xlpm.result="", 0, _xlpm.result))</f>
        <v>0</v>
      </c>
      <c r="T256" s="76"/>
      <c r="U256" s="15">
        <v>0</v>
      </c>
      <c r="V256" s="15">
        <v>0</v>
      </c>
      <c r="W256" s="15" cm="1">
        <f t="array" ref="W256">_xlfn.LET(_xlpm.result, Common_InputFunctions.Utility_LookupValueInTableTwoColumns(U256, _xlfn.IFS(U256="Urea",IF($O256="", "Global", $O256), U256="Ammonia", IF($P256="", "Global", $P256), TRUE, "Global"), Table_SourceData_Scope3_InorganicFertiliser[Chemical compound],Table_SourceData_Scope3_InorganicFertiliser[Region of origin],Table_SourceData_Scope3_InorganicFertiliser[Emissions intensity]), IF(_xlpm.result="", 0, _xlpm.result))</f>
        <v>0</v>
      </c>
      <c r="X256" s="76"/>
      <c r="Y256" s="15">
        <v>0</v>
      </c>
      <c r="Z256" s="15">
        <v>0</v>
      </c>
      <c r="AA256" s="15" cm="1">
        <f t="array" ref="AA256">_xlfn.LET(_xlpm.result, Common_InputFunctions.Utility_LookupValueInTableTwoColumns(Y256, _xlfn.IFS(Y256="Urea",IF($O256="", "Global", $O256), Y256="Ammonia", IF($P256="", "Global", $P256), TRUE, "Global"), Table_SourceData_Scope3_InorganicFertiliser[Chemical compound],Table_SourceData_Scope3_InorganicFertiliser[Region of origin],Table_SourceData_Scope3_InorganicFertiliser[Emissions intensity]), IF(_xlpm.result="", 0, _xlpm.result))</f>
        <v>0</v>
      </c>
      <c r="AB256" s="76"/>
      <c r="AC256" s="15">
        <v>0</v>
      </c>
      <c r="AD256" s="15">
        <v>0</v>
      </c>
      <c r="AE256" s="15" cm="1">
        <f t="array" ref="AE256">_xlfn.LET(_xlpm.result, Common_InputFunctions.Utility_LookupValueInTableTwoColumns(AC256, _xlfn.IFS(AC256="Urea",IF($O256="", "Global", $O256), AC256="Ammonia", IF($P256="", "Global", $P256), TRUE, "Global"), Table_SourceData_Scope3_InorganicFertiliser[Chemical compound],Table_SourceData_Scope3_InorganicFertiliser[Region of origin],Table_SourceData_Scope3_InorganicFertiliser[Emissions intensity]), IF(_xlpm.result="", 0, _xlpm.result))</f>
        <v>0</v>
      </c>
      <c r="AF256" s="76"/>
    </row>
    <row r="257" spans="3:41" ht="20.100000000000001" customHeight="1" x14ac:dyDescent="0.2">
      <c r="D257" s="15">
        <v>0</v>
      </c>
      <c r="E257" s="15">
        <v>0</v>
      </c>
      <c r="F257" s="15">
        <f>(R257 * S257)+
(V257 * W257)+
(Z257 * AA257)+
(AD257 * AE257)</f>
        <v>0</v>
      </c>
      <c r="G257" s="257">
        <f>((E257 * F257) * 10 ^ -3)</f>
        <v>0</v>
      </c>
      <c r="H257" s="15">
        <f>((R257 * $E257) * S257 * 10 ^ -3)+
((V257 * $E257) * W257 * 10 ^ -3)+
((Z257 * $E257) * AA257 * 10 ^ -3)+
((AD257 * $E257) * AE257 * 10 ^ -3)</f>
        <v>0</v>
      </c>
      <c r="I257" s="76"/>
      <c r="J257" s="257">
        <f>((E257 * I257) * 10 ^ -3)</f>
        <v>0</v>
      </c>
      <c r="K257" s="257">
        <f>((R257 * $E257) * (IF(T257,T257,S257)) * 10 ^ -3)+
((V257 * $E257) * (IF(X257,X257,W257)) * 10 ^ -3)+
((Z257 * $E257) * (IF(AB257,AB257,AA257)) * 10 ^ -3)+
((AD257 * $E257) * (IF(AF257,AF257,AE257)) * 10 ^ -3)</f>
        <v>0</v>
      </c>
      <c r="L257" s="34"/>
      <c r="M257" s="13"/>
      <c r="N257" s="34"/>
      <c r="O257" s="258" t="str">
        <v/>
      </c>
      <c r="P257" s="258" t="str">
        <v/>
      </c>
      <c r="Q257" s="15">
        <v>0</v>
      </c>
      <c r="R257" s="15">
        <v>0</v>
      </c>
      <c r="S257" s="15" cm="1">
        <f t="array" ref="S257">_xlfn.LET(_xlpm.result, Common_InputFunctions.Utility_LookupValueInTableTwoColumns(Q257, _xlfn.IFS(Q257="Urea",IF($O257="", "Global", $O257), Q257="Ammonia", IF($P257="", "Global", $P257), TRUE, "Global"), Table_SourceData_Scope3_InorganicFertiliser[Chemical compound],Table_SourceData_Scope3_InorganicFertiliser[Region of origin],Table_SourceData_Scope3_InorganicFertiliser[Emissions intensity]), IF(_xlpm.result="", 0, _xlpm.result))</f>
        <v>0</v>
      </c>
      <c r="T257" s="76"/>
      <c r="U257" s="15">
        <v>0</v>
      </c>
      <c r="V257" s="15">
        <v>0</v>
      </c>
      <c r="W257" s="15" cm="1">
        <f t="array" ref="W257">_xlfn.LET(_xlpm.result, Common_InputFunctions.Utility_LookupValueInTableTwoColumns(U257, _xlfn.IFS(U257="Urea",IF($O257="", "Global", $O257), U257="Ammonia", IF($P257="", "Global", $P257), TRUE, "Global"), Table_SourceData_Scope3_InorganicFertiliser[Chemical compound],Table_SourceData_Scope3_InorganicFertiliser[Region of origin],Table_SourceData_Scope3_InorganicFertiliser[Emissions intensity]), IF(_xlpm.result="", 0, _xlpm.result))</f>
        <v>0</v>
      </c>
      <c r="X257" s="76"/>
      <c r="Y257" s="15">
        <v>0</v>
      </c>
      <c r="Z257" s="15">
        <v>0</v>
      </c>
      <c r="AA257" s="15" cm="1">
        <f t="array" ref="AA257">_xlfn.LET(_xlpm.result, Common_InputFunctions.Utility_LookupValueInTableTwoColumns(Y257, _xlfn.IFS(Y257="Urea",IF($O257="", "Global", $O257), Y257="Ammonia", IF($P257="", "Global", $P257), TRUE, "Global"), Table_SourceData_Scope3_InorganicFertiliser[Chemical compound],Table_SourceData_Scope3_InorganicFertiliser[Region of origin],Table_SourceData_Scope3_InorganicFertiliser[Emissions intensity]), IF(_xlpm.result="", 0, _xlpm.result))</f>
        <v>0</v>
      </c>
      <c r="AB257" s="76"/>
      <c r="AC257" s="15">
        <v>0</v>
      </c>
      <c r="AD257" s="15">
        <v>0</v>
      </c>
      <c r="AE257" s="15" cm="1">
        <f t="array" ref="AE257">_xlfn.LET(_xlpm.result, Common_InputFunctions.Utility_LookupValueInTableTwoColumns(AC257, _xlfn.IFS(AC257="Urea",IF($O257="", "Global", $O257), AC257="Ammonia", IF($P257="", "Global", $P257), TRUE, "Global"), Table_SourceData_Scope3_InorganicFertiliser[Chemical compound],Table_SourceData_Scope3_InorganicFertiliser[Region of origin],Table_SourceData_Scope3_InorganicFertiliser[Emissions intensity]), IF(_xlpm.result="", 0, _xlpm.result))</f>
        <v>0</v>
      </c>
      <c r="AF257" s="76"/>
    </row>
    <row r="258" spans="3:41" ht="20.100000000000001" customHeight="1" x14ac:dyDescent="0.2">
      <c r="D258" s="15">
        <v>0</v>
      </c>
      <c r="E258" s="15">
        <v>0</v>
      </c>
      <c r="F258" s="15">
        <f>(R258 * S258)+
(V258 * W258)+
(Z258 * AA258)+
(AD258 * AE258)</f>
        <v>0</v>
      </c>
      <c r="G258" s="257">
        <f>((E258 * F258) * 10 ^ -3)</f>
        <v>0</v>
      </c>
      <c r="H258" s="15">
        <f>((R258 * $E258) * S258 * 10 ^ -3)+
((V258 * $E258) * W258 * 10 ^ -3)+
((Z258 * $E258) * AA258 * 10 ^ -3)+
((AD258 * $E258) * AE258 * 10 ^ -3)</f>
        <v>0</v>
      </c>
      <c r="I258" s="76"/>
      <c r="J258" s="257">
        <f>((E258 * I258) * 10 ^ -3)</f>
        <v>0</v>
      </c>
      <c r="K258" s="257">
        <f>((R258 * $E258) * (IF(T258,T258,S258)) * 10 ^ -3)+
((V258 * $E258) * (IF(X258,X258,W258)) * 10 ^ -3)+
((Z258 * $E258) * (IF(AB258,AB258,AA258)) * 10 ^ -3)+
((AD258 * $E258) * (IF(AF258,AF258,AE258)) * 10 ^ -3)</f>
        <v>0</v>
      </c>
      <c r="L258" s="34"/>
      <c r="M258" s="13"/>
      <c r="N258" s="34"/>
      <c r="O258" s="258" t="str">
        <v/>
      </c>
      <c r="P258" s="258" t="str">
        <v/>
      </c>
      <c r="Q258" s="15">
        <v>0</v>
      </c>
      <c r="R258" s="15">
        <v>0</v>
      </c>
      <c r="S258" s="15" cm="1">
        <f t="array" ref="S258">_xlfn.LET(_xlpm.result, Common_InputFunctions.Utility_LookupValueInTableTwoColumns(Q258, _xlfn.IFS(Q258="Urea",IF($O258="", "Global", $O258), Q258="Ammonia", IF($P258="", "Global", $P258), TRUE, "Global"), Table_SourceData_Scope3_InorganicFertiliser[Chemical compound],Table_SourceData_Scope3_InorganicFertiliser[Region of origin],Table_SourceData_Scope3_InorganicFertiliser[Emissions intensity]), IF(_xlpm.result="", 0, _xlpm.result))</f>
        <v>0</v>
      </c>
      <c r="T258" s="76"/>
      <c r="U258" s="15">
        <v>0</v>
      </c>
      <c r="V258" s="15">
        <v>0</v>
      </c>
      <c r="W258" s="15" cm="1">
        <f t="array" ref="W258">_xlfn.LET(_xlpm.result, Common_InputFunctions.Utility_LookupValueInTableTwoColumns(U258, _xlfn.IFS(U258="Urea",IF($O258="", "Global", $O258), U258="Ammonia", IF($P258="", "Global", $P258), TRUE, "Global"), Table_SourceData_Scope3_InorganicFertiliser[Chemical compound],Table_SourceData_Scope3_InorganicFertiliser[Region of origin],Table_SourceData_Scope3_InorganicFertiliser[Emissions intensity]), IF(_xlpm.result="", 0, _xlpm.result))</f>
        <v>0</v>
      </c>
      <c r="X258" s="76"/>
      <c r="Y258" s="15">
        <v>0</v>
      </c>
      <c r="Z258" s="15">
        <v>0</v>
      </c>
      <c r="AA258" s="15" cm="1">
        <f t="array" ref="AA258">_xlfn.LET(_xlpm.result, Common_InputFunctions.Utility_LookupValueInTableTwoColumns(Y258, _xlfn.IFS(Y258="Urea",IF($O258="", "Global", $O258), Y258="Ammonia", IF($P258="", "Global", $P258), TRUE, "Global"), Table_SourceData_Scope3_InorganicFertiliser[Chemical compound],Table_SourceData_Scope3_InorganicFertiliser[Region of origin],Table_SourceData_Scope3_InorganicFertiliser[Emissions intensity]), IF(_xlpm.result="", 0, _xlpm.result))</f>
        <v>0</v>
      </c>
      <c r="AB258" s="76"/>
      <c r="AC258" s="15">
        <v>0</v>
      </c>
      <c r="AD258" s="15">
        <v>0</v>
      </c>
      <c r="AE258" s="15" cm="1">
        <f t="array" ref="AE258">_xlfn.LET(_xlpm.result, Common_InputFunctions.Utility_LookupValueInTableTwoColumns(AC258, _xlfn.IFS(AC258="Urea",IF($O258="", "Global", $O258), AC258="Ammonia", IF($P258="", "Global", $P258), TRUE, "Global"), Table_SourceData_Scope3_InorganicFertiliser[Chemical compound],Table_SourceData_Scope3_InorganicFertiliser[Region of origin],Table_SourceData_Scope3_InorganicFertiliser[Emissions intensity]), IF(_xlpm.result="", 0, _xlpm.result))</f>
        <v>0</v>
      </c>
      <c r="AF258" s="76"/>
    </row>
    <row r="259" spans="3:41" ht="20.100000000000001" customHeight="1" x14ac:dyDescent="0.2">
      <c r="D259" s="15">
        <v>0</v>
      </c>
      <c r="E259" s="15">
        <v>0</v>
      </c>
      <c r="F259" s="15">
        <f>(R259 * S259)+
(V259 * W259)+
(Z259 * AA259)+
(AD259 * AE259)</f>
        <v>0</v>
      </c>
      <c r="G259" s="257">
        <f>((E259 * F259) * 10 ^ -3)</f>
        <v>0</v>
      </c>
      <c r="H259" s="15">
        <f>((R259 * $E259) * S259 * 10 ^ -3)+
((V259 * $E259) * W259 * 10 ^ -3)+
((Z259 * $E259) * AA259 * 10 ^ -3)+
((AD259 * $E259) * AE259 * 10 ^ -3)</f>
        <v>0</v>
      </c>
      <c r="I259" s="76"/>
      <c r="J259" s="257">
        <f>((E259 * I259) * 10 ^ -3)</f>
        <v>0</v>
      </c>
      <c r="K259" s="257">
        <f>((R259 * $E259) * (IF(T259,T259,S259)) * 10 ^ -3)+
((V259 * $E259) * (IF(X259,X259,W259)) * 10 ^ -3)+
((Z259 * $E259) * (IF(AB259,AB259,AA259)) * 10 ^ -3)+
((AD259 * $E259) * (IF(AF259,AF259,AE259)) * 10 ^ -3)</f>
        <v>0</v>
      </c>
      <c r="L259" s="34"/>
      <c r="M259" s="13"/>
      <c r="N259" s="34"/>
      <c r="O259" s="258" t="str">
        <v/>
      </c>
      <c r="P259" s="258" t="str">
        <v/>
      </c>
      <c r="Q259" s="15">
        <v>0</v>
      </c>
      <c r="R259" s="15">
        <v>0</v>
      </c>
      <c r="S259" s="15" cm="1">
        <f t="array" ref="S259">_xlfn.LET(_xlpm.result, Common_InputFunctions.Utility_LookupValueInTableTwoColumns(Q259, _xlfn.IFS(Q259="Urea",IF($O259="", "Global", $O259), Q259="Ammonia", IF($P259="", "Global", $P259), TRUE, "Global"), Table_SourceData_Scope3_InorganicFertiliser[Chemical compound],Table_SourceData_Scope3_InorganicFertiliser[Region of origin],Table_SourceData_Scope3_InorganicFertiliser[Emissions intensity]), IF(_xlpm.result="", 0, _xlpm.result))</f>
        <v>0</v>
      </c>
      <c r="T259" s="76"/>
      <c r="U259" s="15">
        <v>0</v>
      </c>
      <c r="V259" s="15">
        <v>0</v>
      </c>
      <c r="W259" s="15" cm="1">
        <f t="array" ref="W259">_xlfn.LET(_xlpm.result, Common_InputFunctions.Utility_LookupValueInTableTwoColumns(U259, _xlfn.IFS(U259="Urea",IF($O259="", "Global", $O259), U259="Ammonia", IF($P259="", "Global", $P259), TRUE, "Global"), Table_SourceData_Scope3_InorganicFertiliser[Chemical compound],Table_SourceData_Scope3_InorganicFertiliser[Region of origin],Table_SourceData_Scope3_InorganicFertiliser[Emissions intensity]), IF(_xlpm.result="", 0, _xlpm.result))</f>
        <v>0</v>
      </c>
      <c r="X259" s="76"/>
      <c r="Y259" s="15">
        <v>0</v>
      </c>
      <c r="Z259" s="15">
        <v>0</v>
      </c>
      <c r="AA259" s="15" cm="1">
        <f t="array" ref="AA259">_xlfn.LET(_xlpm.result, Common_InputFunctions.Utility_LookupValueInTableTwoColumns(Y259, _xlfn.IFS(Y259="Urea",IF($O259="", "Global", $O259), Y259="Ammonia", IF($P259="", "Global", $P259), TRUE, "Global"), Table_SourceData_Scope3_InorganicFertiliser[Chemical compound],Table_SourceData_Scope3_InorganicFertiliser[Region of origin],Table_SourceData_Scope3_InorganicFertiliser[Emissions intensity]), IF(_xlpm.result="", 0, _xlpm.result))</f>
        <v>0</v>
      </c>
      <c r="AB259" s="76"/>
      <c r="AC259" s="15">
        <v>0</v>
      </c>
      <c r="AD259" s="15">
        <v>0</v>
      </c>
      <c r="AE259" s="15" cm="1">
        <f t="array" ref="AE259">_xlfn.LET(_xlpm.result, Common_InputFunctions.Utility_LookupValueInTableTwoColumns(AC259, _xlfn.IFS(AC259="Urea",IF($O259="", "Global", $O259), AC259="Ammonia", IF($P259="", "Global", $P259), TRUE, "Global"), Table_SourceData_Scope3_InorganicFertiliser[Chemical compound],Table_SourceData_Scope3_InorganicFertiliser[Region of origin],Table_SourceData_Scope3_InorganicFertiliser[Emissions intensity]), IF(_xlpm.result="", 0, _xlpm.result))</f>
        <v>0</v>
      </c>
      <c r="AF259" s="76"/>
    </row>
    <row r="260" spans="3:41" ht="20.100000000000001" customHeight="1" x14ac:dyDescent="0.2">
      <c r="D260" s="15">
        <v>0</v>
      </c>
      <c r="E260" s="15">
        <v>0</v>
      </c>
      <c r="F260" s="15">
        <f>(R260 * S260)+
(V260 * W260)+
(Z260 * AA260)+
(AD260 * AE260)</f>
        <v>0</v>
      </c>
      <c r="G260" s="257">
        <f>((E260 * F260) * 10 ^ -3)</f>
        <v>0</v>
      </c>
      <c r="H260" s="15">
        <f>((R260 * $E260) * S260 * 10 ^ -3)+
((V260 * $E260) * W260 * 10 ^ -3)+
((Z260 * $E260) * AA260 * 10 ^ -3)+
((AD260 * $E260) * AE260 * 10 ^ -3)</f>
        <v>0</v>
      </c>
      <c r="I260" s="76"/>
      <c r="J260" s="257">
        <f>((E260 * I260) * 10 ^ -3)</f>
        <v>0</v>
      </c>
      <c r="K260" s="257">
        <f>((R260 * $E260) * (IF(T260,T260,S260)) * 10 ^ -3)+
((V260 * $E260) * (IF(X260,X260,W260)) * 10 ^ -3)+
((Z260 * $E260) * (IF(AB260,AB260,AA260)) * 10 ^ -3)+
((AD260 * $E260) * (IF(AF260,AF260,AE260)) * 10 ^ -3)</f>
        <v>0</v>
      </c>
      <c r="L260" s="34"/>
      <c r="M260" s="13"/>
      <c r="N260" s="34"/>
      <c r="O260" s="258" t="str">
        <v/>
      </c>
      <c r="P260" s="258" t="str">
        <v/>
      </c>
      <c r="Q260" s="15">
        <v>0</v>
      </c>
      <c r="R260" s="15">
        <v>0</v>
      </c>
      <c r="S260" s="15" cm="1">
        <f t="array" ref="S260">_xlfn.LET(_xlpm.result, Common_InputFunctions.Utility_LookupValueInTableTwoColumns(Q260, _xlfn.IFS(Q260="Urea",IF($O260="", "Global", $O260), Q260="Ammonia", IF($P260="", "Global", $P260), TRUE, "Global"), Table_SourceData_Scope3_InorganicFertiliser[Chemical compound],Table_SourceData_Scope3_InorganicFertiliser[Region of origin],Table_SourceData_Scope3_InorganicFertiliser[Emissions intensity]), IF(_xlpm.result="", 0, _xlpm.result))</f>
        <v>0</v>
      </c>
      <c r="T260" s="76"/>
      <c r="U260" s="15">
        <v>0</v>
      </c>
      <c r="V260" s="15">
        <v>0</v>
      </c>
      <c r="W260" s="15" cm="1">
        <f t="array" ref="W260">_xlfn.LET(_xlpm.result, Common_InputFunctions.Utility_LookupValueInTableTwoColumns(U260, _xlfn.IFS(U260="Urea",IF($O260="", "Global", $O260), U260="Ammonia", IF($P260="", "Global", $P260), TRUE, "Global"), Table_SourceData_Scope3_InorganicFertiliser[Chemical compound],Table_SourceData_Scope3_InorganicFertiliser[Region of origin],Table_SourceData_Scope3_InorganicFertiliser[Emissions intensity]), IF(_xlpm.result="", 0, _xlpm.result))</f>
        <v>0</v>
      </c>
      <c r="X260" s="76"/>
      <c r="Y260" s="15">
        <v>0</v>
      </c>
      <c r="Z260" s="15">
        <v>0</v>
      </c>
      <c r="AA260" s="15" cm="1">
        <f t="array" ref="AA260">_xlfn.LET(_xlpm.result, Common_InputFunctions.Utility_LookupValueInTableTwoColumns(Y260, _xlfn.IFS(Y260="Urea",IF($O260="", "Global", $O260), Y260="Ammonia", IF($P260="", "Global", $P260), TRUE, "Global"), Table_SourceData_Scope3_InorganicFertiliser[Chemical compound],Table_SourceData_Scope3_InorganicFertiliser[Region of origin],Table_SourceData_Scope3_InorganicFertiliser[Emissions intensity]), IF(_xlpm.result="", 0, _xlpm.result))</f>
        <v>0</v>
      </c>
      <c r="AB260" s="76"/>
      <c r="AC260" s="15">
        <v>0</v>
      </c>
      <c r="AD260" s="15">
        <v>0</v>
      </c>
      <c r="AE260" s="15" cm="1">
        <f t="array" ref="AE260">_xlfn.LET(_xlpm.result, Common_InputFunctions.Utility_LookupValueInTableTwoColumns(AC260, _xlfn.IFS(AC260="Urea",IF($O260="", "Global", $O260), AC260="Ammonia", IF($P260="", "Global", $P260), TRUE, "Global"), Table_SourceData_Scope3_InorganicFertiliser[Chemical compound],Table_SourceData_Scope3_InorganicFertiliser[Region of origin],Table_SourceData_Scope3_InorganicFertiliser[Emissions intensity]), IF(_xlpm.result="", 0, _xlpm.result))</f>
        <v>0</v>
      </c>
      <c r="AF260" s="76"/>
    </row>
    <row r="261" spans="3:41" ht="20.100000000000001" customHeight="1" x14ac:dyDescent="0.2">
      <c r="D261" s="15">
        <v>0</v>
      </c>
      <c r="E261" s="15">
        <v>0</v>
      </c>
      <c r="F261" s="15">
        <f>(R261 * S261)+
(V261 * W261)+
(Z261 * AA261)+
(AD261 * AE261)</f>
        <v>0</v>
      </c>
      <c r="G261" s="257">
        <f>((E261 * F261) * 10 ^ -3)</f>
        <v>0</v>
      </c>
      <c r="H261" s="15">
        <f>((R261 * $E261) * S261 * 10 ^ -3)+
((V261 * $E261) * W261 * 10 ^ -3)+
((Z261 * $E261) * AA261 * 10 ^ -3)+
((AD261 * $E261) * AE261 * 10 ^ -3)</f>
        <v>0</v>
      </c>
      <c r="I261" s="76"/>
      <c r="J261" s="257">
        <f>((E261 * I261) * 10 ^ -3)</f>
        <v>0</v>
      </c>
      <c r="K261" s="257">
        <f>((R261 * $E261) * (IF(T261,T261,S261)) * 10 ^ -3)+
((V261 * $E261) * (IF(X261,X261,W261)) * 10 ^ -3)+
((Z261 * $E261) * (IF(AB261,AB261,AA261)) * 10 ^ -3)+
((AD261 * $E261) * (IF(AF261,AF261,AE261)) * 10 ^ -3)</f>
        <v>0</v>
      </c>
      <c r="L261" s="34"/>
      <c r="M261" s="13"/>
      <c r="N261" s="34"/>
      <c r="O261" s="258" t="str">
        <v/>
      </c>
      <c r="P261" s="258" t="str">
        <v/>
      </c>
      <c r="Q261" s="15">
        <v>0</v>
      </c>
      <c r="R261" s="15">
        <v>0</v>
      </c>
      <c r="S261" s="15" cm="1">
        <f t="array" ref="S261">_xlfn.LET(_xlpm.result, Common_InputFunctions.Utility_LookupValueInTableTwoColumns(Q261, _xlfn.IFS(Q261="Urea",IF($O261="", "Global", $O261), Q261="Ammonia", IF($P261="", "Global", $P261), TRUE, "Global"), Table_SourceData_Scope3_InorganicFertiliser[Chemical compound],Table_SourceData_Scope3_InorganicFertiliser[Region of origin],Table_SourceData_Scope3_InorganicFertiliser[Emissions intensity]), IF(_xlpm.result="", 0, _xlpm.result))</f>
        <v>0</v>
      </c>
      <c r="T261" s="76"/>
      <c r="U261" s="15">
        <v>0</v>
      </c>
      <c r="V261" s="15">
        <v>0</v>
      </c>
      <c r="W261" s="15" cm="1">
        <f t="array" ref="W261">_xlfn.LET(_xlpm.result, Common_InputFunctions.Utility_LookupValueInTableTwoColumns(U261, _xlfn.IFS(U261="Urea",IF($O261="", "Global", $O261), U261="Ammonia", IF($P261="", "Global", $P261), TRUE, "Global"), Table_SourceData_Scope3_InorganicFertiliser[Chemical compound],Table_SourceData_Scope3_InorganicFertiliser[Region of origin],Table_SourceData_Scope3_InorganicFertiliser[Emissions intensity]), IF(_xlpm.result="", 0, _xlpm.result))</f>
        <v>0</v>
      </c>
      <c r="X261" s="76"/>
      <c r="Y261" s="15">
        <v>0</v>
      </c>
      <c r="Z261" s="15">
        <v>0</v>
      </c>
      <c r="AA261" s="15" cm="1">
        <f t="array" ref="AA261">_xlfn.LET(_xlpm.result, Common_InputFunctions.Utility_LookupValueInTableTwoColumns(Y261, _xlfn.IFS(Y261="Urea",IF($O261="", "Global", $O261), Y261="Ammonia", IF($P261="", "Global", $P261), TRUE, "Global"), Table_SourceData_Scope3_InorganicFertiliser[Chemical compound],Table_SourceData_Scope3_InorganicFertiliser[Region of origin],Table_SourceData_Scope3_InorganicFertiliser[Emissions intensity]), IF(_xlpm.result="", 0, _xlpm.result))</f>
        <v>0</v>
      </c>
      <c r="AB261" s="76"/>
      <c r="AC261" s="15">
        <v>0</v>
      </c>
      <c r="AD261" s="15">
        <v>0</v>
      </c>
      <c r="AE261" s="15" cm="1">
        <f t="array" ref="AE261">_xlfn.LET(_xlpm.result, Common_InputFunctions.Utility_LookupValueInTableTwoColumns(AC261, _xlfn.IFS(AC261="Urea",IF($O261="", "Global", $O261), AC261="Ammonia", IF($P261="", "Global", $P261), TRUE, "Global"), Table_SourceData_Scope3_InorganicFertiliser[Chemical compound],Table_SourceData_Scope3_InorganicFertiliser[Region of origin],Table_SourceData_Scope3_InorganicFertiliser[Emissions intensity]), IF(_xlpm.result="", 0, _xlpm.result))</f>
        <v>0</v>
      </c>
      <c r="AF261" s="76"/>
    </row>
    <row r="263" spans="3:41" ht="20.100000000000001" customHeight="1" x14ac:dyDescent="0.2">
      <c r="D263" s="259" t="s">
        <v>1134</v>
      </c>
      <c r="E263" s="91">
        <f>SUM(G236:G245)+SUM(G252:G261)</f>
        <v>0</v>
      </c>
      <c r="F263" s="95" t="str">
        <f>$E$170</f>
        <v>t CO2e</v>
      </c>
    </row>
    <row r="264" spans="3:41" ht="20.100000000000001" customHeight="1" x14ac:dyDescent="0.2">
      <c r="D264" s="259" t="s">
        <v>1135</v>
      </c>
      <c r="E264" s="91">
        <f>SUM(J236:J245)+SUM(J252:J261)</f>
        <v>0</v>
      </c>
      <c r="F264" s="95" t="str">
        <f>$E$170</f>
        <v>t CO2e</v>
      </c>
    </row>
    <row r="266" spans="3:41" ht="20.100000000000001" customHeight="1" x14ac:dyDescent="0.2">
      <c r="D266" s="259" t="s">
        <v>1136</v>
      </c>
      <c r="E266" s="91">
        <f>SUM(H236:H245)+SUM(H252:H261)</f>
        <v>0</v>
      </c>
      <c r="F266" s="95" t="str">
        <f>$E$170</f>
        <v>t CO2e</v>
      </c>
    </row>
    <row r="267" spans="3:41" ht="20.100000000000001" customHeight="1" x14ac:dyDescent="0.2">
      <c r="D267" s="259" t="s">
        <v>1137</v>
      </c>
      <c r="E267" s="91">
        <f>SUM(K236:K245)+SUM(K252:K261)</f>
        <v>0</v>
      </c>
      <c r="F267" s="95" t="str">
        <f>$E$170</f>
        <v>t CO2e</v>
      </c>
    </row>
    <row r="270" spans="3:41" ht="20.100000000000001" customHeight="1" x14ac:dyDescent="0.2">
      <c r="C270" s="87"/>
      <c r="D270" s="87"/>
      <c r="E270" s="87"/>
      <c r="F270" s="87"/>
      <c r="G270" s="87"/>
      <c r="H270" s="87"/>
      <c r="I270" s="87"/>
      <c r="J270" s="87"/>
      <c r="K270" s="87"/>
      <c r="L270" s="87"/>
      <c r="M270" s="87"/>
      <c r="N270" s="87"/>
      <c r="O270" s="87"/>
      <c r="P270" s="87"/>
      <c r="Q270" s="87"/>
      <c r="R270" s="87"/>
      <c r="S270" s="87"/>
      <c r="T270" s="87"/>
      <c r="U270" s="87"/>
      <c r="V270" s="87"/>
      <c r="W270" s="87"/>
      <c r="X270" s="87"/>
      <c r="Y270" s="87"/>
      <c r="Z270" s="87"/>
      <c r="AA270" s="87"/>
      <c r="AB270" s="87"/>
      <c r="AC270" s="87"/>
      <c r="AD270" s="87"/>
      <c r="AE270" s="87"/>
      <c r="AF270" s="87"/>
      <c r="AG270" s="87"/>
      <c r="AH270" s="87"/>
      <c r="AI270" s="87"/>
      <c r="AJ270" s="87"/>
      <c r="AK270" s="87"/>
      <c r="AL270" s="87"/>
      <c r="AM270" s="87"/>
      <c r="AN270" s="87"/>
      <c r="AO270" s="87"/>
    </row>
    <row r="271" spans="3:41" ht="20.100000000000001" customHeight="1" x14ac:dyDescent="0.2">
      <c r="D271" s="2" t="s">
        <v>1689</v>
      </c>
    </row>
    <row r="272" spans="3:41" ht="20.100000000000001" customHeight="1" x14ac:dyDescent="0.2">
      <c r="D272" s="17" t="s">
        <v>1690</v>
      </c>
    </row>
    <row r="273" spans="4:9" ht="20.100000000000001" customHeight="1" x14ac:dyDescent="0.2">
      <c r="D273" s="103"/>
      <c r="E273" s="103"/>
    </row>
    <row r="277" spans="4:9" ht="20.100000000000001" customHeight="1" x14ac:dyDescent="0.2">
      <c r="D277" s="77" t="s">
        <v>373</v>
      </c>
      <c r="E277" s="1" t="s">
        <v>1174</v>
      </c>
    </row>
    <row r="278" spans="4:9" ht="20.100000000000001" customHeight="1" x14ac:dyDescent="0.2">
      <c r="D278" s="77" t="s">
        <v>121</v>
      </c>
      <c r="E278" s="9" t="s">
        <v>6</v>
      </c>
    </row>
    <row r="280" spans="4:9" ht="20.100000000000001" customHeight="1" x14ac:dyDescent="0.2">
      <c r="D280" s="105" t="s">
        <v>1691</v>
      </c>
      <c r="E280" s="106" t="s">
        <v>1692</v>
      </c>
      <c r="F280" s="108"/>
      <c r="G280" s="105" t="s">
        <v>1697</v>
      </c>
      <c r="H280" s="255" t="s">
        <v>1219</v>
      </c>
    </row>
    <row r="281" spans="4:9" ht="20.100000000000001" customHeight="1" x14ac:dyDescent="0.2">
      <c r="D281" s="105" t="s">
        <v>1693</v>
      </c>
      <c r="E281" s="106" t="s">
        <v>1694</v>
      </c>
      <c r="F281" s="108"/>
      <c r="G281" s="105" t="s">
        <v>1698</v>
      </c>
      <c r="H281" s="110" t="s">
        <v>1220</v>
      </c>
    </row>
    <row r="282" spans="4:9" ht="20.100000000000001" customHeight="1" x14ac:dyDescent="0.2">
      <c r="D282" s="105" t="s">
        <v>1695</v>
      </c>
      <c r="E282" s="106" t="s">
        <v>1696</v>
      </c>
      <c r="F282" s="108"/>
      <c r="G282" s="105"/>
      <c r="H282" s="255" t="s">
        <v>1219</v>
      </c>
    </row>
    <row r="284" spans="4:9" ht="20.100000000000001" customHeight="1" x14ac:dyDescent="0.2">
      <c r="D284" s="82" t="s">
        <v>1138</v>
      </c>
      <c r="E284" s="82" t="s">
        <v>588</v>
      </c>
      <c r="F284" s="114" t="s">
        <v>1139</v>
      </c>
      <c r="G284" s="114" t="s">
        <v>1068</v>
      </c>
      <c r="H284" s="82" t="s">
        <v>1140</v>
      </c>
      <c r="I284" s="114" t="s">
        <v>1071</v>
      </c>
    </row>
    <row r="285" spans="4:9" ht="20.100000000000001" customHeight="1" x14ac:dyDescent="0.2">
      <c r="D285" s="15" t="str" cm="1">
        <f t="array" ref="D285:D296">Table_SourceData_Scope3_Pesticides[Product]</f>
        <v>2,4-D</v>
      </c>
      <c r="E285" s="15">
        <f>SUMIF(Table_Input_Pesticides[Active ingredient 1 (select)],D285,Table_Input_Pesticides[Total active ingredient 1 (kg)])+
SUMIF(Table_Input_Pesticides[Active ingredient 2 (select)],D285,Table_Input_Pesticides[Total active ingredient 2 (kg)])+
SUMIF(Table_Input_Pesticides[Active ingredient 3 (select)],D285,Table_Input_Pesticides[Total active ingredient 3 (kg)])</f>
        <v>0</v>
      </c>
      <c r="F285" s="15" cm="1">
        <f t="array" ref="F285">Common_InputFunctions.Utility_LookupValueInTableNumber(D285,Table_SourceData_Scope3_Pesticides[Product],Table_SourceData_Scope3_Pesticides[Emissions intensity])</f>
        <v>5.2</v>
      </c>
      <c r="G285" s="15">
        <f>(($E285 * F285) * 10 ^ -3)</f>
        <v>0</v>
      </c>
      <c r="H285" s="76">
        <v>5</v>
      </c>
      <c r="I285" s="15">
        <f>(($E285 * (IF(H285,H285,F285))) * 10 ^ -3)</f>
        <v>0</v>
      </c>
    </row>
    <row r="286" spans="4:9" ht="20.100000000000001" customHeight="1" x14ac:dyDescent="0.2">
      <c r="D286" s="15" t="str">
        <v>Atrazine</v>
      </c>
      <c r="E286" s="15">
        <f>SUMIF(Table_Input_Pesticides[Active ingredient 1 (select)],D286,Table_Input_Pesticides[Total active ingredient 1 (kg)])+
SUMIF(Table_Input_Pesticides[Active ingredient 2 (select)],D286,Table_Input_Pesticides[Total active ingredient 2 (kg)])+
SUMIF(Table_Input_Pesticides[Active ingredient 3 (select)],D286,Table_Input_Pesticides[Total active ingredient 3 (kg)])</f>
        <v>0</v>
      </c>
      <c r="F286" s="15" cm="1">
        <f t="array" ref="F286">Common_InputFunctions.Utility_LookupValueInTableNumber(D286,Table_SourceData_Scope3_Pesticides[Product],Table_SourceData_Scope3_Pesticides[Emissions intensity])</f>
        <v>8.3800000000000008</v>
      </c>
      <c r="G286" s="15">
        <f>(($E286 * F286) * 10 ^ -3)</f>
        <v>0</v>
      </c>
      <c r="H286" s="76">
        <v>8</v>
      </c>
      <c r="I286" s="15">
        <f>(($E286 * (IF(H286,H286,F286))) * 10 ^ -3)</f>
        <v>0</v>
      </c>
    </row>
    <row r="287" spans="4:9" ht="20.100000000000001" customHeight="1" x14ac:dyDescent="0.2">
      <c r="D287" s="15" t="str">
        <v>Diuron</v>
      </c>
      <c r="E287" s="15">
        <f>SUMIF(Table_Input_Pesticides[Active ingredient 1 (select)],D287,Table_Input_Pesticides[Total active ingredient 1 (kg)])+
SUMIF(Table_Input_Pesticides[Active ingredient 2 (select)],D287,Table_Input_Pesticides[Total active ingredient 2 (kg)])+
SUMIF(Table_Input_Pesticides[Active ingredient 3 (select)],D287,Table_Input_Pesticides[Total active ingredient 3 (kg)])</f>
        <v>0</v>
      </c>
      <c r="F287" s="15" cm="1">
        <f t="array" ref="F287">Common_InputFunctions.Utility_LookupValueInTableNumber(D287,Table_SourceData_Scope3_Pesticides[Product],Table_SourceData_Scope3_Pesticides[Emissions intensity])</f>
        <v>8.8000000000000007</v>
      </c>
      <c r="G287" s="15">
        <f>(($E287 * F287) * 10 ^ -3)</f>
        <v>0</v>
      </c>
      <c r="H287" s="76"/>
      <c r="I287" s="15">
        <f>(($E287 * (IF(H287,H287,F287))) * 10 ^ -3)</f>
        <v>0</v>
      </c>
    </row>
    <row r="288" spans="4:9" ht="20.100000000000001" customHeight="1" x14ac:dyDescent="0.2">
      <c r="D288" s="15" t="str">
        <v>Glyphosate</v>
      </c>
      <c r="E288" s="15">
        <f>SUMIF(Table_Input_Pesticides[Active ingredient 1 (select)],D288,Table_Input_Pesticides[Total active ingredient 1 (kg)])+
SUMIF(Table_Input_Pesticides[Active ingredient 2 (select)],D288,Table_Input_Pesticides[Total active ingredient 2 (kg)])+
SUMIF(Table_Input_Pesticides[Active ingredient 3 (select)],D288,Table_Input_Pesticides[Total active ingredient 3 (kg)])</f>
        <v>0</v>
      </c>
      <c r="F288" s="15" cm="1">
        <f t="array" ref="F288">Common_InputFunctions.Utility_LookupValueInTableNumber(D288,Table_SourceData_Scope3_Pesticides[Product],Table_SourceData_Scope3_Pesticides[Emissions intensity])</f>
        <v>10.3</v>
      </c>
      <c r="G288" s="15">
        <f>(($E288 * F288) * 10 ^ -3)</f>
        <v>0</v>
      </c>
      <c r="H288" s="76"/>
      <c r="I288" s="15">
        <f>(($E288 * (IF(H288,H288,F288))) * 10 ^ -3)</f>
        <v>0</v>
      </c>
    </row>
    <row r="289" spans="3:41" ht="20.100000000000001" customHeight="1" x14ac:dyDescent="0.2">
      <c r="D289" s="15" t="str">
        <v>Mancozeb</v>
      </c>
      <c r="E289" s="15">
        <f>SUMIF(Table_Input_Pesticides[Active ingredient 1 (select)],D289,Table_Input_Pesticides[Total active ingredient 1 (kg)])+
SUMIF(Table_Input_Pesticides[Active ingredient 2 (select)],D289,Table_Input_Pesticides[Total active ingredient 2 (kg)])+
SUMIF(Table_Input_Pesticides[Active ingredient 3 (select)],D289,Table_Input_Pesticides[Total active ingredient 3 (kg)])</f>
        <v>0</v>
      </c>
      <c r="F289" s="15" cm="1">
        <f t="array" ref="F289">Common_InputFunctions.Utility_LookupValueInTableNumber(D289,Table_SourceData_Scope3_Pesticides[Product],Table_SourceData_Scope3_Pesticides[Emissions intensity])</f>
        <v>4.55</v>
      </c>
      <c r="G289" s="15">
        <f>(($E289 * F289) * 10 ^ -3)</f>
        <v>0</v>
      </c>
      <c r="H289" s="76"/>
      <c r="I289" s="15">
        <f>(($E289 * (IF(H289,H289,F289))) * 10 ^ -3)</f>
        <v>0</v>
      </c>
    </row>
    <row r="290" spans="3:41" ht="20.100000000000001" customHeight="1" x14ac:dyDescent="0.2">
      <c r="D290" s="15" t="str">
        <v>MCPA</v>
      </c>
      <c r="E290" s="15">
        <f>SUMIF(Table_Input_Pesticides[Active ingredient 1 (select)],D290,Table_Input_Pesticides[Total active ingredient 1 (kg)])+
SUMIF(Table_Input_Pesticides[Active ingredient 2 (select)],D290,Table_Input_Pesticides[Total active ingredient 2 (kg)])+
SUMIF(Table_Input_Pesticides[Active ingredient 3 (select)],D290,Table_Input_Pesticides[Total active ingredient 3 (kg)])</f>
        <v>0</v>
      </c>
      <c r="F290" s="15" cm="1">
        <f t="array" ref="F290">Common_InputFunctions.Utility_LookupValueInTableNumber(D290,Table_SourceData_Scope3_Pesticides[Product],Table_SourceData_Scope3_Pesticides[Emissions intensity])</f>
        <v>5.6</v>
      </c>
      <c r="G290" s="15">
        <f>(($E290 * F290) * 10 ^ -3)</f>
        <v>0</v>
      </c>
      <c r="H290" s="76"/>
      <c r="I290" s="15">
        <f>(($E290 * (IF(H290,H290,F290))) * 10 ^ -3)</f>
        <v>0</v>
      </c>
    </row>
    <row r="291" spans="3:41" ht="20.100000000000001" customHeight="1" x14ac:dyDescent="0.2">
      <c r="D291" s="15" t="str">
        <v>Metolachlor</v>
      </c>
      <c r="E291" s="15">
        <f>SUMIF(Table_Input_Pesticides[Active ingredient 1 (select)],D291,Table_Input_Pesticides[Total active ingredient 1 (kg)])+
SUMIF(Table_Input_Pesticides[Active ingredient 2 (select)],D291,Table_Input_Pesticides[Total active ingredient 2 (kg)])+
SUMIF(Table_Input_Pesticides[Active ingredient 3 (select)],D291,Table_Input_Pesticides[Total active ingredient 3 (kg)])</f>
        <v>0</v>
      </c>
      <c r="F291" s="15" cm="1">
        <f t="array" ref="F291">Common_InputFunctions.Utility_LookupValueInTableNumber(D291,Table_SourceData_Scope3_Pesticides[Product],Table_SourceData_Scope3_Pesticides[Emissions intensity])</f>
        <v>8.06</v>
      </c>
      <c r="G291" s="15">
        <f>(($E291 * F291) * 10 ^ -3)</f>
        <v>0</v>
      </c>
      <c r="H291" s="76"/>
      <c r="I291" s="15">
        <f>(($E291 * (IF(H291,H291,F291))) * 10 ^ -3)</f>
        <v>0</v>
      </c>
    </row>
    <row r="292" spans="3:41" ht="20.100000000000001" customHeight="1" x14ac:dyDescent="0.2">
      <c r="D292" s="15" t="str">
        <v>Metsulfuron-methyl</v>
      </c>
      <c r="E292" s="15">
        <f>SUMIF(Table_Input_Pesticides[Active ingredient 1 (select)],D292,Table_Input_Pesticides[Total active ingredient 1 (kg)])+
SUMIF(Table_Input_Pesticides[Active ingredient 2 (select)],D292,Table_Input_Pesticides[Total active ingredient 2 (kg)])+
SUMIF(Table_Input_Pesticides[Active ingredient 3 (select)],D292,Table_Input_Pesticides[Total active ingredient 3 (kg)])</f>
        <v>0</v>
      </c>
      <c r="F292" s="15" cm="1">
        <f t="array" ref="F292">Common_InputFunctions.Utility_LookupValueInTableNumber(D292,Table_SourceData_Scope3_Pesticides[Product],Table_SourceData_Scope3_Pesticides[Emissions intensity])</f>
        <v>8.8000000000000007</v>
      </c>
      <c r="G292" s="15">
        <f>(($E292 * F292) * 10 ^ -3)</f>
        <v>0</v>
      </c>
      <c r="H292" s="76"/>
      <c r="I292" s="15">
        <f>(($E292 * (IF(H292,H292,F292))) * 10 ^ -3)</f>
        <v>0</v>
      </c>
    </row>
    <row r="293" spans="3:41" ht="20.100000000000001" customHeight="1" x14ac:dyDescent="0.2">
      <c r="D293" s="15" t="str">
        <v>Pesticides (generic)</v>
      </c>
      <c r="E293" s="15">
        <f>SUMIF(Table_Input_Pesticides[Active ingredient 1 (select)],D293,Table_Input_Pesticides[Total active ingredient 1 (kg)])+
SUMIF(Table_Input_Pesticides[Active ingredient 2 (select)],D293,Table_Input_Pesticides[Total active ingredient 2 (kg)])+
SUMIF(Table_Input_Pesticides[Active ingredient 3 (select)],D293,Table_Input_Pesticides[Total active ingredient 3 (kg)])</f>
        <v>0</v>
      </c>
      <c r="F293" s="15" cm="1">
        <f t="array" ref="F293">Common_InputFunctions.Utility_LookupValueInTableNumber(D293,Table_SourceData_Scope3_Pesticides[Product],Table_SourceData_Scope3_Pesticides[Emissions intensity])</f>
        <v>9.16</v>
      </c>
      <c r="G293" s="15">
        <f>(($E293 * F293) * 10 ^ -3)</f>
        <v>0</v>
      </c>
      <c r="H293" s="76"/>
      <c r="I293" s="15">
        <f>(($E293 * (IF(H293,H293,F293))) * 10 ^ -3)</f>
        <v>0</v>
      </c>
    </row>
    <row r="294" spans="3:41" ht="20.100000000000001" customHeight="1" x14ac:dyDescent="0.2">
      <c r="D294" s="15" t="str">
        <v>Tri-allate</v>
      </c>
      <c r="E294" s="15">
        <f>SUMIF(Table_Input_Pesticides[Active ingredient 1 (select)],D294,Table_Input_Pesticides[Total active ingredient 1 (kg)])+
SUMIF(Table_Input_Pesticides[Active ingredient 2 (select)],D294,Table_Input_Pesticides[Total active ingredient 2 (kg)])+
SUMIF(Table_Input_Pesticides[Active ingredient 3 (select)],D294,Table_Input_Pesticides[Total active ingredient 3 (kg)])</f>
        <v>0</v>
      </c>
      <c r="F294" s="15" cm="1">
        <f t="array" ref="F294">Common_InputFunctions.Utility_LookupValueInTableNumber(D294,Table_SourceData_Scope3_Pesticides[Product],Table_SourceData_Scope3_Pesticides[Emissions intensity])</f>
        <v>8.57</v>
      </c>
      <c r="G294" s="15">
        <f>(($E294 * F294) * 10 ^ -3)</f>
        <v>0</v>
      </c>
      <c r="H294" s="76"/>
      <c r="I294" s="15">
        <f>(($E294 * (IF(H294,H294,F294))) * 10 ^ -3)</f>
        <v>0</v>
      </c>
    </row>
    <row r="295" spans="3:41" ht="20.100000000000001" customHeight="1" x14ac:dyDescent="0.2">
      <c r="D295" s="15" t="str">
        <v>Tribenuron methyl</v>
      </c>
      <c r="E295" s="15">
        <f>SUMIF(Table_Input_Pesticides[Active ingredient 1 (select)],D295,Table_Input_Pesticides[Total active ingredient 1 (kg)])+
SUMIF(Table_Input_Pesticides[Active ingredient 2 (select)],D295,Table_Input_Pesticides[Total active ingredient 2 (kg)])+
SUMIF(Table_Input_Pesticides[Active ingredient 3 (select)],D295,Table_Input_Pesticides[Total active ingredient 3 (kg)])</f>
        <v>0</v>
      </c>
      <c r="F295" s="15" cm="1">
        <f t="array" ref="F295">Common_InputFunctions.Utility_LookupValueInTableNumber(D295,Table_SourceData_Scope3_Pesticides[Product],Table_SourceData_Scope3_Pesticides[Emissions intensity])</f>
        <v>8.8000000000000007</v>
      </c>
      <c r="G295" s="15">
        <f>(($E295 * F295) * 10 ^ -3)</f>
        <v>0</v>
      </c>
      <c r="H295" s="76"/>
      <c r="I295" s="15">
        <f>(($E295 * (IF(H295,H295,F295))) * 10 ^ -3)</f>
        <v>0</v>
      </c>
    </row>
    <row r="296" spans="3:41" ht="20.100000000000001" customHeight="1" x14ac:dyDescent="0.2">
      <c r="D296" s="15" t="str">
        <v>Trifluralin</v>
      </c>
      <c r="E296" s="15">
        <f>SUMIF(Table_Input_Pesticides[Active ingredient 1 (select)],D296,Table_Input_Pesticides[Total active ingredient 1 (kg)])+
SUMIF(Table_Input_Pesticides[Active ingredient 2 (select)],D296,Table_Input_Pesticides[Total active ingredient 2 (kg)])+
SUMIF(Table_Input_Pesticides[Active ingredient 3 (select)],D296,Table_Input_Pesticides[Total active ingredient 3 (kg)])</f>
        <v>0</v>
      </c>
      <c r="F296" s="15" cm="1">
        <f t="array" ref="F296">Common_InputFunctions.Utility_LookupValueInTableNumber(D296,Table_SourceData_Scope3_Pesticides[Product],Table_SourceData_Scope3_Pesticides[Emissions intensity])</f>
        <v>6.16</v>
      </c>
      <c r="G296" s="15">
        <f>(($E296 * F296) * 10 ^ -3)</f>
        <v>0</v>
      </c>
      <c r="H296" s="76"/>
      <c r="I296" s="15">
        <f>(($E296 * (IF(H296,H296,F296))) * 10 ^ -3)</f>
        <v>0</v>
      </c>
    </row>
    <row r="298" spans="3:41" ht="20.100000000000001" customHeight="1" x14ac:dyDescent="0.2">
      <c r="D298" s="259" t="s">
        <v>1068</v>
      </c>
      <c r="E298" s="91">
        <f>SUM(G285:G296)</f>
        <v>0</v>
      </c>
      <c r="F298" s="95" t="str">
        <f>$E$170</f>
        <v>t CO2e</v>
      </c>
    </row>
    <row r="299" spans="3:41" ht="20.100000000000001" customHeight="1" x14ac:dyDescent="0.2">
      <c r="D299" s="259" t="s">
        <v>1071</v>
      </c>
      <c r="E299" s="91">
        <f>SUM(I285:I296)</f>
        <v>0</v>
      </c>
      <c r="F299" s="95" t="str">
        <f>$E$170</f>
        <v>t CO2e</v>
      </c>
    </row>
    <row r="302" spans="3:41" ht="20.100000000000001" customHeight="1" x14ac:dyDescent="0.2">
      <c r="C302" s="87"/>
      <c r="D302" s="87"/>
      <c r="E302" s="87"/>
      <c r="F302" s="87"/>
      <c r="G302" s="87"/>
      <c r="H302" s="87"/>
      <c r="I302" s="87"/>
      <c r="J302" s="87"/>
      <c r="K302" s="87"/>
      <c r="L302" s="87"/>
      <c r="M302" s="87"/>
      <c r="N302" s="87"/>
      <c r="O302" s="87"/>
      <c r="P302" s="87"/>
      <c r="Q302" s="87"/>
      <c r="R302" s="87"/>
      <c r="S302" s="87"/>
      <c r="T302" s="87"/>
      <c r="U302" s="87"/>
      <c r="V302" s="87"/>
      <c r="W302" s="87"/>
      <c r="X302" s="87"/>
      <c r="Y302" s="87"/>
      <c r="Z302" s="87"/>
      <c r="AA302" s="87"/>
      <c r="AB302" s="87"/>
      <c r="AC302" s="87"/>
      <c r="AD302" s="87"/>
      <c r="AE302" s="87"/>
      <c r="AF302" s="87"/>
      <c r="AG302" s="87"/>
      <c r="AH302" s="87"/>
      <c r="AI302" s="87"/>
      <c r="AJ302" s="87"/>
      <c r="AK302" s="87"/>
      <c r="AL302" s="87"/>
      <c r="AM302" s="87"/>
      <c r="AN302" s="87"/>
      <c r="AO302" s="87"/>
    </row>
    <row r="303" spans="3:41" ht="20.100000000000001" customHeight="1" x14ac:dyDescent="0.2">
      <c r="D303" s="2" t="s">
        <v>1699</v>
      </c>
    </row>
    <row r="304" spans="3:41" ht="20.100000000000001" customHeight="1" x14ac:dyDescent="0.2">
      <c r="D304" s="17" t="s">
        <v>1700</v>
      </c>
    </row>
    <row r="305" spans="4:13" ht="20.100000000000001" customHeight="1" x14ac:dyDescent="0.2">
      <c r="D305" s="103"/>
      <c r="E305" s="103"/>
    </row>
    <row r="308" spans="4:13" ht="20.100000000000001" customHeight="1" x14ac:dyDescent="0.2">
      <c r="D308" s="77" t="s">
        <v>373</v>
      </c>
      <c r="E308" s="1" t="s">
        <v>1174</v>
      </c>
    </row>
    <row r="309" spans="4:13" ht="20.100000000000001" customHeight="1" x14ac:dyDescent="0.2">
      <c r="D309" s="77" t="s">
        <v>121</v>
      </c>
      <c r="E309" s="1" t="s">
        <v>6</v>
      </c>
    </row>
    <row r="311" spans="4:13" ht="20.100000000000001" customHeight="1" x14ac:dyDescent="0.2">
      <c r="D311" s="105" t="s">
        <v>1444</v>
      </c>
      <c r="E311" s="105" t="s">
        <v>1701</v>
      </c>
      <c r="F311" s="105" t="s">
        <v>1594</v>
      </c>
      <c r="G311" s="255" t="s">
        <v>1219</v>
      </c>
    </row>
    <row r="312" spans="4:13" ht="20.100000000000001" customHeight="1" x14ac:dyDescent="0.2">
      <c r="D312" s="105" t="s">
        <v>1702</v>
      </c>
      <c r="E312" s="105" t="s">
        <v>1703</v>
      </c>
      <c r="F312" s="105" t="s">
        <v>1616</v>
      </c>
      <c r="G312" s="110" t="s">
        <v>1220</v>
      </c>
    </row>
    <row r="314" spans="4:13" ht="20.100000000000001" customHeight="1" x14ac:dyDescent="0.2">
      <c r="E314" s="114" t="s">
        <v>136</v>
      </c>
      <c r="F314" s="82" t="s">
        <v>137</v>
      </c>
    </row>
    <row r="315" spans="4:13" ht="20.100000000000001" customHeight="1" x14ac:dyDescent="0.2">
      <c r="D315" s="1" t="s">
        <v>1141</v>
      </c>
      <c r="E315" s="15" cm="1">
        <f t="array" ref="E315">Common_InputFunctions.Utility_LookupValueInTableNumber("Limestone (crushed)", Table_SourceData_Scope3_SoilAmeliorants[Product],Table_SourceData_Scope3_SoilAmeliorants[Emissions intensity])*10^-3</f>
        <v>4.85E-5</v>
      </c>
      <c r="F315" s="76">
        <v>4.0000000000000003E-5</v>
      </c>
      <c r="G315" s="16" t="str">
        <f>$F$312</f>
        <v>t CO2e/t</v>
      </c>
    </row>
    <row r="316" spans="4:13" ht="20.100000000000001" customHeight="1" x14ac:dyDescent="0.2">
      <c r="D316" s="1" t="s">
        <v>1142</v>
      </c>
      <c r="E316" s="15" cm="1">
        <f t="array" ref="E316">Common_InputFunctions.Utility_LookupValueInTableNumber("Dolomite", Table_SourceData_Scope3_SoilAmeliorants[Product],Table_SourceData_Scope3_SoilAmeliorants[Emissions intensity])*10^-3</f>
        <v>6.5199999999999999E-5</v>
      </c>
      <c r="F316" s="76">
        <v>6.0000000000000002E-5</v>
      </c>
      <c r="G316" s="16"/>
    </row>
    <row r="317" spans="4:13" ht="20.100000000000001" customHeight="1" x14ac:dyDescent="0.2">
      <c r="D317" s="1" t="s">
        <v>1143</v>
      </c>
      <c r="E317" s="15" cm="1">
        <f t="array" ref="E317">Common_InputFunctions.Utility_LookupValueInTableNumber("Gypsum", Table_SourceData_Scope3_SoilAmeliorants[Product],Table_SourceData_Scope3_SoilAmeliorants[Emissions intensity])*10^-3</f>
        <v>6.5199999999999999E-5</v>
      </c>
      <c r="F317" s="76">
        <v>6.0000000000000002E-5</v>
      </c>
      <c r="G317" s="16"/>
    </row>
    <row r="319" spans="4:13" ht="20.100000000000001" customHeight="1" x14ac:dyDescent="0.2">
      <c r="D319" s="82" t="s">
        <v>997</v>
      </c>
      <c r="E319" s="256" t="s">
        <v>1144</v>
      </c>
      <c r="F319" s="82" t="s">
        <v>1145</v>
      </c>
      <c r="G319" s="82" t="s">
        <v>1146</v>
      </c>
      <c r="H319" s="82" t="s">
        <v>1147</v>
      </c>
      <c r="I319" s="114" t="s">
        <v>1068</v>
      </c>
      <c r="J319" s="114" t="s">
        <v>1148</v>
      </c>
      <c r="K319" s="82" t="s">
        <v>1072</v>
      </c>
      <c r="L319" s="82" t="s">
        <v>1073</v>
      </c>
      <c r="M319" s="82" t="s">
        <v>1074</v>
      </c>
    </row>
    <row r="320" spans="4:13" ht="20.100000000000001" customHeight="1" x14ac:dyDescent="0.2">
      <c r="D320" s="15" t="str" cm="1">
        <f t="array" ref="D320:D329">IFERROR(INDEX(#REF!, _xlfn.SEQUENCE(10)), "")</f>
        <v/>
      </c>
      <c r="E320" s="15" cm="1">
        <f t="array" ref="E320:E329">IFERROR(INDEX(#REF!, _xlfn.SEQUENCE(10)), 0)</f>
        <v>0</v>
      </c>
      <c r="F320" s="15" cm="1">
        <f t="array" ref="F320:F329">IFERROR(INDEX(#REF!, _xlfn.SEQUENCE(10)), 0)*E320</f>
        <v>0</v>
      </c>
      <c r="G320" s="15" cm="1">
        <f t="array" ref="G320:G329">IFERROR(INDEX(#REF!, _xlfn.SEQUENCE(10)), 0)*E320</f>
        <v>0</v>
      </c>
      <c r="H320" s="15" cm="1">
        <f t="array" ref="H320:H329">IFERROR(INDEX(#REF!, _xlfn.SEQUENCE(10)), 0)*E320</f>
        <v>0</v>
      </c>
      <c r="I320" s="257">
        <f>(F320 * $E$315)+
(G320 * $E$316)+
(H320 * $E$317)</f>
        <v>0</v>
      </c>
      <c r="J320" s="257">
        <f>(F320 * (IF($F$315,$F$315,$E$315)))+
(G320 * (IF($F$316,$F$316,$E$316)))+
(H320 * (IF($F$317,$F$317,$E$317)))</f>
        <v>0</v>
      </c>
      <c r="K320" s="34"/>
      <c r="L320" s="13"/>
      <c r="M320" s="34"/>
    </row>
    <row r="321" spans="3:41" ht="20.100000000000001" customHeight="1" x14ac:dyDescent="0.2">
      <c r="D321" s="15" t="str">
        <v/>
      </c>
      <c r="E321" s="15">
        <v>0</v>
      </c>
      <c r="F321" s="15">
        <v>0</v>
      </c>
      <c r="G321" s="15">
        <v>0</v>
      </c>
      <c r="H321" s="15">
        <v>0</v>
      </c>
      <c r="I321" s="257">
        <f>(F321 * $E$315)+
(G321 * $E$316)+
(H321 * $E$317)</f>
        <v>0</v>
      </c>
      <c r="J321" s="257">
        <f>(F321 * (IF($F$315,$F$315,$E$315)))+
(G321 * (IF($F$316,$F$316,$E$316)))+
(H321 * (IF($F$317,$F$317,$E$317)))</f>
        <v>0</v>
      </c>
      <c r="K321" s="34"/>
      <c r="L321" s="13"/>
      <c r="M321" s="34"/>
    </row>
    <row r="322" spans="3:41" ht="20.100000000000001" customHeight="1" x14ac:dyDescent="0.2">
      <c r="D322" s="15" t="str">
        <v/>
      </c>
      <c r="E322" s="15">
        <v>0</v>
      </c>
      <c r="F322" s="15">
        <v>0</v>
      </c>
      <c r="G322" s="15">
        <v>0</v>
      </c>
      <c r="H322" s="15">
        <v>0</v>
      </c>
      <c r="I322" s="257">
        <f>(F322 * $E$315)+
(G322 * $E$316)+
(H322 * $E$317)</f>
        <v>0</v>
      </c>
      <c r="J322" s="257">
        <f>(F322 * (IF($F$315,$F$315,$E$315)))+
(G322 * (IF($F$316,$F$316,$E$316)))+
(H322 * (IF($F$317,$F$317,$E$317)))</f>
        <v>0</v>
      </c>
      <c r="K322" s="34"/>
      <c r="L322" s="13"/>
      <c r="M322" s="34"/>
    </row>
    <row r="323" spans="3:41" ht="20.100000000000001" customHeight="1" x14ac:dyDescent="0.2">
      <c r="D323" s="15" t="str">
        <v/>
      </c>
      <c r="E323" s="15">
        <v>0</v>
      </c>
      <c r="F323" s="15">
        <v>0</v>
      </c>
      <c r="G323" s="15">
        <v>0</v>
      </c>
      <c r="H323" s="15">
        <v>0</v>
      </c>
      <c r="I323" s="257">
        <f>(F323 * $E$315)+
(G323 * $E$316)+
(H323 * $E$317)</f>
        <v>0</v>
      </c>
      <c r="J323" s="257">
        <f>(F323 * (IF($F$315,$F$315,$E$315)))+
(G323 * (IF($F$316,$F$316,$E$316)))+
(H323 * (IF($F$317,$F$317,$E$317)))</f>
        <v>0</v>
      </c>
      <c r="K323" s="34"/>
      <c r="L323" s="13"/>
      <c r="M323" s="34"/>
    </row>
    <row r="324" spans="3:41" ht="20.100000000000001" customHeight="1" x14ac:dyDescent="0.2">
      <c r="D324" s="15" t="str">
        <v/>
      </c>
      <c r="E324" s="15">
        <v>0</v>
      </c>
      <c r="F324" s="15">
        <v>0</v>
      </c>
      <c r="G324" s="15">
        <v>0</v>
      </c>
      <c r="H324" s="15">
        <v>0</v>
      </c>
      <c r="I324" s="257">
        <f>(F324 * $E$315)+
(G324 * $E$316)+
(H324 * $E$317)</f>
        <v>0</v>
      </c>
      <c r="J324" s="257">
        <f>(F324 * (IF($F$315,$F$315,$E$315)))+
(G324 * (IF($F$316,$F$316,$E$316)))+
(H324 * (IF($F$317,$F$317,$E$317)))</f>
        <v>0</v>
      </c>
      <c r="K324" s="34"/>
      <c r="L324" s="13"/>
      <c r="M324" s="34"/>
    </row>
    <row r="325" spans="3:41" ht="20.100000000000001" customHeight="1" x14ac:dyDescent="0.2">
      <c r="D325" s="15" t="str">
        <v/>
      </c>
      <c r="E325" s="15">
        <v>0</v>
      </c>
      <c r="F325" s="15">
        <v>0</v>
      </c>
      <c r="G325" s="15">
        <v>0</v>
      </c>
      <c r="H325" s="15">
        <v>0</v>
      </c>
      <c r="I325" s="257">
        <f>(F325 * $E$315)+
(G325 * $E$316)+
(H325 * $E$317)</f>
        <v>0</v>
      </c>
      <c r="J325" s="257">
        <f>(F325 * (IF($F$315,$F$315,$E$315)))+
(G325 * (IF($F$316,$F$316,$E$316)))+
(H325 * (IF($F$317,$F$317,$E$317)))</f>
        <v>0</v>
      </c>
      <c r="K325" s="34"/>
      <c r="L325" s="13"/>
      <c r="M325" s="34"/>
    </row>
    <row r="326" spans="3:41" ht="20.100000000000001" customHeight="1" x14ac:dyDescent="0.2">
      <c r="D326" s="15" t="str">
        <v/>
      </c>
      <c r="E326" s="15">
        <v>0</v>
      </c>
      <c r="F326" s="15">
        <v>0</v>
      </c>
      <c r="G326" s="15">
        <v>0</v>
      </c>
      <c r="H326" s="15">
        <v>0</v>
      </c>
      <c r="I326" s="257">
        <f>(F326 * $E$315)+
(G326 * $E$316)+
(H326 * $E$317)</f>
        <v>0</v>
      </c>
      <c r="J326" s="257">
        <f>(F326 * (IF($F$315,$F$315,$E$315)))+
(G326 * (IF($F$316,$F$316,$E$316)))+
(H326 * (IF($F$317,$F$317,$E$317)))</f>
        <v>0</v>
      </c>
      <c r="K326" s="34"/>
      <c r="L326" s="13"/>
      <c r="M326" s="34"/>
    </row>
    <row r="327" spans="3:41" ht="20.100000000000001" customHeight="1" x14ac:dyDescent="0.2">
      <c r="D327" s="15" t="str">
        <v/>
      </c>
      <c r="E327" s="15">
        <v>0</v>
      </c>
      <c r="F327" s="15">
        <v>0</v>
      </c>
      <c r="G327" s="15">
        <v>0</v>
      </c>
      <c r="H327" s="15">
        <v>0</v>
      </c>
      <c r="I327" s="257">
        <f>(F327 * $E$315)+
(G327 * $E$316)+
(H327 * $E$317)</f>
        <v>0</v>
      </c>
      <c r="J327" s="257">
        <f>(F327 * (IF($F$315,$F$315,$E$315)))+
(G327 * (IF($F$316,$F$316,$E$316)))+
(H327 * (IF($F$317,$F$317,$E$317)))</f>
        <v>0</v>
      </c>
      <c r="K327" s="34"/>
      <c r="L327" s="13"/>
      <c r="M327" s="34"/>
    </row>
    <row r="328" spans="3:41" ht="20.100000000000001" customHeight="1" x14ac:dyDescent="0.2">
      <c r="D328" s="15" t="str">
        <v/>
      </c>
      <c r="E328" s="15">
        <v>0</v>
      </c>
      <c r="F328" s="15">
        <v>0</v>
      </c>
      <c r="G328" s="15">
        <v>0</v>
      </c>
      <c r="H328" s="15">
        <v>0</v>
      </c>
      <c r="I328" s="257">
        <f>(F328 * $E$315)+
(G328 * $E$316)+
(H328 * $E$317)</f>
        <v>0</v>
      </c>
      <c r="J328" s="257">
        <f>(F328 * (IF($F$315,$F$315,$E$315)))+
(G328 * (IF($F$316,$F$316,$E$316)))+
(H328 * (IF($F$317,$F$317,$E$317)))</f>
        <v>0</v>
      </c>
      <c r="K328" s="34"/>
      <c r="L328" s="13"/>
      <c r="M328" s="34"/>
    </row>
    <row r="329" spans="3:41" ht="20.100000000000001" customHeight="1" x14ac:dyDescent="0.2">
      <c r="D329" s="15" t="str">
        <v/>
      </c>
      <c r="E329" s="15">
        <v>0</v>
      </c>
      <c r="F329" s="15">
        <v>0</v>
      </c>
      <c r="G329" s="15">
        <v>0</v>
      </c>
      <c r="H329" s="15">
        <v>0</v>
      </c>
      <c r="I329" s="257">
        <f>(F329 * $E$315)+
(G329 * $E$316)+
(H329 * $E$317)</f>
        <v>0</v>
      </c>
      <c r="J329" s="257">
        <f>(F329 * (IF($F$315,$F$315,$E$315)))+
(G329 * (IF($F$316,$F$316,$E$316)))+
(H329 * (IF($F$317,$F$317,$E$317)))</f>
        <v>0</v>
      </c>
      <c r="K329" s="34"/>
      <c r="L329" s="13"/>
      <c r="M329" s="34"/>
    </row>
    <row r="331" spans="3:41" ht="20.100000000000001" customHeight="1" x14ac:dyDescent="0.2">
      <c r="D331" s="259" t="s">
        <v>1068</v>
      </c>
      <c r="E331" s="91">
        <f>SUM(I320:I329)</f>
        <v>0</v>
      </c>
      <c r="F331" s="95" t="str">
        <f>$E$170</f>
        <v>t CO2e</v>
      </c>
    </row>
    <row r="332" spans="3:41" ht="20.100000000000001" customHeight="1" x14ac:dyDescent="0.2">
      <c r="D332" s="259" t="s">
        <v>1071</v>
      </c>
      <c r="E332" s="91">
        <f>SUM(J320:J329)</f>
        <v>0</v>
      </c>
      <c r="F332" s="95" t="str">
        <f>$E$170</f>
        <v>t CO2e</v>
      </c>
    </row>
    <row r="335" spans="3:41" ht="20.100000000000001" customHeight="1" x14ac:dyDescent="0.2">
      <c r="C335" s="87"/>
      <c r="D335" s="87"/>
      <c r="E335" s="87"/>
      <c r="F335" s="87"/>
      <c r="G335" s="87"/>
      <c r="H335" s="87"/>
      <c r="I335" s="87"/>
      <c r="J335" s="87"/>
      <c r="K335" s="87"/>
      <c r="L335" s="87"/>
      <c r="M335" s="87"/>
      <c r="N335" s="87"/>
      <c r="O335" s="87"/>
      <c r="P335" s="87"/>
      <c r="Q335" s="87"/>
      <c r="R335" s="87"/>
      <c r="S335" s="87"/>
      <c r="T335" s="87"/>
      <c r="U335" s="87"/>
      <c r="V335" s="87"/>
      <c r="W335" s="87"/>
      <c r="X335" s="87"/>
      <c r="Y335" s="87"/>
      <c r="Z335" s="87"/>
      <c r="AA335" s="87"/>
      <c r="AB335" s="87"/>
      <c r="AC335" s="87"/>
      <c r="AD335" s="87"/>
      <c r="AE335" s="87"/>
      <c r="AF335" s="87"/>
      <c r="AG335" s="87"/>
      <c r="AH335" s="87"/>
      <c r="AI335" s="87"/>
      <c r="AJ335" s="87"/>
      <c r="AK335" s="87"/>
      <c r="AL335" s="87"/>
      <c r="AM335" s="87"/>
      <c r="AN335" s="87"/>
      <c r="AO335" s="87"/>
    </row>
    <row r="336" spans="3:41" ht="20.100000000000001" customHeight="1" x14ac:dyDescent="0.2">
      <c r="D336" s="2" t="s">
        <v>1704</v>
      </c>
    </row>
    <row r="337" spans="4:15" ht="20.100000000000001" customHeight="1" x14ac:dyDescent="0.2">
      <c r="D337" s="17" t="s">
        <v>1705</v>
      </c>
    </row>
    <row r="338" spans="4:15" ht="20.100000000000001" customHeight="1" x14ac:dyDescent="0.2">
      <c r="D338" s="103"/>
      <c r="E338" s="103"/>
    </row>
    <row r="340" spans="4:15" ht="20.100000000000001" customHeight="1" x14ac:dyDescent="0.2">
      <c r="H340" s="1" t="s">
        <v>1149</v>
      </c>
    </row>
    <row r="341" spans="4:15" ht="20.100000000000001" customHeight="1" x14ac:dyDescent="0.2">
      <c r="D341" s="77" t="s">
        <v>373</v>
      </c>
      <c r="E341" s="1" t="s">
        <v>1174</v>
      </c>
    </row>
    <row r="342" spans="4:15" ht="20.100000000000001" customHeight="1" x14ac:dyDescent="0.2">
      <c r="D342" s="77" t="s">
        <v>121</v>
      </c>
      <c r="E342" s="1" t="s">
        <v>6</v>
      </c>
    </row>
    <row r="344" spans="4:15" ht="20.100000000000001" customHeight="1" x14ac:dyDescent="0.2">
      <c r="D344" s="105" t="s">
        <v>1505</v>
      </c>
      <c r="E344" s="106" t="s">
        <v>1706</v>
      </c>
      <c r="F344" s="108"/>
      <c r="G344" s="105" t="s">
        <v>1710</v>
      </c>
      <c r="H344" s="255" t="s">
        <v>1219</v>
      </c>
    </row>
    <row r="345" spans="4:15" ht="20.100000000000001" customHeight="1" x14ac:dyDescent="0.2">
      <c r="D345" s="105" t="s">
        <v>1707</v>
      </c>
      <c r="E345" s="106" t="s">
        <v>1708</v>
      </c>
      <c r="F345" s="108"/>
      <c r="G345" s="105" t="s">
        <v>1711</v>
      </c>
      <c r="H345" s="110" t="s">
        <v>1220</v>
      </c>
    </row>
    <row r="346" spans="4:15" ht="20.100000000000001" customHeight="1" x14ac:dyDescent="0.2">
      <c r="D346" s="105" t="s">
        <v>1517</v>
      </c>
      <c r="E346" s="106" t="s">
        <v>1709</v>
      </c>
      <c r="F346" s="108"/>
      <c r="G346" s="105"/>
      <c r="H346" s="255" t="s">
        <v>1219</v>
      </c>
    </row>
    <row r="348" spans="4:15" ht="20.100000000000001" customHeight="1" x14ac:dyDescent="0.2">
      <c r="D348" s="26" t="s">
        <v>1150</v>
      </c>
    </row>
    <row r="350" spans="4:15" ht="20.100000000000001" customHeight="1" x14ac:dyDescent="0.2">
      <c r="D350" s="82" t="s">
        <v>1001</v>
      </c>
      <c r="E350" s="82" t="s">
        <v>1002</v>
      </c>
      <c r="F350" s="82" t="s">
        <v>1003</v>
      </c>
      <c r="G350" s="82" t="s">
        <v>807</v>
      </c>
      <c r="H350" s="114" t="s">
        <v>1151</v>
      </c>
      <c r="I350" s="114" t="s">
        <v>1152</v>
      </c>
      <c r="J350" s="82" t="s">
        <v>1153</v>
      </c>
      <c r="K350" s="114" t="s">
        <v>1154</v>
      </c>
      <c r="L350" s="114" t="s">
        <v>1155</v>
      </c>
      <c r="M350" s="82" t="s">
        <v>1072</v>
      </c>
      <c r="N350" s="82" t="s">
        <v>1073</v>
      </c>
      <c r="O350" s="82" t="s">
        <v>1074</v>
      </c>
    </row>
    <row r="351" spans="4:15" ht="20.100000000000001" customHeight="1" x14ac:dyDescent="0.2">
      <c r="D351" s="15" cm="1">
        <f t="array" ref="D351:D360">IFERROR(INDEX(Table_Input_ServicesAndContractors[Service provider / contractor], _xlfn.SEQUENCE(10)), "")</f>
        <v>0</v>
      </c>
      <c r="E351" s="15" cm="1">
        <f t="array" ref="E351:E360">IFERROR(INDEX(Table_Input_ServicesAndContractors[Activity], _xlfn.SEQUENCE(10)), "")</f>
        <v>0</v>
      </c>
      <c r="F351" s="15" cm="1">
        <f t="array" ref="F351:F360">IFERROR(INDEX(Table_Input_ServicesAndContractors[Total amount], _xlfn.SEQUENCE(10)), "")</f>
        <v>0</v>
      </c>
      <c r="G351" s="15" cm="1">
        <f t="array" ref="G351:G360">IFERROR(INDEX(Table_Input_ServicesAndContractors[Amount unit], _xlfn.SEQUENCE(10)), "")</f>
        <v>0</v>
      </c>
      <c r="H351" s="15" t="s">
        <v>1156</v>
      </c>
      <c r="I351" s="15" t="s">
        <v>1156</v>
      </c>
      <c r="J351" s="76">
        <v>4</v>
      </c>
      <c r="K351" s="257">
        <f>((F351 * J351) * 10 ^ -3)</f>
        <v>0</v>
      </c>
      <c r="L351" s="15" t="str">
        <f>"t CO2e / " &amp; G351</f>
        <v>t CO2e / 0</v>
      </c>
      <c r="M351" s="34"/>
      <c r="N351" s="13"/>
      <c r="O351" s="34"/>
    </row>
    <row r="352" spans="4:15" ht="20.100000000000001" customHeight="1" x14ac:dyDescent="0.2">
      <c r="D352" s="15">
        <v>0</v>
      </c>
      <c r="E352" s="15">
        <v>0</v>
      </c>
      <c r="F352" s="15">
        <v>0</v>
      </c>
      <c r="G352" s="15">
        <v>0</v>
      </c>
      <c r="H352" s="15" t="s">
        <v>1156</v>
      </c>
      <c r="I352" s="15" t="s">
        <v>1156</v>
      </c>
      <c r="J352" s="76">
        <v>2</v>
      </c>
      <c r="K352" s="257">
        <f>((F352 * J352) * 10 ^ -3)</f>
        <v>0</v>
      </c>
      <c r="L352" s="15" t="str">
        <f t="shared" ref="L352:L360" si="1">"t CO2e / " &amp; G352</f>
        <v>t CO2e / 0</v>
      </c>
      <c r="M352" s="34"/>
      <c r="N352" s="13"/>
      <c r="O352" s="34"/>
    </row>
    <row r="353" spans="3:41" ht="20.100000000000001" customHeight="1" x14ac:dyDescent="0.2">
      <c r="D353" s="15">
        <v>0</v>
      </c>
      <c r="E353" s="15">
        <v>0</v>
      </c>
      <c r="F353" s="15">
        <v>0</v>
      </c>
      <c r="G353" s="15">
        <v>0</v>
      </c>
      <c r="H353" s="15" t="s">
        <v>1156</v>
      </c>
      <c r="I353" s="15" t="s">
        <v>1156</v>
      </c>
      <c r="J353" s="76"/>
      <c r="K353" s="257">
        <f>((F353 * J353) * 10 ^ -3)</f>
        <v>0</v>
      </c>
      <c r="L353" s="15" t="str">
        <f t="shared" si="1"/>
        <v>t CO2e / 0</v>
      </c>
      <c r="M353" s="34"/>
      <c r="N353" s="13"/>
      <c r="O353" s="34"/>
    </row>
    <row r="354" spans="3:41" ht="20.100000000000001" customHeight="1" x14ac:dyDescent="0.2">
      <c r="D354" s="15">
        <v>0</v>
      </c>
      <c r="E354" s="15">
        <v>0</v>
      </c>
      <c r="F354" s="15">
        <v>0</v>
      </c>
      <c r="G354" s="15">
        <v>0</v>
      </c>
      <c r="H354" s="15" t="s">
        <v>1156</v>
      </c>
      <c r="I354" s="15" t="s">
        <v>1156</v>
      </c>
      <c r="J354" s="76"/>
      <c r="K354" s="257">
        <f>((F354 * J354) * 10 ^ -3)</f>
        <v>0</v>
      </c>
      <c r="L354" s="15" t="str">
        <f t="shared" si="1"/>
        <v>t CO2e / 0</v>
      </c>
      <c r="M354" s="34"/>
      <c r="N354" s="13"/>
      <c r="O354" s="34"/>
    </row>
    <row r="355" spans="3:41" ht="20.100000000000001" customHeight="1" x14ac:dyDescent="0.2">
      <c r="D355" s="15">
        <v>0</v>
      </c>
      <c r="E355" s="15">
        <v>0</v>
      </c>
      <c r="F355" s="15">
        <v>0</v>
      </c>
      <c r="G355" s="15">
        <v>0</v>
      </c>
      <c r="H355" s="15" t="s">
        <v>1156</v>
      </c>
      <c r="I355" s="15" t="s">
        <v>1156</v>
      </c>
      <c r="J355" s="76"/>
      <c r="K355" s="257">
        <f>((F355 * J355) * 10 ^ -3)</f>
        <v>0</v>
      </c>
      <c r="L355" s="15" t="str">
        <f t="shared" si="1"/>
        <v>t CO2e / 0</v>
      </c>
      <c r="M355" s="34"/>
      <c r="N355" s="13"/>
      <c r="O355" s="34"/>
    </row>
    <row r="356" spans="3:41" ht="20.100000000000001" customHeight="1" x14ac:dyDescent="0.2">
      <c r="D356" s="15">
        <v>0</v>
      </c>
      <c r="E356" s="15">
        <v>0</v>
      </c>
      <c r="F356" s="15">
        <v>0</v>
      </c>
      <c r="G356" s="15">
        <v>0</v>
      </c>
      <c r="H356" s="15" t="s">
        <v>1156</v>
      </c>
      <c r="I356" s="15" t="s">
        <v>1156</v>
      </c>
      <c r="J356" s="76"/>
      <c r="K356" s="257">
        <f>((F356 * J356) * 10 ^ -3)</f>
        <v>0</v>
      </c>
      <c r="L356" s="15" t="str">
        <f t="shared" si="1"/>
        <v>t CO2e / 0</v>
      </c>
      <c r="M356" s="34"/>
      <c r="N356" s="13"/>
      <c r="O356" s="34"/>
    </row>
    <row r="357" spans="3:41" ht="20.100000000000001" customHeight="1" x14ac:dyDescent="0.2">
      <c r="D357" s="15">
        <v>0</v>
      </c>
      <c r="E357" s="15">
        <v>0</v>
      </c>
      <c r="F357" s="15">
        <v>0</v>
      </c>
      <c r="G357" s="15">
        <v>0</v>
      </c>
      <c r="H357" s="15" t="s">
        <v>1156</v>
      </c>
      <c r="I357" s="15" t="s">
        <v>1156</v>
      </c>
      <c r="J357" s="76"/>
      <c r="K357" s="257">
        <f>((F357 * J357) * 10 ^ -3)</f>
        <v>0</v>
      </c>
      <c r="L357" s="15" t="str">
        <f t="shared" si="1"/>
        <v>t CO2e / 0</v>
      </c>
      <c r="M357" s="34"/>
      <c r="N357" s="13"/>
      <c r="O357" s="34"/>
    </row>
    <row r="358" spans="3:41" ht="20.100000000000001" customHeight="1" x14ac:dyDescent="0.2">
      <c r="D358" s="15">
        <v>0</v>
      </c>
      <c r="E358" s="15">
        <v>0</v>
      </c>
      <c r="F358" s="15">
        <v>0</v>
      </c>
      <c r="G358" s="15">
        <v>0</v>
      </c>
      <c r="H358" s="15" t="s">
        <v>1156</v>
      </c>
      <c r="I358" s="15" t="s">
        <v>1156</v>
      </c>
      <c r="J358" s="76"/>
      <c r="K358" s="257">
        <f>((F358 * J358) * 10 ^ -3)</f>
        <v>0</v>
      </c>
      <c r="L358" s="15" t="str">
        <f t="shared" si="1"/>
        <v>t CO2e / 0</v>
      </c>
      <c r="M358" s="34"/>
      <c r="N358" s="13"/>
      <c r="O358" s="34"/>
    </row>
    <row r="359" spans="3:41" ht="20.100000000000001" customHeight="1" x14ac:dyDescent="0.2">
      <c r="D359" s="15">
        <v>0</v>
      </c>
      <c r="E359" s="15">
        <v>0</v>
      </c>
      <c r="F359" s="15">
        <v>0</v>
      </c>
      <c r="G359" s="15">
        <v>0</v>
      </c>
      <c r="H359" s="15" t="s">
        <v>1156</v>
      </c>
      <c r="I359" s="15" t="s">
        <v>1156</v>
      </c>
      <c r="J359" s="76"/>
      <c r="K359" s="257">
        <f>((F359 * J359) * 10 ^ -3)</f>
        <v>0</v>
      </c>
      <c r="L359" s="15" t="str">
        <f t="shared" si="1"/>
        <v>t CO2e / 0</v>
      </c>
      <c r="M359" s="34"/>
      <c r="N359" s="13"/>
      <c r="O359" s="34"/>
    </row>
    <row r="360" spans="3:41" ht="20.100000000000001" customHeight="1" x14ac:dyDescent="0.2">
      <c r="D360" s="15">
        <v>0</v>
      </c>
      <c r="E360" s="15">
        <v>0</v>
      </c>
      <c r="F360" s="15">
        <v>0</v>
      </c>
      <c r="G360" s="15">
        <v>0</v>
      </c>
      <c r="H360" s="15" t="s">
        <v>1156</v>
      </c>
      <c r="I360" s="15" t="s">
        <v>1156</v>
      </c>
      <c r="J360" s="76"/>
      <c r="K360" s="257">
        <f>((F360 * J360) * 10 ^ -3)</f>
        <v>0</v>
      </c>
      <c r="L360" s="15" t="str">
        <f t="shared" si="1"/>
        <v>t CO2e / 0</v>
      </c>
      <c r="M360" s="34"/>
      <c r="N360" s="13"/>
      <c r="O360" s="34"/>
    </row>
    <row r="362" spans="3:41" ht="20.100000000000001" customHeight="1" x14ac:dyDescent="0.2">
      <c r="D362" s="259" t="s">
        <v>1068</v>
      </c>
      <c r="E362" s="91" t="s">
        <v>1156</v>
      </c>
      <c r="F362" s="95" t="str">
        <f>$E$170</f>
        <v>t CO2e</v>
      </c>
    </row>
    <row r="363" spans="3:41" ht="20.100000000000001" customHeight="1" x14ac:dyDescent="0.2">
      <c r="D363" s="259" t="s">
        <v>1071</v>
      </c>
      <c r="E363" s="91">
        <f>SUM(K351:K360)</f>
        <v>0</v>
      </c>
      <c r="F363" s="95" t="str">
        <f>$E$170</f>
        <v>t CO2e</v>
      </c>
    </row>
    <row r="366" spans="3:41" ht="20.100000000000001" customHeight="1" x14ac:dyDescent="0.2">
      <c r="C366" s="87"/>
      <c r="D366" s="87"/>
      <c r="E366" s="87"/>
      <c r="F366" s="87"/>
      <c r="G366" s="87"/>
      <c r="H366" s="87"/>
      <c r="I366" s="87"/>
      <c r="J366" s="87"/>
      <c r="K366" s="87"/>
      <c r="L366" s="87"/>
      <c r="M366" s="87"/>
      <c r="N366" s="87"/>
      <c r="O366" s="87"/>
      <c r="P366" s="87"/>
      <c r="Q366" s="87"/>
      <c r="R366" s="87"/>
      <c r="S366" s="87"/>
      <c r="T366" s="87"/>
      <c r="U366" s="87"/>
      <c r="V366" s="87"/>
      <c r="W366" s="87"/>
      <c r="X366" s="87"/>
      <c r="Y366" s="87"/>
      <c r="Z366" s="87"/>
      <c r="AA366" s="87"/>
      <c r="AB366" s="87"/>
      <c r="AC366" s="87"/>
      <c r="AD366" s="87"/>
      <c r="AE366" s="87"/>
      <c r="AF366" s="87"/>
      <c r="AG366" s="87"/>
      <c r="AH366" s="87"/>
      <c r="AI366" s="87"/>
      <c r="AJ366" s="87"/>
      <c r="AK366" s="87"/>
      <c r="AL366" s="87"/>
      <c r="AM366" s="87"/>
      <c r="AN366" s="87"/>
      <c r="AO366" s="87"/>
    </row>
    <row r="367" spans="3:41" ht="20.100000000000001" customHeight="1" x14ac:dyDescent="0.2">
      <c r="D367" s="2" t="s">
        <v>1712</v>
      </c>
    </row>
    <row r="368" spans="3:41" ht="20.100000000000001" customHeight="1" x14ac:dyDescent="0.2">
      <c r="D368" s="17" t="s">
        <v>1713</v>
      </c>
    </row>
    <row r="369" spans="4:13" ht="20.100000000000001" customHeight="1" x14ac:dyDescent="0.2">
      <c r="D369" s="26" t="s">
        <v>1714</v>
      </c>
    </row>
    <row r="370" spans="4:13" ht="20.100000000000001" customHeight="1" x14ac:dyDescent="0.2">
      <c r="D370" s="103"/>
      <c r="E370" s="103"/>
    </row>
    <row r="374" spans="4:13" ht="20.100000000000001" customHeight="1" x14ac:dyDescent="0.2">
      <c r="D374" s="77" t="s">
        <v>373</v>
      </c>
      <c r="E374" s="1" t="s">
        <v>1174</v>
      </c>
    </row>
    <row r="375" spans="4:13" ht="20.100000000000001" customHeight="1" x14ac:dyDescent="0.2">
      <c r="D375" s="77" t="s">
        <v>121</v>
      </c>
      <c r="E375" s="9" t="s">
        <v>6</v>
      </c>
    </row>
    <row r="377" spans="4:13" ht="20.100000000000001" customHeight="1" x14ac:dyDescent="0.2">
      <c r="D377" s="105" t="s">
        <v>1715</v>
      </c>
      <c r="E377" s="105" t="s">
        <v>1716</v>
      </c>
      <c r="F377" s="105" t="s">
        <v>1719</v>
      </c>
      <c r="G377" s="255" t="s">
        <v>1219</v>
      </c>
    </row>
    <row r="378" spans="4:13" ht="20.100000000000001" customHeight="1" x14ac:dyDescent="0.2">
      <c r="D378" s="105" t="s">
        <v>1707</v>
      </c>
      <c r="E378" s="105" t="s">
        <v>1717</v>
      </c>
      <c r="F378" s="105" t="s">
        <v>1720</v>
      </c>
      <c r="G378" s="110" t="s">
        <v>1220</v>
      </c>
    </row>
    <row r="379" spans="4:13" ht="20.100000000000001" customHeight="1" x14ac:dyDescent="0.2">
      <c r="D379" s="105" t="s">
        <v>1517</v>
      </c>
      <c r="E379" s="105" t="s">
        <v>1718</v>
      </c>
      <c r="F379" s="105"/>
      <c r="G379" s="255" t="s">
        <v>1219</v>
      </c>
    </row>
    <row r="381" spans="4:13" ht="20.100000000000001" customHeight="1" x14ac:dyDescent="0.2">
      <c r="D381" s="82" t="s">
        <v>1062</v>
      </c>
      <c r="E381" s="256" t="s">
        <v>1157</v>
      </c>
      <c r="F381" s="256" t="s">
        <v>1158</v>
      </c>
      <c r="G381" s="114" t="s">
        <v>1159</v>
      </c>
      <c r="H381" s="114" t="s">
        <v>1068</v>
      </c>
      <c r="I381" s="82" t="s">
        <v>1160</v>
      </c>
      <c r="J381" s="114" t="s">
        <v>1071</v>
      </c>
      <c r="K381" s="82" t="s">
        <v>1072</v>
      </c>
      <c r="L381" s="82" t="s">
        <v>1073</v>
      </c>
      <c r="M381" s="82" t="s">
        <v>1074</v>
      </c>
    </row>
    <row r="382" spans="4:13" ht="20.100000000000001" customHeight="1" x14ac:dyDescent="0.2">
      <c r="D382" s="15"/>
      <c r="E382" s="15"/>
      <c r="F382" s="15"/>
      <c r="G382" s="15" cm="1">
        <f t="array" ref="G382">Common_InputFunctions.Utility_LookupValueInTableNumber(E382,Table_SourceData_Scope3_Packaging[Product],Table_SourceData_Scope3_Packaging[Emissions intensity])</f>
        <v>0</v>
      </c>
      <c r="H382" s="257">
        <f>((F382 * G382) * 10 ^ -3)</f>
        <v>0</v>
      </c>
      <c r="I382" s="76">
        <v>3</v>
      </c>
      <c r="J382" s="257">
        <f>((F382 * (IF(I382,I382,G382))) * 10 ^ -3)</f>
        <v>0</v>
      </c>
      <c r="K382" s="34"/>
      <c r="L382" s="13"/>
      <c r="M382" s="34"/>
    </row>
    <row r="383" spans="4:13" ht="20.100000000000001" customHeight="1" x14ac:dyDescent="0.2">
      <c r="D383" s="15"/>
      <c r="E383" s="15"/>
      <c r="F383" s="15"/>
      <c r="G383" s="15" cm="1">
        <f t="array" ref="G383">Common_InputFunctions.Utility_LookupValueInTableNumber(E383,Table_SourceData_Scope3_Packaging[Product],Table_SourceData_Scope3_Packaging[Emissions intensity])</f>
        <v>0</v>
      </c>
      <c r="H383" s="257">
        <f>((F383 * G383) * 10 ^ -3)</f>
        <v>0</v>
      </c>
      <c r="I383" s="76"/>
      <c r="J383" s="257">
        <f>((F383 * (IF(I383,I383,G383))) * 10 ^ -3)</f>
        <v>0</v>
      </c>
      <c r="K383" s="34"/>
      <c r="L383" s="13"/>
      <c r="M383" s="34"/>
    </row>
    <row r="384" spans="4:13" ht="20.100000000000001" customHeight="1" x14ac:dyDescent="0.2">
      <c r="D384" s="15"/>
      <c r="E384" s="15"/>
      <c r="F384" s="15"/>
      <c r="G384" s="15" cm="1">
        <f t="array" ref="G384">Common_InputFunctions.Utility_LookupValueInTableNumber(E384,Table_SourceData_Scope3_Packaging[Product],Table_SourceData_Scope3_Packaging[Emissions intensity])</f>
        <v>0</v>
      </c>
      <c r="H384" s="257">
        <f>((F384 * G384) * 10 ^ -3)</f>
        <v>0</v>
      </c>
      <c r="I384" s="76"/>
      <c r="J384" s="257">
        <f>((F384 * (IF(I384,I384,G384))) * 10 ^ -3)</f>
        <v>0</v>
      </c>
      <c r="K384" s="34"/>
      <c r="L384" s="13"/>
      <c r="M384" s="34"/>
    </row>
    <row r="385" spans="3:41" ht="20.100000000000001" customHeight="1" x14ac:dyDescent="0.2">
      <c r="D385" s="15"/>
      <c r="E385" s="15"/>
      <c r="F385" s="15"/>
      <c r="G385" s="15" cm="1">
        <f t="array" ref="G385">Common_InputFunctions.Utility_LookupValueInTableNumber(E385,Table_SourceData_Scope3_Packaging[Product],Table_SourceData_Scope3_Packaging[Emissions intensity])</f>
        <v>0</v>
      </c>
      <c r="H385" s="257">
        <f>((F385 * G385) * 10 ^ -3)</f>
        <v>0</v>
      </c>
      <c r="I385" s="76"/>
      <c r="J385" s="257">
        <f>((F385 * (IF(I385,I385,G385))) * 10 ^ -3)</f>
        <v>0</v>
      </c>
      <c r="K385" s="34"/>
      <c r="L385" s="13"/>
      <c r="M385" s="34"/>
    </row>
    <row r="386" spans="3:41" ht="20.100000000000001" customHeight="1" x14ac:dyDescent="0.2">
      <c r="D386" s="15"/>
      <c r="E386" s="15"/>
      <c r="F386" s="15"/>
      <c r="G386" s="15" cm="1">
        <f t="array" ref="G386">Common_InputFunctions.Utility_LookupValueInTableNumber(E386,Table_SourceData_Scope3_Packaging[Product],Table_SourceData_Scope3_Packaging[Emissions intensity])</f>
        <v>0</v>
      </c>
      <c r="H386" s="257">
        <f>((F386 * G386) * 10 ^ -3)</f>
        <v>0</v>
      </c>
      <c r="I386" s="76"/>
      <c r="J386" s="257">
        <f>((F386 * (IF(I386,I386,G386))) * 10 ^ -3)</f>
        <v>0</v>
      </c>
      <c r="K386" s="34"/>
      <c r="L386" s="13"/>
      <c r="M386" s="34"/>
    </row>
    <row r="387" spans="3:41" ht="20.100000000000001" customHeight="1" x14ac:dyDescent="0.2">
      <c r="D387" s="15"/>
      <c r="E387" s="15"/>
      <c r="F387" s="15"/>
      <c r="G387" s="15" cm="1">
        <f t="array" ref="G387">Common_InputFunctions.Utility_LookupValueInTableNumber(E387,Table_SourceData_Scope3_Packaging[Product],Table_SourceData_Scope3_Packaging[Emissions intensity])</f>
        <v>0</v>
      </c>
      <c r="H387" s="257">
        <f>((F387 * G387) * 10 ^ -3)</f>
        <v>0</v>
      </c>
      <c r="I387" s="76"/>
      <c r="J387" s="257">
        <f>((F387 * (IF(I387,I387,G387))) * 10 ^ -3)</f>
        <v>0</v>
      </c>
      <c r="K387" s="34"/>
      <c r="L387" s="13"/>
      <c r="M387" s="34"/>
    </row>
    <row r="388" spans="3:41" ht="20.100000000000001" customHeight="1" x14ac:dyDescent="0.2">
      <c r="D388" s="15"/>
      <c r="E388" s="15"/>
      <c r="F388" s="15"/>
      <c r="G388" s="15" cm="1">
        <f t="array" ref="G388">Common_InputFunctions.Utility_LookupValueInTableNumber(E388,Table_SourceData_Scope3_Packaging[Product],Table_SourceData_Scope3_Packaging[Emissions intensity])</f>
        <v>0</v>
      </c>
      <c r="H388" s="257">
        <f>((F388 * G388) * 10 ^ -3)</f>
        <v>0</v>
      </c>
      <c r="I388" s="76"/>
      <c r="J388" s="257">
        <f>((F388 * (IF(I388,I388,G388))) * 10 ^ -3)</f>
        <v>0</v>
      </c>
      <c r="K388" s="34"/>
      <c r="L388" s="13"/>
      <c r="M388" s="34"/>
    </row>
    <row r="389" spans="3:41" ht="20.100000000000001" customHeight="1" x14ac:dyDescent="0.2">
      <c r="D389" s="15"/>
      <c r="E389" s="15"/>
      <c r="F389" s="15"/>
      <c r="G389" s="15" cm="1">
        <f t="array" ref="G389">Common_InputFunctions.Utility_LookupValueInTableNumber(E389,Table_SourceData_Scope3_Packaging[Product],Table_SourceData_Scope3_Packaging[Emissions intensity])</f>
        <v>0</v>
      </c>
      <c r="H389" s="257">
        <f>((F389 * G389) * 10 ^ -3)</f>
        <v>0</v>
      </c>
      <c r="I389" s="76"/>
      <c r="J389" s="257">
        <f>((F389 * (IF(I389,I389,G389))) * 10 ^ -3)</f>
        <v>0</v>
      </c>
      <c r="K389" s="34"/>
      <c r="L389" s="13"/>
      <c r="M389" s="34"/>
    </row>
    <row r="390" spans="3:41" ht="20.100000000000001" customHeight="1" x14ac:dyDescent="0.2">
      <c r="D390" s="15"/>
      <c r="E390" s="15"/>
      <c r="F390" s="15"/>
      <c r="G390" s="15" cm="1">
        <f t="array" ref="G390">Common_InputFunctions.Utility_LookupValueInTableNumber(E390,Table_SourceData_Scope3_Packaging[Product],Table_SourceData_Scope3_Packaging[Emissions intensity])</f>
        <v>0</v>
      </c>
      <c r="H390" s="257">
        <f>((F390 * G390) * 10 ^ -3)</f>
        <v>0</v>
      </c>
      <c r="I390" s="76"/>
      <c r="J390" s="257">
        <f>((F390 * (IF(I390,I390,G390))) * 10 ^ -3)</f>
        <v>0</v>
      </c>
      <c r="K390" s="34"/>
      <c r="L390" s="13"/>
      <c r="M390" s="34"/>
    </row>
    <row r="391" spans="3:41" ht="20.100000000000001" customHeight="1" x14ac:dyDescent="0.2">
      <c r="D391" s="15"/>
      <c r="E391" s="15"/>
      <c r="F391" s="15"/>
      <c r="G391" s="15" cm="1">
        <f t="array" ref="G391">Common_InputFunctions.Utility_LookupValueInTableNumber(E391,Table_SourceData_Scope3_Packaging[Product],Table_SourceData_Scope3_Packaging[Emissions intensity])</f>
        <v>0</v>
      </c>
      <c r="H391" s="257">
        <f>((F391 * G391) * 10 ^ -3)</f>
        <v>0</v>
      </c>
      <c r="I391" s="76"/>
      <c r="J391" s="257">
        <f>((F391 * (IF(I391,I391,G391))) * 10 ^ -3)</f>
        <v>0</v>
      </c>
      <c r="K391" s="34"/>
      <c r="L391" s="13"/>
      <c r="M391" s="34"/>
    </row>
    <row r="393" spans="3:41" ht="20.100000000000001" customHeight="1" x14ac:dyDescent="0.2">
      <c r="D393" s="259" t="s">
        <v>1068</v>
      </c>
      <c r="E393" s="91">
        <f>SUM(H382:H391)</f>
        <v>0</v>
      </c>
      <c r="F393" s="95" t="str">
        <f>$E$170</f>
        <v>t CO2e</v>
      </c>
    </row>
    <row r="394" spans="3:41" ht="20.100000000000001" customHeight="1" x14ac:dyDescent="0.2">
      <c r="D394" s="259" t="s">
        <v>1071</v>
      </c>
      <c r="E394" s="91">
        <f>SUM(J382:J391)</f>
        <v>0</v>
      </c>
      <c r="F394" s="95" t="str">
        <f>$E$170</f>
        <v>t CO2e</v>
      </c>
    </row>
    <row r="397" spans="3:41" ht="20.100000000000001" customHeight="1" x14ac:dyDescent="0.2">
      <c r="C397" s="87"/>
      <c r="D397" s="87"/>
      <c r="E397" s="87"/>
      <c r="F397" s="87"/>
      <c r="G397" s="87"/>
      <c r="H397" s="87"/>
      <c r="I397" s="87"/>
      <c r="J397" s="87"/>
      <c r="K397" s="87"/>
      <c r="L397" s="87"/>
      <c r="M397" s="87"/>
      <c r="N397" s="87"/>
      <c r="O397" s="87"/>
      <c r="P397" s="87"/>
      <c r="Q397" s="87"/>
      <c r="R397" s="87"/>
      <c r="S397" s="87"/>
      <c r="T397" s="87"/>
      <c r="U397" s="87"/>
      <c r="V397" s="87"/>
      <c r="W397" s="87"/>
      <c r="X397" s="87"/>
      <c r="Y397" s="87"/>
      <c r="Z397" s="87"/>
      <c r="AA397" s="87"/>
      <c r="AB397" s="87"/>
      <c r="AC397" s="87"/>
      <c r="AD397" s="87"/>
      <c r="AE397" s="87"/>
      <c r="AF397" s="87"/>
      <c r="AG397" s="87"/>
      <c r="AH397" s="87"/>
      <c r="AI397" s="87"/>
      <c r="AJ397" s="87"/>
      <c r="AK397" s="87"/>
      <c r="AL397" s="87"/>
      <c r="AM397" s="87"/>
      <c r="AN397" s="87"/>
      <c r="AO397" s="87"/>
    </row>
    <row r="398" spans="3:41" ht="20.100000000000001" customHeight="1" x14ac:dyDescent="0.2">
      <c r="D398" s="2" t="s">
        <v>1721</v>
      </c>
    </row>
    <row r="399" spans="3:41" ht="20.100000000000001" customHeight="1" x14ac:dyDescent="0.2">
      <c r="D399" s="17" t="s">
        <v>1722</v>
      </c>
    </row>
    <row r="400" spans="3:41" ht="20.100000000000001" customHeight="1" x14ac:dyDescent="0.2">
      <c r="D400" s="103"/>
      <c r="E400" s="103"/>
    </row>
    <row r="403" spans="4:14" ht="20.100000000000001" customHeight="1" x14ac:dyDescent="0.2">
      <c r="G403" s="103"/>
    </row>
    <row r="404" spans="4:14" ht="20.100000000000001" customHeight="1" x14ac:dyDescent="0.2">
      <c r="D404" s="77" t="s">
        <v>373</v>
      </c>
      <c r="E404" s="1" t="s">
        <v>1174</v>
      </c>
    </row>
    <row r="405" spans="4:14" ht="20.100000000000001" customHeight="1" x14ac:dyDescent="0.2">
      <c r="D405" s="77" t="s">
        <v>121</v>
      </c>
      <c r="E405" s="1" t="s">
        <v>6</v>
      </c>
    </row>
    <row r="407" spans="4:14" ht="20.100000000000001" customHeight="1" x14ac:dyDescent="0.2">
      <c r="D407" s="105" t="s">
        <v>1723</v>
      </c>
      <c r="E407" s="105" t="s">
        <v>1724</v>
      </c>
      <c r="F407" s="105" t="s">
        <v>1728</v>
      </c>
      <c r="G407" s="255" t="s">
        <v>1219</v>
      </c>
    </row>
    <row r="408" spans="4:14" ht="20.100000000000001" customHeight="1" x14ac:dyDescent="0.2">
      <c r="D408" s="105" t="s">
        <v>1725</v>
      </c>
      <c r="E408" s="105" t="s">
        <v>1726</v>
      </c>
      <c r="F408" s="105" t="s">
        <v>1729</v>
      </c>
      <c r="G408" s="110" t="s">
        <v>1220</v>
      </c>
    </row>
    <row r="409" spans="4:14" ht="20.100000000000001" customHeight="1" x14ac:dyDescent="0.2">
      <c r="D409" s="105" t="s">
        <v>1558</v>
      </c>
      <c r="E409" s="105" t="s">
        <v>1727</v>
      </c>
      <c r="F409" s="105"/>
      <c r="G409" s="255" t="s">
        <v>1219</v>
      </c>
    </row>
    <row r="411" spans="4:14" ht="20.100000000000001" customHeight="1" x14ac:dyDescent="0.2">
      <c r="D411" s="26" t="s">
        <v>1150</v>
      </c>
    </row>
    <row r="413" spans="4:14" ht="20.100000000000001" customHeight="1" x14ac:dyDescent="0.2">
      <c r="D413" s="82" t="s">
        <v>1161</v>
      </c>
      <c r="E413" s="82" t="s">
        <v>1003</v>
      </c>
      <c r="F413" s="82" t="s">
        <v>807</v>
      </c>
      <c r="G413" s="114" t="s">
        <v>1151</v>
      </c>
      <c r="H413" s="114" t="s">
        <v>1152</v>
      </c>
      <c r="I413" s="82" t="s">
        <v>1153</v>
      </c>
      <c r="J413" s="114" t="s">
        <v>1154</v>
      </c>
      <c r="K413" s="114" t="s">
        <v>1155</v>
      </c>
      <c r="L413" s="82" t="s">
        <v>1072</v>
      </c>
      <c r="M413" s="82" t="s">
        <v>1073</v>
      </c>
      <c r="N413" s="82" t="s">
        <v>1074</v>
      </c>
    </row>
    <row r="414" spans="4:14" ht="20.100000000000001" customHeight="1" x14ac:dyDescent="0.2">
      <c r="D414" s="15"/>
      <c r="E414" s="15"/>
      <c r="F414" s="15"/>
      <c r="G414" s="15" t="s">
        <v>1156</v>
      </c>
      <c r="H414" s="15" t="s">
        <v>1156</v>
      </c>
      <c r="I414" s="76">
        <v>4</v>
      </c>
      <c r="J414" s="257">
        <f>((E414 * I414) * 10 ^ -3)</f>
        <v>0</v>
      </c>
      <c r="K414" s="15" t="str">
        <f>"t CO2e / " &amp; F414</f>
        <v xml:space="preserve">t CO2e / </v>
      </c>
      <c r="L414" s="34"/>
      <c r="M414" s="13"/>
      <c r="N414" s="34"/>
    </row>
    <row r="415" spans="4:14" ht="20.100000000000001" customHeight="1" x14ac:dyDescent="0.2">
      <c r="D415" s="15"/>
      <c r="E415" s="15"/>
      <c r="F415" s="15"/>
      <c r="G415" s="15" t="s">
        <v>1156</v>
      </c>
      <c r="H415" s="15" t="s">
        <v>1156</v>
      </c>
      <c r="I415" s="76">
        <v>2</v>
      </c>
      <c r="J415" s="257">
        <f>((E415 * I415) * 10 ^ -3)</f>
        <v>0</v>
      </c>
      <c r="K415" s="15" t="str">
        <f t="shared" ref="K415:K423" si="2">"t CO2e / " &amp; F415</f>
        <v xml:space="preserve">t CO2e / </v>
      </c>
      <c r="L415" s="34"/>
      <c r="M415" s="13"/>
      <c r="N415" s="34"/>
    </row>
    <row r="416" spans="4:14" ht="20.100000000000001" customHeight="1" x14ac:dyDescent="0.2">
      <c r="D416" s="15"/>
      <c r="E416" s="15"/>
      <c r="F416" s="15"/>
      <c r="G416" s="15" t="s">
        <v>1156</v>
      </c>
      <c r="H416" s="15" t="s">
        <v>1156</v>
      </c>
      <c r="I416" s="76"/>
      <c r="J416" s="257">
        <f>((E416 * I416) * 10 ^ -3)</f>
        <v>0</v>
      </c>
      <c r="K416" s="15" t="str">
        <f t="shared" si="2"/>
        <v xml:space="preserve">t CO2e / </v>
      </c>
      <c r="L416" s="34"/>
      <c r="M416" s="13"/>
      <c r="N416" s="34"/>
    </row>
    <row r="417" spans="3:41" ht="20.100000000000001" customHeight="1" x14ac:dyDescent="0.2">
      <c r="D417" s="15"/>
      <c r="E417" s="15"/>
      <c r="F417" s="15"/>
      <c r="G417" s="15" t="s">
        <v>1156</v>
      </c>
      <c r="H417" s="15" t="s">
        <v>1156</v>
      </c>
      <c r="I417" s="76"/>
      <c r="J417" s="257">
        <f>((E417 * I417) * 10 ^ -3)</f>
        <v>0</v>
      </c>
      <c r="K417" s="15" t="str">
        <f t="shared" si="2"/>
        <v xml:space="preserve">t CO2e / </v>
      </c>
      <c r="L417" s="34"/>
      <c r="M417" s="13"/>
      <c r="N417" s="34"/>
    </row>
    <row r="418" spans="3:41" ht="20.100000000000001" customHeight="1" x14ac:dyDescent="0.2">
      <c r="D418" s="15"/>
      <c r="E418" s="15"/>
      <c r="F418" s="15"/>
      <c r="G418" s="15" t="s">
        <v>1156</v>
      </c>
      <c r="H418" s="15" t="s">
        <v>1156</v>
      </c>
      <c r="I418" s="76"/>
      <c r="J418" s="257">
        <f>((E418 * I418) * 10 ^ -3)</f>
        <v>0</v>
      </c>
      <c r="K418" s="15" t="str">
        <f t="shared" si="2"/>
        <v xml:space="preserve">t CO2e / </v>
      </c>
      <c r="L418" s="34"/>
      <c r="M418" s="13"/>
      <c r="N418" s="34"/>
    </row>
    <row r="419" spans="3:41" ht="20.100000000000001" customHeight="1" x14ac:dyDescent="0.2">
      <c r="D419" s="15"/>
      <c r="E419" s="15"/>
      <c r="F419" s="15"/>
      <c r="G419" s="15" t="s">
        <v>1156</v>
      </c>
      <c r="H419" s="15" t="s">
        <v>1156</v>
      </c>
      <c r="I419" s="76"/>
      <c r="J419" s="257">
        <f>((E419 * I419) * 10 ^ -3)</f>
        <v>0</v>
      </c>
      <c r="K419" s="15" t="str">
        <f t="shared" si="2"/>
        <v xml:space="preserve">t CO2e / </v>
      </c>
      <c r="L419" s="34"/>
      <c r="M419" s="13"/>
      <c r="N419" s="34"/>
    </row>
    <row r="420" spans="3:41" ht="20.100000000000001" customHeight="1" x14ac:dyDescent="0.2">
      <c r="D420" s="15"/>
      <c r="E420" s="15"/>
      <c r="F420" s="15"/>
      <c r="G420" s="15" t="s">
        <v>1156</v>
      </c>
      <c r="H420" s="15" t="s">
        <v>1156</v>
      </c>
      <c r="I420" s="76"/>
      <c r="J420" s="257">
        <f>((E420 * I420) * 10 ^ -3)</f>
        <v>0</v>
      </c>
      <c r="K420" s="15" t="str">
        <f t="shared" si="2"/>
        <v xml:space="preserve">t CO2e / </v>
      </c>
      <c r="L420" s="34"/>
      <c r="M420" s="13"/>
      <c r="N420" s="34"/>
    </row>
    <row r="421" spans="3:41" ht="20.100000000000001" customHeight="1" x14ac:dyDescent="0.2">
      <c r="D421" s="15"/>
      <c r="E421" s="15"/>
      <c r="F421" s="15"/>
      <c r="G421" s="15" t="s">
        <v>1156</v>
      </c>
      <c r="H421" s="15" t="s">
        <v>1156</v>
      </c>
      <c r="I421" s="76"/>
      <c r="J421" s="257">
        <f>((E421 * I421) * 10 ^ -3)</f>
        <v>0</v>
      </c>
      <c r="K421" s="15" t="str">
        <f t="shared" si="2"/>
        <v xml:space="preserve">t CO2e / </v>
      </c>
      <c r="L421" s="34"/>
      <c r="M421" s="13"/>
      <c r="N421" s="34"/>
    </row>
    <row r="422" spans="3:41" ht="20.100000000000001" customHeight="1" x14ac:dyDescent="0.2">
      <c r="D422" s="15"/>
      <c r="E422" s="15"/>
      <c r="F422" s="15"/>
      <c r="G422" s="15" t="s">
        <v>1156</v>
      </c>
      <c r="H422" s="15" t="s">
        <v>1156</v>
      </c>
      <c r="I422" s="76"/>
      <c r="J422" s="257">
        <f>((E422 * I422) * 10 ^ -3)</f>
        <v>0</v>
      </c>
      <c r="K422" s="15" t="str">
        <f t="shared" si="2"/>
        <v xml:space="preserve">t CO2e / </v>
      </c>
      <c r="L422" s="34"/>
      <c r="M422" s="13"/>
      <c r="N422" s="34"/>
    </row>
    <row r="423" spans="3:41" ht="20.100000000000001" customHeight="1" x14ac:dyDescent="0.2">
      <c r="D423" s="15"/>
      <c r="E423" s="15"/>
      <c r="F423" s="15"/>
      <c r="G423" s="15" t="s">
        <v>1156</v>
      </c>
      <c r="H423" s="15" t="s">
        <v>1156</v>
      </c>
      <c r="I423" s="76"/>
      <c r="J423" s="257">
        <f>((E423 * I423) * 10 ^ -3)</f>
        <v>0</v>
      </c>
      <c r="K423" s="15" t="str">
        <f t="shared" si="2"/>
        <v xml:space="preserve">t CO2e / </v>
      </c>
      <c r="L423" s="34"/>
      <c r="M423" s="13"/>
      <c r="N423" s="34"/>
    </row>
    <row r="425" spans="3:41" ht="20.100000000000001" customHeight="1" x14ac:dyDescent="0.2">
      <c r="D425" s="259" t="s">
        <v>1068</v>
      </c>
      <c r="E425" s="91" t="s">
        <v>1156</v>
      </c>
      <c r="F425" s="95" t="str">
        <f>$E$170</f>
        <v>t CO2e</v>
      </c>
    </row>
    <row r="426" spans="3:41" ht="20.100000000000001" customHeight="1" x14ac:dyDescent="0.2">
      <c r="D426" s="259" t="s">
        <v>1071</v>
      </c>
      <c r="E426" s="91">
        <f>SUM(J414:J423)</f>
        <v>0</v>
      </c>
      <c r="F426" s="95" t="str">
        <f>$E$170</f>
        <v>t CO2e</v>
      </c>
    </row>
    <row r="429" spans="3:41" ht="20.100000000000001" customHeight="1" x14ac:dyDescent="0.2">
      <c r="C429" s="87"/>
      <c r="D429" s="87"/>
      <c r="E429" s="87"/>
      <c r="F429" s="87"/>
      <c r="G429" s="87"/>
      <c r="H429" s="87"/>
      <c r="I429" s="87"/>
      <c r="J429" s="87"/>
      <c r="K429" s="87"/>
      <c r="L429" s="87"/>
      <c r="M429" s="87"/>
      <c r="N429" s="87"/>
      <c r="O429" s="87"/>
      <c r="P429" s="87"/>
      <c r="Q429" s="87"/>
      <c r="R429" s="87"/>
      <c r="S429" s="87"/>
      <c r="T429" s="87"/>
      <c r="U429" s="87"/>
      <c r="V429" s="87"/>
      <c r="W429" s="87"/>
      <c r="X429" s="87"/>
      <c r="Y429" s="87"/>
      <c r="Z429" s="87"/>
      <c r="AA429" s="87"/>
      <c r="AB429" s="87"/>
      <c r="AC429" s="87"/>
      <c r="AD429" s="87"/>
      <c r="AE429" s="87"/>
      <c r="AF429" s="87"/>
      <c r="AG429" s="87"/>
      <c r="AH429" s="87"/>
      <c r="AI429" s="87"/>
      <c r="AJ429" s="87"/>
      <c r="AK429" s="87"/>
      <c r="AL429" s="87"/>
      <c r="AM429" s="87"/>
      <c r="AN429" s="87"/>
      <c r="AO429" s="87"/>
    </row>
    <row r="430" spans="3:41" ht="20.100000000000001" customHeight="1" x14ac:dyDescent="0.2">
      <c r="D430" s="2" t="s">
        <v>1730</v>
      </c>
    </row>
    <row r="431" spans="3:41" ht="20.100000000000001" customHeight="1" x14ac:dyDescent="0.2">
      <c r="D431" s="17" t="s">
        <v>1731</v>
      </c>
    </row>
    <row r="432" spans="3:41" ht="20.100000000000001" customHeight="1" x14ac:dyDescent="0.2">
      <c r="D432" s="26" t="s">
        <v>1162</v>
      </c>
    </row>
    <row r="433" spans="4:13" ht="20.100000000000001" customHeight="1" x14ac:dyDescent="0.2">
      <c r="D433" s="103"/>
      <c r="E433" s="103"/>
    </row>
    <row r="436" spans="4:13" ht="20.100000000000001" customHeight="1" x14ac:dyDescent="0.2">
      <c r="D436" s="77" t="s">
        <v>373</v>
      </c>
      <c r="E436" s="1" t="s">
        <v>1732</v>
      </c>
    </row>
    <row r="437" spans="4:13" ht="20.100000000000001" customHeight="1" x14ac:dyDescent="0.2">
      <c r="D437" s="77" t="s">
        <v>121</v>
      </c>
      <c r="E437" s="9" t="s">
        <v>6</v>
      </c>
    </row>
    <row r="439" spans="4:13" ht="20.100000000000001" customHeight="1" x14ac:dyDescent="0.2">
      <c r="D439" s="105" t="s">
        <v>1733</v>
      </c>
      <c r="E439" s="106" t="s">
        <v>1734</v>
      </c>
      <c r="F439" s="108"/>
      <c r="G439" s="105" t="s">
        <v>1737</v>
      </c>
      <c r="H439" s="255" t="s">
        <v>1219</v>
      </c>
    </row>
    <row r="440" spans="4:13" ht="20.100000000000001" customHeight="1" x14ac:dyDescent="0.2">
      <c r="D440" s="105" t="s">
        <v>1735</v>
      </c>
      <c r="E440" s="106" t="s">
        <v>1736</v>
      </c>
      <c r="F440" s="108"/>
      <c r="G440" s="105" t="s">
        <v>1737</v>
      </c>
      <c r="H440" s="110" t="s">
        <v>1220</v>
      </c>
    </row>
    <row r="442" spans="4:13" ht="20.100000000000001" customHeight="1" x14ac:dyDescent="0.2">
      <c r="D442" s="243" t="s">
        <v>1163</v>
      </c>
    </row>
    <row r="444" spans="4:13" ht="20.100000000000001" customHeight="1" x14ac:dyDescent="0.2">
      <c r="D444" s="82" t="s">
        <v>1062</v>
      </c>
      <c r="E444" s="256" t="s">
        <v>1164</v>
      </c>
      <c r="F444" s="256" t="s">
        <v>1165</v>
      </c>
      <c r="G444" s="114" t="s">
        <v>124</v>
      </c>
      <c r="H444" s="114" t="s">
        <v>1068</v>
      </c>
      <c r="I444" s="82" t="s">
        <v>125</v>
      </c>
      <c r="J444" s="114" t="s">
        <v>1071</v>
      </c>
      <c r="K444" s="82" t="s">
        <v>1072</v>
      </c>
      <c r="L444" s="82" t="s">
        <v>1073</v>
      </c>
      <c r="M444" s="82" t="s">
        <v>1074</v>
      </c>
    </row>
    <row r="445" spans="4:13" ht="20.100000000000001" customHeight="1" x14ac:dyDescent="0.2">
      <c r="D445" s="15" cm="1">
        <f t="array" ref="D445:D454">IFERROR(INDEX(Table_Input_ChemicalsCleaning[Product name], _xlfn.SEQUENCE(10)), "")</f>
        <v>0</v>
      </c>
      <c r="E445" s="15" cm="1">
        <f t="array" ref="E445:E454">IFERROR(INDEX(Table_Input_ChemicalsCleaning[Type (select)], _xlfn.SEQUENCE(10)), "")</f>
        <v>0</v>
      </c>
      <c r="F445" s="15" cm="1">
        <f t="array" ref="F445:F454">IFERROR(INDEX(Table_Input_ChemicalsCleaning[Quantity purchased (kg)], _xlfn.SEQUENCE(10)), "")</f>
        <v>0</v>
      </c>
      <c r="G445" s="15" cm="1">
        <f t="array" ref="G445">Common_InputFunctions.Utility_LookupValueInTableNumber(E445,Table_SourceData_Scope3_ChemicalsCleaning[Product],Table_SourceData_Scope3_ChemicalsCleaning[Emissions intensity])</f>
        <v>0</v>
      </c>
      <c r="H445" s="257">
        <f>(F445 * (G445*10^-3))</f>
        <v>0</v>
      </c>
      <c r="I445" s="76">
        <v>1.3</v>
      </c>
      <c r="J445" s="257">
        <f>(F445 * (IF(I445,I445,G445)*10^-3))</f>
        <v>0</v>
      </c>
      <c r="K445" s="34"/>
      <c r="L445" s="13"/>
      <c r="M445" s="34"/>
    </row>
    <row r="446" spans="4:13" ht="20.100000000000001" customHeight="1" x14ac:dyDescent="0.2">
      <c r="D446" s="15">
        <v>0</v>
      </c>
      <c r="E446" s="15">
        <v>0</v>
      </c>
      <c r="F446" s="15">
        <v>0</v>
      </c>
      <c r="G446" s="15" cm="1">
        <f t="array" ref="G446">Common_InputFunctions.Utility_LookupValueInTableNumber(E446,Table_SourceData_Scope3_ChemicalsCleaning[Product],Table_SourceData_Scope3_ChemicalsCleaning[Emissions intensity])</f>
        <v>0</v>
      </c>
      <c r="H446" s="257">
        <f>(F446 * (G446*10^-3))</f>
        <v>0</v>
      </c>
      <c r="I446" s="76">
        <v>8</v>
      </c>
      <c r="J446" s="257">
        <f>(F446 * (IF(I446,I446,G446)*10^-3))</f>
        <v>0</v>
      </c>
      <c r="K446" s="34"/>
      <c r="L446" s="13"/>
      <c r="M446" s="34"/>
    </row>
    <row r="447" spans="4:13" ht="20.100000000000001" customHeight="1" x14ac:dyDescent="0.2">
      <c r="D447" s="15">
        <v>0</v>
      </c>
      <c r="E447" s="15">
        <v>0</v>
      </c>
      <c r="F447" s="15">
        <v>0</v>
      </c>
      <c r="G447" s="15" cm="1">
        <f t="array" ref="G447">Common_InputFunctions.Utility_LookupValueInTableNumber(E447,Table_SourceData_Scope3_ChemicalsCleaning[Product],Table_SourceData_Scope3_ChemicalsCleaning[Emissions intensity])</f>
        <v>0</v>
      </c>
      <c r="H447" s="257">
        <f>(F447 * (G447*10^-3))</f>
        <v>0</v>
      </c>
      <c r="I447" s="76">
        <v>4</v>
      </c>
      <c r="J447" s="257">
        <f>(F447 * (IF(I447,I447,G447)*10^-3))</f>
        <v>0</v>
      </c>
      <c r="K447" s="34"/>
      <c r="L447" s="13"/>
      <c r="M447" s="34"/>
    </row>
    <row r="448" spans="4:13" ht="20.100000000000001" customHeight="1" x14ac:dyDescent="0.2">
      <c r="D448" s="15">
        <v>0</v>
      </c>
      <c r="E448" s="15">
        <v>0</v>
      </c>
      <c r="F448" s="15">
        <v>0</v>
      </c>
      <c r="G448" s="15" cm="1">
        <f t="array" ref="G448">Common_InputFunctions.Utility_LookupValueInTableNumber(E448,Table_SourceData_Scope3_ChemicalsCleaning[Product],Table_SourceData_Scope3_ChemicalsCleaning[Emissions intensity])</f>
        <v>0</v>
      </c>
      <c r="H448" s="257">
        <f>(F448 * (G448*10^-3))</f>
        <v>0</v>
      </c>
      <c r="I448" s="76">
        <v>3</v>
      </c>
      <c r="J448" s="257">
        <f>(F448 * (IF(I448,I448,G448)*10^-3))</f>
        <v>0</v>
      </c>
      <c r="K448" s="34"/>
      <c r="L448" s="13"/>
      <c r="M448" s="34"/>
    </row>
    <row r="449" spans="4:13" ht="20.100000000000001" customHeight="1" x14ac:dyDescent="0.2">
      <c r="D449" s="15">
        <v>0</v>
      </c>
      <c r="E449" s="15">
        <v>0</v>
      </c>
      <c r="F449" s="15">
        <v>0</v>
      </c>
      <c r="G449" s="15" cm="1">
        <f t="array" ref="G449">Common_InputFunctions.Utility_LookupValueInTableNumber(E449,Table_SourceData_Scope3_ChemicalsCleaning[Product],Table_SourceData_Scope3_ChemicalsCleaning[Emissions intensity])</f>
        <v>0</v>
      </c>
      <c r="H449" s="257">
        <f>(F449 * (G449*10^-3))</f>
        <v>0</v>
      </c>
      <c r="I449" s="76">
        <v>6</v>
      </c>
      <c r="J449" s="257">
        <f>(F449 * (IF(I449,I449,G449)*10^-3))</f>
        <v>0</v>
      </c>
      <c r="K449" s="34"/>
      <c r="L449" s="13"/>
      <c r="M449" s="34"/>
    </row>
    <row r="450" spans="4:13" ht="20.100000000000001" customHeight="1" x14ac:dyDescent="0.2">
      <c r="D450" s="15">
        <v>0</v>
      </c>
      <c r="E450" s="15">
        <v>0</v>
      </c>
      <c r="F450" s="15">
        <v>0</v>
      </c>
      <c r="G450" s="15" cm="1">
        <f t="array" ref="G450">Common_InputFunctions.Utility_LookupValueInTableNumber(E450,Table_SourceData_Scope3_ChemicalsCleaning[Product],Table_SourceData_Scope3_ChemicalsCleaning[Emissions intensity])</f>
        <v>0</v>
      </c>
      <c r="H450" s="257">
        <f>(F450 * (G450*10^-3))</f>
        <v>0</v>
      </c>
      <c r="I450" s="76">
        <v>5</v>
      </c>
      <c r="J450" s="257">
        <f>(F450 * (IF(I450,I450,G450)*10^-3))</f>
        <v>0</v>
      </c>
      <c r="K450" s="34"/>
      <c r="L450" s="13"/>
      <c r="M450" s="34"/>
    </row>
    <row r="451" spans="4:13" ht="20.100000000000001" customHeight="1" x14ac:dyDescent="0.2">
      <c r="D451" s="15">
        <v>0</v>
      </c>
      <c r="E451" s="15">
        <v>0</v>
      </c>
      <c r="F451" s="15">
        <v>0</v>
      </c>
      <c r="G451" s="15" cm="1">
        <f t="array" ref="G451">Common_InputFunctions.Utility_LookupValueInTableNumber(E451,Table_SourceData_Scope3_ChemicalsCleaning[Product],Table_SourceData_Scope3_ChemicalsCleaning[Emissions intensity])</f>
        <v>0</v>
      </c>
      <c r="H451" s="257">
        <f>(F451 * (G451*10^-3))</f>
        <v>0</v>
      </c>
      <c r="I451" s="76"/>
      <c r="J451" s="257">
        <f>(F451 * (IF(I451,I451,G451)*10^-3))</f>
        <v>0</v>
      </c>
      <c r="K451" s="34"/>
      <c r="L451" s="13"/>
      <c r="M451" s="34"/>
    </row>
    <row r="452" spans="4:13" ht="20.100000000000001" customHeight="1" x14ac:dyDescent="0.2">
      <c r="D452" s="15">
        <v>0</v>
      </c>
      <c r="E452" s="15">
        <v>0</v>
      </c>
      <c r="F452" s="15">
        <v>0</v>
      </c>
      <c r="G452" s="15" cm="1">
        <f t="array" ref="G452">Common_InputFunctions.Utility_LookupValueInTableNumber(E452,Table_SourceData_Scope3_ChemicalsCleaning[Product],Table_SourceData_Scope3_ChemicalsCleaning[Emissions intensity])</f>
        <v>0</v>
      </c>
      <c r="H452" s="257">
        <f>(F452 * (G452*10^-3))</f>
        <v>0</v>
      </c>
      <c r="I452" s="76"/>
      <c r="J452" s="257">
        <f>(F452 * (IF(I452,I452,G452)*10^-3))</f>
        <v>0</v>
      </c>
      <c r="K452" s="34"/>
      <c r="L452" s="13"/>
      <c r="M452" s="34"/>
    </row>
    <row r="453" spans="4:13" ht="20.100000000000001" customHeight="1" x14ac:dyDescent="0.2">
      <c r="D453" s="15">
        <v>0</v>
      </c>
      <c r="E453" s="15">
        <v>0</v>
      </c>
      <c r="F453" s="15">
        <v>0</v>
      </c>
      <c r="G453" s="15" cm="1">
        <f t="array" ref="G453">Common_InputFunctions.Utility_LookupValueInTableNumber(E453,Table_SourceData_Scope3_ChemicalsCleaning[Product],Table_SourceData_Scope3_ChemicalsCleaning[Emissions intensity])</f>
        <v>0</v>
      </c>
      <c r="H453" s="257">
        <f>(F453 * (G453*10^-3))</f>
        <v>0</v>
      </c>
      <c r="I453" s="76"/>
      <c r="J453" s="257">
        <f>(F453 * (IF(I453,I453,G453)*10^-3))</f>
        <v>0</v>
      </c>
      <c r="K453" s="34"/>
      <c r="L453" s="13"/>
      <c r="M453" s="34"/>
    </row>
    <row r="454" spans="4:13" ht="20.100000000000001" customHeight="1" x14ac:dyDescent="0.2">
      <c r="D454" s="15">
        <v>0</v>
      </c>
      <c r="E454" s="15">
        <v>0</v>
      </c>
      <c r="F454" s="15">
        <v>0</v>
      </c>
      <c r="G454" s="15" cm="1">
        <f t="array" ref="G454">Common_InputFunctions.Utility_LookupValueInTableNumber(E454,Table_SourceData_Scope3_ChemicalsCleaning[Product],Table_SourceData_Scope3_ChemicalsCleaning[Emissions intensity])</f>
        <v>0</v>
      </c>
      <c r="H454" s="257">
        <f>(F454 * (G454*10^-3))</f>
        <v>0</v>
      </c>
      <c r="I454" s="76"/>
      <c r="J454" s="257">
        <f>(F454 * (IF(I454,I454,G454)*10^-3))</f>
        <v>0</v>
      </c>
      <c r="K454" s="34"/>
      <c r="L454" s="13"/>
      <c r="M454" s="34"/>
    </row>
    <row r="456" spans="4:13" ht="20.100000000000001" customHeight="1" x14ac:dyDescent="0.2">
      <c r="D456" s="259" t="s">
        <v>1068</v>
      </c>
      <c r="E456" s="91">
        <f>SUM(H445:H454)</f>
        <v>0</v>
      </c>
      <c r="F456" s="95" t="str">
        <f>$E$170</f>
        <v>t CO2e</v>
      </c>
    </row>
    <row r="457" spans="4:13" ht="20.100000000000001" customHeight="1" x14ac:dyDescent="0.2">
      <c r="D457" s="259" t="s">
        <v>1071</v>
      </c>
      <c r="E457" s="91">
        <f>SUM(J445:J454)</f>
        <v>0</v>
      </c>
      <c r="F457" s="95" t="str">
        <f>$E$170</f>
        <v>t CO2e</v>
      </c>
    </row>
    <row r="460" spans="4:13" ht="20.100000000000001" customHeight="1" x14ac:dyDescent="0.2">
      <c r="D460" s="243" t="s">
        <v>1166</v>
      </c>
    </row>
    <row r="462" spans="4:13" ht="20.100000000000001" customHeight="1" x14ac:dyDescent="0.2">
      <c r="D462" s="82" t="s">
        <v>1062</v>
      </c>
      <c r="E462" s="256" t="s">
        <v>1164</v>
      </c>
      <c r="F462" s="256" t="s">
        <v>1039</v>
      </c>
      <c r="G462" s="114" t="s">
        <v>1167</v>
      </c>
      <c r="H462" s="114" t="s">
        <v>1068</v>
      </c>
      <c r="I462" s="82" t="s">
        <v>1168</v>
      </c>
      <c r="J462" s="114" t="s">
        <v>1071</v>
      </c>
      <c r="K462" s="82" t="s">
        <v>1072</v>
      </c>
      <c r="L462" s="82" t="s">
        <v>1073</v>
      </c>
      <c r="M462" s="82" t="s">
        <v>1074</v>
      </c>
    </row>
    <row r="463" spans="4:13" ht="20.100000000000001" customHeight="1" x14ac:dyDescent="0.2">
      <c r="D463" s="15" cm="1">
        <f t="array" ref="D463:D472">IFERROR(INDEX(Table_Input_ChemicalsPharmacy[Product name], _xlfn.SEQUENCE(10)), "")</f>
        <v>0</v>
      </c>
      <c r="E463" s="15" cm="1">
        <f t="array" ref="E463:E472">IFERROR(INDEX(Table_Input_ChemicalsPharmacy[Type (select)], _xlfn.SEQUENCE(10)), "")</f>
        <v>0</v>
      </c>
      <c r="F463" s="15" cm="1">
        <f t="array" ref="F463:F472">IFERROR(INDEX(Table_Input_ChemicalsCleaning[Quantity purchased (kg)], _xlfn.SEQUENCE(10)), "")</f>
        <v>0</v>
      </c>
      <c r="G463" s="15" cm="1">
        <f t="array" ref="G463">Common_InputFunctions.Utility_LookupValueInTableNumber(E463,Table_SourceData_Scope3_ChemicalsPharmacy[Product],Table_SourceData_Scope3_ChemicalsPharmacy[Emissions intensity])</f>
        <v>0</v>
      </c>
      <c r="H463" s="257">
        <f>(F463 * (G463*10^-3))</f>
        <v>0</v>
      </c>
      <c r="I463" s="76">
        <v>0.05</v>
      </c>
      <c r="J463" s="257">
        <f>(F463 * (IF(I463,I463,G463)*10^-3))</f>
        <v>0</v>
      </c>
      <c r="K463" s="34"/>
      <c r="L463" s="13"/>
      <c r="M463" s="34"/>
    </row>
    <row r="464" spans="4:13" ht="20.100000000000001" customHeight="1" x14ac:dyDescent="0.2">
      <c r="D464" s="15">
        <v>0</v>
      </c>
      <c r="E464" s="15">
        <v>0</v>
      </c>
      <c r="F464" s="15">
        <v>0</v>
      </c>
      <c r="G464" s="15" cm="1">
        <f t="array" ref="G464">Common_InputFunctions.Utility_LookupValueInTableNumber(E464,Table_SourceData_Scope3_ChemicalsPharmacy[Product],Table_SourceData_Scope3_ChemicalsPharmacy[Emissions intensity])</f>
        <v>0</v>
      </c>
      <c r="H464" s="257">
        <f>(F464 * (G464*10^-3))</f>
        <v>0</v>
      </c>
      <c r="I464" s="76">
        <v>0.01</v>
      </c>
      <c r="J464" s="257">
        <f>(F464 * (IF(I464,I464,G464)*10^-3))</f>
        <v>0</v>
      </c>
      <c r="K464" s="34"/>
      <c r="L464" s="13"/>
      <c r="M464" s="34"/>
    </row>
    <row r="465" spans="4:13" ht="20.100000000000001" customHeight="1" x14ac:dyDescent="0.2">
      <c r="D465" s="15">
        <v>0</v>
      </c>
      <c r="E465" s="15">
        <v>0</v>
      </c>
      <c r="F465" s="15">
        <v>0</v>
      </c>
      <c r="G465" s="15" cm="1">
        <f t="array" ref="G465">Common_InputFunctions.Utility_LookupValueInTableNumber(E465,Table_SourceData_Scope3_ChemicalsPharmacy[Product],Table_SourceData_Scope3_ChemicalsPharmacy[Emissions intensity])</f>
        <v>0</v>
      </c>
      <c r="H465" s="257">
        <f>(F465 * (G465*10^-3))</f>
        <v>0</v>
      </c>
      <c r="I465" s="76">
        <v>0.01</v>
      </c>
      <c r="J465" s="257">
        <f>(F465 * (IF(I465,I465,G465)*10^-3))</f>
        <v>0</v>
      </c>
      <c r="K465" s="34"/>
      <c r="L465" s="13"/>
      <c r="M465" s="34"/>
    </row>
    <row r="466" spans="4:13" ht="20.100000000000001" customHeight="1" x14ac:dyDescent="0.2">
      <c r="D466" s="15">
        <v>0</v>
      </c>
      <c r="E466" s="15">
        <v>0</v>
      </c>
      <c r="F466" s="15">
        <v>0</v>
      </c>
      <c r="G466" s="15" cm="1">
        <f t="array" ref="G466">Common_InputFunctions.Utility_LookupValueInTableNumber(E466,Table_SourceData_Scope3_ChemicalsPharmacy[Product],Table_SourceData_Scope3_ChemicalsPharmacy[Emissions intensity])</f>
        <v>0</v>
      </c>
      <c r="H466" s="257">
        <f>(F466 * (G466*10^-3))</f>
        <v>0</v>
      </c>
      <c r="I466" s="76">
        <v>4.0000000000000001E-3</v>
      </c>
      <c r="J466" s="257">
        <f>(F466 * (IF(I466,I466,G466)*10^-3))</f>
        <v>0</v>
      </c>
      <c r="K466" s="34"/>
      <c r="L466" s="13"/>
      <c r="M466" s="34"/>
    </row>
    <row r="467" spans="4:13" ht="20.100000000000001" customHeight="1" x14ac:dyDescent="0.2">
      <c r="D467" s="15">
        <v>0</v>
      </c>
      <c r="E467" s="15">
        <v>0</v>
      </c>
      <c r="F467" s="15">
        <v>0</v>
      </c>
      <c r="G467" s="15" cm="1">
        <f t="array" ref="G467">Common_InputFunctions.Utility_LookupValueInTableNumber(E467,Table_SourceData_Scope3_ChemicalsPharmacy[Product],Table_SourceData_Scope3_ChemicalsPharmacy[Emissions intensity])</f>
        <v>0</v>
      </c>
      <c r="H467" s="257">
        <f>(F467 * (G467*10^-3))</f>
        <v>0</v>
      </c>
      <c r="I467" s="76">
        <v>0.05</v>
      </c>
      <c r="J467" s="257">
        <f>(F467 * (IF(I467,I467,G467)*10^-3))</f>
        <v>0</v>
      </c>
      <c r="K467" s="34"/>
      <c r="L467" s="13"/>
      <c r="M467" s="34"/>
    </row>
    <row r="468" spans="4:13" ht="20.100000000000001" customHeight="1" x14ac:dyDescent="0.2">
      <c r="D468" s="15">
        <v>0</v>
      </c>
      <c r="E468" s="15">
        <v>0</v>
      </c>
      <c r="F468" s="15">
        <v>0</v>
      </c>
      <c r="G468" s="15" cm="1">
        <f t="array" ref="G468">Common_InputFunctions.Utility_LookupValueInTableNumber(E468,Table_SourceData_Scope3_ChemicalsPharmacy[Product],Table_SourceData_Scope3_ChemicalsPharmacy[Emissions intensity])</f>
        <v>0</v>
      </c>
      <c r="H468" s="257">
        <f>(F468 * (G468*10^-3))</f>
        <v>0</v>
      </c>
      <c r="I468" s="76">
        <v>0.01</v>
      </c>
      <c r="J468" s="257">
        <f>(F468 * (IF(I468,I468,G468)*10^-3))</f>
        <v>0</v>
      </c>
      <c r="K468" s="34"/>
      <c r="L468" s="13"/>
      <c r="M468" s="34"/>
    </row>
    <row r="469" spans="4:13" ht="20.100000000000001" customHeight="1" x14ac:dyDescent="0.2">
      <c r="D469" s="15">
        <v>0</v>
      </c>
      <c r="E469" s="15">
        <v>0</v>
      </c>
      <c r="F469" s="15">
        <v>0</v>
      </c>
      <c r="G469" s="15" cm="1">
        <f t="array" ref="G469">Common_InputFunctions.Utility_LookupValueInTableNumber(E469,Table_SourceData_Scope3_ChemicalsPharmacy[Product],Table_SourceData_Scope3_ChemicalsPharmacy[Emissions intensity])</f>
        <v>0</v>
      </c>
      <c r="H469" s="257">
        <f>(F469 * (G469*10^-3))</f>
        <v>0</v>
      </c>
      <c r="I469" s="76"/>
      <c r="J469" s="257">
        <f>(F469 * (IF(I469,I469,G469)*10^-3))</f>
        <v>0</v>
      </c>
      <c r="K469" s="34"/>
      <c r="L469" s="13"/>
      <c r="M469" s="34"/>
    </row>
    <row r="470" spans="4:13" ht="20.100000000000001" customHeight="1" x14ac:dyDescent="0.2">
      <c r="D470" s="15">
        <v>0</v>
      </c>
      <c r="E470" s="15">
        <v>0</v>
      </c>
      <c r="F470" s="15">
        <v>0</v>
      </c>
      <c r="G470" s="15" cm="1">
        <f t="array" ref="G470">Common_InputFunctions.Utility_LookupValueInTableNumber(E470,Table_SourceData_Scope3_ChemicalsPharmacy[Product],Table_SourceData_Scope3_ChemicalsPharmacy[Emissions intensity])</f>
        <v>0</v>
      </c>
      <c r="H470" s="257">
        <f>(F470 * (G470*10^-3))</f>
        <v>0</v>
      </c>
      <c r="I470" s="76"/>
      <c r="J470" s="257">
        <f>(F470 * (IF(I470,I470,G470)*10^-3))</f>
        <v>0</v>
      </c>
      <c r="K470" s="34"/>
      <c r="L470" s="13"/>
      <c r="M470" s="34"/>
    </row>
    <row r="471" spans="4:13" ht="20.100000000000001" customHeight="1" x14ac:dyDescent="0.2">
      <c r="D471" s="15">
        <v>0</v>
      </c>
      <c r="E471" s="15">
        <v>0</v>
      </c>
      <c r="F471" s="15">
        <v>0</v>
      </c>
      <c r="G471" s="15" cm="1">
        <f t="array" ref="G471">Common_InputFunctions.Utility_LookupValueInTableNumber(E471,Table_SourceData_Scope3_ChemicalsPharmacy[Product],Table_SourceData_Scope3_ChemicalsPharmacy[Emissions intensity])</f>
        <v>0</v>
      </c>
      <c r="H471" s="257">
        <f>(F471 * (G471*10^-3))</f>
        <v>0</v>
      </c>
      <c r="I471" s="76"/>
      <c r="J471" s="257">
        <f>(F471 * (IF(I471,I471,G471)*10^-3))</f>
        <v>0</v>
      </c>
      <c r="K471" s="34"/>
      <c r="L471" s="13"/>
      <c r="M471" s="34"/>
    </row>
    <row r="472" spans="4:13" ht="20.100000000000001" customHeight="1" x14ac:dyDescent="0.2">
      <c r="D472" s="15">
        <v>0</v>
      </c>
      <c r="E472" s="15">
        <v>0</v>
      </c>
      <c r="F472" s="15">
        <v>0</v>
      </c>
      <c r="G472" s="15" cm="1">
        <f t="array" ref="G472">Common_InputFunctions.Utility_LookupValueInTableNumber(E472,Table_SourceData_Scope3_ChemicalsPharmacy[Product],Table_SourceData_Scope3_ChemicalsPharmacy[Emissions intensity])</f>
        <v>0</v>
      </c>
      <c r="H472" s="257">
        <f>(F472 * (G472*10^-3))</f>
        <v>0</v>
      </c>
      <c r="I472" s="76"/>
      <c r="J472" s="257">
        <f>(F472 * (IF(I472,I472,G472)*10^-3))</f>
        <v>0</v>
      </c>
      <c r="K472" s="34"/>
      <c r="L472" s="13"/>
      <c r="M472" s="34"/>
    </row>
    <row r="474" spans="4:13" ht="20.100000000000001" customHeight="1" x14ac:dyDescent="0.2">
      <c r="D474" s="259" t="s">
        <v>1068</v>
      </c>
      <c r="E474" s="91">
        <f>SUM(H463:H472)</f>
        <v>0</v>
      </c>
      <c r="F474" s="95" t="str">
        <f>$E$170</f>
        <v>t CO2e</v>
      </c>
    </row>
    <row r="475" spans="4:13" ht="20.100000000000001" customHeight="1" x14ac:dyDescent="0.2">
      <c r="D475" s="259" t="s">
        <v>1071</v>
      </c>
      <c r="E475" s="91">
        <f>SUM(J463:J472)</f>
        <v>0</v>
      </c>
      <c r="F475" s="95" t="str">
        <f>$E$170</f>
        <v>t CO2e</v>
      </c>
    </row>
    <row r="478" spans="4:13" ht="20.100000000000001" customHeight="1" x14ac:dyDescent="0.2">
      <c r="D478" s="243" t="s">
        <v>1023</v>
      </c>
    </row>
    <row r="480" spans="4:13" ht="20.100000000000001" customHeight="1" x14ac:dyDescent="0.2">
      <c r="D480" s="82" t="s">
        <v>997</v>
      </c>
      <c r="E480" s="82" t="s">
        <v>1169</v>
      </c>
      <c r="F480" s="114" t="s">
        <v>1167</v>
      </c>
      <c r="G480" s="114" t="s">
        <v>1068</v>
      </c>
      <c r="H480" s="82" t="s">
        <v>1168</v>
      </c>
      <c r="I480" s="114" t="s">
        <v>1071</v>
      </c>
      <c r="J480" s="82" t="s">
        <v>1072</v>
      </c>
      <c r="K480" s="82" t="s">
        <v>1073</v>
      </c>
      <c r="L480" s="82" t="s">
        <v>1074</v>
      </c>
    </row>
    <row r="481" spans="4:12" ht="20.100000000000001" customHeight="1" x14ac:dyDescent="0.2">
      <c r="D481" s="15" t="str">
        <f>'Input - Crop pasture farm input'!D23</f>
        <v>Barley grain (for seed)</v>
      </c>
      <c r="E481" s="15">
        <f>IFERROR(X_Cell_FarmInputs_Seed_BarleyGrain, 0)</f>
        <v>0</v>
      </c>
      <c r="F481" s="15" cm="1">
        <f t="array" ref="F481">Common_InputFunctions.Utility_LookupValueInTableNumber(D481,Table_SourceData_Scope3_Other[Product],Table_SourceData_Scope3_Other[Emissions intensity])</f>
        <v>0.23899999999999999</v>
      </c>
      <c r="G481" s="257">
        <f>(E481 * (F481*10^-3))</f>
        <v>0</v>
      </c>
      <c r="H481" s="76">
        <v>0.2</v>
      </c>
      <c r="I481" s="257">
        <f>(E481 * (IF(H481,H481,F481)*10^-3))</f>
        <v>0</v>
      </c>
      <c r="J481" s="34"/>
      <c r="K481" s="13"/>
      <c r="L481" s="34"/>
    </row>
    <row r="482" spans="4:12" ht="20.100000000000001" customHeight="1" x14ac:dyDescent="0.2">
      <c r="D482" s="15" t="str">
        <f>'Input - Crop pasture farm input'!D24</f>
        <v>Maize grain (for seed)</v>
      </c>
      <c r="E482" s="15">
        <f>IFERROR(X_Cell_FarmInputs_Seed_MaizeGrain, 0)</f>
        <v>0</v>
      </c>
      <c r="F482" s="15" cm="1">
        <f t="array" ref="F482">Common_InputFunctions.Utility_LookupValueInTableNumber(D482,Table_SourceData_Scope3_Other[Product],Table_SourceData_Scope3_Other[Emissions intensity])</f>
        <v>0.18099999999999999</v>
      </c>
      <c r="G482" s="257">
        <f>(E482 * (F482*10^-3))</f>
        <v>0</v>
      </c>
      <c r="H482" s="76"/>
      <c r="I482" s="257">
        <f>(E482 * (IF(H482,H482,F482)*10^-3))</f>
        <v>0</v>
      </c>
      <c r="J482" s="34"/>
      <c r="K482" s="13"/>
      <c r="L482" s="34"/>
    </row>
    <row r="483" spans="4:12" ht="20.100000000000001" customHeight="1" x14ac:dyDescent="0.2">
      <c r="D483" s="15" t="str">
        <f>'Input - Crop pasture farm input'!D25</f>
        <v>Oat grain (for seed)</v>
      </c>
      <c r="E483" s="15">
        <f>IFERROR(X_Cell_FarmInputs_Seed_OatGrain, 0)</f>
        <v>0</v>
      </c>
      <c r="F483" s="15" cm="1">
        <f t="array" ref="F483">Common_InputFunctions.Utility_LookupValueInTableNumber(D483,Table_SourceData_Scope3_Other[Product],Table_SourceData_Scope3_Other[Emissions intensity])</f>
        <v>0.27</v>
      </c>
      <c r="G483" s="257">
        <f>(E483 * (F483*10^-3))</f>
        <v>0</v>
      </c>
      <c r="H483" s="76">
        <v>0.2</v>
      </c>
      <c r="I483" s="257">
        <f>(E483 * (IF(H483,H483,F483)*10^-3))</f>
        <v>0</v>
      </c>
      <c r="J483" s="34"/>
      <c r="K483" s="13"/>
      <c r="L483" s="34"/>
    </row>
    <row r="484" spans="4:12" ht="20.100000000000001" customHeight="1" x14ac:dyDescent="0.2">
      <c r="D484" s="15" t="str">
        <f>'Input - Crop pasture farm input'!D26</f>
        <v>Sorghum grain (for seed)</v>
      </c>
      <c r="E484" s="15">
        <f>IFERROR(X_Cell_FarmInputs_Seed_SorghumGrain, 0)</f>
        <v>0</v>
      </c>
      <c r="F484" s="15" cm="1">
        <f t="array" ref="F484">Common_InputFunctions.Utility_LookupValueInTableNumber(D484,Table_SourceData_Scope3_Other[Product],Table_SourceData_Scope3_Other[Emissions intensity])</f>
        <v>0.23200000000000001</v>
      </c>
      <c r="G484" s="257">
        <f>(E484 * (F484*10^-3))</f>
        <v>0</v>
      </c>
      <c r="H484" s="76"/>
      <c r="I484" s="257">
        <f>(E484 * (IF(H484,H484,F484)*10^-3))</f>
        <v>0</v>
      </c>
      <c r="J484" s="34"/>
      <c r="K484" s="13"/>
      <c r="L484" s="34"/>
    </row>
    <row r="485" spans="4:12" ht="20.100000000000001" customHeight="1" x14ac:dyDescent="0.2">
      <c r="D485" s="15" t="str">
        <f>'Input - Crop pasture farm input'!D27</f>
        <v>Wheat grain (for seed)</v>
      </c>
      <c r="E485" s="15">
        <f>IFERROR(X_Cell_FarmInputs_Seed_WheatGrain, 0)</f>
        <v>0</v>
      </c>
      <c r="F485" s="15" cm="1">
        <f t="array" ref="F485">Common_InputFunctions.Utility_LookupValueInTableNumber(D485,Table_SourceData_Scope3_Other[Product],Table_SourceData_Scope3_Other[Emissions intensity])</f>
        <v>0.26800000000000002</v>
      </c>
      <c r="G485" s="257">
        <f>(E485 * (F485*10^-3))</f>
        <v>0</v>
      </c>
      <c r="H485" s="76">
        <v>0.2</v>
      </c>
      <c r="I485" s="257">
        <f>(E485 * (IF(H485,H485,F485)*10^-3))</f>
        <v>0</v>
      </c>
      <c r="J485" s="34"/>
      <c r="K485" s="13"/>
      <c r="L485" s="34"/>
    </row>
    <row r="487" spans="4:12" ht="20.100000000000001" customHeight="1" x14ac:dyDescent="0.2">
      <c r="D487" s="259" t="s">
        <v>1068</v>
      </c>
      <c r="E487" s="91">
        <f>SUM(G481:G485)</f>
        <v>0</v>
      </c>
      <c r="F487" s="95" t="str">
        <f>$E$170</f>
        <v>t CO2e</v>
      </c>
    </row>
    <row r="488" spans="4:12" ht="20.100000000000001" customHeight="1" x14ac:dyDescent="0.2">
      <c r="D488" s="259" t="s">
        <v>1071</v>
      </c>
      <c r="E488" s="91">
        <f>SUM(I481:I485)</f>
        <v>0</v>
      </c>
      <c r="F488" s="95" t="str">
        <f>$E$170</f>
        <v>t CO2e</v>
      </c>
    </row>
    <row r="491" spans="4:12" ht="20.100000000000001" customHeight="1" x14ac:dyDescent="0.2">
      <c r="D491" s="243" t="s">
        <v>1170</v>
      </c>
    </row>
    <row r="493" spans="4:12" ht="20.100000000000001" customHeight="1" x14ac:dyDescent="0.2">
      <c r="D493" s="82" t="s">
        <v>997</v>
      </c>
      <c r="E493" s="82" t="s">
        <v>1169</v>
      </c>
      <c r="F493" s="114" t="s">
        <v>1167</v>
      </c>
      <c r="G493" s="114" t="s">
        <v>1068</v>
      </c>
      <c r="H493" s="82" t="s">
        <v>1168</v>
      </c>
      <c r="I493" s="114" t="s">
        <v>1071</v>
      </c>
      <c r="J493" s="82" t="s">
        <v>1072</v>
      </c>
      <c r="K493" s="82" t="s">
        <v>1073</v>
      </c>
      <c r="L493" s="82" t="s">
        <v>1074</v>
      </c>
    </row>
    <row r="494" spans="4:12" ht="20.100000000000001" customHeight="1" x14ac:dyDescent="0.2">
      <c r="D494" s="15" t="str">
        <f>'Input - Livestock farm Inputs'!D47</f>
        <v>Animal ear tags (large)</v>
      </c>
      <c r="E494" s="15">
        <f>IFERROR(X_Cell_FarmInputs_Misc_AnimalEarTagsLarge, 0)</f>
        <v>0</v>
      </c>
      <c r="F494" s="15" cm="1">
        <f t="array" ref="F494">Common_InputFunctions.Utility_LookupValueInTableNumber(D494,Table_SourceData_Scope3_Other[Product],Table_SourceData_Scope3_Other[Emissions intensity])</f>
        <v>4.24E-2</v>
      </c>
      <c r="G494" s="257">
        <f>(E494 * (F494*10^-3))</f>
        <v>0</v>
      </c>
      <c r="H494" s="76">
        <v>0.2</v>
      </c>
      <c r="I494" s="257">
        <f>(E494 * (IF(H494,H494,F494)*10^-3))</f>
        <v>0</v>
      </c>
      <c r="J494" s="34"/>
      <c r="K494" s="13"/>
      <c r="L494" s="34"/>
    </row>
    <row r="495" spans="4:12" ht="20.100000000000001" customHeight="1" x14ac:dyDescent="0.2">
      <c r="D495" s="15" t="str">
        <f>'Input - Livestock farm Inputs'!D48</f>
        <v>Animal ear tags (small)</v>
      </c>
      <c r="E495" s="15">
        <f>IFERROR(X_Cell_FarmInputs_Misc_AnimalEarTagsSmall, 0)</f>
        <v>0</v>
      </c>
      <c r="F495" s="15" cm="1">
        <f t="array" ref="F495">Common_InputFunctions.Utility_LookupValueInTableNumber(D495,Table_SourceData_Scope3_Other[Product],Table_SourceData_Scope3_Other[Emissions intensity])</f>
        <v>2.93E-2</v>
      </c>
      <c r="G495" s="257">
        <f>(E495 * (F495*10^-3))</f>
        <v>0</v>
      </c>
      <c r="H495" s="76"/>
      <c r="I495" s="257">
        <f>(E495 * (IF(H495,H495,F495)*10^-3))</f>
        <v>0</v>
      </c>
      <c r="J495" s="34"/>
      <c r="K495" s="13"/>
      <c r="L495" s="34"/>
    </row>
    <row r="496" spans="4:12" ht="20.100000000000001" customHeight="1" x14ac:dyDescent="0.2">
      <c r="D496" s="15"/>
      <c r="E496" s="15">
        <f>IFERROR(X_Cell_FarmInputs_Misc_NylonNetting, 0)</f>
        <v>0</v>
      </c>
      <c r="F496" s="15" cm="1">
        <f t="array" ref="F496">Common_InputFunctions.Utility_LookupValueInTableNumber(D496,Table_SourceData_Scope3_Other[Product],Table_SourceData_Scope3_Other[Emissions intensity])</f>
        <v>0</v>
      </c>
      <c r="G496" s="257">
        <f>(E496 * (F496*10^-3))</f>
        <v>0</v>
      </c>
      <c r="H496" s="76">
        <v>0.2</v>
      </c>
      <c r="I496" s="257">
        <f>(E496 * (IF(H496,H496,F496)*10^-3))</f>
        <v>0</v>
      </c>
      <c r="J496" s="34"/>
      <c r="K496" s="13"/>
      <c r="L496" s="34"/>
    </row>
    <row r="498" spans="4:14" ht="20.100000000000001" customHeight="1" x14ac:dyDescent="0.2">
      <c r="D498" s="259" t="s">
        <v>1068</v>
      </c>
      <c r="E498" s="91">
        <f>SUM(G494:G496)</f>
        <v>0</v>
      </c>
      <c r="F498" s="95" t="str">
        <f>$E$170</f>
        <v>t CO2e</v>
      </c>
    </row>
    <row r="499" spans="4:14" ht="20.100000000000001" customHeight="1" x14ac:dyDescent="0.2">
      <c r="D499" s="259" t="s">
        <v>1071</v>
      </c>
      <c r="E499" s="91">
        <f>SUM(I494:I496)</f>
        <v>0</v>
      </c>
      <c r="F499" s="95" t="str">
        <f>$E$170</f>
        <v>t CO2e</v>
      </c>
    </row>
    <row r="502" spans="4:14" ht="20.100000000000001" customHeight="1" x14ac:dyDescent="0.2">
      <c r="D502" s="243" t="s">
        <v>1171</v>
      </c>
    </row>
    <row r="504" spans="4:14" ht="20.100000000000001" customHeight="1" x14ac:dyDescent="0.2">
      <c r="D504" s="82" t="s">
        <v>997</v>
      </c>
      <c r="E504" s="82" t="s">
        <v>898</v>
      </c>
      <c r="F504" s="82" t="s">
        <v>807</v>
      </c>
      <c r="G504" s="114" t="s">
        <v>1151</v>
      </c>
      <c r="H504" s="114" t="s">
        <v>1152</v>
      </c>
      <c r="I504" s="82" t="s">
        <v>1153</v>
      </c>
      <c r="J504" s="82" t="s">
        <v>1172</v>
      </c>
      <c r="K504" s="114" t="s">
        <v>1154</v>
      </c>
      <c r="L504" s="82" t="s">
        <v>1072</v>
      </c>
      <c r="M504" s="82" t="s">
        <v>1073</v>
      </c>
      <c r="N504" s="82" t="s">
        <v>1074</v>
      </c>
    </row>
    <row r="505" spans="4:14" ht="20.100000000000001" customHeight="1" x14ac:dyDescent="0.2">
      <c r="D505" s="15" cm="1">
        <f t="array" ref="D505:D514">IFERROR(INDEX(Table_Input_UncategorisedProductsServices[Product / service name], _xlfn.SEQUENCE(10)), "")</f>
        <v>0</v>
      </c>
      <c r="E505" s="15" cm="1">
        <f t="array" ref="E505:E514">IFERROR(INDEX(Table_Input_UncategorisedProductsServices[Amount], _xlfn.SEQUENCE(10)), "")</f>
        <v>0</v>
      </c>
      <c r="F505" s="15" cm="1">
        <f t="array" ref="F505:F514">IFERROR(INDEX(Table_Input_UncategorisedProductsServices[Amount unit], _xlfn.SEQUENCE(10)), "")</f>
        <v>0</v>
      </c>
      <c r="G505" s="15" t="s">
        <v>1156</v>
      </c>
      <c r="H505" s="15" t="s">
        <v>1156</v>
      </c>
      <c r="I505" s="76">
        <v>4</v>
      </c>
      <c r="J505" s="13" t="s">
        <v>1173</v>
      </c>
      <c r="K505" s="257">
        <f>(E505 * (IF(J505="kg / amount unit", I505*10^-3, I505)))</f>
        <v>0</v>
      </c>
      <c r="L505" s="34"/>
      <c r="M505" s="13"/>
      <c r="N505" s="34"/>
    </row>
    <row r="506" spans="4:14" ht="20.100000000000001" customHeight="1" x14ac:dyDescent="0.2">
      <c r="D506" s="15">
        <v>0</v>
      </c>
      <c r="E506" s="15">
        <v>0</v>
      </c>
      <c r="F506" s="15">
        <v>0</v>
      </c>
      <c r="G506" s="15" t="s">
        <v>1156</v>
      </c>
      <c r="H506" s="15" t="s">
        <v>1156</v>
      </c>
      <c r="I506" s="76">
        <v>2</v>
      </c>
      <c r="J506" s="13" t="s">
        <v>1173</v>
      </c>
      <c r="K506" s="257">
        <f>(E506 * (IF(J506="kg / amount unit", I506*10^-3, I506)))</f>
        <v>0</v>
      </c>
      <c r="L506" s="34"/>
      <c r="M506" s="13"/>
      <c r="N506" s="34"/>
    </row>
    <row r="507" spans="4:14" ht="20.100000000000001" customHeight="1" x14ac:dyDescent="0.2">
      <c r="D507" s="15">
        <v>0</v>
      </c>
      <c r="E507" s="15">
        <v>0</v>
      </c>
      <c r="F507" s="15">
        <v>0</v>
      </c>
      <c r="G507" s="15" t="s">
        <v>1156</v>
      </c>
      <c r="H507" s="15" t="s">
        <v>1156</v>
      </c>
      <c r="I507" s="76"/>
      <c r="J507" s="13"/>
      <c r="K507" s="257">
        <f>(E507 * (IF(J507="kg / amount unit", I507*10^-3, I507)))</f>
        <v>0</v>
      </c>
      <c r="L507" s="34"/>
      <c r="M507" s="13"/>
      <c r="N507" s="34"/>
    </row>
    <row r="508" spans="4:14" ht="20.100000000000001" customHeight="1" x14ac:dyDescent="0.2">
      <c r="D508" s="15">
        <v>0</v>
      </c>
      <c r="E508" s="15">
        <v>0</v>
      </c>
      <c r="F508" s="15">
        <v>0</v>
      </c>
      <c r="G508" s="15" t="s">
        <v>1156</v>
      </c>
      <c r="H508" s="15" t="s">
        <v>1156</v>
      </c>
      <c r="I508" s="76"/>
      <c r="J508" s="13"/>
      <c r="K508" s="257">
        <f>(E508 * (IF(J508="kg / amount unit", I508*10^-3, I508)))</f>
        <v>0</v>
      </c>
      <c r="L508" s="34"/>
      <c r="M508" s="13"/>
      <c r="N508" s="34"/>
    </row>
    <row r="509" spans="4:14" ht="20.100000000000001" customHeight="1" x14ac:dyDescent="0.2">
      <c r="D509" s="15">
        <v>0</v>
      </c>
      <c r="E509" s="15">
        <v>0</v>
      </c>
      <c r="F509" s="15">
        <v>0</v>
      </c>
      <c r="G509" s="15" t="s">
        <v>1156</v>
      </c>
      <c r="H509" s="15" t="s">
        <v>1156</v>
      </c>
      <c r="I509" s="76"/>
      <c r="J509" s="13"/>
      <c r="K509" s="257">
        <f>(E509 * (IF(J509="kg / amount unit", I509*10^-3, I509)))</f>
        <v>0</v>
      </c>
      <c r="L509" s="34"/>
      <c r="M509" s="13"/>
      <c r="N509" s="34"/>
    </row>
    <row r="510" spans="4:14" ht="20.100000000000001" customHeight="1" x14ac:dyDescent="0.2">
      <c r="D510" s="15">
        <v>0</v>
      </c>
      <c r="E510" s="15">
        <v>0</v>
      </c>
      <c r="F510" s="15">
        <v>0</v>
      </c>
      <c r="G510" s="15" t="s">
        <v>1156</v>
      </c>
      <c r="H510" s="15" t="s">
        <v>1156</v>
      </c>
      <c r="I510" s="76"/>
      <c r="J510" s="13"/>
      <c r="K510" s="257">
        <f>(E510 * (IF(J510="kg / amount unit", I510*10^-3, I510)))</f>
        <v>0</v>
      </c>
      <c r="L510" s="34"/>
      <c r="M510" s="13"/>
      <c r="N510" s="34"/>
    </row>
    <row r="511" spans="4:14" ht="20.100000000000001" customHeight="1" x14ac:dyDescent="0.2">
      <c r="D511" s="15">
        <v>0</v>
      </c>
      <c r="E511" s="15">
        <v>0</v>
      </c>
      <c r="F511" s="15">
        <v>0</v>
      </c>
      <c r="G511" s="15" t="s">
        <v>1156</v>
      </c>
      <c r="H511" s="15" t="s">
        <v>1156</v>
      </c>
      <c r="I511" s="76"/>
      <c r="J511" s="13"/>
      <c r="K511" s="257">
        <f>(E511 * (IF(J511="kg / amount unit", I511*10^-3, I511)))</f>
        <v>0</v>
      </c>
      <c r="L511" s="34"/>
      <c r="M511" s="13"/>
      <c r="N511" s="34"/>
    </row>
    <row r="512" spans="4:14" ht="20.100000000000001" customHeight="1" x14ac:dyDescent="0.2">
      <c r="D512" s="15">
        <v>0</v>
      </c>
      <c r="E512" s="15">
        <v>0</v>
      </c>
      <c r="F512" s="15">
        <v>0</v>
      </c>
      <c r="G512" s="15" t="s">
        <v>1156</v>
      </c>
      <c r="H512" s="15" t="s">
        <v>1156</v>
      </c>
      <c r="I512" s="76"/>
      <c r="J512" s="13"/>
      <c r="K512" s="257">
        <f>(E512 * (IF(J512="kg / amount unit", I512*10^-3, I512)))</f>
        <v>0</v>
      </c>
      <c r="L512" s="34"/>
      <c r="M512" s="13"/>
      <c r="N512" s="34"/>
    </row>
    <row r="513" spans="3:41" ht="20.100000000000001" customHeight="1" x14ac:dyDescent="0.2">
      <c r="D513" s="15">
        <v>0</v>
      </c>
      <c r="E513" s="15">
        <v>0</v>
      </c>
      <c r="F513" s="15">
        <v>0</v>
      </c>
      <c r="G513" s="15" t="s">
        <v>1156</v>
      </c>
      <c r="H513" s="15" t="s">
        <v>1156</v>
      </c>
      <c r="I513" s="76"/>
      <c r="J513" s="13"/>
      <c r="K513" s="257">
        <f>(E513 * (IF(J513="kg / amount unit", I513*10^-3, I513)))</f>
        <v>0</v>
      </c>
      <c r="L513" s="34"/>
      <c r="M513" s="13"/>
      <c r="N513" s="34"/>
    </row>
    <row r="514" spans="3:41" ht="20.100000000000001" customHeight="1" x14ac:dyDescent="0.2">
      <c r="D514" s="15">
        <v>0</v>
      </c>
      <c r="E514" s="15">
        <v>0</v>
      </c>
      <c r="F514" s="15">
        <v>0</v>
      </c>
      <c r="G514" s="15" t="s">
        <v>1156</v>
      </c>
      <c r="H514" s="15" t="s">
        <v>1156</v>
      </c>
      <c r="I514" s="76"/>
      <c r="J514" s="13"/>
      <c r="K514" s="257">
        <f>(E514 * (IF(J514="kg / amount unit", I514*10^-3, I514)))</f>
        <v>0</v>
      </c>
      <c r="L514" s="34"/>
      <c r="M514" s="13"/>
      <c r="N514" s="34"/>
    </row>
    <row r="516" spans="3:41" ht="20.100000000000001" customHeight="1" x14ac:dyDescent="0.2">
      <c r="D516" s="259" t="s">
        <v>1068</v>
      </c>
      <c r="E516" s="91" t="s">
        <v>1156</v>
      </c>
      <c r="F516" s="95" t="str">
        <f>$E$170</f>
        <v>t CO2e</v>
      </c>
    </row>
    <row r="517" spans="3:41" ht="20.100000000000001" customHeight="1" x14ac:dyDescent="0.2">
      <c r="D517" s="259" t="s">
        <v>1071</v>
      </c>
      <c r="E517" s="91">
        <f>SUM(K505:K514)</f>
        <v>0</v>
      </c>
      <c r="F517" s="95" t="str">
        <f>$E$170</f>
        <v>t CO2e</v>
      </c>
    </row>
    <row r="520" spans="3:41" ht="20.100000000000001" customHeight="1" x14ac:dyDescent="0.2">
      <c r="C520" s="87"/>
      <c r="D520" s="87"/>
      <c r="E520" s="87"/>
      <c r="F520" s="87"/>
      <c r="G520" s="87"/>
      <c r="H520" s="87"/>
      <c r="I520" s="87"/>
      <c r="J520" s="87"/>
      <c r="K520" s="87"/>
      <c r="L520" s="87"/>
      <c r="M520" s="87"/>
      <c r="N520" s="87"/>
      <c r="O520" s="87"/>
      <c r="P520" s="87"/>
      <c r="Q520" s="87"/>
      <c r="R520" s="87"/>
      <c r="S520" s="87"/>
      <c r="T520" s="87"/>
      <c r="U520" s="87"/>
      <c r="V520" s="87"/>
      <c r="W520" s="87"/>
      <c r="X520" s="87"/>
      <c r="Y520" s="87"/>
      <c r="Z520" s="87"/>
      <c r="AA520" s="87"/>
      <c r="AB520" s="87"/>
      <c r="AC520" s="87"/>
      <c r="AD520" s="87"/>
      <c r="AE520" s="87"/>
      <c r="AF520" s="87"/>
      <c r="AG520" s="87"/>
      <c r="AH520" s="87"/>
      <c r="AI520" s="87"/>
      <c r="AJ520" s="87"/>
      <c r="AK520" s="87"/>
      <c r="AL520" s="87"/>
      <c r="AM520" s="87"/>
      <c r="AN520" s="87"/>
      <c r="AO520" s="87"/>
    </row>
    <row r="521" spans="3:41" ht="20.100000000000001" customHeight="1" x14ac:dyDescent="0.2">
      <c r="D521" s="2" t="s">
        <v>1738</v>
      </c>
    </row>
    <row r="522" spans="3:41" ht="20.100000000000001" customHeight="1" x14ac:dyDescent="0.2">
      <c r="D522" s="17" t="s">
        <v>1739</v>
      </c>
    </row>
    <row r="523" spans="3:41" ht="20.100000000000001" customHeight="1" x14ac:dyDescent="0.2">
      <c r="D523" s="103"/>
      <c r="E523" s="103"/>
    </row>
    <row r="527" spans="3:41" ht="20.100000000000001" customHeight="1" x14ac:dyDescent="0.2">
      <c r="D527" s="77" t="s">
        <v>373</v>
      </c>
      <c r="E527" s="1" t="s">
        <v>1174</v>
      </c>
    </row>
    <row r="528" spans="3:41" ht="20.100000000000001" customHeight="1" x14ac:dyDescent="0.2">
      <c r="D528" s="77" t="s">
        <v>121</v>
      </c>
      <c r="E528" s="9" t="s">
        <v>6</v>
      </c>
    </row>
    <row r="530" spans="3:41" ht="20.100000000000001" customHeight="1" x14ac:dyDescent="0.2">
      <c r="D530" s="105" t="s">
        <v>1548</v>
      </c>
      <c r="E530" s="106" t="s">
        <v>1740</v>
      </c>
      <c r="F530" s="108"/>
      <c r="G530" s="105" t="s">
        <v>6</v>
      </c>
      <c r="H530" s="110" t="s">
        <v>1742</v>
      </c>
      <c r="I530" s="105">
        <f>VEERG_8_1_1_1__1_FuelCombustionTransport_Result</f>
        <v>0</v>
      </c>
    </row>
    <row r="531" spans="3:41" ht="20.100000000000001" customHeight="1" x14ac:dyDescent="0.2">
      <c r="D531" s="105" t="s">
        <v>1575</v>
      </c>
      <c r="E531" s="106" t="s">
        <v>1741</v>
      </c>
      <c r="F531" s="108"/>
      <c r="G531" s="105" t="s">
        <v>6</v>
      </c>
      <c r="H531" s="110" t="s">
        <v>1743</v>
      </c>
      <c r="I531" s="105">
        <f>VEERG_8_2_1_1__1_FuelCombustionStationary_Result</f>
        <v>0</v>
      </c>
    </row>
    <row r="533" spans="3:41" ht="20.100000000000001" customHeight="1" x14ac:dyDescent="0.2">
      <c r="D533" s="259" t="s">
        <v>1174</v>
      </c>
      <c r="E533" s="91">
        <f>(I530 + I531)</f>
        <v>0</v>
      </c>
      <c r="F533" s="95" t="str">
        <f>$E$170</f>
        <v>t CO2e</v>
      </c>
    </row>
    <row r="535" spans="3:41" ht="20.100000000000001" customHeight="1" x14ac:dyDescent="0.2">
      <c r="C535" s="87"/>
      <c r="D535" s="87"/>
      <c r="E535" s="87"/>
      <c r="F535" s="87"/>
      <c r="G535" s="87"/>
      <c r="H535" s="87"/>
      <c r="I535" s="87"/>
      <c r="J535" s="87"/>
      <c r="K535" s="87"/>
      <c r="L535" s="87"/>
      <c r="M535" s="87"/>
      <c r="N535" s="87"/>
      <c r="O535" s="87"/>
      <c r="P535" s="87"/>
      <c r="Q535" s="87"/>
      <c r="R535" s="87"/>
      <c r="S535" s="87"/>
      <c r="T535" s="87"/>
      <c r="U535" s="87"/>
      <c r="V535" s="87"/>
      <c r="W535" s="87"/>
      <c r="X535" s="87"/>
      <c r="Y535" s="87"/>
      <c r="Z535" s="87"/>
      <c r="AA535" s="87"/>
      <c r="AB535" s="87"/>
      <c r="AC535" s="87"/>
      <c r="AD535" s="87"/>
      <c r="AE535" s="87"/>
      <c r="AF535" s="87"/>
      <c r="AG535" s="87"/>
      <c r="AH535" s="87"/>
      <c r="AI535" s="87"/>
      <c r="AJ535" s="87"/>
      <c r="AK535" s="87"/>
      <c r="AL535" s="87"/>
      <c r="AM535" s="87"/>
      <c r="AN535" s="87"/>
      <c r="AO535" s="87"/>
    </row>
    <row r="536" spans="3:41" ht="20.100000000000001" customHeight="1" x14ac:dyDescent="0.2">
      <c r="D536" s="2" t="s">
        <v>1744</v>
      </c>
    </row>
    <row r="537" spans="3:41" ht="20.100000000000001" customHeight="1" x14ac:dyDescent="0.2">
      <c r="D537" s="17" t="s">
        <v>1745</v>
      </c>
    </row>
    <row r="538" spans="3:41" ht="20.100000000000001" customHeight="1" x14ac:dyDescent="0.2">
      <c r="D538" s="103"/>
      <c r="E538" s="103"/>
    </row>
    <row r="541" spans="3:41" ht="20.100000000000001" customHeight="1" x14ac:dyDescent="0.2">
      <c r="D541" s="77" t="s">
        <v>373</v>
      </c>
      <c r="E541" s="1" t="s">
        <v>1746</v>
      </c>
    </row>
    <row r="542" spans="3:41" ht="20.100000000000001" customHeight="1" x14ac:dyDescent="0.2">
      <c r="D542" s="77" t="s">
        <v>121</v>
      </c>
      <c r="E542" s="1" t="s">
        <v>6</v>
      </c>
    </row>
    <row r="544" spans="3:41" ht="20.100000000000001" customHeight="1" x14ac:dyDescent="0.2">
      <c r="D544" s="105" t="s">
        <v>1622</v>
      </c>
      <c r="E544" s="105" t="s">
        <v>1623</v>
      </c>
      <c r="F544" s="105"/>
      <c r="G544" s="105" t="s">
        <v>760</v>
      </c>
      <c r="H544" s="255" t="s">
        <v>1219</v>
      </c>
      <c r="I544" s="106">
        <f>X_Cell_Electricity_Location_AmountPurchasedInkWh</f>
        <v>0</v>
      </c>
      <c r="J544" s="108"/>
    </row>
    <row r="545" spans="3:41" ht="20.100000000000001" customHeight="1" x14ac:dyDescent="0.2">
      <c r="D545" s="105" t="s">
        <v>1747</v>
      </c>
      <c r="E545" s="105" t="s">
        <v>1748</v>
      </c>
      <c r="F545" s="105"/>
      <c r="G545" s="105" t="s">
        <v>1627</v>
      </c>
      <c r="H545" s="110" t="s">
        <v>1220</v>
      </c>
      <c r="I545" s="106" cm="1">
        <f t="array" ref="I545">Common_InputFunctions.Utility_LookupValueInTableNumber(I546,Table_SourceData_ElectricityEFs[State, Territory or grid description],Table_SourceData_ElectricityEFs[Scope 3 Emission Factors (kg CO2-e/kWh)])</f>
        <v>0</v>
      </c>
      <c r="J545" s="108"/>
    </row>
    <row r="546" spans="3:41" ht="20.100000000000001" customHeight="1" x14ac:dyDescent="0.2">
      <c r="D546" s="105" t="s">
        <v>1558</v>
      </c>
      <c r="E546" s="106" t="s">
        <v>1749</v>
      </c>
      <c r="F546" s="108"/>
      <c r="G546" s="105"/>
      <c r="H546" s="255" t="s">
        <v>1219</v>
      </c>
      <c r="I546" s="106">
        <f>X_Cell_Electricity_Location_GridElectricityPurchasedFrom</f>
        <v>0</v>
      </c>
      <c r="J546" s="108"/>
    </row>
    <row r="548" spans="3:41" ht="20.100000000000001" customHeight="1" x14ac:dyDescent="0.2">
      <c r="D548" s="259" t="s">
        <v>1175</v>
      </c>
      <c r="E548" s="91">
        <f>((I544 * I545) * 10 ^ -3)</f>
        <v>0</v>
      </c>
      <c r="F548" s="95" t="str">
        <f>$E$170</f>
        <v>t CO2e</v>
      </c>
    </row>
    <row r="551" spans="3:41" ht="20.100000000000001" customHeight="1" x14ac:dyDescent="0.2">
      <c r="C551" s="87"/>
      <c r="D551" s="87"/>
      <c r="E551" s="87"/>
      <c r="F551" s="87"/>
      <c r="G551" s="87"/>
      <c r="H551" s="87"/>
      <c r="I551" s="87"/>
      <c r="J551" s="87"/>
      <c r="K551" s="87"/>
      <c r="L551" s="87"/>
      <c r="M551" s="87"/>
      <c r="N551" s="87"/>
      <c r="O551" s="87"/>
      <c r="P551" s="87"/>
      <c r="Q551" s="87"/>
      <c r="R551" s="87"/>
      <c r="S551" s="87"/>
      <c r="T551" s="87"/>
      <c r="U551" s="87"/>
      <c r="V551" s="87"/>
      <c r="W551" s="87"/>
      <c r="X551" s="87"/>
      <c r="Y551" s="87"/>
      <c r="Z551" s="87"/>
      <c r="AA551" s="87"/>
      <c r="AB551" s="87"/>
      <c r="AC551" s="87"/>
      <c r="AD551" s="87"/>
      <c r="AE551" s="87"/>
      <c r="AF551" s="87"/>
      <c r="AG551" s="87"/>
      <c r="AH551" s="87"/>
      <c r="AI551" s="87"/>
      <c r="AJ551" s="87"/>
      <c r="AK551" s="87"/>
      <c r="AL551" s="87"/>
      <c r="AM551" s="87"/>
      <c r="AN551" s="87"/>
      <c r="AO551" s="87"/>
    </row>
    <row r="552" spans="3:41" ht="20.100000000000001" customHeight="1" x14ac:dyDescent="0.2">
      <c r="D552" s="2" t="s">
        <v>1750</v>
      </c>
    </row>
    <row r="553" spans="3:41" ht="20.100000000000001" customHeight="1" x14ac:dyDescent="0.2">
      <c r="D553" s="17" t="s">
        <v>1751</v>
      </c>
    </row>
    <row r="554" spans="3:41" ht="20.100000000000001" customHeight="1" x14ac:dyDescent="0.2">
      <c r="D554" s="26" t="s">
        <v>1630</v>
      </c>
    </row>
    <row r="555" spans="3:41" ht="20.100000000000001" customHeight="1" x14ac:dyDescent="0.2">
      <c r="D555" s="103"/>
      <c r="E555" s="103"/>
    </row>
    <row r="559" spans="3:41" ht="20.100000000000001" customHeight="1" x14ac:dyDescent="0.2">
      <c r="D559" s="77" t="s">
        <v>373</v>
      </c>
      <c r="E559" s="1" t="s">
        <v>1746</v>
      </c>
    </row>
    <row r="560" spans="3:41" ht="20.100000000000001" customHeight="1" x14ac:dyDescent="0.2">
      <c r="D560" s="77" t="s">
        <v>121</v>
      </c>
      <c r="E560" s="1" t="s">
        <v>6</v>
      </c>
    </row>
    <row r="562" spans="3:41" ht="20.100000000000001" customHeight="1" x14ac:dyDescent="0.2">
      <c r="D562" s="105" t="s">
        <v>1622</v>
      </c>
      <c r="E562" s="106" t="s">
        <v>1623</v>
      </c>
      <c r="F562" s="108"/>
      <c r="G562" s="105" t="s">
        <v>760</v>
      </c>
      <c r="H562" s="255" t="s">
        <v>1219</v>
      </c>
      <c r="I562" s="260">
        <f>X_Cell_Electricity_Market_AmountPurchasedExcludingGreenPower</f>
        <v>0</v>
      </c>
    </row>
    <row r="563" spans="3:41" ht="20.100000000000001" customHeight="1" x14ac:dyDescent="0.2">
      <c r="D563" s="105" t="s">
        <v>1631</v>
      </c>
      <c r="E563" s="106" t="s">
        <v>1752</v>
      </c>
      <c r="F563" s="108"/>
      <c r="G563" s="105" t="s">
        <v>346</v>
      </c>
      <c r="H563" s="255" t="s">
        <v>1219</v>
      </c>
      <c r="I563" s="185">
        <f>X_Cell_Electricity_Market_RenewablePowerPercentage</f>
        <v>0</v>
      </c>
    </row>
    <row r="564" spans="3:41" ht="20.100000000000001" customHeight="1" x14ac:dyDescent="0.2">
      <c r="D564" s="105" t="s">
        <v>1633</v>
      </c>
      <c r="E564" s="106" t="s">
        <v>1753</v>
      </c>
      <c r="F564" s="108"/>
      <c r="G564" s="105" t="s">
        <v>346</v>
      </c>
      <c r="H564" s="255" t="s">
        <v>1219</v>
      </c>
      <c r="I564" s="185">
        <f>X_Cell_Electricity_Market_JurisdictionalRenewablePowerPercentage</f>
        <v>0</v>
      </c>
    </row>
    <row r="565" spans="3:41" ht="20.100000000000001" customHeight="1" x14ac:dyDescent="0.2">
      <c r="D565" s="105" t="s">
        <v>1635</v>
      </c>
      <c r="E565" s="106" t="s">
        <v>1754</v>
      </c>
      <c r="F565" s="108"/>
      <c r="G565" s="105" t="s">
        <v>775</v>
      </c>
      <c r="H565" s="255" t="s">
        <v>1219</v>
      </c>
      <c r="I565" s="105">
        <f>(X_Cell_Electricity_Market_AmountPurchasedGreenPower*10^-3)+X_Cell_TotalElegibleVoluntarilySurrenderedRECs</f>
        <v>0</v>
      </c>
    </row>
    <row r="566" spans="3:41" ht="20.100000000000001" customHeight="1" x14ac:dyDescent="0.2">
      <c r="D566" s="105" t="s">
        <v>1637</v>
      </c>
      <c r="E566" s="106" t="s">
        <v>1755</v>
      </c>
      <c r="F566" s="108"/>
      <c r="G566" s="105" t="s">
        <v>775</v>
      </c>
      <c r="H566" s="255" t="s">
        <v>1219</v>
      </c>
      <c r="I566" s="105">
        <f>X_Cell_TotalElegibleRECsForElectricityProducedOnSite</f>
        <v>0</v>
      </c>
    </row>
    <row r="567" spans="3:41" ht="20.100000000000001" customHeight="1" x14ac:dyDescent="0.2">
      <c r="D567" s="105" t="s">
        <v>1756</v>
      </c>
      <c r="E567" s="106" t="s">
        <v>1757</v>
      </c>
      <c r="F567" s="108"/>
      <c r="G567" s="105" t="s">
        <v>1627</v>
      </c>
      <c r="H567" s="110" t="s">
        <v>1220</v>
      </c>
      <c r="I567" s="105" cm="1">
        <f t="array" ref="I567">Table_SourceData_ElectricityEFsMarketBased[Scope 3 EF (kg CO2-e/kWh)]</f>
        <v>0.1</v>
      </c>
    </row>
    <row r="568" spans="3:41" ht="20.100000000000001" customHeight="1" x14ac:dyDescent="0.2">
      <c r="D568" s="105" t="s">
        <v>1267</v>
      </c>
      <c r="E568" s="106" t="s">
        <v>1268</v>
      </c>
      <c r="F568" s="108"/>
      <c r="G568" s="105"/>
      <c r="H568" s="255" t="s">
        <v>1219</v>
      </c>
      <c r="I568" s="105">
        <f>X_Cell_Site_State</f>
        <v>0</v>
      </c>
    </row>
    <row r="570" spans="3:41" ht="20.100000000000001" customHeight="1" x14ac:dyDescent="0.2">
      <c r="D570" s="259" t="s">
        <v>1175</v>
      </c>
      <c r="E570" s="91">
        <f>(((I562 * (1 - (I563 + I564))) - ((I565 - I566) * 10 ^ 3)) * I567 * 10 ^ -3)</f>
        <v>0</v>
      </c>
      <c r="F570" s="95" t="str">
        <f>$E$170</f>
        <v>t CO2e</v>
      </c>
    </row>
    <row r="573" spans="3:41" ht="20.100000000000001" customHeight="1" x14ac:dyDescent="0.2">
      <c r="C573" s="87"/>
      <c r="D573" s="87"/>
      <c r="E573" s="87"/>
      <c r="F573" s="87"/>
      <c r="G573" s="87"/>
      <c r="H573" s="87"/>
      <c r="I573" s="87"/>
      <c r="J573" s="87"/>
      <c r="K573" s="87"/>
      <c r="L573" s="87"/>
      <c r="M573" s="87"/>
      <c r="N573" s="87"/>
      <c r="O573" s="87"/>
      <c r="P573" s="87"/>
      <c r="Q573" s="87"/>
      <c r="R573" s="87"/>
      <c r="S573" s="87"/>
      <c r="T573" s="87"/>
      <c r="U573" s="87"/>
      <c r="V573" s="87"/>
      <c r="W573" s="87"/>
      <c r="X573" s="87"/>
      <c r="Y573" s="87"/>
      <c r="Z573" s="87"/>
      <c r="AA573" s="87"/>
      <c r="AB573" s="87"/>
      <c r="AC573" s="87"/>
      <c r="AD573" s="87"/>
      <c r="AE573" s="87"/>
      <c r="AF573" s="87"/>
      <c r="AG573" s="87"/>
      <c r="AH573" s="87"/>
      <c r="AI573" s="87"/>
      <c r="AJ573" s="87"/>
      <c r="AK573" s="87"/>
      <c r="AL573" s="87"/>
      <c r="AM573" s="87"/>
      <c r="AN573" s="87"/>
      <c r="AO573" s="87"/>
    </row>
    <row r="574" spans="3:41" ht="20.100000000000001" customHeight="1" x14ac:dyDescent="0.2">
      <c r="D574" s="2" t="s">
        <v>1758</v>
      </c>
    </row>
    <row r="575" spans="3:41" ht="20.100000000000001" customHeight="1" x14ac:dyDescent="0.2">
      <c r="D575" s="17" t="s">
        <v>1759</v>
      </c>
    </row>
    <row r="576" spans="3:41" ht="20.100000000000001" customHeight="1" x14ac:dyDescent="0.2">
      <c r="D576" s="103"/>
      <c r="E576" s="103"/>
    </row>
    <row r="579" spans="4:18" ht="20.100000000000001" customHeight="1" x14ac:dyDescent="0.2">
      <c r="D579" s="77" t="s">
        <v>373</v>
      </c>
      <c r="E579" s="1" t="s">
        <v>1174</v>
      </c>
    </row>
    <row r="580" spans="4:18" ht="20.100000000000001" customHeight="1" x14ac:dyDescent="0.2">
      <c r="D580" s="77" t="s">
        <v>121</v>
      </c>
      <c r="E580" s="9" t="s">
        <v>12</v>
      </c>
    </row>
    <row r="582" spans="4:18" ht="20.100000000000001" customHeight="1" x14ac:dyDescent="0.2">
      <c r="D582" s="25" t="s">
        <v>136</v>
      </c>
      <c r="L582" s="25" t="s">
        <v>137</v>
      </c>
    </row>
    <row r="584" spans="4:18" ht="20.100000000000001" customHeight="1" x14ac:dyDescent="0.2">
      <c r="D584" s="105" t="s">
        <v>956</v>
      </c>
      <c r="E584" s="106" t="s">
        <v>1760</v>
      </c>
      <c r="F584" s="107"/>
      <c r="G584" s="108"/>
      <c r="H584" s="105" t="s">
        <v>12</v>
      </c>
      <c r="I584" s="110" t="s">
        <v>1426</v>
      </c>
      <c r="J584" s="105">
        <f>VEERG_5_2_1_1__1_OrganicFertiliserApplicationN2OEmissions_Result_Method1</f>
        <v>0</v>
      </c>
      <c r="L584" s="105" t="s">
        <v>956</v>
      </c>
      <c r="M584" s="106" t="s">
        <v>1760</v>
      </c>
      <c r="N584" s="107"/>
      <c r="O584" s="108"/>
      <c r="P584" s="105" t="s">
        <v>12</v>
      </c>
      <c r="Q584" s="110" t="s">
        <v>1426</v>
      </c>
      <c r="R584" s="105">
        <f>VEERG_5_2_1_1__1_OrganicFertiliserApplicationN2OEmissions_Result_Method2</f>
        <v>0</v>
      </c>
    </row>
    <row r="585" spans="4:18" ht="20.100000000000001" customHeight="1" x14ac:dyDescent="0.2">
      <c r="D585" s="105" t="s">
        <v>1761</v>
      </c>
      <c r="E585" s="106" t="s">
        <v>1762</v>
      </c>
      <c r="F585" s="107"/>
      <c r="G585" s="108"/>
      <c r="H585" s="105" t="s">
        <v>12</v>
      </c>
      <c r="I585" s="110" t="s">
        <v>1426</v>
      </c>
      <c r="J585" s="105" t="e">
        <f>VEERG_5_4_1_3__1_OrganicFertiliserAtmosphericDepositionN2OEmissions_Result_Method1</f>
        <v>#N/A</v>
      </c>
      <c r="L585" s="105" t="s">
        <v>1761</v>
      </c>
      <c r="M585" s="106" t="s">
        <v>1762</v>
      </c>
      <c r="N585" s="107"/>
      <c r="O585" s="108"/>
      <c r="P585" s="105" t="s">
        <v>12</v>
      </c>
      <c r="Q585" s="110" t="s">
        <v>1426</v>
      </c>
      <c r="R585" s="105" t="e">
        <f>VEERG_5_4_1_3__1_OrganicFertiliserAtmosphericDepositionN2OEmissions_Result_Method2</f>
        <v>#N/A</v>
      </c>
    </row>
    <row r="586" spans="4:18" ht="20.100000000000001" customHeight="1" x14ac:dyDescent="0.2">
      <c r="D586" s="105" t="s">
        <v>1763</v>
      </c>
      <c r="E586" s="106" t="s">
        <v>1764</v>
      </c>
      <c r="F586" s="107"/>
      <c r="G586" s="108"/>
      <c r="H586" s="105" t="s">
        <v>12</v>
      </c>
      <c r="I586" s="110" t="s">
        <v>1426</v>
      </c>
      <c r="J586" s="105">
        <f>VEERG_5_5_1_1__1_FertiliserLeachingAndRunoffN2OEmissions_Result_Method1</f>
        <v>0</v>
      </c>
      <c r="L586" s="105" t="s">
        <v>1763</v>
      </c>
      <c r="M586" s="106" t="s">
        <v>1764</v>
      </c>
      <c r="N586" s="107"/>
      <c r="O586" s="108"/>
      <c r="P586" s="105" t="s">
        <v>12</v>
      </c>
      <c r="Q586" s="110" t="s">
        <v>1426</v>
      </c>
      <c r="R586" s="105">
        <f>VEERG_5_5_1_1__1_FertiliserLeachingAndRunoffN2OEmissions_Result_Method2</f>
        <v>0</v>
      </c>
    </row>
    <row r="588" spans="4:18" ht="20.100000000000001" customHeight="1" x14ac:dyDescent="0.2">
      <c r="D588" s="259" t="s">
        <v>1175</v>
      </c>
      <c r="E588" s="91" t="e">
        <f>(J584 + J585 + J586)</f>
        <v>#N/A</v>
      </c>
      <c r="F588" s="95" t="str">
        <f>$E$580</f>
        <v>t N2O</v>
      </c>
      <c r="L588" s="259" t="s">
        <v>1175</v>
      </c>
      <c r="M588" s="91" t="e">
        <f>(R584 + R585 + R586)</f>
        <v>#N/A</v>
      </c>
      <c r="N588" s="95" t="str">
        <f>$E$580</f>
        <v>t N2O</v>
      </c>
    </row>
    <row r="590" spans="4:18" ht="20.100000000000001" customHeight="1" x14ac:dyDescent="0.2">
      <c r="D590" s="116" t="str" cm="1">
        <f t="array" ref="D590:E591">Common_Equations.Common_ConvertN2OToCO2e_Arguments()</f>
        <v>EN2O</v>
      </c>
      <c r="E590" s="117" t="str">
        <v>Nitrous oxide emissions (t N2O)</v>
      </c>
      <c r="F590" s="118"/>
      <c r="G590" s="15" t="e">
        <f>E588</f>
        <v>#N/A</v>
      </c>
      <c r="L590" s="116" t="str" cm="1">
        <f t="array" ref="L590:M591">Common_Equations.Common_ConvertN2OToCO2e_Arguments()</f>
        <v>EN2O</v>
      </c>
      <c r="M590" s="117" t="str">
        <v>Nitrous oxide emissions (t N2O)</v>
      </c>
      <c r="N590" s="118"/>
      <c r="O590" s="15" t="e">
        <f>M588</f>
        <v>#N/A</v>
      </c>
    </row>
    <row r="591" spans="4:18" ht="20.100000000000001" customHeight="1" x14ac:dyDescent="0.2">
      <c r="D591" s="116" t="str">
        <v>GWPN2O</v>
      </c>
      <c r="E591" s="117" t="str">
        <v>Global warming potential for nitrous oxide (t CO2-e / t N2O)</v>
      </c>
      <c r="F591" s="118"/>
      <c r="G591" s="15">
        <f>Common_InputFunctions.Utility_LookupValueInTableNumber("N2O",Table_GWPData[Gas],Table_GWPData[CO2-e factor])</f>
        <v>265</v>
      </c>
      <c r="L591" s="116" t="str">
        <v>GWPN2O</v>
      </c>
      <c r="M591" s="117" t="str">
        <v>Global warming potential for nitrous oxide (t CO2-e / t N2O)</v>
      </c>
      <c r="N591" s="118"/>
      <c r="O591" s="15">
        <f>Common_InputFunctions.Utility_LookupValueInTableNumber("N2O",Table_GWPData[Gas],Table_GWPData[CO2-e factor])</f>
        <v>265</v>
      </c>
    </row>
    <row r="593" spans="3:41" ht="20.100000000000001" customHeight="1" x14ac:dyDescent="0.2">
      <c r="D593" s="87" t="s">
        <v>435</v>
      </c>
      <c r="E593" s="87" t="e" cm="1">
        <f t="array" ref="E593">Common_Equations.Common_ConvertN2OToCO2e(G590,G591)</f>
        <v>#N/A</v>
      </c>
      <c r="F593" s="94" t="str" cm="1">
        <f t="array" ref="F593">Common_Equations.Common_ConvertN2OToCO2e_Unit()</f>
        <v>t CO2e</v>
      </c>
      <c r="L593" s="87" t="s">
        <v>435</v>
      </c>
      <c r="M593" s="87" t="e" cm="1">
        <f t="array" ref="M593">Common_Equations.Common_ConvertN2OToCO2e(O590,O591)</f>
        <v>#N/A</v>
      </c>
      <c r="N593" s="94" t="str" cm="1">
        <f t="array" ref="N593">Common_Equations.Common_ConvertN2OToCO2e_Unit()</f>
        <v>t CO2e</v>
      </c>
    </row>
    <row r="596" spans="3:41" ht="20.100000000000001" customHeight="1" x14ac:dyDescent="0.2">
      <c r="C596" s="87"/>
      <c r="D596" s="87"/>
      <c r="E596" s="87"/>
      <c r="F596" s="87"/>
      <c r="G596" s="87"/>
      <c r="H596" s="87"/>
      <c r="I596" s="87"/>
      <c r="J596" s="87"/>
      <c r="K596" s="87"/>
      <c r="L596" s="87"/>
      <c r="M596" s="87"/>
      <c r="N596" s="87"/>
      <c r="O596" s="87"/>
      <c r="P596" s="87"/>
      <c r="Q596" s="87"/>
      <c r="R596" s="87"/>
      <c r="S596" s="87"/>
      <c r="T596" s="87"/>
      <c r="U596" s="87"/>
      <c r="V596" s="87"/>
      <c r="W596" s="87"/>
      <c r="X596" s="87"/>
      <c r="Y596" s="87"/>
      <c r="Z596" s="87"/>
      <c r="AA596" s="87"/>
      <c r="AB596" s="87"/>
      <c r="AC596" s="87"/>
      <c r="AD596" s="87"/>
      <c r="AE596" s="87"/>
      <c r="AF596" s="87"/>
      <c r="AG596" s="87"/>
      <c r="AH596" s="87"/>
      <c r="AI596" s="87"/>
      <c r="AJ596" s="87"/>
      <c r="AK596" s="87"/>
      <c r="AL596" s="87"/>
      <c r="AM596" s="87"/>
      <c r="AN596" s="87"/>
      <c r="AO596" s="87"/>
    </row>
    <row r="597" spans="3:41" ht="20.100000000000001" customHeight="1" x14ac:dyDescent="0.2">
      <c r="D597" s="2" t="s">
        <v>1765</v>
      </c>
    </row>
    <row r="598" spans="3:41" ht="20.100000000000001" customHeight="1" x14ac:dyDescent="0.2">
      <c r="D598" s="17" t="s">
        <v>1766</v>
      </c>
    </row>
    <row r="600" spans="3:41" ht="20.100000000000001" customHeight="1" x14ac:dyDescent="0.2">
      <c r="D600" s="77" t="s">
        <v>373</v>
      </c>
      <c r="E600" s="1" t="s">
        <v>1174</v>
      </c>
    </row>
    <row r="601" spans="3:41" ht="20.100000000000001" customHeight="1" x14ac:dyDescent="0.2">
      <c r="D601" s="77" t="s">
        <v>121</v>
      </c>
      <c r="E601" s="9" t="s">
        <v>6</v>
      </c>
    </row>
    <row r="603" spans="3:41" ht="20.100000000000001" customHeight="1" x14ac:dyDescent="0.2">
      <c r="D603" s="259" t="s">
        <v>1175</v>
      </c>
      <c r="E603" s="91">
        <f>VEERG_10_1_1_1__1_EmissionsFromWasteManagement_Scope3_Result_Method1</f>
        <v>0</v>
      </c>
      <c r="F603" s="95" t="str">
        <f>E601</f>
        <v>t CO2e</v>
      </c>
    </row>
    <row r="606" spans="3:41" ht="20.100000000000001" customHeight="1" x14ac:dyDescent="0.2">
      <c r="C606" s="87"/>
      <c r="D606" s="87"/>
      <c r="E606" s="87"/>
      <c r="F606" s="87"/>
      <c r="G606" s="87"/>
      <c r="H606" s="87"/>
      <c r="I606" s="87"/>
      <c r="J606" s="87"/>
      <c r="K606" s="87"/>
      <c r="L606" s="87"/>
      <c r="M606" s="87"/>
      <c r="N606" s="87"/>
      <c r="O606" s="87"/>
      <c r="P606" s="87"/>
      <c r="Q606" s="87"/>
      <c r="R606" s="87"/>
      <c r="S606" s="87"/>
      <c r="T606" s="87"/>
      <c r="U606" s="87"/>
      <c r="V606" s="87"/>
      <c r="W606" s="87"/>
      <c r="X606" s="87"/>
      <c r="Y606" s="87"/>
      <c r="Z606" s="87"/>
      <c r="AA606" s="87"/>
      <c r="AB606" s="87"/>
      <c r="AC606" s="87"/>
      <c r="AD606" s="87"/>
      <c r="AE606" s="87"/>
      <c r="AF606" s="87"/>
      <c r="AG606" s="87"/>
      <c r="AH606" s="87"/>
      <c r="AI606" s="87"/>
      <c r="AJ606" s="87"/>
      <c r="AK606" s="87"/>
      <c r="AL606" s="87"/>
      <c r="AM606" s="87"/>
      <c r="AN606" s="87"/>
      <c r="AO606" s="87"/>
    </row>
    <row r="607" spans="3:41" ht="20.100000000000001" customHeight="1" x14ac:dyDescent="0.2">
      <c r="D607" s="2" t="s">
        <v>1767</v>
      </c>
    </row>
    <row r="608" spans="3:41" ht="20.100000000000001" customHeight="1" x14ac:dyDescent="0.2">
      <c r="D608" s="17" t="s">
        <v>1768</v>
      </c>
    </row>
    <row r="609" spans="4:13" ht="20.100000000000001" customHeight="1" x14ac:dyDescent="0.2">
      <c r="D609" s="103"/>
      <c r="E609" s="103"/>
    </row>
    <row r="613" spans="4:13" ht="20.100000000000001" customHeight="1" x14ac:dyDescent="0.2">
      <c r="D613" s="77" t="s">
        <v>373</v>
      </c>
      <c r="E613" s="1" t="s">
        <v>1174</v>
      </c>
    </row>
    <row r="614" spans="4:13" ht="20.100000000000001" customHeight="1" x14ac:dyDescent="0.2">
      <c r="D614" s="77" t="s">
        <v>121</v>
      </c>
      <c r="E614" s="9" t="s">
        <v>6</v>
      </c>
    </row>
    <row r="616" spans="4:13" ht="20.100000000000001" customHeight="1" x14ac:dyDescent="0.2">
      <c r="D616" s="105" t="s">
        <v>1769</v>
      </c>
      <c r="E616" s="106" t="s">
        <v>1770</v>
      </c>
      <c r="F616" s="108"/>
      <c r="G616" s="105" t="s">
        <v>1594</v>
      </c>
      <c r="H616" s="255" t="s">
        <v>1219</v>
      </c>
    </row>
    <row r="617" spans="4:13" ht="20.100000000000001" customHeight="1" x14ac:dyDescent="0.2">
      <c r="D617" s="105" t="s">
        <v>1771</v>
      </c>
      <c r="E617" s="106" t="s">
        <v>1772</v>
      </c>
      <c r="F617" s="108"/>
      <c r="G617" s="105" t="s">
        <v>1775</v>
      </c>
      <c r="H617" s="255" t="s">
        <v>1219</v>
      </c>
    </row>
    <row r="618" spans="4:13" ht="20.100000000000001" customHeight="1" x14ac:dyDescent="0.2">
      <c r="D618" s="105" t="s">
        <v>1672</v>
      </c>
      <c r="E618" s="106" t="s">
        <v>1773</v>
      </c>
      <c r="F618" s="108"/>
      <c r="G618" s="105" t="s">
        <v>1776</v>
      </c>
      <c r="H618" s="110" t="s">
        <v>1220</v>
      </c>
    </row>
    <row r="619" spans="4:13" ht="20.100000000000001" customHeight="1" x14ac:dyDescent="0.2">
      <c r="D619" s="105" t="s">
        <v>1390</v>
      </c>
      <c r="E619" s="106" t="s">
        <v>1774</v>
      </c>
      <c r="F619" s="108"/>
      <c r="G619" s="105"/>
      <c r="H619" s="255" t="s">
        <v>1219</v>
      </c>
    </row>
    <row r="621" spans="4:13" ht="20.100000000000001" customHeight="1" x14ac:dyDescent="0.2">
      <c r="D621" s="243" t="s">
        <v>1043</v>
      </c>
    </row>
    <row r="623" spans="4:13" ht="20.100000000000001" customHeight="1" x14ac:dyDescent="0.2">
      <c r="D623" s="82" t="s">
        <v>1176</v>
      </c>
      <c r="E623" s="82" t="s">
        <v>1177</v>
      </c>
      <c r="F623" s="82" t="s">
        <v>1178</v>
      </c>
      <c r="G623" s="114" t="s">
        <v>1179</v>
      </c>
      <c r="H623" s="114" t="s">
        <v>1068</v>
      </c>
      <c r="I623" s="82" t="s">
        <v>1117</v>
      </c>
      <c r="J623" s="114" t="s">
        <v>1071</v>
      </c>
      <c r="K623" s="82" t="s">
        <v>1072</v>
      </c>
      <c r="L623" s="82" t="s">
        <v>1073</v>
      </c>
      <c r="M623" s="82" t="s">
        <v>1074</v>
      </c>
    </row>
    <row r="624" spans="4:13" ht="20.100000000000001" customHeight="1" x14ac:dyDescent="0.2">
      <c r="D624" s="15" cm="1">
        <f t="array" ref="D624:D633">IFERROR(INDEX(Table_Input_FreightIncoming[Route name], _xlfn.SEQUENCE(10)), "")</f>
        <v>0</v>
      </c>
      <c r="E624" s="15" cm="1">
        <f t="array" ref="E624:E633">IFERROR(INDEX(Table_Input_FreightIncoming[Average weight of freight per trip (t)], _xlfn.SEQUENCE(10)), "")</f>
        <v>0</v>
      </c>
      <c r="F624" s="15" cm="1">
        <f t="array" ref="F624:F633">IFERROR(INDEX(Table_Input_FreightIncoming[Route distance (km)], _xlfn.SEQUENCE(10))*INDEX(Table_Input_FreightIncoming[Number of trips taken], _xlfn.SEQUENCE(10)), "")</f>
        <v>0</v>
      </c>
      <c r="G624" s="15" t="s">
        <v>1156</v>
      </c>
      <c r="H624" s="15" t="s">
        <v>1156</v>
      </c>
      <c r="I624" s="76">
        <v>10</v>
      </c>
      <c r="J624" s="15">
        <f>((E624 * F624) * I624)</f>
        <v>0</v>
      </c>
      <c r="K624" s="34"/>
      <c r="L624" s="13"/>
      <c r="M624" s="34"/>
    </row>
    <row r="625" spans="4:13" ht="20.100000000000001" customHeight="1" x14ac:dyDescent="0.2">
      <c r="D625" s="15">
        <v>0</v>
      </c>
      <c r="E625" s="15">
        <v>0</v>
      </c>
      <c r="F625" s="15">
        <v>0</v>
      </c>
      <c r="G625" s="15" t="s">
        <v>1156</v>
      </c>
      <c r="H625" s="15" t="s">
        <v>1156</v>
      </c>
      <c r="I625" s="76">
        <v>5</v>
      </c>
      <c r="J625" s="15">
        <f>((E625 * F625) * I625)</f>
        <v>0</v>
      </c>
      <c r="K625" s="34"/>
      <c r="L625" s="13"/>
      <c r="M625" s="34"/>
    </row>
    <row r="626" spans="4:13" ht="20.100000000000001" customHeight="1" x14ac:dyDescent="0.2">
      <c r="D626" s="15">
        <v>0</v>
      </c>
      <c r="E626" s="15">
        <v>0</v>
      </c>
      <c r="F626" s="15">
        <v>0</v>
      </c>
      <c r="G626" s="15" t="s">
        <v>1156</v>
      </c>
      <c r="H626" s="15" t="s">
        <v>1156</v>
      </c>
      <c r="I626" s="76"/>
      <c r="J626" s="15">
        <f>((E626 * F626) * I626)</f>
        <v>0</v>
      </c>
      <c r="K626" s="34"/>
      <c r="L626" s="13"/>
      <c r="M626" s="34"/>
    </row>
    <row r="627" spans="4:13" ht="20.100000000000001" customHeight="1" x14ac:dyDescent="0.2">
      <c r="D627" s="15">
        <v>0</v>
      </c>
      <c r="E627" s="15">
        <v>0</v>
      </c>
      <c r="F627" s="15">
        <v>0</v>
      </c>
      <c r="G627" s="15" t="s">
        <v>1156</v>
      </c>
      <c r="H627" s="15" t="s">
        <v>1156</v>
      </c>
      <c r="I627" s="76"/>
      <c r="J627" s="15">
        <f>((E627 * F627) * I627)</f>
        <v>0</v>
      </c>
      <c r="K627" s="34"/>
      <c r="L627" s="13"/>
      <c r="M627" s="34"/>
    </row>
    <row r="628" spans="4:13" ht="20.100000000000001" customHeight="1" x14ac:dyDescent="0.2">
      <c r="D628" s="15">
        <v>0</v>
      </c>
      <c r="E628" s="15">
        <v>0</v>
      </c>
      <c r="F628" s="15">
        <v>0</v>
      </c>
      <c r="G628" s="15" t="s">
        <v>1156</v>
      </c>
      <c r="H628" s="15" t="s">
        <v>1156</v>
      </c>
      <c r="I628" s="76"/>
      <c r="J628" s="15">
        <f>((E628 * F628) * I628)</f>
        <v>0</v>
      </c>
      <c r="K628" s="34"/>
      <c r="L628" s="13"/>
      <c r="M628" s="34"/>
    </row>
    <row r="629" spans="4:13" ht="20.100000000000001" customHeight="1" x14ac:dyDescent="0.2">
      <c r="D629" s="15">
        <v>0</v>
      </c>
      <c r="E629" s="15">
        <v>0</v>
      </c>
      <c r="F629" s="15">
        <v>0</v>
      </c>
      <c r="G629" s="15" t="s">
        <v>1156</v>
      </c>
      <c r="H629" s="15" t="s">
        <v>1156</v>
      </c>
      <c r="I629" s="76"/>
      <c r="J629" s="15">
        <f>((E629 * F629) * I629)</f>
        <v>0</v>
      </c>
      <c r="K629" s="34"/>
      <c r="L629" s="13"/>
      <c r="M629" s="34"/>
    </row>
    <row r="630" spans="4:13" ht="20.100000000000001" customHeight="1" x14ac:dyDescent="0.2">
      <c r="D630" s="15">
        <v>0</v>
      </c>
      <c r="E630" s="15">
        <v>0</v>
      </c>
      <c r="F630" s="15">
        <v>0</v>
      </c>
      <c r="G630" s="15" t="s">
        <v>1156</v>
      </c>
      <c r="H630" s="15" t="s">
        <v>1156</v>
      </c>
      <c r="I630" s="76"/>
      <c r="J630" s="15">
        <f>((E630 * F630) * I630)</f>
        <v>0</v>
      </c>
      <c r="K630" s="34"/>
      <c r="L630" s="13"/>
      <c r="M630" s="34"/>
    </row>
    <row r="631" spans="4:13" ht="20.100000000000001" customHeight="1" x14ac:dyDescent="0.2">
      <c r="D631" s="15">
        <v>0</v>
      </c>
      <c r="E631" s="15">
        <v>0</v>
      </c>
      <c r="F631" s="15">
        <v>0</v>
      </c>
      <c r="G631" s="15" t="s">
        <v>1156</v>
      </c>
      <c r="H631" s="15" t="s">
        <v>1156</v>
      </c>
      <c r="I631" s="76"/>
      <c r="J631" s="15">
        <f>((E631 * F631) * I631)</f>
        <v>0</v>
      </c>
      <c r="K631" s="34"/>
      <c r="L631" s="13"/>
      <c r="M631" s="34"/>
    </row>
    <row r="632" spans="4:13" ht="20.100000000000001" customHeight="1" x14ac:dyDescent="0.2">
      <c r="D632" s="15">
        <v>0</v>
      </c>
      <c r="E632" s="15">
        <v>0</v>
      </c>
      <c r="F632" s="15">
        <v>0</v>
      </c>
      <c r="G632" s="15" t="s">
        <v>1156</v>
      </c>
      <c r="H632" s="15" t="s">
        <v>1156</v>
      </c>
      <c r="I632" s="76"/>
      <c r="J632" s="15">
        <f>((E632 * F632) * I632)</f>
        <v>0</v>
      </c>
      <c r="K632" s="34"/>
      <c r="L632" s="13"/>
      <c r="M632" s="34"/>
    </row>
    <row r="633" spans="4:13" ht="20.100000000000001" customHeight="1" x14ac:dyDescent="0.2">
      <c r="D633" s="15">
        <v>0</v>
      </c>
      <c r="E633" s="15">
        <v>0</v>
      </c>
      <c r="F633" s="15">
        <v>0</v>
      </c>
      <c r="G633" s="15" t="s">
        <v>1156</v>
      </c>
      <c r="H633" s="15" t="s">
        <v>1156</v>
      </c>
      <c r="I633" s="76"/>
      <c r="J633" s="15">
        <f>((E633 * F633) * I633)</f>
        <v>0</v>
      </c>
      <c r="K633" s="34"/>
      <c r="L633" s="13"/>
      <c r="M633" s="34"/>
    </row>
    <row r="635" spans="4:13" ht="20.100000000000001" customHeight="1" x14ac:dyDescent="0.2">
      <c r="D635" s="93" t="s">
        <v>1180</v>
      </c>
      <c r="E635" s="87" t="s">
        <v>1156</v>
      </c>
      <c r="F635" s="94" t="str">
        <f>$E$105</f>
        <v>t CO2e</v>
      </c>
    </row>
    <row r="636" spans="4:13" ht="20.100000000000001" customHeight="1" x14ac:dyDescent="0.2">
      <c r="D636" s="93" t="s">
        <v>1181</v>
      </c>
      <c r="E636" s="87">
        <f>SUM(J624:J633)</f>
        <v>0</v>
      </c>
      <c r="F636" s="94" t="str">
        <f>$E$105</f>
        <v>t CO2e</v>
      </c>
    </row>
    <row r="639" spans="4:13" ht="20.100000000000001" customHeight="1" x14ac:dyDescent="0.2">
      <c r="D639" s="243" t="s">
        <v>1049</v>
      </c>
    </row>
    <row r="641" spans="4:13" ht="20.100000000000001" customHeight="1" x14ac:dyDescent="0.2">
      <c r="D641" s="82" t="s">
        <v>1176</v>
      </c>
      <c r="E641" s="82" t="s">
        <v>1177</v>
      </c>
      <c r="F641" s="82" t="s">
        <v>1178</v>
      </c>
      <c r="G641" s="114" t="s">
        <v>1179</v>
      </c>
      <c r="H641" s="114" t="s">
        <v>1068</v>
      </c>
      <c r="I641" s="82" t="s">
        <v>1117</v>
      </c>
      <c r="J641" s="114" t="s">
        <v>1071</v>
      </c>
      <c r="K641" s="82" t="s">
        <v>1072</v>
      </c>
      <c r="L641" s="82" t="s">
        <v>1073</v>
      </c>
      <c r="M641" s="82" t="s">
        <v>1074</v>
      </c>
    </row>
    <row r="642" spans="4:13" ht="20.100000000000001" customHeight="1" x14ac:dyDescent="0.2">
      <c r="D642" s="15" cm="1">
        <f t="array" ref="D642:D651">IFERROR(INDEX(Table_Input_FreightOutgoing[Route name], _xlfn.SEQUENCE(10)), "")</f>
        <v>0</v>
      </c>
      <c r="E642" s="15" cm="1">
        <f t="array" ref="E642:E651">IFERROR(INDEX(Table_Input_FreightOutgoing[Average weight of freight per trip (t)], _xlfn.SEQUENCE(10)), "")</f>
        <v>0</v>
      </c>
      <c r="F642" s="15" cm="1">
        <f t="array" ref="F642:F651">IFERROR(INDEX(Table_Input_FreightOutgoing[Route distance (km)], _xlfn.SEQUENCE(10))*INDEX(Table_Input_FreightOutgoing[Number of trips taken], _xlfn.SEQUENCE(10)), "")</f>
        <v>0</v>
      </c>
      <c r="G642" s="15" t="s">
        <v>1156</v>
      </c>
      <c r="H642" s="15" t="s">
        <v>1156</v>
      </c>
      <c r="I642" s="76">
        <v>6.4</v>
      </c>
      <c r="J642" s="15">
        <f>((E642 * F642) * I642)</f>
        <v>0</v>
      </c>
      <c r="K642" s="34"/>
      <c r="L642" s="13"/>
      <c r="M642" s="34"/>
    </row>
    <row r="643" spans="4:13" ht="20.100000000000001" customHeight="1" x14ac:dyDescent="0.2">
      <c r="D643" s="15">
        <v>0</v>
      </c>
      <c r="E643" s="15">
        <v>0</v>
      </c>
      <c r="F643" s="15">
        <v>0</v>
      </c>
      <c r="G643" s="15" t="s">
        <v>1156</v>
      </c>
      <c r="H643" s="15" t="s">
        <v>1156</v>
      </c>
      <c r="I643" s="76"/>
      <c r="J643" s="15">
        <f>((E643 * F643) * I643)</f>
        <v>0</v>
      </c>
      <c r="K643" s="34"/>
      <c r="L643" s="13"/>
      <c r="M643" s="34"/>
    </row>
    <row r="644" spans="4:13" ht="20.100000000000001" customHeight="1" x14ac:dyDescent="0.2">
      <c r="D644" s="15">
        <v>0</v>
      </c>
      <c r="E644" s="15">
        <v>0</v>
      </c>
      <c r="F644" s="15">
        <v>0</v>
      </c>
      <c r="G644" s="15" t="s">
        <v>1156</v>
      </c>
      <c r="H644" s="15" t="s">
        <v>1156</v>
      </c>
      <c r="I644" s="76"/>
      <c r="J644" s="15">
        <f>((E644 * F644) * I644)</f>
        <v>0</v>
      </c>
      <c r="K644" s="34"/>
      <c r="L644" s="13"/>
      <c r="M644" s="34"/>
    </row>
    <row r="645" spans="4:13" ht="20.100000000000001" customHeight="1" x14ac:dyDescent="0.2">
      <c r="D645" s="15">
        <v>0</v>
      </c>
      <c r="E645" s="15">
        <v>0</v>
      </c>
      <c r="F645" s="15">
        <v>0</v>
      </c>
      <c r="G645" s="15" t="s">
        <v>1156</v>
      </c>
      <c r="H645" s="15" t="s">
        <v>1156</v>
      </c>
      <c r="I645" s="76"/>
      <c r="J645" s="15">
        <f>((E645 * F645) * I645)</f>
        <v>0</v>
      </c>
      <c r="K645" s="34"/>
      <c r="L645" s="13"/>
      <c r="M645" s="34"/>
    </row>
    <row r="646" spans="4:13" ht="20.100000000000001" customHeight="1" x14ac:dyDescent="0.2">
      <c r="D646" s="15">
        <v>0</v>
      </c>
      <c r="E646" s="15">
        <v>0</v>
      </c>
      <c r="F646" s="15">
        <v>0</v>
      </c>
      <c r="G646" s="15" t="s">
        <v>1156</v>
      </c>
      <c r="H646" s="15" t="s">
        <v>1156</v>
      </c>
      <c r="I646" s="76"/>
      <c r="J646" s="15">
        <f>((E646 * F646) * I646)</f>
        <v>0</v>
      </c>
      <c r="K646" s="34"/>
      <c r="L646" s="13"/>
      <c r="M646" s="34"/>
    </row>
    <row r="647" spans="4:13" ht="20.100000000000001" customHeight="1" x14ac:dyDescent="0.2">
      <c r="D647" s="15">
        <v>0</v>
      </c>
      <c r="E647" s="15">
        <v>0</v>
      </c>
      <c r="F647" s="15">
        <v>0</v>
      </c>
      <c r="G647" s="15" t="s">
        <v>1156</v>
      </c>
      <c r="H647" s="15" t="s">
        <v>1156</v>
      </c>
      <c r="I647" s="76"/>
      <c r="J647" s="15">
        <f>((E647 * F647) * I647)</f>
        <v>0</v>
      </c>
      <c r="K647" s="34"/>
      <c r="L647" s="13"/>
      <c r="M647" s="34"/>
    </row>
    <row r="648" spans="4:13" ht="20.100000000000001" customHeight="1" x14ac:dyDescent="0.2">
      <c r="D648" s="15">
        <v>0</v>
      </c>
      <c r="E648" s="15">
        <v>0</v>
      </c>
      <c r="F648" s="15">
        <v>0</v>
      </c>
      <c r="G648" s="15" t="s">
        <v>1156</v>
      </c>
      <c r="H648" s="15" t="s">
        <v>1156</v>
      </c>
      <c r="I648" s="76"/>
      <c r="J648" s="15">
        <f>((E648 * F648) * I648)</f>
        <v>0</v>
      </c>
      <c r="K648" s="34"/>
      <c r="L648" s="13"/>
      <c r="M648" s="34"/>
    </row>
    <row r="649" spans="4:13" ht="20.100000000000001" customHeight="1" x14ac:dyDescent="0.2">
      <c r="D649" s="15">
        <v>0</v>
      </c>
      <c r="E649" s="15">
        <v>0</v>
      </c>
      <c r="F649" s="15">
        <v>0</v>
      </c>
      <c r="G649" s="15" t="s">
        <v>1156</v>
      </c>
      <c r="H649" s="15" t="s">
        <v>1156</v>
      </c>
      <c r="I649" s="76"/>
      <c r="J649" s="15">
        <f>((E649 * F649) * I649)</f>
        <v>0</v>
      </c>
      <c r="K649" s="34"/>
      <c r="L649" s="13"/>
      <c r="M649" s="34"/>
    </row>
    <row r="650" spans="4:13" ht="20.100000000000001" customHeight="1" x14ac:dyDescent="0.2">
      <c r="D650" s="15">
        <v>0</v>
      </c>
      <c r="E650" s="15">
        <v>0</v>
      </c>
      <c r="F650" s="15">
        <v>0</v>
      </c>
      <c r="G650" s="15" t="s">
        <v>1156</v>
      </c>
      <c r="H650" s="15" t="s">
        <v>1156</v>
      </c>
      <c r="I650" s="76"/>
      <c r="J650" s="15">
        <f>((E650 * F650) * I650)</f>
        <v>0</v>
      </c>
      <c r="K650" s="34"/>
      <c r="L650" s="13"/>
      <c r="M650" s="34"/>
    </row>
    <row r="651" spans="4:13" ht="20.100000000000001" customHeight="1" x14ac:dyDescent="0.2">
      <c r="D651" s="15">
        <v>0</v>
      </c>
      <c r="E651" s="15">
        <v>0</v>
      </c>
      <c r="F651" s="15">
        <v>0</v>
      </c>
      <c r="G651" s="15" t="s">
        <v>1156</v>
      </c>
      <c r="H651" s="15" t="s">
        <v>1156</v>
      </c>
      <c r="I651" s="76"/>
      <c r="J651" s="15">
        <f>((E651 * F651) * I651)</f>
        <v>0</v>
      </c>
      <c r="K651" s="34"/>
      <c r="L651" s="13"/>
      <c r="M651" s="34"/>
    </row>
    <row r="653" spans="4:13" ht="20.100000000000001" customHeight="1" x14ac:dyDescent="0.2">
      <c r="D653" s="93" t="s">
        <v>1182</v>
      </c>
      <c r="E653" s="87" t="s">
        <v>1156</v>
      </c>
      <c r="F653" s="94" t="str">
        <f>$E$105</f>
        <v>t CO2e</v>
      </c>
    </row>
    <row r="654" spans="4:13" ht="20.100000000000001" customHeight="1" x14ac:dyDescent="0.2">
      <c r="D654" s="93" t="s">
        <v>1183</v>
      </c>
      <c r="E654" s="87">
        <f>SUM(J642:J651)</f>
        <v>0</v>
      </c>
      <c r="F654" s="94" t="str">
        <f>$E$105</f>
        <v>t CO2e</v>
      </c>
    </row>
    <row r="656" spans="4:13" ht="20.100000000000001" customHeight="1" x14ac:dyDescent="0.2">
      <c r="D656" s="90" t="s">
        <v>1068</v>
      </c>
      <c r="E656" s="91" t="s">
        <v>1156</v>
      </c>
      <c r="F656" s="95" t="str">
        <f>$E$105</f>
        <v>t CO2e</v>
      </c>
    </row>
    <row r="657" spans="4:6" ht="20.100000000000001" customHeight="1" x14ac:dyDescent="0.2">
      <c r="D657" s="90" t="s">
        <v>1071</v>
      </c>
      <c r="E657" s="91">
        <f>VEERG_15_14_1_1__1_EmbeddedEmissionsFromUpstreamFreight_Incoming_Result_Method2+VEERG_15_14_1_1__1_EmbeddedEmissionsFromUpstreamFreight_Outgoing_Result_Method2</f>
        <v>0</v>
      </c>
      <c r="F657" s="95" t="str">
        <f>$E$105</f>
        <v>t CO2e</v>
      </c>
    </row>
  </sheetData>
  <dataValidations count="2">
    <dataValidation type="list" allowBlank="1" showInputMessage="1" showErrorMessage="1" sqref="J505:J514" xr:uid="{74CAD3EE-DE50-4366-AFAE-E106CED8BF04}">
      <formula1>"kg / amount unit, t / amount unit"</formula1>
    </dataValidation>
    <dataValidation type="list" allowBlank="1" showInputMessage="1" showErrorMessage="1" sqref="L42:L51 L61:L70 L79:L88 L445:L454 L463:L472 K120:K129 L382:L391 K137:K140 K177:K179 O23:O32 M236:M246 L320:L329 K288:K297 N351:N360 M505:M514 M252:M266 M414:M423 K481:K485 K494:K498 L624:L633 L642:L651" xr:uid="{0D899A8C-70D9-4C43-A73A-7F4D11D2E58E}">
      <formula1>INDIRECT("Table_SourceData_DataScores_Scope3[Data source]")</formula1>
    </dataValidation>
  </dataValidations>
  <pageMargins left="0.7" right="0.7" top="0.75" bottom="0.75" header="0.3" footer="0.3"/>
  <pageSetup paperSize="9" orientation="portrait" r:id="rId1"/>
  <drawing r:id="rId2"/>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00A5C5-526A-4C1B-B3F4-F291C04F0ADF}">
  <sheetPr>
    <tabColor theme="9" tint="-0.249977111117893"/>
  </sheetPr>
  <dimension ref="A1:U160"/>
  <sheetViews>
    <sheetView showGridLines="0" zoomScaleNormal="100" workbookViewId="0">
      <pane xSplit="1" topLeftCell="B1" activePane="topRight" state="frozen"/>
      <selection pane="topRight" activeCell="A59" sqref="A59"/>
    </sheetView>
  </sheetViews>
  <sheetFormatPr defaultRowHeight="20.100000000000001" customHeight="1" x14ac:dyDescent="0.2"/>
  <cols>
    <col min="1" max="1" width="36.7109375" style="239" customWidth="1"/>
    <col min="2" max="2" width="5.28515625" style="239" customWidth="1"/>
    <col min="3" max="3" width="5.28515625" style="1" customWidth="1"/>
    <col min="4" max="10" width="35" style="1" customWidth="1"/>
    <col min="11" max="11" width="5.28515625" style="1" customWidth="1"/>
    <col min="12" max="12" width="5.28515625" style="239" customWidth="1"/>
    <col min="13" max="13" width="5.28515625" style="1" customWidth="1"/>
    <col min="14" max="20" width="35" style="1" customWidth="1"/>
    <col min="21" max="21" width="5.28515625" style="1" customWidth="1"/>
    <col min="22" max="16384" width="9.140625" style="239"/>
  </cols>
  <sheetData>
    <row r="1" spans="1:21" ht="30" customHeight="1" x14ac:dyDescent="0.35">
      <c r="A1" s="10" t="e" vm="1">
        <v>#VALUE!</v>
      </c>
      <c r="C1" s="21" t="s">
        <v>1184</v>
      </c>
      <c r="D1" s="21"/>
      <c r="E1" s="21"/>
      <c r="F1" s="21"/>
      <c r="G1" s="21"/>
      <c r="H1" s="21"/>
      <c r="I1" s="21"/>
      <c r="J1" s="21"/>
      <c r="K1" s="21"/>
      <c r="M1" s="21"/>
      <c r="N1" s="21"/>
      <c r="O1" s="21"/>
      <c r="P1" s="21"/>
      <c r="Q1" s="21"/>
      <c r="R1" s="21"/>
      <c r="S1" s="21"/>
      <c r="T1" s="21"/>
      <c r="U1" s="21"/>
    </row>
    <row r="2" spans="1:21" ht="20.100000000000001" customHeight="1" x14ac:dyDescent="0.2">
      <c r="A2"/>
      <c r="C2" s="3"/>
      <c r="D2" s="3"/>
      <c r="E2" s="3"/>
      <c r="F2" s="3"/>
      <c r="G2" s="3"/>
      <c r="H2" s="3"/>
      <c r="I2" s="3"/>
      <c r="J2" s="3"/>
      <c r="K2" s="3"/>
      <c r="M2" s="3"/>
      <c r="N2" s="3"/>
      <c r="O2" s="3"/>
      <c r="P2" s="3"/>
      <c r="Q2" s="3"/>
      <c r="R2" s="3"/>
      <c r="S2" s="3"/>
      <c r="T2" s="3"/>
      <c r="U2" s="3"/>
    </row>
    <row r="3" spans="1:21" ht="20.100000000000001" customHeight="1" x14ac:dyDescent="0.2">
      <c r="A3" s="5" t="str">
        <f>HYPERLINK("#'Home'!A1", "Home")</f>
        <v>Home</v>
      </c>
      <c r="C3" s="23"/>
      <c r="D3" s="23" t="s">
        <v>136</v>
      </c>
      <c r="E3" s="23"/>
      <c r="F3" s="23"/>
      <c r="G3" s="23"/>
      <c r="H3" s="23"/>
      <c r="I3" s="23"/>
      <c r="J3" s="23"/>
      <c r="K3" s="23"/>
      <c r="M3" s="23"/>
      <c r="N3" s="23" t="s">
        <v>137</v>
      </c>
      <c r="O3" s="23"/>
      <c r="P3" s="23"/>
      <c r="Q3" s="23"/>
      <c r="R3" s="23"/>
      <c r="S3" s="23"/>
      <c r="T3" s="23"/>
      <c r="U3" s="23"/>
    </row>
    <row r="4" spans="1:21" ht="20.100000000000001" customHeight="1" x14ac:dyDescent="0.2">
      <c r="A4" s="5" t="str">
        <f>HYPERLINK("#'Results - Activity period'!A1", "Results - Activity period")</f>
        <v>Results - Activity period</v>
      </c>
    </row>
    <row r="5" spans="1:21" ht="20.100000000000001" customHeight="1" x14ac:dyDescent="0.2">
      <c r="A5" s="5" t="str">
        <f>HYPERLINK("#'Results - Product EI'!A1", "Results - Product Emissions Intensity")</f>
        <v>Results - Product Emissions Intensity</v>
      </c>
      <c r="D5" s="2" t="s">
        <v>1435</v>
      </c>
      <c r="N5" s="2" t="s">
        <v>1435</v>
      </c>
    </row>
    <row r="6" spans="1:21" ht="20.100000000000001" customHeight="1" x14ac:dyDescent="0.2">
      <c r="A6"/>
      <c r="D6" s="17" t="s">
        <v>1436</v>
      </c>
      <c r="N6" s="17" t="s">
        <v>1436</v>
      </c>
    </row>
    <row r="7" spans="1:21" ht="20.100000000000001" customHeight="1" x14ac:dyDescent="0.2">
      <c r="A7"/>
      <c r="D7" s="103"/>
      <c r="E7" s="103"/>
      <c r="N7" s="103"/>
      <c r="O7" s="103"/>
    </row>
    <row r="8" spans="1:21" ht="20.100000000000001" customHeight="1" x14ac:dyDescent="0.2">
      <c r="A8" s="7" t="s">
        <v>0</v>
      </c>
    </row>
    <row r="9" spans="1:21" ht="20.100000000000001" customHeight="1" x14ac:dyDescent="0.2">
      <c r="A9" s="5" t="str">
        <f>HYPERLINK("#'Input - Enterprise'!A1", "Enterprise")</f>
        <v>Enterprise</v>
      </c>
    </row>
    <row r="10" spans="1:21" ht="20.100000000000001" customHeight="1" x14ac:dyDescent="0.2">
      <c r="A10" s="5" t="str">
        <f>HYPERLINK("#'Input - Site'!A1", "Site")</f>
        <v>Site</v>
      </c>
      <c r="D10" s="77" t="s">
        <v>373</v>
      </c>
      <c r="E10" s="1" t="s">
        <v>956</v>
      </c>
      <c r="N10" s="77" t="s">
        <v>373</v>
      </c>
      <c r="O10" s="1" t="s">
        <v>956</v>
      </c>
    </row>
    <row r="11" spans="1:21" ht="20.100000000000001" customHeight="1" x14ac:dyDescent="0.2">
      <c r="A11" s="5" t="str">
        <f>HYPERLINK("#'Input - Pasture Beef'!A1", "Pasture Beef")</f>
        <v>Pasture Beef</v>
      </c>
      <c r="D11" s="77" t="s">
        <v>121</v>
      </c>
      <c r="E11" s="9" t="s">
        <v>12</v>
      </c>
      <c r="N11" s="77" t="s">
        <v>121</v>
      </c>
      <c r="O11" s="9" t="s">
        <v>12</v>
      </c>
    </row>
    <row r="12" spans="1:21" ht="20.100000000000001" customHeight="1" x14ac:dyDescent="0.2">
      <c r="A12" s="5" t="str">
        <f>HYPERLINK("#'Input - Livestock sales'!A1", "Livestock sales")</f>
        <v>Livestock sales</v>
      </c>
    </row>
    <row r="13" spans="1:21" ht="20.100000000000001" customHeight="1" x14ac:dyDescent="0.2">
      <c r="A13" s="5" t="str">
        <f>HYPERLINK("#'Input - Beef cattle purchases'!A1", "Beef cattle purchases")</f>
        <v>Beef cattle purchases</v>
      </c>
      <c r="D13" s="105" t="s">
        <v>1430</v>
      </c>
      <c r="E13" s="106" t="s">
        <v>1437</v>
      </c>
      <c r="F13" s="107"/>
      <c r="G13" s="108"/>
      <c r="H13" s="105" t="s">
        <v>1055</v>
      </c>
      <c r="I13" s="110" t="s">
        <v>1440</v>
      </c>
      <c r="J13" s="105">
        <f>X_Cell_ManureSentOffsite_MassNitrogenManure_Method1</f>
        <v>0</v>
      </c>
      <c r="N13" s="105" t="s">
        <v>1430</v>
      </c>
      <c r="O13" s="106" t="s">
        <v>1437</v>
      </c>
      <c r="P13" s="107"/>
      <c r="Q13" s="108"/>
      <c r="R13" s="105" t="s">
        <v>1055</v>
      </c>
      <c r="S13" s="110" t="s">
        <v>1440</v>
      </c>
      <c r="T13" s="105">
        <f>X_Cell_ManureSentOffsite_MassNitrogenManure_Method2</f>
        <v>0</v>
      </c>
    </row>
    <row r="14" spans="1:21" ht="20.100000000000001" customHeight="1" x14ac:dyDescent="0.2">
      <c r="A14" s="5" t="str">
        <f>HYPERLINK("#'Input - Pasture'!A1", "Pasture")</f>
        <v>Pasture</v>
      </c>
      <c r="D14" s="105" t="s">
        <v>1438</v>
      </c>
      <c r="E14" s="106" t="s">
        <v>1439</v>
      </c>
      <c r="F14" s="107"/>
      <c r="G14" s="108"/>
      <c r="H14" s="105" t="s">
        <v>1356</v>
      </c>
      <c r="I14" s="110" t="s">
        <v>1417</v>
      </c>
      <c r="J14" s="105">
        <f>Common_InputFunctions.Utility_LookupValueInTableNumber(J17, Table_SourceData_Common_EFOrganicFertCropResidues[Climate Zone],Table_SourceData_Common_EFOrganicFertCropResidues[EFNi &amp; EFN2Oi])</f>
        <v>0</v>
      </c>
      <c r="N14" s="105" t="s">
        <v>1438</v>
      </c>
      <c r="O14" s="106" t="s">
        <v>1439</v>
      </c>
      <c r="P14" s="107"/>
      <c r="Q14" s="108"/>
      <c r="R14" s="105" t="s">
        <v>1356</v>
      </c>
      <c r="S14" s="110" t="s">
        <v>1417</v>
      </c>
      <c r="T14" s="105"/>
    </row>
    <row r="15" spans="1:21" ht="20.100000000000001" customHeight="1" x14ac:dyDescent="0.2">
      <c r="A15" s="5" t="str">
        <f>HYPERLINK("#'Input - Fert Prod System'!A1", "Fert Prod System")</f>
        <v>Fert Prod System</v>
      </c>
      <c r="D15" s="105" t="s">
        <v>1348</v>
      </c>
      <c r="E15" s="106" t="s">
        <v>1396</v>
      </c>
      <c r="F15" s="107"/>
      <c r="G15" s="108"/>
      <c r="H15" s="105"/>
      <c r="I15" s="110" t="s">
        <v>1220</v>
      </c>
      <c r="J15" s="105">
        <f>Common_InputFunctions.Utility_LookupValueInTableNumber("N2O",Table_GasToMolecularConversionFactor[Gas],Table_GasToMolecularConversionFactor[Conversion factor combined])</f>
        <v>1.5714285714285714</v>
      </c>
      <c r="N15" s="105" t="s">
        <v>1348</v>
      </c>
      <c r="O15" s="106" t="s">
        <v>1396</v>
      </c>
      <c r="P15" s="107"/>
      <c r="Q15" s="108"/>
      <c r="R15" s="105"/>
      <c r="S15" s="110" t="s">
        <v>1220</v>
      </c>
      <c r="T15" s="105"/>
    </row>
    <row r="16" spans="1:21" ht="20.100000000000001" customHeight="1" x14ac:dyDescent="0.2">
      <c r="A16" s="5" t="str">
        <f>HYPERLINK("#'Input - Fertiliser'!A1", "Fertiliser")</f>
        <v>Fertiliser</v>
      </c>
      <c r="D16" s="105" t="s">
        <v>1350</v>
      </c>
      <c r="E16" s="106" t="s">
        <v>171</v>
      </c>
      <c r="F16" s="107"/>
      <c r="G16" s="108"/>
      <c r="H16" s="105"/>
      <c r="I16" s="255" t="s">
        <v>1219</v>
      </c>
      <c r="J16" s="105">
        <f>X_Cell_ManureSentOffsite_ManureProductionSystem</f>
        <v>0</v>
      </c>
      <c r="N16" s="105" t="s">
        <v>1350</v>
      </c>
      <c r="O16" s="106" t="s">
        <v>171</v>
      </c>
      <c r="P16" s="107"/>
      <c r="Q16" s="108"/>
      <c r="R16" s="105"/>
      <c r="S16" s="255" t="s">
        <v>1219</v>
      </c>
      <c r="T16" s="105"/>
    </row>
    <row r="17" spans="1:20" ht="20.100000000000001" customHeight="1" x14ac:dyDescent="0.2">
      <c r="A17" s="5" t="str">
        <f>HYPERLINK("#'Input - Fuel'!A1", "Fuel")</f>
        <v>Fuel</v>
      </c>
      <c r="D17" s="105" t="s">
        <v>1267</v>
      </c>
      <c r="E17" s="106" t="s">
        <v>118</v>
      </c>
      <c r="F17" s="107"/>
      <c r="G17" s="108"/>
      <c r="H17" s="105"/>
      <c r="I17" s="255" t="s">
        <v>1219</v>
      </c>
      <c r="J17" s="105" t="e">
        <f>X_Cell_Site_WetOrDryClimateZone</f>
        <v>#DIV/0!</v>
      </c>
      <c r="N17" s="105" t="s">
        <v>1267</v>
      </c>
      <c r="O17" s="106" t="s">
        <v>118</v>
      </c>
      <c r="P17" s="107"/>
      <c r="Q17" s="108"/>
      <c r="R17" s="105"/>
      <c r="S17" s="255" t="s">
        <v>1219</v>
      </c>
      <c r="T17" s="105"/>
    </row>
    <row r="18" spans="1:20" ht="20.100000000000001" customHeight="1" x14ac:dyDescent="0.2">
      <c r="A18" s="5" t="str">
        <f>HYPERLINK("#'Input - Electricity'!A1", "Electricity")</f>
        <v>Electricity</v>
      </c>
    </row>
    <row r="19" spans="1:20" ht="20.100000000000001" customHeight="1" x14ac:dyDescent="0.2">
      <c r="A19" s="5" t="str">
        <f>HYPERLINK("#'Input - Common farm inputs'!A1", "Common farm inputs")</f>
        <v>Common farm inputs</v>
      </c>
      <c r="D19" s="90" t="s">
        <v>659</v>
      </c>
      <c r="E19" s="91">
        <f>((J13 * J14 * J15) * 10 ^ -3)</f>
        <v>0</v>
      </c>
      <c r="F19" s="95" t="str">
        <f>$E$11</f>
        <v>t N2O</v>
      </c>
      <c r="N19" s="90" t="s">
        <v>659</v>
      </c>
      <c r="O19" s="91">
        <f>((T13 * J14 * J15) * 10 ^ -3)</f>
        <v>0</v>
      </c>
      <c r="P19" s="95" t="str">
        <f>$E$11</f>
        <v>t N2O</v>
      </c>
    </row>
    <row r="20" spans="1:20" ht="20.100000000000001" customHeight="1" x14ac:dyDescent="0.2">
      <c r="A20" s="5" t="str">
        <f>HYPERLINK("#'Input - Crop pasture farm input'!A1", "Crop pasture farm input")</f>
        <v>Crop pasture farm input</v>
      </c>
    </row>
    <row r="21" spans="1:20" ht="20.100000000000001" customHeight="1" x14ac:dyDescent="0.2">
      <c r="A21" s="5" t="str">
        <f>HYPERLINK("#'Input - Livestock farm Inputs'!A1", "Livestock farm Inputs")</f>
        <v>Livestock farm Inputs</v>
      </c>
    </row>
    <row r="22" spans="1:20" ht="20.100000000000001" customHeight="1" x14ac:dyDescent="0.2">
      <c r="A22" s="5" t="str">
        <f>HYPERLINK("#'Input - Freight'!A1", "Freight")</f>
        <v>Freight</v>
      </c>
    </row>
    <row r="23" spans="1:20" ht="20.100000000000001" customHeight="1" x14ac:dyDescent="0.2">
      <c r="A23" s="5" t="str">
        <f>HYPERLINK("#'Input - Solid waste'!A1", "Solid waste")</f>
        <v>Solid waste</v>
      </c>
    </row>
    <row r="24" spans="1:20" ht="20.100000000000001" customHeight="1" x14ac:dyDescent="0.2">
      <c r="A24" s="5" t="str">
        <f>HYPERLINK("#'Input - Manure sent off-site'!A1", "Manure sent off-site")</f>
        <v>Manure sent off-site</v>
      </c>
      <c r="D24" s="2" t="s">
        <v>1473</v>
      </c>
      <c r="N24" s="2" t="s">
        <v>1473</v>
      </c>
    </row>
    <row r="25" spans="1:20" ht="20.100000000000001" customHeight="1" x14ac:dyDescent="0.2">
      <c r="A25" s="5" t="str">
        <f>HYPERLINK("#'Input - Data quality'!A1", "Data quality")</f>
        <v>Data quality</v>
      </c>
      <c r="D25" s="17" t="s">
        <v>1474</v>
      </c>
      <c r="N25" s="17" t="s">
        <v>1474</v>
      </c>
    </row>
    <row r="26" spans="1:20" ht="20.100000000000001" customHeight="1" x14ac:dyDescent="0.2">
      <c r="A26"/>
      <c r="D26" s="103"/>
      <c r="E26" s="103"/>
      <c r="N26" s="103"/>
      <c r="O26" s="103"/>
    </row>
    <row r="27" spans="1:20" ht="20.100000000000001" customHeight="1" x14ac:dyDescent="0.2">
      <c r="A27"/>
    </row>
    <row r="28" spans="1:20" ht="20.100000000000001" customHeight="1" x14ac:dyDescent="0.2">
      <c r="A28" s="6" t="s">
        <v>2</v>
      </c>
    </row>
    <row r="29" spans="1:20" ht="20.100000000000001" customHeight="1" x14ac:dyDescent="0.2">
      <c r="A29" s="5" t="str">
        <f>HYPERLINK("#'3.2.1.1-2 Enteric Methane'!A1", "3.2.1.1-2 Enteric Methane")</f>
        <v>3.2.1.1-2 Enteric Methane</v>
      </c>
      <c r="D29" s="77" t="s">
        <v>373</v>
      </c>
      <c r="E29" s="1" t="s">
        <v>1475</v>
      </c>
      <c r="N29" s="77" t="s">
        <v>373</v>
      </c>
      <c r="O29" s="1" t="s">
        <v>1475</v>
      </c>
    </row>
    <row r="30" spans="1:20" ht="20.100000000000001" customHeight="1" x14ac:dyDescent="0.2">
      <c r="A30" s="5" t="str">
        <f>HYPERLINK("#'4.2.1.1-2 Methane'!A1", "4.2.1.1-2 Manure methane")</f>
        <v>4.2.1.1-2 Manure methane</v>
      </c>
      <c r="D30" s="77" t="s">
        <v>121</v>
      </c>
      <c r="E30" s="9" t="s">
        <v>1055</v>
      </c>
      <c r="N30" s="77" t="s">
        <v>121</v>
      </c>
      <c r="O30" s="9" t="s">
        <v>1055</v>
      </c>
    </row>
    <row r="31" spans="1:20" ht="20.100000000000001" customHeight="1" x14ac:dyDescent="0.2">
      <c r="A31" s="5" t="str">
        <f>HYPERLINK("#'4.2.1.3-4 Soil direct N20'!A1", "4.2.1.3-4 Soil direct N2O")</f>
        <v>4.2.1.3-4 Soil direct N2O</v>
      </c>
    </row>
    <row r="32" spans="1:20" ht="20.100000000000001" customHeight="1" x14ac:dyDescent="0.2">
      <c r="A32" s="5" t="str">
        <f>HYPERLINK("#'4.2.1.5-6 Soil Atmos Dep'!A1", "4.2.1.5-6 Soil atm. deposition")</f>
        <v>4.2.1.5-6 Soil atm. deposition</v>
      </c>
      <c r="D32" s="105" t="s">
        <v>1430</v>
      </c>
      <c r="E32" s="105" t="s">
        <v>1437</v>
      </c>
      <c r="F32" s="105"/>
      <c r="G32" s="105" t="s">
        <v>1055</v>
      </c>
      <c r="H32" s="110" t="s">
        <v>1440</v>
      </c>
      <c r="I32" s="105">
        <f>X_Cell_ManureSentOffsite_MassNitrogenManure_Method1</f>
        <v>0</v>
      </c>
      <c r="N32" s="105" t="s">
        <v>1430</v>
      </c>
      <c r="O32" s="105" t="s">
        <v>1437</v>
      </c>
      <c r="P32" s="105"/>
      <c r="Q32" s="105" t="s">
        <v>1055</v>
      </c>
      <c r="R32" s="110" t="s">
        <v>1440</v>
      </c>
      <c r="S32" s="105">
        <f>X_Cell_ManureSentOffsite_MassNitrogenManure_Method2</f>
        <v>0</v>
      </c>
    </row>
    <row r="33" spans="1:19" ht="20.100000000000001" customHeight="1" x14ac:dyDescent="0.2">
      <c r="A33" s="5" t="str">
        <f>HYPERLINK("#'4.2.1.7-8 Soil leach runoff'!A1", "4.2.1.7-8 Soil leach &amp; runoff")</f>
        <v>4.2.1.7-8 Soil leach &amp; runoff</v>
      </c>
      <c r="D33" s="105" t="s">
        <v>1476</v>
      </c>
      <c r="E33" s="105" t="s">
        <v>1477</v>
      </c>
      <c r="F33" s="105"/>
      <c r="G33" s="105" t="s">
        <v>1464</v>
      </c>
      <c r="H33" s="110" t="s">
        <v>1220</v>
      </c>
      <c r="I33" s="105">
        <f>Fertiliser_FracGASMSoil_Data</f>
        <v>0.21</v>
      </c>
      <c r="N33" s="105" t="s">
        <v>1476</v>
      </c>
      <c r="O33" s="105" t="s">
        <v>1477</v>
      </c>
      <c r="P33" s="105"/>
      <c r="Q33" s="105" t="s">
        <v>1464</v>
      </c>
      <c r="R33" s="110" t="s">
        <v>1220</v>
      </c>
      <c r="S33" s="105"/>
    </row>
    <row r="34" spans="1:19" ht="20.100000000000001" customHeight="1" x14ac:dyDescent="0.2">
      <c r="A34" s="5" t="str">
        <f>HYPERLINK("#'5.1.1.1-2 Inorganic fert N2O'!A1", "5.1.1.1-2 Inorganic fert N2O")</f>
        <v>5.1.1.1-2 Inorganic fert N2O</v>
      </c>
    </row>
    <row r="35" spans="1:19" ht="20.100000000000001" customHeight="1" x14ac:dyDescent="0.2">
      <c r="A35" s="5" t="str">
        <f>HYPERLINK("#'5.1.1.3-4 Inorganic fert CO2'!A1", "5.1.1.3-4 Inorganic fert CO2")</f>
        <v>5.1.1.3-4 Inorganic fert CO2</v>
      </c>
      <c r="D35" s="93" t="s">
        <v>1185</v>
      </c>
      <c r="E35" s="87">
        <f>(I32 * I33)</f>
        <v>0</v>
      </c>
      <c r="F35" s="94" t="str">
        <f>E30</f>
        <v>kg N</v>
      </c>
      <c r="N35" s="93" t="s">
        <v>1185</v>
      </c>
      <c r="O35" s="87">
        <f>(S32 * I33)</f>
        <v>0</v>
      </c>
      <c r="P35" s="94" t="str">
        <f>O30</f>
        <v>kg N</v>
      </c>
    </row>
    <row r="36" spans="1:19" ht="20.100000000000001" customHeight="1" x14ac:dyDescent="0.2">
      <c r="A36" s="5" t="str">
        <f>HYPERLINK("#'5.2.1.1-2 Organic Fert N2O'!A1", "5.2.1.1-2 Organic fert N2O")</f>
        <v>5.2.1.1-2 Organic fert N2O</v>
      </c>
    </row>
    <row r="37" spans="1:19" ht="20.100000000000001" customHeight="1" x14ac:dyDescent="0.2">
      <c r="A37" s="5" t="str">
        <f>HYPERLINK("#'5.3.1.1-2 Lime CO2'!A1", "5.3.1.1-2 Lime CO2")</f>
        <v>5.3.1.1-2 Lime CO2</v>
      </c>
    </row>
    <row r="38" spans="1:19" ht="20.100000000000001" customHeight="1" x14ac:dyDescent="0.2">
      <c r="A38" s="5" t="str">
        <f>HYPERLINK("#'5.4.1.1-4 Atmos deposition'!A1", "5.4.1.1-4 Atmos. deposition")</f>
        <v>5.4.1.1-4 Atmos. deposition</v>
      </c>
    </row>
    <row r="39" spans="1:19" ht="20.100000000000001" customHeight="1" x14ac:dyDescent="0.2">
      <c r="A39" s="5" t="str">
        <f>HYPERLINK("#'5.5.1.1-2 Leaching and runoff'!A1", "5.5.1.1-2 Leaching &amp; runoff")</f>
        <v>5.5.1.1-2 Leaching &amp; runoff</v>
      </c>
    </row>
    <row r="40" spans="1:19" ht="20.100000000000001" customHeight="1" x14ac:dyDescent="0.2">
      <c r="A40" s="5" t="str">
        <f>HYPERLINK("#'6.2.1.1-2 Pasture residue N2O'!A1", "6.2.1.1-2 Pasture residue N2O")</f>
        <v>6.2.1.1-2 Pasture residue N2O</v>
      </c>
      <c r="D40" s="2" t="s">
        <v>1478</v>
      </c>
      <c r="N40" s="2" t="s">
        <v>1478</v>
      </c>
    </row>
    <row r="41" spans="1:19" ht="20.100000000000001" customHeight="1" x14ac:dyDescent="0.2">
      <c r="A41" s="5" t="str">
        <f>HYPERLINK("#'6.3.1.1-2 Leach runoff pasture'!A1", "6.3.1.1-2 Leach &amp; runoff (pasture)")</f>
        <v>6.3.1.1-2 Leach &amp; runoff (pasture)</v>
      </c>
      <c r="D41" s="17" t="s">
        <v>1479</v>
      </c>
      <c r="N41" s="17" t="s">
        <v>1479</v>
      </c>
    </row>
    <row r="42" spans="1:19" ht="20.100000000000001" customHeight="1" x14ac:dyDescent="0.2">
      <c r="A42" s="5" t="str">
        <f>HYPERLINK("#'8.1.1.1-2 Transport fuel'!A1", "8.1.1.1-2 Transport fuel")</f>
        <v>8.1.1.1-2 Transport fuel</v>
      </c>
      <c r="D42" s="103"/>
      <c r="E42" s="103"/>
      <c r="N42" s="103"/>
      <c r="O42" s="103"/>
    </row>
    <row r="43" spans="1:19" ht="20.100000000000001" customHeight="1" x14ac:dyDescent="0.2">
      <c r="A43" s="5" t="str">
        <f>HYPERLINK("#'8.2.1.1-2 Stationary fuel'!A1", "8.2.1.1-2 Stationary fuel")</f>
        <v>8.2.1.1-2 Stationary fuel</v>
      </c>
    </row>
    <row r="44" spans="1:19" ht="20.100000000000001" customHeight="1" x14ac:dyDescent="0.2">
      <c r="A44" s="5" t="str">
        <f>HYPERLINK("#'10.1.1-2 Solid waste treatment'!A1", "10.1.1.1-2 Solid waste")</f>
        <v>10.1.1.1-2 Solid waste</v>
      </c>
    </row>
    <row r="45" spans="1:19" ht="20.100000000000001" customHeight="1" x14ac:dyDescent="0.2">
      <c r="A45" s="5" t="str">
        <f>HYPERLINK("#'14.1.1-2 Purchased electricity'!A1", "14.1.1-2 Purchased electricity")</f>
        <v>14.1.1-2 Purchased electricity</v>
      </c>
      <c r="D45" s="77" t="s">
        <v>373</v>
      </c>
      <c r="E45" s="1" t="s">
        <v>1480</v>
      </c>
      <c r="N45" s="77" t="s">
        <v>373</v>
      </c>
      <c r="O45" s="1" t="s">
        <v>1480</v>
      </c>
    </row>
    <row r="46" spans="1:19" ht="20.100000000000001" customHeight="1" x14ac:dyDescent="0.2">
      <c r="A46" s="5" t="str">
        <f>HYPERLINK("#'15 Scope 3'!A1", "15 Scope 3")</f>
        <v>15 Scope 3</v>
      </c>
      <c r="D46" s="77" t="s">
        <v>121</v>
      </c>
      <c r="E46" s="9" t="s">
        <v>12</v>
      </c>
      <c r="N46" s="77" t="s">
        <v>121</v>
      </c>
      <c r="O46" s="9" t="s">
        <v>12</v>
      </c>
    </row>
    <row r="47" spans="1:19" ht="20.100000000000001" customHeight="1" x14ac:dyDescent="0.2">
      <c r="A47" s="104" t="str">
        <f>HYPERLINK("#'Calcs - Manure sent off-site'!A1", "Calcs - Manure sent off-site")</f>
        <v>Calcs - Manure sent off-site</v>
      </c>
    </row>
    <row r="48" spans="1:19" ht="20.100000000000001" customHeight="1" x14ac:dyDescent="0.2">
      <c r="A48"/>
      <c r="D48" s="105" t="s">
        <v>1475</v>
      </c>
      <c r="E48" s="106" t="s">
        <v>1481</v>
      </c>
      <c r="F48" s="108"/>
      <c r="G48" s="105" t="s">
        <v>1055</v>
      </c>
      <c r="H48" s="110" t="s">
        <v>1483</v>
      </c>
      <c r="I48" s="105">
        <f>E35</f>
        <v>0</v>
      </c>
      <c r="N48" s="105" t="s">
        <v>1475</v>
      </c>
      <c r="O48" s="106" t="s">
        <v>1481</v>
      </c>
      <c r="P48" s="108"/>
      <c r="Q48" s="105" t="s">
        <v>1055</v>
      </c>
      <c r="R48" s="110" t="s">
        <v>1483</v>
      </c>
      <c r="S48" s="105">
        <f>O35</f>
        <v>0</v>
      </c>
    </row>
    <row r="49" spans="1:19" ht="20.100000000000001" customHeight="1" x14ac:dyDescent="0.2">
      <c r="A49"/>
      <c r="D49" s="105" t="s">
        <v>1469</v>
      </c>
      <c r="E49" s="106" t="s">
        <v>1482</v>
      </c>
      <c r="F49" s="108"/>
      <c r="G49" s="105" t="s">
        <v>1356</v>
      </c>
      <c r="H49" s="110" t="s">
        <v>1220</v>
      </c>
      <c r="I49" s="105" t="e">
        <f>Common_InputFunctions.Utility_LookupN2OEFFromProdIrrigationRainfall(I51,I52,I53,Table_SourceData_Common_EFN2O[Production system only],Table_SourceData_Common_EFN2O[Irrigation method],Table_SourceData_Common_EFN2O[Rainfall zone],Table_SourceData_Common_EFN2O[EFN2O])</f>
        <v>#N/A</v>
      </c>
      <c r="N49" s="105" t="s">
        <v>1469</v>
      </c>
      <c r="O49" s="106" t="s">
        <v>1482</v>
      </c>
      <c r="P49" s="108"/>
      <c r="Q49" s="105" t="s">
        <v>1356</v>
      </c>
      <c r="R49" s="110" t="s">
        <v>1220</v>
      </c>
      <c r="S49" s="105"/>
    </row>
    <row r="50" spans="1:19" ht="20.100000000000001" customHeight="1" x14ac:dyDescent="0.2">
      <c r="A50" s="85" t="s">
        <v>1</v>
      </c>
      <c r="D50" s="105" t="s">
        <v>1348</v>
      </c>
      <c r="E50" s="106" t="s">
        <v>1396</v>
      </c>
      <c r="F50" s="108"/>
      <c r="G50" s="105"/>
      <c r="H50" s="110" t="s">
        <v>1220</v>
      </c>
      <c r="I50" s="116">
        <f>Common_InputFunctions.Utility_LookupValueInTableNumber("N2O",Table_GasToMolecularConversionFactor[Gas],Table_GasToMolecularConversionFactor[Conversion factor combined])</f>
        <v>1.5714285714285714</v>
      </c>
      <c r="N50" s="105" t="s">
        <v>1348</v>
      </c>
      <c r="O50" s="106" t="s">
        <v>1396</v>
      </c>
      <c r="P50" s="108"/>
      <c r="Q50" s="105"/>
      <c r="R50" s="110" t="s">
        <v>1220</v>
      </c>
      <c r="S50" s="116"/>
    </row>
    <row r="51" spans="1:19" ht="20.100000000000001" customHeight="1" x14ac:dyDescent="0.2">
      <c r="A51" s="5" t="str">
        <f>HYPERLINK("#'Constants - Pasture Beef'!A1", "Constants - Pasture Beef")</f>
        <v>Constants - Pasture Beef</v>
      </c>
      <c r="D51" s="105" t="s">
        <v>1350</v>
      </c>
      <c r="E51" s="106" t="s">
        <v>171</v>
      </c>
      <c r="F51" s="108"/>
      <c r="G51" s="105"/>
      <c r="H51" s="255" t="s">
        <v>1219</v>
      </c>
      <c r="I51" s="105">
        <f>X_Cell_ManureSentOffsite_ManureProductionSystem</f>
        <v>0</v>
      </c>
      <c r="N51" s="105" t="s">
        <v>1350</v>
      </c>
      <c r="O51" s="106" t="s">
        <v>171</v>
      </c>
      <c r="P51" s="108"/>
      <c r="Q51" s="105"/>
      <c r="R51" s="255" t="s">
        <v>1219</v>
      </c>
      <c r="S51" s="105"/>
    </row>
    <row r="52" spans="1:19" ht="20.100000000000001" customHeight="1" x14ac:dyDescent="0.2">
      <c r="A52" s="5" t="str">
        <f>HYPERLINK("#'Constants - Ag Residue'!A1", "Constants - Ag residue")</f>
        <v>Constants - Ag residue</v>
      </c>
      <c r="D52" s="105" t="s">
        <v>1366</v>
      </c>
      <c r="E52" s="106" t="s">
        <v>1352</v>
      </c>
      <c r="F52" s="108"/>
      <c r="G52" s="105"/>
      <c r="H52" s="255" t="s">
        <v>1219</v>
      </c>
      <c r="I52" s="105">
        <f>X_Cell_ManureSentOffsite_ManureIrrigationMethod</f>
        <v>0</v>
      </c>
      <c r="N52" s="105" t="s">
        <v>1366</v>
      </c>
      <c r="O52" s="106" t="s">
        <v>1352</v>
      </c>
      <c r="P52" s="108"/>
      <c r="Q52" s="105"/>
      <c r="R52" s="255" t="s">
        <v>1219</v>
      </c>
      <c r="S52" s="105"/>
    </row>
    <row r="53" spans="1:19" ht="20.100000000000001" customHeight="1" x14ac:dyDescent="0.2">
      <c r="A53" s="5" t="str">
        <f>HYPERLINK("#'Constants - Common Livestock'!A1", "Constants - Common Livestock")</f>
        <v>Constants - Common Livestock</v>
      </c>
      <c r="D53" s="105" t="s">
        <v>1353</v>
      </c>
      <c r="E53" s="106" t="s">
        <v>1471</v>
      </c>
      <c r="F53" s="108"/>
      <c r="G53" s="105"/>
      <c r="H53" s="255" t="s">
        <v>1219</v>
      </c>
      <c r="I53" s="105" t="str">
        <f>X_Cell_Site_RainfallZone</f>
        <v>Low rainfall</v>
      </c>
      <c r="N53" s="105" t="s">
        <v>1353</v>
      </c>
      <c r="O53" s="106" t="s">
        <v>1471</v>
      </c>
      <c r="P53" s="108"/>
      <c r="Q53" s="105"/>
      <c r="R53" s="255" t="s">
        <v>1219</v>
      </c>
      <c r="S53" s="105"/>
    </row>
    <row r="54" spans="1:19" ht="20.100000000000001" customHeight="1" x14ac:dyDescent="0.2">
      <c r="A54" s="5" t="str">
        <f>HYPERLINK("#'Constants - Electricity'!A1", "Constants - Electricity")</f>
        <v>Constants - Electricity</v>
      </c>
    </row>
    <row r="55" spans="1:19" ht="20.100000000000001" customHeight="1" x14ac:dyDescent="0.2">
      <c r="A55" s="5" t="str">
        <f>HYPERLINK("#'Constants - Fertiliser'!A1", "Constants - Fertiliser")</f>
        <v>Constants - Fertiliser</v>
      </c>
      <c r="D55" s="90" t="s">
        <v>705</v>
      </c>
      <c r="E55" s="91" t="e">
        <f>((I48 * I49) * I50 * 10 ^ -3)</f>
        <v>#N/A</v>
      </c>
      <c r="F55" s="95" t="str">
        <f>$E$46</f>
        <v>t N2O</v>
      </c>
      <c r="N55" s="90" t="s">
        <v>705</v>
      </c>
      <c r="O55" s="91" t="e">
        <f>((S48 * I49) * I50 * 10 ^ -3)</f>
        <v>#N/A</v>
      </c>
      <c r="P55" s="95" t="str">
        <f>$E$46</f>
        <v>t N2O</v>
      </c>
    </row>
    <row r="56" spans="1:19" ht="20.100000000000001" customHeight="1" x14ac:dyDescent="0.2">
      <c r="A56" s="5" t="str">
        <f>HYPERLINK("#'Constants - Fuel'!A1", "Constants - Fuel")</f>
        <v>Constants - Fuel</v>
      </c>
    </row>
    <row r="57" spans="1:19" ht="20.100000000000001" customHeight="1" x14ac:dyDescent="0.2">
      <c r="A57" s="5" t="str">
        <f>HYPERLINK("#'Constants - Scope 3'!A1", "Constants - Scope 3")</f>
        <v>Constants - Scope 3</v>
      </c>
    </row>
    <row r="58" spans="1:19" ht="20.100000000000001" customHeight="1" x14ac:dyDescent="0.2">
      <c r="A58" s="5" t="str">
        <f>HYPERLINK("#'Constants - Solid Waste'!A1", "Constants - Solid Waste")</f>
        <v>Constants - Solid Waste</v>
      </c>
    </row>
    <row r="59" spans="1:19" ht="20.100000000000001" customHeight="1" x14ac:dyDescent="0.2">
      <c r="A59" s="5" t="str">
        <f>HYPERLINK("#'Constants - Common'!A1", "Constants - Common")</f>
        <v>Constants - Common</v>
      </c>
      <c r="D59" s="2" t="s">
        <v>1490</v>
      </c>
      <c r="N59" s="2" t="s">
        <v>1490</v>
      </c>
    </row>
    <row r="60" spans="1:19" ht="20.100000000000001" customHeight="1" x14ac:dyDescent="0.2">
      <c r="A60" s="5" t="str">
        <f>HYPERLINK("#'Acknowledgements'!A1", "Acknowledgements")</f>
        <v>Acknowledgements</v>
      </c>
      <c r="D60" s="17" t="s">
        <v>1491</v>
      </c>
      <c r="N60" s="17" t="s">
        <v>1491</v>
      </c>
    </row>
    <row r="61" spans="1:19" ht="20.100000000000001" customHeight="1" x14ac:dyDescent="0.2">
      <c r="A61"/>
      <c r="D61" s="103"/>
      <c r="E61" s="103"/>
      <c r="N61" s="103"/>
      <c r="O61" s="103"/>
    </row>
    <row r="62" spans="1:19" ht="20.100000000000001" customHeight="1" x14ac:dyDescent="0.2">
      <c r="A62"/>
    </row>
    <row r="63" spans="1:19" ht="20.100000000000001" customHeight="1" x14ac:dyDescent="0.2">
      <c r="A63"/>
    </row>
    <row r="64" spans="1:19" ht="20.100000000000001" customHeight="1" x14ac:dyDescent="0.2">
      <c r="A64"/>
      <c r="D64" s="77" t="s">
        <v>373</v>
      </c>
      <c r="E64" s="1" t="s">
        <v>1492</v>
      </c>
      <c r="N64" s="77" t="s">
        <v>373</v>
      </c>
      <c r="O64" s="1" t="s">
        <v>1492</v>
      </c>
    </row>
    <row r="65" spans="1:19" ht="20.100000000000001" customHeight="1" x14ac:dyDescent="0.2">
      <c r="A65"/>
      <c r="D65" s="77" t="s">
        <v>121</v>
      </c>
      <c r="E65" s="9" t="s">
        <v>1055</v>
      </c>
      <c r="N65" s="77" t="s">
        <v>121</v>
      </c>
      <c r="O65" s="9" t="s">
        <v>1055</v>
      </c>
    </row>
    <row r="66" spans="1:19" ht="20.100000000000001" customHeight="1" x14ac:dyDescent="0.2">
      <c r="A66"/>
    </row>
    <row r="67" spans="1:19" ht="20.100000000000001" customHeight="1" x14ac:dyDescent="0.2">
      <c r="A67"/>
      <c r="D67" s="105" t="s">
        <v>1430</v>
      </c>
      <c r="E67" s="106" t="s">
        <v>1493</v>
      </c>
      <c r="F67" s="108"/>
      <c r="G67" s="105" t="s">
        <v>1055</v>
      </c>
      <c r="H67" s="110" t="s">
        <v>1440</v>
      </c>
      <c r="I67" s="105">
        <f>X_Cell_ManureSentOffsite_MassNitrogenManure_Method1</f>
        <v>0</v>
      </c>
      <c r="N67" s="105" t="s">
        <v>1430</v>
      </c>
      <c r="O67" s="106" t="s">
        <v>1493</v>
      </c>
      <c r="P67" s="108"/>
      <c r="Q67" s="105" t="s">
        <v>1055</v>
      </c>
      <c r="R67" s="110" t="s">
        <v>1440</v>
      </c>
      <c r="S67" s="105">
        <f>X_Cell_ManureSentOffsite_MassNitrogenManure_Method2</f>
        <v>0</v>
      </c>
    </row>
    <row r="68" spans="1:19" ht="20.100000000000001" customHeight="1" x14ac:dyDescent="0.2">
      <c r="A68"/>
      <c r="D68" s="105" t="s">
        <v>1488</v>
      </c>
      <c r="E68" s="106" t="s">
        <v>1361</v>
      </c>
      <c r="F68" s="108"/>
      <c r="G68" s="105" t="s">
        <v>346</v>
      </c>
      <c r="H68" s="110" t="s">
        <v>1220</v>
      </c>
      <c r="I68" s="105">
        <f>Common_InputFunctions.CommonCropping_GetFracWET(I70,I72,Table_SourceData_FracWET[Is in leaching zone],Table_SourceData_FracWET[FracWET],Table_SourceData_FracWETIrrigation[Irrigation type i],Table_SourceData_FracWETIrrigation[FracWET])</f>
        <v>0</v>
      </c>
      <c r="N68" s="105" t="s">
        <v>1488</v>
      </c>
      <c r="O68" s="106" t="s">
        <v>1361</v>
      </c>
      <c r="P68" s="108"/>
      <c r="Q68" s="105" t="s">
        <v>346</v>
      </c>
      <c r="R68" s="110" t="s">
        <v>1220</v>
      </c>
      <c r="S68" s="105"/>
    </row>
    <row r="69" spans="1:19" ht="20.100000000000001" customHeight="1" x14ac:dyDescent="0.2">
      <c r="A69"/>
      <c r="D69" s="105" t="s">
        <v>1362</v>
      </c>
      <c r="E69" s="106" t="s">
        <v>1489</v>
      </c>
      <c r="F69" s="108"/>
      <c r="G69" s="105" t="s">
        <v>346</v>
      </c>
      <c r="H69" s="110" t="s">
        <v>1220</v>
      </c>
      <c r="I69" s="105">
        <f>Fertiliser_FracLEACH_Data</f>
        <v>0.24</v>
      </c>
      <c r="N69" s="105" t="s">
        <v>1362</v>
      </c>
      <c r="O69" s="106" t="s">
        <v>1489</v>
      </c>
      <c r="P69" s="108"/>
      <c r="Q69" s="105" t="s">
        <v>346</v>
      </c>
      <c r="R69" s="110" t="s">
        <v>1220</v>
      </c>
      <c r="S69" s="105"/>
    </row>
    <row r="70" spans="1:19" ht="20.100000000000001" customHeight="1" x14ac:dyDescent="0.2">
      <c r="A70"/>
      <c r="D70" s="105" t="s">
        <v>1364</v>
      </c>
      <c r="E70" s="106" t="s">
        <v>1365</v>
      </c>
      <c r="F70" s="108"/>
      <c r="G70" s="105"/>
      <c r="H70" s="255" t="s">
        <v>1219</v>
      </c>
      <c r="I70" s="105">
        <f>X_Cell_Site_LeachingZone</f>
        <v>0</v>
      </c>
      <c r="N70" s="105" t="s">
        <v>1364</v>
      </c>
      <c r="O70" s="106" t="s">
        <v>1365</v>
      </c>
      <c r="P70" s="108"/>
      <c r="Q70" s="105"/>
      <c r="R70" s="255" t="s">
        <v>1219</v>
      </c>
      <c r="S70" s="105"/>
    </row>
    <row r="71" spans="1:19" ht="20.100000000000001" customHeight="1" x14ac:dyDescent="0.2">
      <c r="A71"/>
      <c r="D71" s="105" t="s">
        <v>1350</v>
      </c>
      <c r="E71" s="106" t="s">
        <v>1351</v>
      </c>
      <c r="F71" s="108"/>
      <c r="G71" s="105"/>
      <c r="H71" s="255" t="s">
        <v>1219</v>
      </c>
      <c r="I71" s="105">
        <f>X_Cell_ManureSentOffsite_ManureProductionSystem</f>
        <v>0</v>
      </c>
      <c r="N71" s="105" t="s">
        <v>1350</v>
      </c>
      <c r="O71" s="106" t="s">
        <v>1351</v>
      </c>
      <c r="P71" s="108"/>
      <c r="Q71" s="105"/>
      <c r="R71" s="255" t="s">
        <v>1219</v>
      </c>
      <c r="S71" s="105"/>
    </row>
    <row r="72" spans="1:19" ht="20.100000000000001" customHeight="1" x14ac:dyDescent="0.2">
      <c r="A72"/>
      <c r="D72" s="105" t="s">
        <v>1366</v>
      </c>
      <c r="E72" s="106" t="s">
        <v>1352</v>
      </c>
      <c r="F72" s="108"/>
      <c r="G72" s="105"/>
      <c r="H72" s="255" t="s">
        <v>1219</v>
      </c>
      <c r="I72" s="105">
        <f>X_Cell_ManureSentOffsite_ManureIrrigationMethod</f>
        <v>0</v>
      </c>
      <c r="N72" s="105" t="s">
        <v>1366</v>
      </c>
      <c r="O72" s="106" t="s">
        <v>1352</v>
      </c>
      <c r="P72" s="108"/>
      <c r="Q72" s="105"/>
      <c r="R72" s="255" t="s">
        <v>1219</v>
      </c>
      <c r="S72" s="105"/>
    </row>
    <row r="73" spans="1:19" ht="20.100000000000001" customHeight="1" x14ac:dyDescent="0.2">
      <c r="A73"/>
    </row>
    <row r="74" spans="1:19" ht="20.100000000000001" customHeight="1" x14ac:dyDescent="0.2">
      <c r="A74"/>
      <c r="D74" s="93" t="s">
        <v>1186</v>
      </c>
      <c r="E74" s="87">
        <f>(I67 * I68 * I69)</f>
        <v>0</v>
      </c>
      <c r="F74" s="94" t="str">
        <f>$E$65</f>
        <v>kg N</v>
      </c>
      <c r="N74" s="93" t="s">
        <v>1186</v>
      </c>
      <c r="O74" s="87">
        <f>(S67 * I68 * I69)</f>
        <v>0</v>
      </c>
      <c r="P74" s="94" t="str">
        <f>$E$65</f>
        <v>kg N</v>
      </c>
    </row>
    <row r="75" spans="1:19" ht="20.100000000000001" customHeight="1" x14ac:dyDescent="0.2">
      <c r="A75"/>
    </row>
    <row r="76" spans="1:19" ht="20.100000000000001" customHeight="1" x14ac:dyDescent="0.2">
      <c r="A76"/>
    </row>
    <row r="77" spans="1:19" ht="20.100000000000001" customHeight="1" x14ac:dyDescent="0.2">
      <c r="A77"/>
      <c r="D77" s="2" t="s">
        <v>1494</v>
      </c>
      <c r="N77" s="2" t="s">
        <v>1494</v>
      </c>
    </row>
    <row r="78" spans="1:19" ht="20.100000000000001" customHeight="1" x14ac:dyDescent="0.2">
      <c r="A78"/>
      <c r="D78" s="17" t="s">
        <v>1495</v>
      </c>
      <c r="N78" s="17" t="s">
        <v>1495</v>
      </c>
    </row>
    <row r="79" spans="1:19" ht="20.100000000000001" customHeight="1" x14ac:dyDescent="0.2">
      <c r="A79"/>
      <c r="D79" s="103"/>
      <c r="E79" s="103"/>
      <c r="N79" s="103"/>
      <c r="O79" s="103"/>
    </row>
    <row r="80" spans="1:19" ht="20.100000000000001" customHeight="1" x14ac:dyDescent="0.2">
      <c r="A80"/>
    </row>
    <row r="81" spans="1:20" ht="20.100000000000001" customHeight="1" x14ac:dyDescent="0.2">
      <c r="A81"/>
    </row>
    <row r="82" spans="1:20" ht="20.100000000000001" customHeight="1" x14ac:dyDescent="0.2">
      <c r="A82"/>
      <c r="D82" s="77" t="s">
        <v>373</v>
      </c>
      <c r="E82" s="1" t="s">
        <v>1496</v>
      </c>
      <c r="N82" s="77" t="s">
        <v>373</v>
      </c>
      <c r="O82" s="1" t="s">
        <v>1496</v>
      </c>
    </row>
    <row r="83" spans="1:20" ht="20.100000000000001" customHeight="1" x14ac:dyDescent="0.2">
      <c r="A83"/>
      <c r="D83" s="77" t="s">
        <v>121</v>
      </c>
      <c r="E83" s="9" t="s">
        <v>12</v>
      </c>
      <c r="N83" s="77" t="s">
        <v>121</v>
      </c>
      <c r="O83" s="9" t="s">
        <v>12</v>
      </c>
    </row>
    <row r="84" spans="1:20" ht="20.100000000000001" customHeight="1" x14ac:dyDescent="0.2">
      <c r="A84"/>
    </row>
    <row r="85" spans="1:20" ht="20.100000000000001" customHeight="1" x14ac:dyDescent="0.2">
      <c r="A85"/>
      <c r="D85" s="105" t="s">
        <v>1486</v>
      </c>
      <c r="E85" s="106" t="s">
        <v>1497</v>
      </c>
      <c r="F85" s="107"/>
      <c r="G85" s="108"/>
      <c r="H85" s="105" t="s">
        <v>1055</v>
      </c>
      <c r="I85" s="110" t="s">
        <v>1500</v>
      </c>
      <c r="J85" s="105">
        <v>0</v>
      </c>
      <c r="N85" s="105" t="s">
        <v>1486</v>
      </c>
      <c r="O85" s="106" t="s">
        <v>1497</v>
      </c>
      <c r="P85" s="107"/>
      <c r="Q85" s="108"/>
      <c r="R85" s="105" t="s">
        <v>1055</v>
      </c>
      <c r="S85" s="110" t="s">
        <v>1500</v>
      </c>
      <c r="T85" s="105"/>
    </row>
    <row r="86" spans="1:20" ht="20.100000000000001" customHeight="1" x14ac:dyDescent="0.2">
      <c r="A86"/>
      <c r="D86" s="105" t="s">
        <v>1492</v>
      </c>
      <c r="E86" s="106" t="s">
        <v>1498</v>
      </c>
      <c r="F86" s="107"/>
      <c r="G86" s="108"/>
      <c r="H86" s="105" t="s">
        <v>1055</v>
      </c>
      <c r="I86" s="110" t="s">
        <v>1501</v>
      </c>
      <c r="J86" s="105">
        <f>E74</f>
        <v>0</v>
      </c>
      <c r="N86" s="105" t="s">
        <v>1492</v>
      </c>
      <c r="O86" s="106" t="s">
        <v>1498</v>
      </c>
      <c r="P86" s="107"/>
      <c r="Q86" s="108"/>
      <c r="R86" s="105" t="s">
        <v>1055</v>
      </c>
      <c r="S86" s="110" t="s">
        <v>1501</v>
      </c>
      <c r="T86" s="105">
        <f>O74</f>
        <v>0</v>
      </c>
    </row>
    <row r="87" spans="1:20" ht="20.100000000000001" customHeight="1" x14ac:dyDescent="0.2">
      <c r="A87"/>
      <c r="D87" s="105" t="s">
        <v>1371</v>
      </c>
      <c r="E87" s="106" t="s">
        <v>1499</v>
      </c>
      <c r="F87" s="107"/>
      <c r="G87" s="108"/>
      <c r="H87" s="105" t="s">
        <v>1356</v>
      </c>
      <c r="I87" s="110" t="s">
        <v>1220</v>
      </c>
      <c r="J87" s="105">
        <f>Fertiliser_EFLeach_Data</f>
        <v>1.0999999999999999E-2</v>
      </c>
      <c r="N87" s="105" t="s">
        <v>1371</v>
      </c>
      <c r="O87" s="106" t="s">
        <v>1499</v>
      </c>
      <c r="P87" s="107"/>
      <c r="Q87" s="108"/>
      <c r="R87" s="105" t="s">
        <v>1356</v>
      </c>
      <c r="S87" s="110" t="s">
        <v>1220</v>
      </c>
      <c r="T87" s="105"/>
    </row>
    <row r="88" spans="1:20" ht="20.100000000000001" customHeight="1" x14ac:dyDescent="0.2">
      <c r="A88"/>
      <c r="D88" s="105" t="s">
        <v>1348</v>
      </c>
      <c r="E88" s="106" t="s">
        <v>1396</v>
      </c>
      <c r="F88" s="107"/>
      <c r="G88" s="108"/>
      <c r="H88" s="105"/>
      <c r="I88" s="110" t="s">
        <v>1220</v>
      </c>
      <c r="J88" s="116">
        <f>Common_InputFunctions.Utility_LookupValueInTableNumber("N2O",Table_GasToMolecularConversionFactor[Gas],Table_GasToMolecularConversionFactor[Conversion factor combined])</f>
        <v>1.5714285714285714</v>
      </c>
      <c r="N88" s="105" t="s">
        <v>1348</v>
      </c>
      <c r="O88" s="106" t="s">
        <v>1396</v>
      </c>
      <c r="P88" s="107"/>
      <c r="Q88" s="108"/>
      <c r="R88" s="105"/>
      <c r="S88" s="110" t="s">
        <v>1220</v>
      </c>
      <c r="T88" s="116"/>
    </row>
    <row r="89" spans="1:20" ht="20.100000000000001" customHeight="1" x14ac:dyDescent="0.2">
      <c r="A89"/>
    </row>
    <row r="90" spans="1:20" ht="20.100000000000001" customHeight="1" x14ac:dyDescent="0.2">
      <c r="A90"/>
      <c r="D90" s="90" t="s">
        <v>722</v>
      </c>
      <c r="E90" s="91">
        <f>((J85 + J86) * J87 * J88 * 10 ^ -3)</f>
        <v>0</v>
      </c>
      <c r="F90" s="95" t="str">
        <f>$E$83</f>
        <v>t N2O</v>
      </c>
      <c r="N90" s="90" t="s">
        <v>722</v>
      </c>
      <c r="O90" s="91">
        <f>((J85 + T86) * J87 * J88 * 10 ^ -3)</f>
        <v>0</v>
      </c>
      <c r="P90" s="95" t="str">
        <f>$E$83</f>
        <v>t N2O</v>
      </c>
    </row>
    <row r="91" spans="1:20" ht="20.100000000000001" customHeight="1" x14ac:dyDescent="0.2">
      <c r="A91"/>
    </row>
    <row r="92" spans="1:20" ht="20.100000000000001" customHeight="1" x14ac:dyDescent="0.2">
      <c r="A92"/>
    </row>
    <row r="93" spans="1:20" ht="20.100000000000001" customHeight="1" x14ac:dyDescent="0.2">
      <c r="A93"/>
    </row>
    <row r="94" spans="1:20" ht="20.100000000000001" customHeight="1" x14ac:dyDescent="0.2">
      <c r="A94"/>
    </row>
    <row r="95" spans="1:20" ht="20.100000000000001" customHeight="1" x14ac:dyDescent="0.2">
      <c r="A95"/>
    </row>
    <row r="96" spans="1:20" ht="20.100000000000001" customHeight="1" x14ac:dyDescent="0.2">
      <c r="A96"/>
    </row>
    <row r="97" spans="1:1" ht="20.100000000000001" customHeight="1" x14ac:dyDescent="0.2">
      <c r="A97"/>
    </row>
    <row r="98" spans="1:1" ht="20.100000000000001" customHeight="1" x14ac:dyDescent="0.2">
      <c r="A98"/>
    </row>
    <row r="99" spans="1:1" ht="20.100000000000001" customHeight="1" x14ac:dyDescent="0.2">
      <c r="A99"/>
    </row>
    <row r="100" spans="1:1" ht="20.100000000000001" customHeight="1" x14ac:dyDescent="0.2">
      <c r="A100"/>
    </row>
    <row r="101" spans="1:1" ht="20.100000000000001" customHeight="1" x14ac:dyDescent="0.2">
      <c r="A101"/>
    </row>
    <row r="102" spans="1:1" ht="20.100000000000001" customHeight="1" x14ac:dyDescent="0.2">
      <c r="A102"/>
    </row>
    <row r="103" spans="1:1" ht="20.100000000000001" customHeight="1" x14ac:dyDescent="0.2">
      <c r="A103"/>
    </row>
    <row r="104" spans="1:1" ht="20.100000000000001" customHeight="1" x14ac:dyDescent="0.2">
      <c r="A104"/>
    </row>
    <row r="105" spans="1:1" ht="20.100000000000001" customHeight="1" x14ac:dyDescent="0.2">
      <c r="A105"/>
    </row>
    <row r="106" spans="1:1" ht="20.100000000000001" customHeight="1" x14ac:dyDescent="0.2">
      <c r="A106"/>
    </row>
    <row r="107" spans="1:1" ht="20.100000000000001" customHeight="1" x14ac:dyDescent="0.2">
      <c r="A107"/>
    </row>
    <row r="108" spans="1:1" ht="20.100000000000001" customHeight="1" x14ac:dyDescent="0.2">
      <c r="A108"/>
    </row>
    <row r="109" spans="1:1" ht="20.100000000000001" customHeight="1" x14ac:dyDescent="0.2">
      <c r="A109"/>
    </row>
    <row r="110" spans="1:1" ht="20.100000000000001" customHeight="1" x14ac:dyDescent="0.2">
      <c r="A110"/>
    </row>
    <row r="111" spans="1:1" ht="20.100000000000001" customHeight="1" x14ac:dyDescent="0.2">
      <c r="A111"/>
    </row>
    <row r="112" spans="1:1" ht="20.100000000000001" customHeight="1" x14ac:dyDescent="0.2">
      <c r="A112"/>
    </row>
    <row r="113" spans="1:1" ht="20.100000000000001" customHeight="1" x14ac:dyDescent="0.2">
      <c r="A113"/>
    </row>
    <row r="114" spans="1:1" ht="20.100000000000001" customHeight="1" x14ac:dyDescent="0.2">
      <c r="A114"/>
    </row>
    <row r="115" spans="1:1" ht="20.100000000000001" customHeight="1" x14ac:dyDescent="0.2">
      <c r="A115"/>
    </row>
    <row r="116" spans="1:1" ht="20.100000000000001" customHeight="1" x14ac:dyDescent="0.2">
      <c r="A116"/>
    </row>
    <row r="117" spans="1:1" ht="20.100000000000001" customHeight="1" x14ac:dyDescent="0.2">
      <c r="A117"/>
    </row>
    <row r="118" spans="1:1" ht="20.100000000000001" customHeight="1" x14ac:dyDescent="0.2">
      <c r="A118"/>
    </row>
    <row r="119" spans="1:1" ht="20.100000000000001" customHeight="1" x14ac:dyDescent="0.2">
      <c r="A119"/>
    </row>
    <row r="120" spans="1:1" ht="20.100000000000001" customHeight="1" x14ac:dyDescent="0.2">
      <c r="A120"/>
    </row>
    <row r="121" spans="1:1" ht="20.100000000000001" customHeight="1" x14ac:dyDescent="0.2">
      <c r="A121"/>
    </row>
    <row r="122" spans="1:1" ht="20.100000000000001" customHeight="1" x14ac:dyDescent="0.2">
      <c r="A122"/>
    </row>
    <row r="123" spans="1:1" ht="20.100000000000001" customHeight="1" x14ac:dyDescent="0.2">
      <c r="A123"/>
    </row>
    <row r="124" spans="1:1" ht="20.100000000000001" customHeight="1" x14ac:dyDescent="0.2">
      <c r="A124"/>
    </row>
    <row r="125" spans="1:1" ht="20.100000000000001" customHeight="1" x14ac:dyDescent="0.2">
      <c r="A125"/>
    </row>
    <row r="126" spans="1:1" ht="20.100000000000001" customHeight="1" x14ac:dyDescent="0.2">
      <c r="A126"/>
    </row>
    <row r="127" spans="1:1" ht="20.100000000000001" customHeight="1" x14ac:dyDescent="0.2">
      <c r="A127"/>
    </row>
    <row r="128" spans="1:1" ht="20.100000000000001" customHeight="1" x14ac:dyDescent="0.2">
      <c r="A128"/>
    </row>
    <row r="129" spans="1:1" ht="20.100000000000001" customHeight="1" x14ac:dyDescent="0.2">
      <c r="A129"/>
    </row>
    <row r="130" spans="1:1" ht="20.100000000000001" customHeight="1" x14ac:dyDescent="0.2">
      <c r="A130"/>
    </row>
    <row r="131" spans="1:1" ht="20.100000000000001" customHeight="1" x14ac:dyDescent="0.2">
      <c r="A131"/>
    </row>
    <row r="132" spans="1:1" ht="20.100000000000001" customHeight="1" x14ac:dyDescent="0.2">
      <c r="A132"/>
    </row>
    <row r="133" spans="1:1" ht="20.100000000000001" customHeight="1" x14ac:dyDescent="0.2">
      <c r="A133"/>
    </row>
    <row r="134" spans="1:1" ht="20.100000000000001" customHeight="1" x14ac:dyDescent="0.2">
      <c r="A134"/>
    </row>
    <row r="135" spans="1:1" ht="20.100000000000001" customHeight="1" x14ac:dyDescent="0.2">
      <c r="A135"/>
    </row>
    <row r="136" spans="1:1" ht="20.100000000000001" customHeight="1" x14ac:dyDescent="0.2">
      <c r="A136"/>
    </row>
    <row r="137" spans="1:1" ht="20.100000000000001" customHeight="1" x14ac:dyDescent="0.2">
      <c r="A137"/>
    </row>
    <row r="138" spans="1:1" ht="20.100000000000001" customHeight="1" x14ac:dyDescent="0.2">
      <c r="A138"/>
    </row>
    <row r="139" spans="1:1" ht="20.100000000000001" customHeight="1" x14ac:dyDescent="0.2">
      <c r="A139"/>
    </row>
    <row r="140" spans="1:1" ht="20.100000000000001" customHeight="1" x14ac:dyDescent="0.2">
      <c r="A140"/>
    </row>
    <row r="141" spans="1:1" ht="20.100000000000001" customHeight="1" x14ac:dyDescent="0.2">
      <c r="A141"/>
    </row>
    <row r="142" spans="1:1" ht="20.100000000000001" customHeight="1" x14ac:dyDescent="0.2">
      <c r="A142"/>
    </row>
    <row r="143" spans="1:1" ht="20.100000000000001" customHeight="1" x14ac:dyDescent="0.2">
      <c r="A143"/>
    </row>
    <row r="144" spans="1:1" ht="20.100000000000001" customHeight="1" x14ac:dyDescent="0.2">
      <c r="A144"/>
    </row>
    <row r="145" spans="1:1" ht="20.100000000000001" customHeight="1" x14ac:dyDescent="0.2">
      <c r="A145"/>
    </row>
    <row r="146" spans="1:1" ht="20.100000000000001" customHeight="1" x14ac:dyDescent="0.2">
      <c r="A146"/>
    </row>
    <row r="147" spans="1:1" ht="20.100000000000001" customHeight="1" x14ac:dyDescent="0.2">
      <c r="A147"/>
    </row>
    <row r="148" spans="1:1" ht="20.100000000000001" customHeight="1" x14ac:dyDescent="0.2">
      <c r="A148"/>
    </row>
    <row r="149" spans="1:1" ht="20.100000000000001" customHeight="1" x14ac:dyDescent="0.2">
      <c r="A149"/>
    </row>
    <row r="150" spans="1:1" ht="20.100000000000001" customHeight="1" x14ac:dyDescent="0.2">
      <c r="A150"/>
    </row>
    <row r="151" spans="1:1" ht="20.100000000000001" customHeight="1" x14ac:dyDescent="0.2">
      <c r="A151"/>
    </row>
    <row r="152" spans="1:1" ht="20.100000000000001" customHeight="1" x14ac:dyDescent="0.2">
      <c r="A152"/>
    </row>
    <row r="153" spans="1:1" ht="20.100000000000001" customHeight="1" x14ac:dyDescent="0.2">
      <c r="A153"/>
    </row>
    <row r="154" spans="1:1" ht="20.100000000000001" customHeight="1" x14ac:dyDescent="0.2">
      <c r="A154"/>
    </row>
    <row r="155" spans="1:1" ht="20.100000000000001" customHeight="1" x14ac:dyDescent="0.2">
      <c r="A155"/>
    </row>
    <row r="156" spans="1:1" ht="20.100000000000001" customHeight="1" x14ac:dyDescent="0.2">
      <c r="A156"/>
    </row>
    <row r="157" spans="1:1" ht="20.100000000000001" customHeight="1" x14ac:dyDescent="0.2">
      <c r="A157"/>
    </row>
    <row r="158" spans="1:1" ht="20.100000000000001" customHeight="1" x14ac:dyDescent="0.2">
      <c r="A158"/>
    </row>
    <row r="159" spans="1:1" ht="20.100000000000001" customHeight="1" x14ac:dyDescent="0.2">
      <c r="A159"/>
    </row>
    <row r="160" spans="1:1" ht="20.100000000000001" customHeight="1" x14ac:dyDescent="0.2">
      <c r="A160"/>
    </row>
  </sheetData>
  <pageMargins left="0.7" right="0.7" top="0.75" bottom="0.75" header="0.3" footer="0.3"/>
  <drawing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045B6B-586F-458C-BFBD-FB1FC8233F51}">
  <sheetPr>
    <tabColor theme="2" tint="-0.499984740745262"/>
  </sheetPr>
  <dimension ref="A1:V483"/>
  <sheetViews>
    <sheetView showGridLines="0" zoomScaleNormal="100" workbookViewId="0">
      <pane xSplit="1" topLeftCell="B1" activePane="topRight" state="frozen"/>
      <selection pane="topRight" activeCell="A59" sqref="A59"/>
    </sheetView>
  </sheetViews>
  <sheetFormatPr defaultRowHeight="20.100000000000001" customHeight="1" x14ac:dyDescent="0.2"/>
  <cols>
    <col min="1" max="1" width="36.7109375" customWidth="1"/>
    <col min="2" max="2" width="4.7109375" customWidth="1"/>
    <col min="3" max="3" width="4.7109375" style="1" customWidth="1"/>
    <col min="4" max="5" width="30.7109375" style="1" customWidth="1"/>
    <col min="6" max="6" width="31.140625" style="1" customWidth="1"/>
    <col min="7" max="7" width="32.5703125" style="1" customWidth="1"/>
    <col min="8" max="12" width="30.7109375" style="1" customWidth="1"/>
    <col min="13" max="13" width="30.7109375" customWidth="1"/>
    <col min="14" max="20" width="30.7109375" style="1" customWidth="1"/>
    <col min="21" max="21" width="4.7109375" style="1" customWidth="1"/>
  </cols>
  <sheetData>
    <row r="1" spans="1:21" s="21" customFormat="1" ht="30" customHeight="1" x14ac:dyDescent="0.35">
      <c r="A1" s="10" t="e" vm="1">
        <v>#VALUE!</v>
      </c>
      <c r="C1" s="21" t="s">
        <v>482</v>
      </c>
    </row>
    <row r="2" spans="1:21" s="3" customFormat="1" ht="20.100000000000001" customHeight="1" x14ac:dyDescent="0.2">
      <c r="A2"/>
    </row>
    <row r="3" spans="1:21" ht="20.100000000000001" customHeight="1" x14ac:dyDescent="0.2">
      <c r="A3" s="5" t="str">
        <f>HYPERLINK("#'Home'!A1", "Home")</f>
        <v>Home</v>
      </c>
      <c r="C3" s="23"/>
      <c r="D3" s="23"/>
      <c r="E3" s="23"/>
      <c r="F3" s="23"/>
      <c r="G3" s="23"/>
      <c r="H3" s="23"/>
      <c r="I3" s="23"/>
      <c r="J3" s="23"/>
      <c r="K3" s="23"/>
      <c r="L3" s="23"/>
      <c r="M3" s="23"/>
      <c r="N3" s="23"/>
      <c r="O3" s="23"/>
      <c r="P3" s="23"/>
      <c r="Q3" s="23"/>
      <c r="R3" s="23"/>
      <c r="S3" s="23"/>
      <c r="T3" s="23"/>
      <c r="U3" s="23"/>
    </row>
    <row r="4" spans="1:21" ht="20.100000000000001" customHeight="1" x14ac:dyDescent="0.2">
      <c r="A4" s="5" t="str">
        <f>HYPERLINK("#'Results - Activity period'!A1", "Results - Activity period")</f>
        <v>Results - Activity period</v>
      </c>
      <c r="M4" s="8"/>
    </row>
    <row r="5" spans="1:21" ht="20.100000000000001" customHeight="1" x14ac:dyDescent="0.2">
      <c r="A5" s="5" t="str">
        <f>HYPERLINK("#'Results - Product EI'!A1", "Results - Product Emissions Intensity")</f>
        <v>Results - Product Emissions Intensity</v>
      </c>
      <c r="D5" s="2" t="s">
        <v>483</v>
      </c>
      <c r="G5" s="2" t="s">
        <v>484</v>
      </c>
      <c r="M5" s="1" t="s">
        <v>485</v>
      </c>
      <c r="O5" s="1" t="s">
        <v>486</v>
      </c>
      <c r="Q5" s="1" t="s">
        <v>487</v>
      </c>
      <c r="S5" s="1" t="s">
        <v>488</v>
      </c>
    </row>
    <row r="6" spans="1:21" ht="20.100000000000001" customHeight="1" x14ac:dyDescent="0.2">
      <c r="M6" s="1"/>
    </row>
    <row r="7" spans="1:21" ht="20.100000000000001" customHeight="1" x14ac:dyDescent="0.2">
      <c r="D7" s="20" t="s">
        <v>171</v>
      </c>
      <c r="G7" s="20" t="s">
        <v>72</v>
      </c>
      <c r="M7" t="s">
        <v>489</v>
      </c>
      <c r="O7" s="20" t="s">
        <v>489</v>
      </c>
      <c r="Q7" s="20" t="s">
        <v>489</v>
      </c>
      <c r="S7" s="20" t="s">
        <v>489</v>
      </c>
    </row>
    <row r="8" spans="1:21" ht="20.100000000000001" customHeight="1" x14ac:dyDescent="0.2">
      <c r="A8" s="7" t="s">
        <v>0</v>
      </c>
      <c r="D8" s="20" t="str">
        <f>'Constants - Common'!$F$187</f>
        <v>Pasture</v>
      </c>
      <c r="G8" s="20" t="s">
        <v>490</v>
      </c>
      <c r="M8" s="20" t="s">
        <v>322</v>
      </c>
      <c r="O8" s="20" t="s">
        <v>491</v>
      </c>
      <c r="Q8" s="20" t="s">
        <v>492</v>
      </c>
      <c r="S8" s="20" t="s">
        <v>493</v>
      </c>
    </row>
    <row r="9" spans="1:21" ht="20.100000000000001" customHeight="1" x14ac:dyDescent="0.2">
      <c r="A9" s="5" t="str">
        <f>HYPERLINK("#'Input - Enterprise'!A1", "Enterprise")</f>
        <v>Enterprise</v>
      </c>
      <c r="D9" s="1" t="str">
        <f>'Constants - Common'!$F$188</f>
        <v>Crop</v>
      </c>
      <c r="G9" s="20" t="s">
        <v>494</v>
      </c>
      <c r="M9" s="20" t="s">
        <v>495</v>
      </c>
      <c r="O9" s="20" t="s">
        <v>496</v>
      </c>
      <c r="Q9" s="20" t="s">
        <v>497</v>
      </c>
    </row>
    <row r="10" spans="1:21" ht="20.100000000000001" customHeight="1" x14ac:dyDescent="0.2">
      <c r="A10" s="5" t="str">
        <f>HYPERLINK("#'Input - Site'!A1", "Site")</f>
        <v>Site</v>
      </c>
      <c r="G10" s="1" t="s">
        <v>355</v>
      </c>
      <c r="M10" s="20" t="s">
        <v>498</v>
      </c>
      <c r="O10" s="20" t="s">
        <v>499</v>
      </c>
      <c r="Q10" s="20" t="s">
        <v>500</v>
      </c>
      <c r="S10" s="1" t="s">
        <v>501</v>
      </c>
    </row>
    <row r="11" spans="1:21" ht="20.100000000000001" customHeight="1" x14ac:dyDescent="0.2">
      <c r="A11" s="5" t="str">
        <f>HYPERLINK("#'Input - Pasture Beef'!A1", "Pasture Beef")</f>
        <v>Pasture Beef</v>
      </c>
      <c r="G11" s="1" t="s">
        <v>502</v>
      </c>
      <c r="M11" s="1"/>
      <c r="Q11" s="20" t="s">
        <v>503</v>
      </c>
    </row>
    <row r="12" spans="1:21" ht="20.100000000000001" customHeight="1" x14ac:dyDescent="0.2">
      <c r="A12" s="5" t="str">
        <f>HYPERLINK("#'Input - Livestock sales'!A1", "Livestock sales")</f>
        <v>Livestock sales</v>
      </c>
      <c r="G12" s="1" t="s">
        <v>504</v>
      </c>
      <c r="M12" s="1"/>
      <c r="S12" s="20" t="s">
        <v>489</v>
      </c>
    </row>
    <row r="13" spans="1:21" ht="20.100000000000001" customHeight="1" x14ac:dyDescent="0.2">
      <c r="A13" s="5" t="str">
        <f>HYPERLINK("#'Input - Beef cattle purchases'!A1", "Beef cattle purchases")</f>
        <v>Beef cattle purchases</v>
      </c>
      <c r="M13" s="1"/>
      <c r="S13" s="20" t="s">
        <v>493</v>
      </c>
    </row>
    <row r="14" spans="1:21" ht="20.100000000000001" customHeight="1" x14ac:dyDescent="0.2">
      <c r="A14" s="5" t="str">
        <f>HYPERLINK("#'Input - Pasture'!A1", "Pasture")</f>
        <v>Pasture</v>
      </c>
      <c r="D14" s="2" t="s">
        <v>1777</v>
      </c>
      <c r="M14" s="1"/>
    </row>
    <row r="15" spans="1:21" ht="20.100000000000001" customHeight="1" x14ac:dyDescent="0.2">
      <c r="A15" s="5" t="str">
        <f>HYPERLINK("#'Input - Fert Prod System'!A1", "Fert Prod System")</f>
        <v>Fert Prod System</v>
      </c>
      <c r="D15" s="17" t="s">
        <v>1778</v>
      </c>
      <c r="M15" s="1"/>
      <c r="S15" s="1" t="s">
        <v>505</v>
      </c>
    </row>
    <row r="16" spans="1:21" ht="20.100000000000001" customHeight="1" x14ac:dyDescent="0.2">
      <c r="A16" s="5" t="str">
        <f>HYPERLINK("#'Input - Fertiliser'!A1", "Fertiliser")</f>
        <v>Fertiliser</v>
      </c>
      <c r="D16" s="1" t="s">
        <v>1779</v>
      </c>
      <c r="M16" s="1"/>
    </row>
    <row r="17" spans="1:19" ht="20.100000000000001" customHeight="1" x14ac:dyDescent="0.2">
      <c r="A17" s="5" t="str">
        <f>HYPERLINK("#'Input - Fuel'!A1", "Fuel")</f>
        <v>Fuel</v>
      </c>
      <c r="D17" s="9" t="s">
        <v>636</v>
      </c>
      <c r="M17" s="1"/>
      <c r="O17" s="1" t="s">
        <v>506</v>
      </c>
      <c r="S17" s="20" t="s">
        <v>489</v>
      </c>
    </row>
    <row r="18" spans="1:19" ht="20.100000000000001" customHeight="1" x14ac:dyDescent="0.2">
      <c r="A18" s="5" t="str">
        <f>HYPERLINK("#'Input - Electricity'!A1", "Electricity")</f>
        <v>Electricity</v>
      </c>
      <c r="D18" s="20" t="s">
        <v>105</v>
      </c>
      <c r="E18" s="20" t="s">
        <v>489</v>
      </c>
      <c r="F18" s="20" t="s">
        <v>76</v>
      </c>
      <c r="G18" s="20" t="s">
        <v>507</v>
      </c>
      <c r="H18" s="20" t="s">
        <v>508</v>
      </c>
      <c r="I18" s="20" t="s">
        <v>509</v>
      </c>
      <c r="J18" s="20" t="s">
        <v>510</v>
      </c>
      <c r="K18" s="20" t="s">
        <v>511</v>
      </c>
      <c r="L18" s="20" t="s">
        <v>512</v>
      </c>
      <c r="M18" s="20" t="s">
        <v>513</v>
      </c>
      <c r="O18" s="20" t="s">
        <v>514</v>
      </c>
      <c r="S18" s="20" t="s">
        <v>493</v>
      </c>
    </row>
    <row r="19" spans="1:19" ht="20.100000000000001" customHeight="1" x14ac:dyDescent="0.2">
      <c r="A19" s="5" t="str">
        <f>HYPERLINK("#'Input - Common farm inputs'!A1", "Common farm inputs")</f>
        <v>Common farm inputs</v>
      </c>
      <c r="D19" s="20" t="s">
        <v>1780</v>
      </c>
      <c r="E19" s="20" t="s">
        <v>493</v>
      </c>
      <c r="F19" s="20" t="s">
        <v>335</v>
      </c>
      <c r="G19" s="20">
        <v>80</v>
      </c>
      <c r="H19" s="20">
        <v>480</v>
      </c>
      <c r="I19" s="20">
        <v>75</v>
      </c>
      <c r="J19" s="20">
        <v>300</v>
      </c>
      <c r="K19" s="20">
        <v>440</v>
      </c>
      <c r="L19" s="20">
        <v>75</v>
      </c>
      <c r="M19" s="20">
        <v>380</v>
      </c>
      <c r="O19" t="s">
        <v>326</v>
      </c>
    </row>
    <row r="20" spans="1:19" ht="20.100000000000001" customHeight="1" x14ac:dyDescent="0.2">
      <c r="A20" s="5" t="str">
        <f>HYPERLINK("#'Input - Crop pasture farm input'!A1", "Crop pasture farm input")</f>
        <v>Crop pasture farm input</v>
      </c>
      <c r="D20" s="1" t="s">
        <v>1780</v>
      </c>
      <c r="E20" s="20" t="s">
        <v>493</v>
      </c>
      <c r="F20" s="20" t="s">
        <v>336</v>
      </c>
      <c r="G20" s="20">
        <v>170</v>
      </c>
      <c r="H20" s="20">
        <v>520</v>
      </c>
      <c r="I20" s="20">
        <v>160</v>
      </c>
      <c r="J20" s="20">
        <v>360</v>
      </c>
      <c r="K20" s="20">
        <v>470</v>
      </c>
      <c r="L20" s="20">
        <v>160</v>
      </c>
      <c r="M20" s="20">
        <v>420</v>
      </c>
      <c r="O20" t="s">
        <v>184</v>
      </c>
      <c r="S20" s="1" t="s">
        <v>515</v>
      </c>
    </row>
    <row r="21" spans="1:19" ht="20.100000000000001" customHeight="1" x14ac:dyDescent="0.2">
      <c r="A21" s="5" t="str">
        <f>HYPERLINK("#'Input - Livestock farm Inputs'!A1", "Livestock farm Inputs")</f>
        <v>Livestock farm Inputs</v>
      </c>
      <c r="D21" s="1" t="s">
        <v>1780</v>
      </c>
      <c r="E21" s="20" t="s">
        <v>493</v>
      </c>
      <c r="F21" s="20" t="s">
        <v>337</v>
      </c>
      <c r="G21" s="20">
        <v>240</v>
      </c>
      <c r="H21" s="20">
        <v>550</v>
      </c>
      <c r="I21" s="20">
        <v>220</v>
      </c>
      <c r="J21" s="20">
        <v>390</v>
      </c>
      <c r="K21" s="20">
        <v>490</v>
      </c>
      <c r="L21" s="20">
        <v>220</v>
      </c>
      <c r="M21" s="20">
        <v>450</v>
      </c>
      <c r="O21" t="s">
        <v>327</v>
      </c>
    </row>
    <row r="22" spans="1:19" ht="20.100000000000001" customHeight="1" x14ac:dyDescent="0.2">
      <c r="A22" s="5" t="str">
        <f>HYPERLINK("#'Input - Freight'!A1", "Freight")</f>
        <v>Freight</v>
      </c>
      <c r="D22" s="1" t="s">
        <v>1780</v>
      </c>
      <c r="E22" s="20" t="s">
        <v>493</v>
      </c>
      <c r="F22" s="20" t="s">
        <v>338</v>
      </c>
      <c r="G22" s="20">
        <v>280</v>
      </c>
      <c r="H22" s="20">
        <v>560</v>
      </c>
      <c r="I22" s="20">
        <v>260</v>
      </c>
      <c r="J22" s="20">
        <v>410</v>
      </c>
      <c r="K22" s="20">
        <v>500</v>
      </c>
      <c r="L22" s="20">
        <v>260</v>
      </c>
      <c r="M22" s="20">
        <v>460</v>
      </c>
      <c r="O22" t="s">
        <v>328</v>
      </c>
      <c r="S22" s="20" t="s">
        <v>489</v>
      </c>
    </row>
    <row r="23" spans="1:19" ht="20.100000000000001" customHeight="1" x14ac:dyDescent="0.2">
      <c r="A23" s="5" t="str">
        <f>HYPERLINK("#'Input - Solid waste'!A1", "Solid waste")</f>
        <v>Solid waste</v>
      </c>
      <c r="D23" s="1" t="s">
        <v>1781</v>
      </c>
      <c r="E23" s="20" t="s">
        <v>493</v>
      </c>
      <c r="F23" s="20" t="s">
        <v>335</v>
      </c>
      <c r="G23" s="20">
        <v>250</v>
      </c>
      <c r="H23" s="20">
        <v>800</v>
      </c>
      <c r="I23" s="20">
        <v>220</v>
      </c>
      <c r="J23" s="20">
        <v>400</v>
      </c>
      <c r="K23" s="20">
        <v>500</v>
      </c>
      <c r="L23" s="20">
        <v>230</v>
      </c>
      <c r="M23" s="20">
        <v>420</v>
      </c>
      <c r="O23" t="s">
        <v>329</v>
      </c>
      <c r="S23" s="20" t="s">
        <v>493</v>
      </c>
    </row>
    <row r="24" spans="1:19" ht="20.100000000000001" customHeight="1" x14ac:dyDescent="0.2">
      <c r="A24" s="5" t="str">
        <f>HYPERLINK("#'Input - Manure sent off-site'!A1", "Manure sent off-site")</f>
        <v>Manure sent off-site</v>
      </c>
      <c r="D24" s="1" t="s">
        <v>1781</v>
      </c>
      <c r="E24" s="20" t="s">
        <v>493</v>
      </c>
      <c r="F24" s="20" t="s">
        <v>336</v>
      </c>
      <c r="G24" s="20">
        <v>320</v>
      </c>
      <c r="H24" s="20">
        <v>800</v>
      </c>
      <c r="I24" s="20">
        <v>280</v>
      </c>
      <c r="J24" s="20">
        <v>420</v>
      </c>
      <c r="K24" s="20">
        <v>500</v>
      </c>
      <c r="L24" s="20">
        <v>290</v>
      </c>
      <c r="M24" s="20">
        <v>420</v>
      </c>
      <c r="O24" t="s">
        <v>330</v>
      </c>
    </row>
    <row r="25" spans="1:19" ht="20.100000000000001" customHeight="1" x14ac:dyDescent="0.2">
      <c r="A25" s="5" t="str">
        <f>HYPERLINK("#'Input - Data quality'!A1", "Data quality")</f>
        <v>Data quality</v>
      </c>
      <c r="D25" s="1" t="s">
        <v>1781</v>
      </c>
      <c r="E25" s="20" t="s">
        <v>493</v>
      </c>
      <c r="F25" s="20" t="s">
        <v>337</v>
      </c>
      <c r="G25" s="20">
        <v>80</v>
      </c>
      <c r="H25" s="20">
        <v>700</v>
      </c>
      <c r="I25" s="20">
        <v>70</v>
      </c>
      <c r="J25" s="20">
        <v>300</v>
      </c>
      <c r="K25" s="20">
        <v>450</v>
      </c>
      <c r="L25" s="20">
        <v>75</v>
      </c>
      <c r="M25" s="20">
        <v>400</v>
      </c>
      <c r="O25" t="s">
        <v>331</v>
      </c>
      <c r="S25" s="1" t="s">
        <v>516</v>
      </c>
    </row>
    <row r="26" spans="1:19" ht="20.100000000000001" customHeight="1" x14ac:dyDescent="0.2">
      <c r="D26" s="1" t="s">
        <v>1781</v>
      </c>
      <c r="E26" s="20" t="s">
        <v>493</v>
      </c>
      <c r="F26" s="20" t="s">
        <v>338</v>
      </c>
      <c r="G26" s="20">
        <v>160</v>
      </c>
      <c r="H26" s="20">
        <v>700</v>
      </c>
      <c r="I26" s="20">
        <v>140</v>
      </c>
      <c r="J26" s="20">
        <v>350</v>
      </c>
      <c r="K26" s="20">
        <v>450</v>
      </c>
      <c r="L26" s="20">
        <v>150</v>
      </c>
      <c r="M26" s="20">
        <v>400</v>
      </c>
      <c r="O26" t="s">
        <v>332</v>
      </c>
    </row>
    <row r="27" spans="1:19" ht="20.100000000000001" customHeight="1" x14ac:dyDescent="0.2">
      <c r="D27" s="1" t="s">
        <v>1782</v>
      </c>
      <c r="E27" s="20" t="s">
        <v>493</v>
      </c>
      <c r="F27" s="20" t="s">
        <v>335</v>
      </c>
      <c r="G27" s="20">
        <v>105</v>
      </c>
      <c r="H27" s="20">
        <v>700</v>
      </c>
      <c r="I27" s="20">
        <v>85</v>
      </c>
      <c r="J27" s="20">
        <v>300</v>
      </c>
      <c r="K27" s="20">
        <v>490</v>
      </c>
      <c r="L27" s="20">
        <v>90</v>
      </c>
      <c r="M27" s="20">
        <v>480</v>
      </c>
      <c r="O27" t="s">
        <v>333</v>
      </c>
      <c r="S27" s="20" t="s">
        <v>489</v>
      </c>
    </row>
    <row r="28" spans="1:19" ht="20.100000000000001" customHeight="1" x14ac:dyDescent="0.2">
      <c r="A28" s="6" t="s">
        <v>2</v>
      </c>
      <c r="D28" s="1" t="s">
        <v>1782</v>
      </c>
      <c r="E28" s="20" t="s">
        <v>493</v>
      </c>
      <c r="F28" s="20" t="s">
        <v>336</v>
      </c>
      <c r="G28" s="20">
        <v>480</v>
      </c>
      <c r="H28" s="20">
        <v>750</v>
      </c>
      <c r="I28" s="20">
        <v>150</v>
      </c>
      <c r="J28" s="20">
        <v>350</v>
      </c>
      <c r="K28" s="20">
        <v>530</v>
      </c>
      <c r="L28" s="20">
        <v>160</v>
      </c>
      <c r="M28" s="20">
        <v>460</v>
      </c>
      <c r="O28" t="s">
        <v>334</v>
      </c>
      <c r="S28" s="20" t="s">
        <v>493</v>
      </c>
    </row>
    <row r="29" spans="1:19" ht="20.100000000000001" customHeight="1" x14ac:dyDescent="0.2">
      <c r="A29" s="5" t="str">
        <f>HYPERLINK("#'3.2.1.1-2 Enteric Methane'!A1", "3.2.1.1-2 Enteric Methane")</f>
        <v>3.2.1.1-2 Enteric Methane</v>
      </c>
      <c r="D29" s="1" t="s">
        <v>1782</v>
      </c>
      <c r="E29" s="20" t="s">
        <v>493</v>
      </c>
      <c r="F29" s="20" t="s">
        <v>337</v>
      </c>
      <c r="G29" s="20">
        <v>250</v>
      </c>
      <c r="H29" s="20">
        <v>725</v>
      </c>
      <c r="I29" s="20">
        <v>200</v>
      </c>
      <c r="J29" s="20">
        <v>360</v>
      </c>
      <c r="K29" s="20">
        <v>500</v>
      </c>
      <c r="L29" s="20">
        <v>215</v>
      </c>
      <c r="M29" s="20">
        <v>490</v>
      </c>
    </row>
    <row r="30" spans="1:19" ht="20.100000000000001" customHeight="1" x14ac:dyDescent="0.2">
      <c r="A30" s="5" t="str">
        <f>HYPERLINK("#'4.2.1.1-2 Methane'!A1", "4.2.1.1-2 Manure methane")</f>
        <v>4.2.1.1-2 Manure methane</v>
      </c>
      <c r="D30" s="1" t="s">
        <v>1782</v>
      </c>
      <c r="E30" s="20" t="s">
        <v>493</v>
      </c>
      <c r="F30" s="20" t="s">
        <v>338</v>
      </c>
      <c r="G30" s="20">
        <v>260</v>
      </c>
      <c r="H30" s="20">
        <v>700</v>
      </c>
      <c r="I30" s="20">
        <v>210</v>
      </c>
      <c r="J30" s="20">
        <v>380</v>
      </c>
      <c r="K30" s="20">
        <v>460</v>
      </c>
      <c r="L30" s="20">
        <v>230</v>
      </c>
      <c r="M30" s="20">
        <v>470</v>
      </c>
    </row>
    <row r="31" spans="1:19" ht="20.100000000000001" customHeight="1" x14ac:dyDescent="0.2">
      <c r="A31" s="5" t="str">
        <f>HYPERLINK("#'4.2.1.3-4 Soil direct N20'!A1", "4.2.1.3-4 Soil direct N2O")</f>
        <v>4.2.1.3-4 Soil direct N2O</v>
      </c>
      <c r="D31" s="1" t="s">
        <v>1783</v>
      </c>
      <c r="E31" s="20" t="s">
        <v>493</v>
      </c>
      <c r="F31" s="20" t="s">
        <v>335</v>
      </c>
      <c r="G31" s="20">
        <v>250</v>
      </c>
      <c r="H31" s="20">
        <v>820</v>
      </c>
      <c r="I31" s="20">
        <v>240</v>
      </c>
      <c r="J31" s="20">
        <v>410</v>
      </c>
      <c r="K31" s="20">
        <v>560</v>
      </c>
      <c r="L31" s="20">
        <v>240</v>
      </c>
      <c r="M31" s="20">
        <v>510</v>
      </c>
      <c r="O31" s="1" t="s">
        <v>517</v>
      </c>
    </row>
    <row r="32" spans="1:19" ht="20.100000000000001" customHeight="1" x14ac:dyDescent="0.2">
      <c r="A32" s="5" t="str">
        <f>HYPERLINK("#'4.2.1.5-6 Soil Atmos Dep'!A1", "4.2.1.5-6 Soil atm. deposition")</f>
        <v>4.2.1.5-6 Soil atm. deposition</v>
      </c>
      <c r="D32" s="1" t="s">
        <v>1783</v>
      </c>
      <c r="E32" s="20" t="s">
        <v>493</v>
      </c>
      <c r="F32" s="20" t="s">
        <v>336</v>
      </c>
      <c r="G32" s="20">
        <v>280</v>
      </c>
      <c r="H32" s="20">
        <v>850</v>
      </c>
      <c r="I32" s="20">
        <v>260</v>
      </c>
      <c r="J32" s="20">
        <v>440</v>
      </c>
      <c r="K32" s="20">
        <v>550</v>
      </c>
      <c r="L32" s="20">
        <v>270</v>
      </c>
      <c r="M32" s="20">
        <v>520</v>
      </c>
      <c r="O32" s="20" t="s">
        <v>489</v>
      </c>
      <c r="P32" s="20" t="s">
        <v>518</v>
      </c>
    </row>
    <row r="33" spans="1:16" ht="20.100000000000001" customHeight="1" x14ac:dyDescent="0.2">
      <c r="A33" s="5" t="str">
        <f>HYPERLINK("#'4.2.1.7-8 Soil leach runoff'!A1", "4.2.1.7-8 Soil leach &amp; runoff")</f>
        <v>4.2.1.7-8 Soil leach &amp; runoff</v>
      </c>
      <c r="D33" s="1" t="s">
        <v>1783</v>
      </c>
      <c r="E33" s="20" t="s">
        <v>493</v>
      </c>
      <c r="F33" s="20" t="s">
        <v>337</v>
      </c>
      <c r="G33" s="20">
        <v>100</v>
      </c>
      <c r="H33" s="20">
        <v>700</v>
      </c>
      <c r="I33" s="20">
        <v>95</v>
      </c>
      <c r="J33" s="20">
        <v>300</v>
      </c>
      <c r="K33" s="20">
        <v>450</v>
      </c>
      <c r="L33" s="20">
        <v>95</v>
      </c>
      <c r="M33" s="20">
        <v>410</v>
      </c>
      <c r="O33" s="20" t="s">
        <v>519</v>
      </c>
      <c r="P33" s="20" t="s">
        <v>520</v>
      </c>
    </row>
    <row r="34" spans="1:16" ht="20.100000000000001" customHeight="1" x14ac:dyDescent="0.2">
      <c r="A34" s="5" t="str">
        <f>HYPERLINK("#'5.1.1.1-2 Inorganic fert N2O'!A1", "5.1.1.1-2 Inorganic fert N2O")</f>
        <v>5.1.1.1-2 Inorganic fert N2O</v>
      </c>
      <c r="D34" s="1" t="s">
        <v>1783</v>
      </c>
      <c r="E34" s="20" t="s">
        <v>493</v>
      </c>
      <c r="F34" s="20" t="s">
        <v>338</v>
      </c>
      <c r="G34" s="20">
        <v>150</v>
      </c>
      <c r="H34" s="20">
        <v>720</v>
      </c>
      <c r="I34" s="20">
        <v>140</v>
      </c>
      <c r="J34" s="20">
        <v>320</v>
      </c>
      <c r="K34" s="20">
        <v>470</v>
      </c>
      <c r="L34" s="20">
        <v>140</v>
      </c>
      <c r="M34" s="20">
        <v>440</v>
      </c>
      <c r="O34" s="20" t="s">
        <v>520</v>
      </c>
      <c r="P34" s="20" t="s">
        <v>520</v>
      </c>
    </row>
    <row r="35" spans="1:16" ht="20.100000000000001" customHeight="1" x14ac:dyDescent="0.2">
      <c r="A35" s="5" t="str">
        <f>HYPERLINK("#'5.1.1.3-4 Inorganic fert CO2'!A1", "5.1.1.3-4 Inorganic fert CO2")</f>
        <v>5.1.1.3-4 Inorganic fert CO2</v>
      </c>
      <c r="D35" s="1" t="s">
        <v>1784</v>
      </c>
      <c r="E35" s="20" t="s">
        <v>322</v>
      </c>
      <c r="F35" s="20" t="s">
        <v>335</v>
      </c>
      <c r="G35" s="20">
        <v>340</v>
      </c>
      <c r="H35" s="20">
        <v>800</v>
      </c>
      <c r="I35" s="20">
        <v>260</v>
      </c>
      <c r="J35" s="20">
        <v>420</v>
      </c>
      <c r="K35" s="20">
        <v>550</v>
      </c>
      <c r="L35" s="20">
        <v>300</v>
      </c>
      <c r="M35" s="20">
        <v>480</v>
      </c>
      <c r="O35" s="20" t="s">
        <v>521</v>
      </c>
      <c r="P35" s="20" t="s">
        <v>521</v>
      </c>
    </row>
    <row r="36" spans="1:16" ht="20.100000000000001" customHeight="1" x14ac:dyDescent="0.2">
      <c r="A36" s="5" t="str">
        <f>HYPERLINK("#'5.2.1.1-2 Organic Fert N2O'!A1", "5.2.1.1-2 Organic fert N2O")</f>
        <v>5.2.1.1-2 Organic fert N2O</v>
      </c>
      <c r="D36" s="1" t="s">
        <v>1784</v>
      </c>
      <c r="E36" s="20" t="s">
        <v>322</v>
      </c>
      <c r="F36" s="20" t="s">
        <v>336</v>
      </c>
      <c r="G36" s="20">
        <v>380</v>
      </c>
      <c r="H36" s="20">
        <v>780</v>
      </c>
      <c r="I36" s="20">
        <v>300</v>
      </c>
      <c r="J36" s="20">
        <v>450</v>
      </c>
      <c r="K36" s="20">
        <v>530</v>
      </c>
      <c r="L36" s="20">
        <v>340</v>
      </c>
      <c r="M36" s="20">
        <v>470</v>
      </c>
      <c r="O36" s="20" t="s">
        <v>522</v>
      </c>
      <c r="P36" s="20" t="s">
        <v>522</v>
      </c>
    </row>
    <row r="37" spans="1:16" ht="20.100000000000001" customHeight="1" x14ac:dyDescent="0.2">
      <c r="A37" s="5" t="str">
        <f>HYPERLINK("#'5.3.1.1-2 Lime CO2'!A1", "5.3.1.1-2 Lime CO2")</f>
        <v>5.3.1.1-2 Lime CO2</v>
      </c>
      <c r="D37" s="1" t="s">
        <v>1784</v>
      </c>
      <c r="E37" s="20" t="s">
        <v>322</v>
      </c>
      <c r="F37" s="20" t="s">
        <v>337</v>
      </c>
      <c r="G37" s="20">
        <v>100</v>
      </c>
      <c r="H37" s="20">
        <v>680</v>
      </c>
      <c r="I37" s="20">
        <v>80</v>
      </c>
      <c r="J37" s="20">
        <v>320</v>
      </c>
      <c r="K37" s="20">
        <v>480</v>
      </c>
      <c r="L37" s="20">
        <v>100</v>
      </c>
      <c r="M37" s="20">
        <v>340</v>
      </c>
      <c r="O37" s="20" t="s">
        <v>523</v>
      </c>
      <c r="P37" s="20" t="s">
        <v>523</v>
      </c>
    </row>
    <row r="38" spans="1:16" ht="20.100000000000001" customHeight="1" x14ac:dyDescent="0.2">
      <c r="A38" s="5" t="str">
        <f>HYPERLINK("#'5.4.1.1-4 Atmos deposition'!A1", "5.4.1.1-4 Atmos. deposition")</f>
        <v>5.4.1.1-4 Atmos. deposition</v>
      </c>
      <c r="D38" s="1" t="s">
        <v>1784</v>
      </c>
      <c r="E38" s="20" t="s">
        <v>322</v>
      </c>
      <c r="F38" s="20" t="s">
        <v>338</v>
      </c>
      <c r="G38" s="20">
        <v>190</v>
      </c>
      <c r="H38" s="20">
        <v>700</v>
      </c>
      <c r="I38" s="20">
        <v>150</v>
      </c>
      <c r="J38" s="20">
        <v>330</v>
      </c>
      <c r="K38" s="20">
        <v>490</v>
      </c>
      <c r="L38" s="20">
        <v>170</v>
      </c>
      <c r="M38" s="20">
        <v>360</v>
      </c>
      <c r="O38" s="20" t="s">
        <v>524</v>
      </c>
      <c r="P38" s="20" t="s">
        <v>525</v>
      </c>
    </row>
    <row r="39" spans="1:16" ht="20.100000000000001" customHeight="1" x14ac:dyDescent="0.2">
      <c r="A39" s="5" t="str">
        <f>HYPERLINK("#'5.5.1.1-2 Leaching and runoff'!A1", "5.5.1.1-2 Leaching &amp; runoff")</f>
        <v>5.5.1.1-2 Leaching &amp; runoff</v>
      </c>
      <c r="D39" s="1" t="s">
        <v>1784</v>
      </c>
      <c r="E39" s="20" t="s">
        <v>495</v>
      </c>
      <c r="F39" s="20" t="s">
        <v>335</v>
      </c>
      <c r="G39" s="20">
        <v>80</v>
      </c>
      <c r="H39" s="20">
        <v>450</v>
      </c>
      <c r="I39" s="20">
        <v>70</v>
      </c>
      <c r="J39" s="20">
        <v>260</v>
      </c>
      <c r="K39" s="20">
        <v>340</v>
      </c>
      <c r="L39" s="20">
        <v>80</v>
      </c>
      <c r="M39" s="20">
        <v>370</v>
      </c>
      <c r="O39" s="20" t="s">
        <v>526</v>
      </c>
      <c r="P39" s="20" t="s">
        <v>525</v>
      </c>
    </row>
    <row r="40" spans="1:16" ht="20.100000000000001" customHeight="1" x14ac:dyDescent="0.2">
      <c r="A40" s="5" t="str">
        <f>HYPERLINK("#'6.2.1.1-2 Pasture residue N2O'!A1", "6.2.1.1-2 Pasture residue N2O")</f>
        <v>6.2.1.1-2 Pasture residue N2O</v>
      </c>
      <c r="D40" s="1" t="s">
        <v>1784</v>
      </c>
      <c r="E40" s="20" t="s">
        <v>495</v>
      </c>
      <c r="F40" s="20" t="s">
        <v>336</v>
      </c>
      <c r="G40" s="20">
        <v>150</v>
      </c>
      <c r="H40" s="20">
        <v>500</v>
      </c>
      <c r="I40" s="20">
        <v>140</v>
      </c>
      <c r="J40" s="20">
        <v>310</v>
      </c>
      <c r="K40" s="20">
        <v>360</v>
      </c>
      <c r="L40" s="20">
        <v>150</v>
      </c>
      <c r="M40" s="20">
        <v>400</v>
      </c>
      <c r="O40" s="20" t="s">
        <v>527</v>
      </c>
      <c r="P40" s="20" t="s">
        <v>525</v>
      </c>
    </row>
    <row r="41" spans="1:16" ht="20.100000000000001" customHeight="1" x14ac:dyDescent="0.2">
      <c r="A41" s="5" t="str">
        <f>HYPERLINK("#'6.3.1.1-2 Leach runoff pasture'!A1", "6.3.1.1-2 Leach &amp; runoff (pasture)")</f>
        <v>6.3.1.1-2 Leach &amp; runoff (pasture)</v>
      </c>
      <c r="D41" s="1" t="s">
        <v>1784</v>
      </c>
      <c r="E41" s="20" t="s">
        <v>495</v>
      </c>
      <c r="F41" s="20" t="s">
        <v>337</v>
      </c>
      <c r="G41" s="20">
        <v>230</v>
      </c>
      <c r="H41" s="20">
        <v>550</v>
      </c>
      <c r="I41" s="20">
        <v>220</v>
      </c>
      <c r="J41" s="20">
        <v>330</v>
      </c>
      <c r="K41" s="20">
        <v>380</v>
      </c>
      <c r="L41" s="20">
        <v>230</v>
      </c>
      <c r="M41" s="20">
        <v>420</v>
      </c>
      <c r="O41" s="20" t="s">
        <v>528</v>
      </c>
      <c r="P41" s="20" t="s">
        <v>529</v>
      </c>
    </row>
    <row r="42" spans="1:16" ht="20.100000000000001" customHeight="1" x14ac:dyDescent="0.2">
      <c r="A42" s="5" t="str">
        <f>HYPERLINK("#'8.1.1.1-2 Transport fuel'!A1", "8.1.1.1-2 Transport fuel")</f>
        <v>8.1.1.1-2 Transport fuel</v>
      </c>
      <c r="D42" s="1" t="s">
        <v>1784</v>
      </c>
      <c r="E42" s="20" t="s">
        <v>495</v>
      </c>
      <c r="F42" s="20" t="s">
        <v>338</v>
      </c>
      <c r="G42" s="20">
        <v>250</v>
      </c>
      <c r="H42" s="20">
        <v>500</v>
      </c>
      <c r="I42" s="20">
        <v>240</v>
      </c>
      <c r="J42" s="20">
        <v>340</v>
      </c>
      <c r="K42" s="20">
        <v>360</v>
      </c>
      <c r="L42" s="20">
        <v>250</v>
      </c>
      <c r="M42" s="20">
        <v>390</v>
      </c>
      <c r="O42" s="20" t="s">
        <v>530</v>
      </c>
      <c r="P42" s="20" t="s">
        <v>529</v>
      </c>
    </row>
    <row r="43" spans="1:16" ht="20.100000000000001" customHeight="1" x14ac:dyDescent="0.2">
      <c r="A43" s="5" t="str">
        <f>HYPERLINK("#'8.2.1.1-2 Stationary fuel'!A1", "8.2.1.1-2 Stationary fuel")</f>
        <v>8.2.1.1-2 Stationary fuel</v>
      </c>
      <c r="D43" s="1" t="s">
        <v>1784</v>
      </c>
      <c r="E43" s="20" t="s">
        <v>498</v>
      </c>
      <c r="F43" s="20" t="s">
        <v>335</v>
      </c>
      <c r="G43" s="20">
        <v>220</v>
      </c>
      <c r="H43" s="20">
        <v>500</v>
      </c>
      <c r="I43" s="20">
        <v>180</v>
      </c>
      <c r="J43" s="20">
        <v>300</v>
      </c>
      <c r="K43" s="20">
        <v>320</v>
      </c>
      <c r="L43" s="20">
        <v>210</v>
      </c>
      <c r="M43" s="20">
        <v>340</v>
      </c>
      <c r="O43" s="20" t="s">
        <v>531</v>
      </c>
      <c r="P43" s="20" t="s">
        <v>529</v>
      </c>
    </row>
    <row r="44" spans="1:16" ht="20.100000000000001" customHeight="1" x14ac:dyDescent="0.2">
      <c r="A44" s="5" t="str">
        <f>HYPERLINK("#'10.1.1-2 Solid waste treatment'!A1", "10.1.1.1-2 Solid waste")</f>
        <v>10.1.1.1-2 Solid waste</v>
      </c>
      <c r="D44" s="1" t="s">
        <v>1784</v>
      </c>
      <c r="E44" s="20" t="s">
        <v>498</v>
      </c>
      <c r="F44" s="20" t="s">
        <v>336</v>
      </c>
      <c r="G44" s="20">
        <v>110</v>
      </c>
      <c r="H44" s="20">
        <v>550</v>
      </c>
      <c r="I44" s="20">
        <v>90</v>
      </c>
      <c r="J44" s="20">
        <v>220</v>
      </c>
      <c r="K44" s="20">
        <v>380</v>
      </c>
      <c r="L44" s="20">
        <v>100</v>
      </c>
      <c r="M44" s="20">
        <v>390</v>
      </c>
      <c r="O44" s="20" t="s">
        <v>532</v>
      </c>
      <c r="P44" s="20" t="s">
        <v>533</v>
      </c>
    </row>
    <row r="45" spans="1:16" ht="20.100000000000001" customHeight="1" x14ac:dyDescent="0.2">
      <c r="A45" s="5" t="str">
        <f>HYPERLINK("#'14.1.1-2 Purchased electricity'!A1", "14.1.1-2 Purchased electricity")</f>
        <v>14.1.1-2 Purchased electricity</v>
      </c>
      <c r="D45" s="1" t="s">
        <v>1784</v>
      </c>
      <c r="E45" s="20" t="s">
        <v>498</v>
      </c>
      <c r="F45" s="20" t="s">
        <v>337</v>
      </c>
      <c r="G45" s="20">
        <v>170</v>
      </c>
      <c r="H45" s="20">
        <v>600</v>
      </c>
      <c r="I45" s="20">
        <v>140</v>
      </c>
      <c r="J45" s="20">
        <v>270</v>
      </c>
      <c r="K45" s="20">
        <v>390</v>
      </c>
      <c r="L45" s="20">
        <v>160</v>
      </c>
      <c r="M45" s="20">
        <v>430</v>
      </c>
      <c r="O45" s="20" t="s">
        <v>534</v>
      </c>
      <c r="P45" s="20" t="s">
        <v>533</v>
      </c>
    </row>
    <row r="46" spans="1:16" ht="20.100000000000001" customHeight="1" x14ac:dyDescent="0.2">
      <c r="A46" s="5" t="str">
        <f>HYPERLINK("#'15 Scope 3'!A1", "15 Scope 3")</f>
        <v>15 Scope 3</v>
      </c>
      <c r="D46" s="1" t="s">
        <v>1784</v>
      </c>
      <c r="E46" s="20" t="s">
        <v>498</v>
      </c>
      <c r="F46" s="20" t="s">
        <v>338</v>
      </c>
      <c r="G46" s="20">
        <v>200</v>
      </c>
      <c r="H46" s="20">
        <v>550</v>
      </c>
      <c r="I46" s="20">
        <v>150</v>
      </c>
      <c r="J46" s="20">
        <v>280</v>
      </c>
      <c r="K46" s="20">
        <v>350</v>
      </c>
      <c r="L46" s="20">
        <v>190</v>
      </c>
      <c r="M46" s="20">
        <v>400</v>
      </c>
      <c r="O46" s="20" t="s">
        <v>535</v>
      </c>
      <c r="P46" s="20" t="s">
        <v>533</v>
      </c>
    </row>
    <row r="47" spans="1:16" ht="20.100000000000001" customHeight="1" x14ac:dyDescent="0.2">
      <c r="A47" s="5" t="str">
        <f>HYPERLINK("#'Calcs - Manure sent off-site'!A1", "Calcs - Manure sent off-site")</f>
        <v>Calcs - Manure sent off-site</v>
      </c>
      <c r="M47" s="1"/>
      <c r="O47" s="20" t="s">
        <v>536</v>
      </c>
      <c r="P47" s="20" t="s">
        <v>533</v>
      </c>
    </row>
    <row r="48" spans="1:16" ht="20.100000000000001" customHeight="1" x14ac:dyDescent="0.2">
      <c r="M48" s="1"/>
      <c r="O48" s="1" t="s">
        <v>537</v>
      </c>
      <c r="P48" s="1" t="s">
        <v>537</v>
      </c>
    </row>
    <row r="49" spans="1:16" ht="20.100000000000001" customHeight="1" x14ac:dyDescent="0.2">
      <c r="D49" s="2" t="s">
        <v>1785</v>
      </c>
      <c r="M49" s="1"/>
    </row>
    <row r="50" spans="1:16" ht="20.100000000000001" customHeight="1" x14ac:dyDescent="0.2">
      <c r="A50" s="85" t="s">
        <v>1</v>
      </c>
      <c r="D50" s="17" t="s">
        <v>1786</v>
      </c>
      <c r="M50" s="1"/>
    </row>
    <row r="51" spans="1:16" ht="20.100000000000001" customHeight="1" x14ac:dyDescent="0.2">
      <c r="A51" s="86" t="str">
        <f>HYPERLINK("#'Constants - Pasture Beef'!A1", "Constants - Pasture Beef")</f>
        <v>Constants - Pasture Beef</v>
      </c>
      <c r="D51" s="1" t="s">
        <v>1779</v>
      </c>
      <c r="M51" s="1"/>
    </row>
    <row r="52" spans="1:16" ht="20.100000000000001" customHeight="1" x14ac:dyDescent="0.2">
      <c r="A52" s="5" t="str">
        <f>HYPERLINK("#'Constants - Ag Residue'!A1", "Constants - Ag residue")</f>
        <v>Constants - Ag residue</v>
      </c>
      <c r="D52" s="9" t="s">
        <v>636</v>
      </c>
      <c r="M52" s="1"/>
    </row>
    <row r="53" spans="1:16" ht="20.100000000000001" customHeight="1" x14ac:dyDescent="0.2">
      <c r="A53" s="5" t="str">
        <f>HYPERLINK("#'Constants - Common Livestock'!A1", "Constants - Common Livestock")</f>
        <v>Constants - Common Livestock</v>
      </c>
      <c r="D53" s="20" t="s">
        <v>105</v>
      </c>
      <c r="E53" s="20" t="s">
        <v>489</v>
      </c>
      <c r="F53" s="20" t="s">
        <v>76</v>
      </c>
      <c r="G53" s="20" t="s">
        <v>538</v>
      </c>
      <c r="H53" s="20" t="s">
        <v>539</v>
      </c>
      <c r="I53" s="20" t="s">
        <v>540</v>
      </c>
      <c r="J53" s="20" t="s">
        <v>541</v>
      </c>
      <c r="K53" s="20" t="s">
        <v>542</v>
      </c>
      <c r="L53" s="20" t="s">
        <v>543</v>
      </c>
      <c r="M53" s="20" t="s">
        <v>544</v>
      </c>
      <c r="N53" s="20" t="s">
        <v>545</v>
      </c>
      <c r="O53" s="20" t="s">
        <v>546</v>
      </c>
      <c r="P53" s="20" t="s">
        <v>547</v>
      </c>
    </row>
    <row r="54" spans="1:16" ht="20.100000000000001" customHeight="1" x14ac:dyDescent="0.2">
      <c r="A54" s="5" t="str">
        <f>HYPERLINK("#'Constants - Electricity'!A1", "Constants - Electricity")</f>
        <v>Constants - Electricity</v>
      </c>
      <c r="D54" s="20" t="s">
        <v>1787</v>
      </c>
      <c r="E54" s="20" t="s">
        <v>491</v>
      </c>
      <c r="F54" s="20" t="s">
        <v>335</v>
      </c>
      <c r="G54" s="20">
        <v>220</v>
      </c>
      <c r="H54" s="20">
        <v>706</v>
      </c>
      <c r="I54" s="20">
        <v>208</v>
      </c>
      <c r="J54" s="20">
        <v>323</v>
      </c>
      <c r="K54" s="20">
        <v>415</v>
      </c>
      <c r="L54" s="20">
        <v>467</v>
      </c>
      <c r="M54" s="20">
        <v>223</v>
      </c>
      <c r="N54" s="20">
        <v>371</v>
      </c>
      <c r="O54" s="20">
        <v>493</v>
      </c>
      <c r="P54" s="20">
        <v>585</v>
      </c>
    </row>
    <row r="55" spans="1:16" ht="20.100000000000001" customHeight="1" x14ac:dyDescent="0.2">
      <c r="A55" s="5" t="str">
        <f>HYPERLINK("#'Constants - Fertiliser'!A1", "Constants - Fertiliser")</f>
        <v>Constants - Fertiliser</v>
      </c>
      <c r="D55" s="1" t="s">
        <v>1787</v>
      </c>
      <c r="E55" s="20" t="s">
        <v>491</v>
      </c>
      <c r="F55" s="20" t="s">
        <v>336</v>
      </c>
      <c r="G55" s="20">
        <v>110</v>
      </c>
      <c r="H55" s="20">
        <v>703</v>
      </c>
      <c r="I55" s="20">
        <v>112</v>
      </c>
      <c r="J55" s="20">
        <v>256</v>
      </c>
      <c r="K55" s="20">
        <v>368</v>
      </c>
      <c r="L55" s="20">
        <v>465</v>
      </c>
      <c r="M55" s="20">
        <v>108</v>
      </c>
      <c r="N55" s="20">
        <v>280</v>
      </c>
      <c r="O55" s="20">
        <v>421</v>
      </c>
      <c r="P55" s="20">
        <v>543</v>
      </c>
    </row>
    <row r="56" spans="1:16" ht="20.100000000000001" customHeight="1" x14ac:dyDescent="0.2">
      <c r="A56" s="5" t="str">
        <f>HYPERLINK("#'Constants - Fuel'!A1", "Constants - Fuel")</f>
        <v>Constants - Fuel</v>
      </c>
      <c r="D56" s="1" t="s">
        <v>1787</v>
      </c>
      <c r="E56" s="20" t="s">
        <v>491</v>
      </c>
      <c r="F56" s="20" t="s">
        <v>337</v>
      </c>
      <c r="G56" s="20">
        <v>170</v>
      </c>
      <c r="H56" s="20">
        <v>721</v>
      </c>
      <c r="I56" s="20">
        <v>169</v>
      </c>
      <c r="J56" s="20">
        <v>306</v>
      </c>
      <c r="K56" s="20">
        <v>392</v>
      </c>
      <c r="L56" s="20">
        <v>464</v>
      </c>
      <c r="M56" s="20">
        <v>176</v>
      </c>
      <c r="N56" s="20">
        <v>339</v>
      </c>
      <c r="O56" s="20">
        <v>470</v>
      </c>
      <c r="P56" s="20">
        <v>580</v>
      </c>
    </row>
    <row r="57" spans="1:16" ht="20.100000000000001" customHeight="1" x14ac:dyDescent="0.2">
      <c r="A57" s="5" t="str">
        <f>HYPERLINK("#'Constants - Scope 3'!A1", "Constants - Scope 3")</f>
        <v>Constants - Scope 3</v>
      </c>
      <c r="D57" s="1" t="s">
        <v>1787</v>
      </c>
      <c r="E57" s="20" t="s">
        <v>491</v>
      </c>
      <c r="F57" s="20" t="s">
        <v>338</v>
      </c>
      <c r="G57" s="20">
        <v>200</v>
      </c>
      <c r="H57" s="20">
        <v>727</v>
      </c>
      <c r="I57" s="20">
        <v>211</v>
      </c>
      <c r="J57" s="20">
        <v>338</v>
      </c>
      <c r="K57" s="20">
        <v>432</v>
      </c>
      <c r="L57" s="20">
        <v>492</v>
      </c>
      <c r="M57" s="20">
        <v>222</v>
      </c>
      <c r="N57" s="20">
        <v>377</v>
      </c>
      <c r="O57" s="20">
        <v>498</v>
      </c>
      <c r="P57" s="20">
        <v>590</v>
      </c>
    </row>
    <row r="58" spans="1:16" ht="20.100000000000001" customHeight="1" x14ac:dyDescent="0.2">
      <c r="A58" s="5" t="str">
        <f>HYPERLINK("#'Constants - Solid Waste'!A1", "Constants - Solid Waste")</f>
        <v>Constants - Solid Waste</v>
      </c>
      <c r="D58" s="1" t="s">
        <v>1787</v>
      </c>
      <c r="E58" s="20" t="s">
        <v>496</v>
      </c>
      <c r="F58" s="20" t="s">
        <v>335</v>
      </c>
      <c r="G58" s="20">
        <v>220</v>
      </c>
      <c r="H58" s="20">
        <v>620</v>
      </c>
      <c r="I58" s="20">
        <v>227</v>
      </c>
      <c r="J58" s="20">
        <v>319</v>
      </c>
      <c r="K58" s="20">
        <v>398</v>
      </c>
      <c r="L58" s="20">
        <v>452</v>
      </c>
      <c r="M58" s="20">
        <v>216</v>
      </c>
      <c r="N58" s="20">
        <v>334</v>
      </c>
      <c r="O58" s="20" t="s">
        <v>1788</v>
      </c>
      <c r="P58" s="20" t="s">
        <v>1788</v>
      </c>
    </row>
    <row r="59" spans="1:16" ht="20.100000000000001" customHeight="1" x14ac:dyDescent="0.2">
      <c r="A59" s="5" t="str">
        <f>HYPERLINK("#'Constants - Common'!A1", "Constants - Common")</f>
        <v>Constants - Common</v>
      </c>
      <c r="D59" s="1" t="s">
        <v>1787</v>
      </c>
      <c r="E59" s="20" t="s">
        <v>496</v>
      </c>
      <c r="F59" s="20" t="s">
        <v>336</v>
      </c>
      <c r="G59" s="20">
        <v>110</v>
      </c>
      <c r="H59" s="20">
        <v>650</v>
      </c>
      <c r="I59" s="20">
        <v>108</v>
      </c>
      <c r="J59" s="20">
        <v>262</v>
      </c>
      <c r="K59" s="20">
        <v>346</v>
      </c>
      <c r="L59" s="20">
        <v>430</v>
      </c>
      <c r="M59" s="20">
        <v>111</v>
      </c>
      <c r="N59" s="20">
        <v>236</v>
      </c>
      <c r="O59" s="20" t="s">
        <v>1788</v>
      </c>
      <c r="P59" s="20" t="s">
        <v>1788</v>
      </c>
    </row>
    <row r="60" spans="1:16" ht="20.100000000000001" customHeight="1" x14ac:dyDescent="0.2">
      <c r="A60" s="5" t="str">
        <f>HYPERLINK("#'Acknowledgements'!A1", "Acknowledgements")</f>
        <v>Acknowledgements</v>
      </c>
      <c r="D60" s="1" t="s">
        <v>1787</v>
      </c>
      <c r="E60" s="20" t="s">
        <v>496</v>
      </c>
      <c r="F60" s="20" t="s">
        <v>337</v>
      </c>
      <c r="G60" s="20">
        <v>170</v>
      </c>
      <c r="H60" s="20">
        <v>670</v>
      </c>
      <c r="I60" s="20">
        <v>170</v>
      </c>
      <c r="J60" s="20">
        <v>266</v>
      </c>
      <c r="K60" s="20">
        <v>363</v>
      </c>
      <c r="L60" s="20">
        <v>444</v>
      </c>
      <c r="M60" s="20">
        <v>169</v>
      </c>
      <c r="N60" s="20">
        <v>282</v>
      </c>
      <c r="O60" s="20" t="s">
        <v>1788</v>
      </c>
      <c r="P60" s="20" t="s">
        <v>1788</v>
      </c>
    </row>
    <row r="61" spans="1:16" ht="20.100000000000001" customHeight="1" x14ac:dyDescent="0.2">
      <c r="D61" s="1" t="s">
        <v>1787</v>
      </c>
      <c r="E61" s="20" t="s">
        <v>496</v>
      </c>
      <c r="F61" s="20" t="s">
        <v>338</v>
      </c>
      <c r="G61" s="20">
        <v>200</v>
      </c>
      <c r="H61" s="20">
        <v>660</v>
      </c>
      <c r="I61" s="20">
        <v>225</v>
      </c>
      <c r="J61" s="20">
        <v>307</v>
      </c>
      <c r="K61" s="20">
        <v>398</v>
      </c>
      <c r="L61" s="20">
        <v>452</v>
      </c>
      <c r="M61" s="20">
        <v>214</v>
      </c>
      <c r="N61" s="20">
        <v>326</v>
      </c>
      <c r="O61" s="20" t="s">
        <v>1788</v>
      </c>
      <c r="P61" s="20" t="s">
        <v>1788</v>
      </c>
    </row>
    <row r="62" spans="1:16" ht="20.100000000000001" customHeight="1" x14ac:dyDescent="0.2">
      <c r="D62" s="1" t="s">
        <v>1787</v>
      </c>
      <c r="E62" s="20" t="s">
        <v>499</v>
      </c>
      <c r="F62" s="20" t="s">
        <v>335</v>
      </c>
      <c r="G62" s="20">
        <v>220</v>
      </c>
      <c r="H62" s="20">
        <v>620</v>
      </c>
      <c r="I62" s="20">
        <v>177</v>
      </c>
      <c r="J62" s="20">
        <v>267</v>
      </c>
      <c r="K62" s="20">
        <v>365</v>
      </c>
      <c r="L62" s="20">
        <v>406</v>
      </c>
      <c r="M62" s="20">
        <v>231</v>
      </c>
      <c r="N62" s="20">
        <v>249</v>
      </c>
      <c r="O62" s="20">
        <v>324</v>
      </c>
      <c r="P62" s="20" t="s">
        <v>1788</v>
      </c>
    </row>
    <row r="63" spans="1:16" ht="20.100000000000001" customHeight="1" x14ac:dyDescent="0.2">
      <c r="D63" s="1" t="s">
        <v>1787</v>
      </c>
      <c r="E63" s="20" t="s">
        <v>499</v>
      </c>
      <c r="F63" s="20" t="s">
        <v>336</v>
      </c>
      <c r="G63" s="20">
        <v>110</v>
      </c>
      <c r="H63" s="20">
        <v>650</v>
      </c>
      <c r="I63" s="20">
        <v>102</v>
      </c>
      <c r="J63" s="20">
        <v>203</v>
      </c>
      <c r="K63" s="20">
        <v>299</v>
      </c>
      <c r="L63" s="20">
        <v>380</v>
      </c>
      <c r="M63" s="20">
        <v>102</v>
      </c>
      <c r="N63" s="20">
        <v>218</v>
      </c>
      <c r="O63" s="20">
        <v>263</v>
      </c>
      <c r="P63" s="20" t="s">
        <v>1788</v>
      </c>
    </row>
    <row r="64" spans="1:16" ht="20.100000000000001" customHeight="1" x14ac:dyDescent="0.2">
      <c r="D64" s="1" t="s">
        <v>1787</v>
      </c>
      <c r="E64" s="20" t="s">
        <v>499</v>
      </c>
      <c r="F64" s="20" t="s">
        <v>337</v>
      </c>
      <c r="G64" s="20">
        <v>170</v>
      </c>
      <c r="H64" s="20">
        <v>670</v>
      </c>
      <c r="I64" s="20">
        <v>173</v>
      </c>
      <c r="J64" s="20">
        <v>250</v>
      </c>
      <c r="K64" s="20">
        <v>336</v>
      </c>
      <c r="L64" s="20">
        <v>414</v>
      </c>
      <c r="M64" s="20">
        <v>175</v>
      </c>
      <c r="N64" s="20">
        <v>243</v>
      </c>
      <c r="O64" s="20">
        <v>304</v>
      </c>
      <c r="P64" s="20" t="s">
        <v>1788</v>
      </c>
    </row>
    <row r="65" spans="4:22" ht="20.100000000000001" customHeight="1" x14ac:dyDescent="0.2">
      <c r="D65" s="1" t="s">
        <v>1787</v>
      </c>
      <c r="E65" s="20" t="s">
        <v>499</v>
      </c>
      <c r="F65" s="20" t="s">
        <v>338</v>
      </c>
      <c r="G65" s="20">
        <v>200</v>
      </c>
      <c r="H65" s="20">
        <v>660</v>
      </c>
      <c r="I65" s="20">
        <v>202</v>
      </c>
      <c r="J65" s="20">
        <v>272</v>
      </c>
      <c r="K65" s="20">
        <v>365</v>
      </c>
      <c r="L65" s="20">
        <v>390</v>
      </c>
      <c r="M65" s="20">
        <v>208</v>
      </c>
      <c r="N65" s="20">
        <v>260</v>
      </c>
      <c r="O65" s="20">
        <v>337</v>
      </c>
      <c r="P65" s="20" t="s">
        <v>1788</v>
      </c>
    </row>
    <row r="66" spans="4:22" ht="20.100000000000001" customHeight="1" x14ac:dyDescent="0.2">
      <c r="D66" s="1" t="s">
        <v>1789</v>
      </c>
      <c r="E66" s="20" t="s">
        <v>492</v>
      </c>
      <c r="F66" s="20" t="s">
        <v>335</v>
      </c>
      <c r="G66" s="20">
        <v>260</v>
      </c>
      <c r="H66" s="20">
        <v>705</v>
      </c>
      <c r="I66" s="20">
        <v>215</v>
      </c>
      <c r="J66" s="20">
        <v>302</v>
      </c>
      <c r="K66" s="20">
        <v>416</v>
      </c>
      <c r="L66" s="20">
        <v>519</v>
      </c>
      <c r="M66" s="20">
        <v>234</v>
      </c>
      <c r="N66" s="20">
        <v>455</v>
      </c>
      <c r="O66" s="20">
        <v>551</v>
      </c>
      <c r="P66" s="20">
        <v>660</v>
      </c>
    </row>
    <row r="67" spans="4:22" ht="20.100000000000001" customHeight="1" x14ac:dyDescent="0.2">
      <c r="D67" s="1" t="s">
        <v>1789</v>
      </c>
      <c r="E67" s="20" t="s">
        <v>492</v>
      </c>
      <c r="F67" s="20" t="s">
        <v>336</v>
      </c>
      <c r="G67" s="20">
        <v>153</v>
      </c>
      <c r="H67" s="20">
        <v>703</v>
      </c>
      <c r="I67" s="20">
        <v>118</v>
      </c>
      <c r="J67" s="20">
        <v>277</v>
      </c>
      <c r="K67" s="20">
        <v>397</v>
      </c>
      <c r="L67" s="20">
        <v>483</v>
      </c>
      <c r="M67" s="20">
        <v>111</v>
      </c>
      <c r="N67" s="20">
        <v>304</v>
      </c>
      <c r="O67" s="20">
        <v>521</v>
      </c>
      <c r="P67" s="20">
        <v>547</v>
      </c>
    </row>
    <row r="68" spans="4:22" ht="20.100000000000001" customHeight="1" x14ac:dyDescent="0.2">
      <c r="D68" s="1" t="s">
        <v>1789</v>
      </c>
      <c r="E68" s="20" t="s">
        <v>492</v>
      </c>
      <c r="F68" s="20" t="s">
        <v>337</v>
      </c>
      <c r="G68" s="20">
        <v>168</v>
      </c>
      <c r="H68" s="20">
        <v>718</v>
      </c>
      <c r="I68" s="20">
        <v>191</v>
      </c>
      <c r="J68" s="20">
        <v>319</v>
      </c>
      <c r="K68" s="20">
        <v>440</v>
      </c>
      <c r="L68" s="20">
        <v>506</v>
      </c>
      <c r="M68" s="20">
        <v>188</v>
      </c>
      <c r="N68" s="20">
        <v>326</v>
      </c>
      <c r="O68" s="20">
        <v>520</v>
      </c>
      <c r="P68" s="20">
        <v>582</v>
      </c>
    </row>
    <row r="69" spans="4:22" ht="20.100000000000001" customHeight="1" x14ac:dyDescent="0.2">
      <c r="D69" s="1" t="s">
        <v>1789</v>
      </c>
      <c r="E69" s="20" t="s">
        <v>492</v>
      </c>
      <c r="F69" s="20" t="s">
        <v>338</v>
      </c>
      <c r="G69" s="20">
        <v>235</v>
      </c>
      <c r="H69" s="20">
        <v>722</v>
      </c>
      <c r="I69" s="20">
        <v>207</v>
      </c>
      <c r="J69" s="20">
        <v>352</v>
      </c>
      <c r="K69" s="20">
        <v>470</v>
      </c>
      <c r="L69" s="20">
        <v>514</v>
      </c>
      <c r="M69" s="20">
        <v>209</v>
      </c>
      <c r="N69" s="20">
        <v>421</v>
      </c>
      <c r="O69" s="20">
        <v>512</v>
      </c>
      <c r="P69" s="20">
        <v>605</v>
      </c>
    </row>
    <row r="70" spans="4:22" ht="20.100000000000001" customHeight="1" x14ac:dyDescent="0.2">
      <c r="D70" s="1" t="s">
        <v>1789</v>
      </c>
      <c r="E70" s="20" t="s">
        <v>497</v>
      </c>
      <c r="F70" s="20" t="s">
        <v>335</v>
      </c>
      <c r="G70" s="20">
        <v>230</v>
      </c>
      <c r="H70" s="20">
        <v>674</v>
      </c>
      <c r="I70" s="20">
        <v>217</v>
      </c>
      <c r="J70" s="20">
        <v>344</v>
      </c>
      <c r="K70" s="20">
        <v>357</v>
      </c>
      <c r="L70" s="20">
        <v>467</v>
      </c>
      <c r="M70" s="20">
        <v>242</v>
      </c>
      <c r="N70" s="20">
        <v>370</v>
      </c>
      <c r="O70" s="20">
        <v>550</v>
      </c>
      <c r="P70" s="20">
        <v>620</v>
      </c>
    </row>
    <row r="71" spans="4:22" ht="20.100000000000001" customHeight="1" x14ac:dyDescent="0.2">
      <c r="D71" s="1" t="s">
        <v>1789</v>
      </c>
      <c r="E71" s="20" t="s">
        <v>497</v>
      </c>
      <c r="F71" s="20" t="s">
        <v>336</v>
      </c>
      <c r="G71" s="20">
        <v>113</v>
      </c>
      <c r="H71" s="20">
        <v>669</v>
      </c>
      <c r="I71" s="20">
        <v>113</v>
      </c>
      <c r="J71" s="20">
        <v>283</v>
      </c>
      <c r="K71" s="20">
        <v>361</v>
      </c>
      <c r="L71" s="20">
        <v>477</v>
      </c>
      <c r="M71" s="20">
        <v>120</v>
      </c>
      <c r="N71" s="20">
        <v>273</v>
      </c>
      <c r="O71" s="20">
        <v>545</v>
      </c>
      <c r="P71" s="20">
        <v>553</v>
      </c>
      <c r="V71" s="1"/>
    </row>
    <row r="72" spans="4:22" ht="20.100000000000001" customHeight="1" x14ac:dyDescent="0.2">
      <c r="D72" s="1" t="s">
        <v>1789</v>
      </c>
      <c r="E72" s="20" t="s">
        <v>497</v>
      </c>
      <c r="F72" s="20" t="s">
        <v>337</v>
      </c>
      <c r="G72" s="20">
        <v>172</v>
      </c>
      <c r="H72" s="20">
        <v>685</v>
      </c>
      <c r="I72" s="20">
        <v>172</v>
      </c>
      <c r="J72" s="20">
        <v>309</v>
      </c>
      <c r="K72" s="20">
        <v>376</v>
      </c>
      <c r="L72" s="20">
        <v>471</v>
      </c>
      <c r="M72" s="20">
        <v>238</v>
      </c>
      <c r="N72" s="20">
        <v>329</v>
      </c>
      <c r="O72" s="20">
        <v>573</v>
      </c>
      <c r="P72" s="20">
        <v>620</v>
      </c>
      <c r="V72" s="1"/>
    </row>
    <row r="73" spans="4:22" ht="20.100000000000001" customHeight="1" x14ac:dyDescent="0.2">
      <c r="D73" s="1" t="s">
        <v>1789</v>
      </c>
      <c r="E73" s="20" t="s">
        <v>497</v>
      </c>
      <c r="F73" s="20" t="s">
        <v>338</v>
      </c>
      <c r="G73" s="20">
        <v>241</v>
      </c>
      <c r="H73" s="20">
        <v>692</v>
      </c>
      <c r="I73" s="20">
        <v>208</v>
      </c>
      <c r="J73" s="20">
        <v>344</v>
      </c>
      <c r="K73" s="20">
        <v>364</v>
      </c>
      <c r="L73" s="20">
        <v>484</v>
      </c>
      <c r="M73" s="20">
        <v>260</v>
      </c>
      <c r="N73" s="20">
        <v>350</v>
      </c>
      <c r="O73" s="20">
        <v>567</v>
      </c>
      <c r="P73" s="20">
        <v>620</v>
      </c>
      <c r="V73" s="1"/>
    </row>
    <row r="74" spans="4:22" ht="20.100000000000001" customHeight="1" x14ac:dyDescent="0.2">
      <c r="D74" s="1" t="s">
        <v>1789</v>
      </c>
      <c r="E74" s="20" t="s">
        <v>500</v>
      </c>
      <c r="F74" s="20" t="s">
        <v>335</v>
      </c>
      <c r="G74" s="20">
        <v>236</v>
      </c>
      <c r="H74" s="20">
        <v>674</v>
      </c>
      <c r="I74" s="20">
        <v>178</v>
      </c>
      <c r="J74" s="20">
        <v>310</v>
      </c>
      <c r="K74" s="20">
        <v>428</v>
      </c>
      <c r="L74" s="20">
        <v>466</v>
      </c>
      <c r="M74" s="20">
        <v>193</v>
      </c>
      <c r="N74" s="20">
        <v>370</v>
      </c>
      <c r="O74" s="20">
        <v>519</v>
      </c>
      <c r="P74" s="20">
        <v>565</v>
      </c>
      <c r="V74" s="1"/>
    </row>
    <row r="75" spans="4:22" ht="20.100000000000001" customHeight="1" x14ac:dyDescent="0.2">
      <c r="D75" s="1" t="s">
        <v>1789</v>
      </c>
      <c r="E75" s="20" t="s">
        <v>500</v>
      </c>
      <c r="F75" s="20" t="s">
        <v>336</v>
      </c>
      <c r="G75" s="20">
        <v>120</v>
      </c>
      <c r="H75" s="20">
        <v>669</v>
      </c>
      <c r="I75" s="20">
        <v>112</v>
      </c>
      <c r="J75" s="20">
        <v>250</v>
      </c>
      <c r="K75" s="20">
        <v>390</v>
      </c>
      <c r="L75" s="20">
        <v>448</v>
      </c>
      <c r="M75" s="20">
        <v>115</v>
      </c>
      <c r="N75" s="20">
        <v>273</v>
      </c>
      <c r="O75" s="20">
        <v>433</v>
      </c>
      <c r="P75" s="20">
        <v>556</v>
      </c>
      <c r="V75" s="1"/>
    </row>
    <row r="76" spans="4:22" ht="20.100000000000001" customHeight="1" x14ac:dyDescent="0.2">
      <c r="D76" s="1" t="s">
        <v>1789</v>
      </c>
      <c r="E76" s="20" t="s">
        <v>500</v>
      </c>
      <c r="F76" s="20" t="s">
        <v>337</v>
      </c>
      <c r="G76" s="20">
        <v>125</v>
      </c>
      <c r="H76" s="20">
        <v>685</v>
      </c>
      <c r="I76" s="20">
        <v>140</v>
      </c>
      <c r="J76" s="20">
        <v>277</v>
      </c>
      <c r="K76" s="20">
        <v>407</v>
      </c>
      <c r="L76" s="20">
        <v>455</v>
      </c>
      <c r="M76" s="20">
        <v>141</v>
      </c>
      <c r="N76" s="20">
        <v>296</v>
      </c>
      <c r="O76" s="20">
        <v>445</v>
      </c>
      <c r="P76" s="20">
        <v>593</v>
      </c>
      <c r="V76" s="1"/>
    </row>
    <row r="77" spans="4:22" ht="20.100000000000001" customHeight="1" x14ac:dyDescent="0.2">
      <c r="D77" s="1" t="s">
        <v>1789</v>
      </c>
      <c r="E77" s="20" t="s">
        <v>500</v>
      </c>
      <c r="F77" s="20" t="s">
        <v>338</v>
      </c>
      <c r="G77" s="20">
        <v>180</v>
      </c>
      <c r="H77" s="20">
        <v>692</v>
      </c>
      <c r="I77" s="20">
        <v>183</v>
      </c>
      <c r="J77" s="20">
        <v>316</v>
      </c>
      <c r="K77" s="20">
        <v>438</v>
      </c>
      <c r="L77" s="20">
        <v>468</v>
      </c>
      <c r="M77" s="20">
        <v>189</v>
      </c>
      <c r="N77" s="20">
        <v>354</v>
      </c>
      <c r="O77" s="20">
        <v>500</v>
      </c>
      <c r="P77" s="20">
        <v>553</v>
      </c>
      <c r="V77" s="1"/>
    </row>
    <row r="78" spans="4:22" ht="20.100000000000001" customHeight="1" x14ac:dyDescent="0.2">
      <c r="D78" s="1" t="s">
        <v>1789</v>
      </c>
      <c r="E78" s="20" t="s">
        <v>503</v>
      </c>
      <c r="F78" s="20" t="s">
        <v>335</v>
      </c>
      <c r="G78" s="20">
        <v>190</v>
      </c>
      <c r="H78" s="20">
        <v>617</v>
      </c>
      <c r="I78" s="20">
        <v>174</v>
      </c>
      <c r="J78" s="20">
        <v>265</v>
      </c>
      <c r="K78" s="20">
        <v>371</v>
      </c>
      <c r="L78" s="20">
        <v>415</v>
      </c>
      <c r="M78" s="20">
        <v>170</v>
      </c>
      <c r="N78" s="20">
        <v>272</v>
      </c>
      <c r="O78" s="20">
        <v>392</v>
      </c>
      <c r="P78" s="20">
        <v>531</v>
      </c>
    </row>
    <row r="79" spans="4:22" ht="20.100000000000001" customHeight="1" x14ac:dyDescent="0.2">
      <c r="D79" s="1" t="s">
        <v>1789</v>
      </c>
      <c r="E79" s="20" t="s">
        <v>503</v>
      </c>
      <c r="F79" s="20" t="s">
        <v>336</v>
      </c>
      <c r="G79" s="20">
        <v>119</v>
      </c>
      <c r="H79" s="20">
        <v>591</v>
      </c>
      <c r="I79" s="20">
        <v>140</v>
      </c>
      <c r="J79" s="20">
        <v>205</v>
      </c>
      <c r="K79" s="20">
        <v>310</v>
      </c>
      <c r="L79" s="20">
        <v>405</v>
      </c>
      <c r="M79" s="20">
        <v>133</v>
      </c>
      <c r="N79" s="20">
        <v>218</v>
      </c>
      <c r="O79" s="20">
        <v>315</v>
      </c>
      <c r="P79" s="20">
        <v>445</v>
      </c>
    </row>
    <row r="80" spans="4:22" ht="20.100000000000001" customHeight="1" x14ac:dyDescent="0.2">
      <c r="D80" s="1" t="s">
        <v>1789</v>
      </c>
      <c r="E80" s="20" t="s">
        <v>503</v>
      </c>
      <c r="F80" s="20" t="s">
        <v>337</v>
      </c>
      <c r="G80" s="20">
        <v>175</v>
      </c>
      <c r="H80" s="20">
        <v>610</v>
      </c>
      <c r="I80" s="20">
        <v>163</v>
      </c>
      <c r="J80" s="20">
        <v>232</v>
      </c>
      <c r="K80" s="20">
        <v>351</v>
      </c>
      <c r="L80" s="20">
        <v>427</v>
      </c>
      <c r="M80" s="20">
        <v>146</v>
      </c>
      <c r="N80" s="20">
        <v>242</v>
      </c>
      <c r="O80" s="20">
        <v>320</v>
      </c>
      <c r="P80" s="20">
        <v>471</v>
      </c>
    </row>
    <row r="81" spans="4:22" ht="20.100000000000001" customHeight="1" x14ac:dyDescent="0.2">
      <c r="D81" s="1" t="s">
        <v>1789</v>
      </c>
      <c r="E81" s="20" t="s">
        <v>503</v>
      </c>
      <c r="F81" s="20" t="s">
        <v>338</v>
      </c>
      <c r="G81" s="20">
        <v>192</v>
      </c>
      <c r="H81" s="20">
        <v>615</v>
      </c>
      <c r="I81" s="20">
        <v>162</v>
      </c>
      <c r="J81" s="20">
        <v>255</v>
      </c>
      <c r="K81" s="20">
        <v>364</v>
      </c>
      <c r="L81" s="20">
        <v>420</v>
      </c>
      <c r="M81" s="20">
        <v>157</v>
      </c>
      <c r="N81" s="20">
        <v>261</v>
      </c>
      <c r="O81" s="20">
        <v>342</v>
      </c>
      <c r="P81" s="20">
        <v>484</v>
      </c>
    </row>
    <row r="82" spans="4:22" ht="20.100000000000001" customHeight="1" x14ac:dyDescent="0.2">
      <c r="M82" s="1"/>
    </row>
    <row r="83" spans="4:22" ht="20.100000000000001" customHeight="1" x14ac:dyDescent="0.2">
      <c r="M83" s="1"/>
    </row>
    <row r="84" spans="4:22" ht="20.100000000000001" customHeight="1" x14ac:dyDescent="0.2">
      <c r="D84" s="2" t="s">
        <v>548</v>
      </c>
      <c r="M84" s="1"/>
    </row>
    <row r="85" spans="4:22" ht="20.100000000000001" customHeight="1" x14ac:dyDescent="0.2">
      <c r="D85" s="20" t="s">
        <v>105</v>
      </c>
      <c r="E85" s="20" t="s">
        <v>489</v>
      </c>
      <c r="F85" s="20" t="s">
        <v>76</v>
      </c>
      <c r="G85" s="123" t="s">
        <v>326</v>
      </c>
      <c r="H85" s="123" t="s">
        <v>184</v>
      </c>
      <c r="I85" s="123" t="s">
        <v>327</v>
      </c>
      <c r="J85" s="123" t="s">
        <v>328</v>
      </c>
      <c r="K85" s="123" t="s">
        <v>329</v>
      </c>
      <c r="L85" s="123" t="s">
        <v>330</v>
      </c>
      <c r="M85" s="123" t="s">
        <v>331</v>
      </c>
      <c r="N85" s="123" t="s">
        <v>332</v>
      </c>
      <c r="O85" s="123" t="s">
        <v>333</v>
      </c>
      <c r="P85" s="123" t="s">
        <v>334</v>
      </c>
      <c r="V85" s="1"/>
    </row>
    <row r="86" spans="4:22" ht="20.100000000000001" customHeight="1" x14ac:dyDescent="0.2">
      <c r="D86" s="20" t="s">
        <v>519</v>
      </c>
      <c r="E86" s="20" t="s">
        <v>493</v>
      </c>
      <c r="F86" s="20" t="str">
        <f>F19</f>
        <v>Spring</v>
      </c>
      <c r="G86" s="20">
        <f>G19</f>
        <v>80</v>
      </c>
      <c r="H86" s="20">
        <f t="shared" ref="H86:K89" si="0">H19</f>
        <v>480</v>
      </c>
      <c r="I86" s="20">
        <f>I19</f>
        <v>75</v>
      </c>
      <c r="J86" s="20">
        <f>J19</f>
        <v>300</v>
      </c>
      <c r="K86" s="20">
        <f>K19</f>
        <v>440</v>
      </c>
      <c r="L86" s="20">
        <f>K19</f>
        <v>440</v>
      </c>
      <c r="M86" s="20">
        <f>L19</f>
        <v>75</v>
      </c>
      <c r="N86" s="20">
        <f>M19</f>
        <v>380</v>
      </c>
      <c r="O86" s="20">
        <f>M19</f>
        <v>380</v>
      </c>
      <c r="P86" s="20">
        <f>M19</f>
        <v>380</v>
      </c>
      <c r="V86" s="1"/>
    </row>
    <row r="87" spans="4:22" ht="20.100000000000001" customHeight="1" x14ac:dyDescent="0.2">
      <c r="D87" s="20" t="s">
        <v>519</v>
      </c>
      <c r="E87" s="20" t="s">
        <v>493</v>
      </c>
      <c r="F87" s="20" t="s">
        <v>336</v>
      </c>
      <c r="G87" s="20">
        <f t="shared" ref="G87:G89" si="1">G20</f>
        <v>170</v>
      </c>
      <c r="H87" s="20">
        <f t="shared" si="0"/>
        <v>520</v>
      </c>
      <c r="I87" s="20">
        <f t="shared" si="0"/>
        <v>160</v>
      </c>
      <c r="J87" s="20">
        <f t="shared" si="0"/>
        <v>360</v>
      </c>
      <c r="K87" s="20">
        <f t="shared" si="0"/>
        <v>470</v>
      </c>
      <c r="L87" s="20">
        <f t="shared" ref="L87:N89" si="2">K20</f>
        <v>470</v>
      </c>
      <c r="M87" s="20">
        <f t="shared" si="2"/>
        <v>160</v>
      </c>
      <c r="N87" s="20">
        <f t="shared" si="2"/>
        <v>420</v>
      </c>
      <c r="O87" s="20">
        <f t="shared" ref="O87:O89" si="3">M20</f>
        <v>420</v>
      </c>
      <c r="P87" s="20">
        <f t="shared" ref="P87:P89" si="4">M20</f>
        <v>420</v>
      </c>
      <c r="V87" s="1"/>
    </row>
    <row r="88" spans="4:22" ht="20.100000000000001" customHeight="1" x14ac:dyDescent="0.2">
      <c r="D88" s="20" t="s">
        <v>519</v>
      </c>
      <c r="E88" s="20" t="s">
        <v>493</v>
      </c>
      <c r="F88" s="20" t="s">
        <v>337</v>
      </c>
      <c r="G88" s="20">
        <f t="shared" si="1"/>
        <v>240</v>
      </c>
      <c r="H88" s="20">
        <f t="shared" si="0"/>
        <v>550</v>
      </c>
      <c r="I88" s="20">
        <f t="shared" si="0"/>
        <v>220</v>
      </c>
      <c r="J88" s="20">
        <f t="shared" si="0"/>
        <v>390</v>
      </c>
      <c r="K88" s="20">
        <f t="shared" si="0"/>
        <v>490</v>
      </c>
      <c r="L88" s="20">
        <f t="shared" si="2"/>
        <v>490</v>
      </c>
      <c r="M88" s="20">
        <f t="shared" si="2"/>
        <v>220</v>
      </c>
      <c r="N88" s="20">
        <f t="shared" si="2"/>
        <v>450</v>
      </c>
      <c r="O88" s="20">
        <f t="shared" si="3"/>
        <v>450</v>
      </c>
      <c r="P88" s="20">
        <f t="shared" si="4"/>
        <v>450</v>
      </c>
      <c r="V88" s="1"/>
    </row>
    <row r="89" spans="4:22" ht="20.100000000000001" customHeight="1" x14ac:dyDescent="0.2">
      <c r="D89" s="20" t="s">
        <v>519</v>
      </c>
      <c r="E89" s="20" t="s">
        <v>493</v>
      </c>
      <c r="F89" s="20" t="s">
        <v>338</v>
      </c>
      <c r="G89" s="20">
        <f t="shared" si="1"/>
        <v>280</v>
      </c>
      <c r="H89" s="20">
        <f t="shared" si="0"/>
        <v>560</v>
      </c>
      <c r="I89" s="20">
        <f t="shared" si="0"/>
        <v>260</v>
      </c>
      <c r="J89" s="20">
        <f t="shared" si="0"/>
        <v>410</v>
      </c>
      <c r="K89" s="20">
        <f t="shared" si="0"/>
        <v>500</v>
      </c>
      <c r="L89" s="20">
        <f t="shared" si="2"/>
        <v>500</v>
      </c>
      <c r="M89" s="20">
        <f t="shared" si="2"/>
        <v>260</v>
      </c>
      <c r="N89" s="20">
        <f t="shared" si="2"/>
        <v>460</v>
      </c>
      <c r="O89" s="20">
        <f t="shared" si="3"/>
        <v>460</v>
      </c>
      <c r="P89" s="20">
        <f t="shared" si="4"/>
        <v>460</v>
      </c>
      <c r="V89" s="1"/>
    </row>
    <row r="90" spans="4:22" ht="20.100000000000001" customHeight="1" x14ac:dyDescent="0.2">
      <c r="D90" s="20" t="s">
        <v>520</v>
      </c>
      <c r="E90" s="20" t="s">
        <v>493</v>
      </c>
      <c r="F90" s="20" t="str">
        <f>F23</f>
        <v>Spring</v>
      </c>
      <c r="G90" s="20">
        <f>G19</f>
        <v>80</v>
      </c>
      <c r="H90" s="20">
        <f t="shared" ref="H90:J90" si="5">H19</f>
        <v>480</v>
      </c>
      <c r="I90" s="20">
        <f t="shared" si="5"/>
        <v>75</v>
      </c>
      <c r="J90" s="20">
        <f t="shared" si="5"/>
        <v>300</v>
      </c>
      <c r="K90" s="20">
        <f>K19</f>
        <v>440</v>
      </c>
      <c r="L90" s="20">
        <f>K19</f>
        <v>440</v>
      </c>
      <c r="M90" s="20">
        <f>L19</f>
        <v>75</v>
      </c>
      <c r="N90" s="20">
        <f>M19</f>
        <v>380</v>
      </c>
      <c r="O90" s="20">
        <f>M19</f>
        <v>380</v>
      </c>
      <c r="P90" s="20">
        <f>M19</f>
        <v>380</v>
      </c>
      <c r="V90" s="1"/>
    </row>
    <row r="91" spans="4:22" ht="20.100000000000001" customHeight="1" x14ac:dyDescent="0.2">
      <c r="D91" s="20" t="s">
        <v>520</v>
      </c>
      <c r="E91" s="20" t="s">
        <v>493</v>
      </c>
      <c r="F91" s="20" t="s">
        <v>336</v>
      </c>
      <c r="G91" s="20">
        <f t="shared" ref="G91:K94" si="6">G20</f>
        <v>170</v>
      </c>
      <c r="H91" s="20">
        <f t="shared" si="6"/>
        <v>520</v>
      </c>
      <c r="I91" s="20">
        <f t="shared" si="6"/>
        <v>160</v>
      </c>
      <c r="J91" s="20">
        <f t="shared" si="6"/>
        <v>360</v>
      </c>
      <c r="K91" s="20">
        <f t="shared" si="6"/>
        <v>470</v>
      </c>
      <c r="L91" s="20">
        <f t="shared" ref="L91:N105" si="7">K20</f>
        <v>470</v>
      </c>
      <c r="M91" s="20">
        <f t="shared" si="7"/>
        <v>160</v>
      </c>
      <c r="N91" s="20">
        <f t="shared" si="7"/>
        <v>420</v>
      </c>
      <c r="O91" s="20">
        <f t="shared" ref="O91:O93" si="8">M20</f>
        <v>420</v>
      </c>
      <c r="P91" s="20">
        <f t="shared" ref="P91:P93" si="9">M20</f>
        <v>420</v>
      </c>
    </row>
    <row r="92" spans="4:22" ht="20.100000000000001" customHeight="1" x14ac:dyDescent="0.2">
      <c r="D92" s="20" t="s">
        <v>520</v>
      </c>
      <c r="E92" s="20" t="s">
        <v>493</v>
      </c>
      <c r="F92" s="20" t="s">
        <v>337</v>
      </c>
      <c r="G92" s="20">
        <f t="shared" si="6"/>
        <v>240</v>
      </c>
      <c r="H92" s="20">
        <f t="shared" si="6"/>
        <v>550</v>
      </c>
      <c r="I92" s="20">
        <f t="shared" si="6"/>
        <v>220</v>
      </c>
      <c r="J92" s="20">
        <f t="shared" si="6"/>
        <v>390</v>
      </c>
      <c r="K92" s="20">
        <f t="shared" si="6"/>
        <v>490</v>
      </c>
      <c r="L92" s="20">
        <f t="shared" si="7"/>
        <v>490</v>
      </c>
      <c r="M92" s="20">
        <f t="shared" si="7"/>
        <v>220</v>
      </c>
      <c r="N92" s="20">
        <f t="shared" si="7"/>
        <v>450</v>
      </c>
      <c r="O92" s="20">
        <f t="shared" si="8"/>
        <v>450</v>
      </c>
      <c r="P92" s="20">
        <f t="shared" si="9"/>
        <v>450</v>
      </c>
    </row>
    <row r="93" spans="4:22" ht="20.100000000000001" customHeight="1" x14ac:dyDescent="0.2">
      <c r="D93" s="20" t="s">
        <v>520</v>
      </c>
      <c r="E93" s="20" t="s">
        <v>493</v>
      </c>
      <c r="F93" s="20" t="s">
        <v>338</v>
      </c>
      <c r="G93" s="20">
        <f t="shared" si="6"/>
        <v>280</v>
      </c>
      <c r="H93" s="20">
        <f t="shared" si="6"/>
        <v>560</v>
      </c>
      <c r="I93" s="20">
        <f t="shared" si="6"/>
        <v>260</v>
      </c>
      <c r="J93" s="20">
        <f t="shared" si="6"/>
        <v>410</v>
      </c>
      <c r="K93" s="20">
        <f t="shared" si="6"/>
        <v>500</v>
      </c>
      <c r="L93" s="20">
        <f t="shared" si="7"/>
        <v>500</v>
      </c>
      <c r="M93" s="20">
        <f t="shared" si="7"/>
        <v>260</v>
      </c>
      <c r="N93" s="20">
        <f t="shared" si="7"/>
        <v>460</v>
      </c>
      <c r="O93" s="20">
        <f t="shared" si="8"/>
        <v>460</v>
      </c>
      <c r="P93" s="20">
        <f t="shared" si="9"/>
        <v>460</v>
      </c>
    </row>
    <row r="94" spans="4:22" ht="20.100000000000001" customHeight="1" x14ac:dyDescent="0.2">
      <c r="D94" s="20" t="s">
        <v>521</v>
      </c>
      <c r="E94" s="20" t="s">
        <v>493</v>
      </c>
      <c r="F94" s="20" t="str">
        <f>F27</f>
        <v>Spring</v>
      </c>
      <c r="G94" s="20">
        <f>G23</f>
        <v>250</v>
      </c>
      <c r="H94" s="20">
        <f t="shared" si="6"/>
        <v>800</v>
      </c>
      <c r="I94" s="20">
        <f t="shared" si="6"/>
        <v>220</v>
      </c>
      <c r="J94" s="20">
        <f>J23</f>
        <v>400</v>
      </c>
      <c r="K94" s="20">
        <f>K23</f>
        <v>500</v>
      </c>
      <c r="L94" s="20">
        <f>K23</f>
        <v>500</v>
      </c>
      <c r="M94" s="20">
        <f>L23</f>
        <v>230</v>
      </c>
      <c r="N94" s="20">
        <f>M23</f>
        <v>420</v>
      </c>
      <c r="O94" s="20">
        <f>M23</f>
        <v>420</v>
      </c>
      <c r="P94" s="20">
        <f>M23</f>
        <v>420</v>
      </c>
    </row>
    <row r="95" spans="4:22" ht="20.100000000000001" customHeight="1" x14ac:dyDescent="0.2">
      <c r="D95" s="20" t="s">
        <v>521</v>
      </c>
      <c r="E95" s="20" t="s">
        <v>493</v>
      </c>
      <c r="F95" s="20" t="s">
        <v>336</v>
      </c>
      <c r="G95" s="20">
        <f t="shared" ref="G95:K98" si="10">G24</f>
        <v>320</v>
      </c>
      <c r="H95" s="20">
        <f t="shared" si="10"/>
        <v>800</v>
      </c>
      <c r="I95" s="20">
        <f t="shared" si="10"/>
        <v>280</v>
      </c>
      <c r="J95" s="20">
        <f t="shared" si="10"/>
        <v>420</v>
      </c>
      <c r="K95" s="20">
        <f t="shared" si="10"/>
        <v>500</v>
      </c>
      <c r="L95" s="20">
        <f t="shared" ref="L95:M97" si="11">K24</f>
        <v>500</v>
      </c>
      <c r="M95" s="20">
        <f t="shared" si="11"/>
        <v>290</v>
      </c>
      <c r="N95" s="20">
        <f t="shared" si="7"/>
        <v>420</v>
      </c>
      <c r="O95" s="20">
        <f t="shared" ref="O95:O97" si="12">M24</f>
        <v>420</v>
      </c>
      <c r="P95" s="20">
        <f t="shared" ref="P95:P97" si="13">M24</f>
        <v>420</v>
      </c>
    </row>
    <row r="96" spans="4:22" ht="20.100000000000001" customHeight="1" x14ac:dyDescent="0.2">
      <c r="D96" s="20" t="s">
        <v>521</v>
      </c>
      <c r="E96" s="20" t="s">
        <v>493</v>
      </c>
      <c r="F96" s="20" t="s">
        <v>337</v>
      </c>
      <c r="G96" s="20">
        <f t="shared" si="10"/>
        <v>80</v>
      </c>
      <c r="H96" s="20">
        <f t="shared" si="10"/>
        <v>700</v>
      </c>
      <c r="I96" s="20">
        <f t="shared" si="10"/>
        <v>70</v>
      </c>
      <c r="J96" s="20">
        <f t="shared" si="10"/>
        <v>300</v>
      </c>
      <c r="K96" s="20">
        <f t="shared" si="10"/>
        <v>450</v>
      </c>
      <c r="L96" s="20">
        <f t="shared" si="11"/>
        <v>450</v>
      </c>
      <c r="M96" s="20">
        <f t="shared" si="11"/>
        <v>75</v>
      </c>
      <c r="N96" s="20">
        <f t="shared" si="7"/>
        <v>400</v>
      </c>
      <c r="O96" s="20">
        <f t="shared" si="12"/>
        <v>400</v>
      </c>
      <c r="P96" s="20">
        <f t="shared" si="13"/>
        <v>400</v>
      </c>
    </row>
    <row r="97" spans="4:16" ht="20.100000000000001" customHeight="1" x14ac:dyDescent="0.2">
      <c r="D97" s="20" t="s">
        <v>521</v>
      </c>
      <c r="E97" s="20" t="s">
        <v>493</v>
      </c>
      <c r="F97" s="20" t="s">
        <v>338</v>
      </c>
      <c r="G97" s="20">
        <f t="shared" si="10"/>
        <v>160</v>
      </c>
      <c r="H97" s="20">
        <f t="shared" si="10"/>
        <v>700</v>
      </c>
      <c r="I97" s="20">
        <f t="shared" si="10"/>
        <v>140</v>
      </c>
      <c r="J97" s="20">
        <f t="shared" si="10"/>
        <v>350</v>
      </c>
      <c r="K97" s="20">
        <f t="shared" si="10"/>
        <v>450</v>
      </c>
      <c r="L97" s="20">
        <f t="shared" si="11"/>
        <v>450</v>
      </c>
      <c r="M97" s="20">
        <f t="shared" si="11"/>
        <v>150</v>
      </c>
      <c r="N97" s="20">
        <f t="shared" si="7"/>
        <v>400</v>
      </c>
      <c r="O97" s="20">
        <f t="shared" si="12"/>
        <v>400</v>
      </c>
      <c r="P97" s="20">
        <f t="shared" si="13"/>
        <v>400</v>
      </c>
    </row>
    <row r="98" spans="4:16" ht="20.100000000000001" customHeight="1" x14ac:dyDescent="0.2">
      <c r="D98" s="20" t="s">
        <v>522</v>
      </c>
      <c r="E98" s="20" t="s">
        <v>493</v>
      </c>
      <c r="F98" s="20" t="str">
        <f>F31</f>
        <v>Spring</v>
      </c>
      <c r="G98" s="20">
        <f>G27</f>
        <v>105</v>
      </c>
      <c r="H98" s="20">
        <f t="shared" si="10"/>
        <v>700</v>
      </c>
      <c r="I98" s="20">
        <f t="shared" si="10"/>
        <v>85</v>
      </c>
      <c r="J98" s="20">
        <f t="shared" si="10"/>
        <v>300</v>
      </c>
      <c r="K98" s="20">
        <f t="shared" si="10"/>
        <v>490</v>
      </c>
      <c r="L98" s="20">
        <f>K27</f>
        <v>490</v>
      </c>
      <c r="M98" s="20">
        <f>L27</f>
        <v>90</v>
      </c>
      <c r="N98" s="20">
        <f>M27</f>
        <v>480</v>
      </c>
      <c r="O98" s="20">
        <f>M27</f>
        <v>480</v>
      </c>
      <c r="P98" s="20">
        <f>M27</f>
        <v>480</v>
      </c>
    </row>
    <row r="99" spans="4:16" ht="20.100000000000001" customHeight="1" x14ac:dyDescent="0.2">
      <c r="D99" s="20" t="s">
        <v>522</v>
      </c>
      <c r="E99" s="20" t="s">
        <v>493</v>
      </c>
      <c r="F99" s="20" t="s">
        <v>336</v>
      </c>
      <c r="G99" s="20">
        <f t="shared" ref="G99:K102" si="14">G28</f>
        <v>480</v>
      </c>
      <c r="H99" s="20">
        <f t="shared" si="14"/>
        <v>750</v>
      </c>
      <c r="I99" s="20">
        <f t="shared" si="14"/>
        <v>150</v>
      </c>
      <c r="J99" s="20">
        <f t="shared" si="14"/>
        <v>350</v>
      </c>
      <c r="K99" s="20">
        <f t="shared" si="14"/>
        <v>530</v>
      </c>
      <c r="L99" s="20">
        <f t="shared" ref="L99:M101" si="15">K28</f>
        <v>530</v>
      </c>
      <c r="M99" s="20">
        <f t="shared" si="15"/>
        <v>160</v>
      </c>
      <c r="N99" s="20">
        <f t="shared" si="7"/>
        <v>460</v>
      </c>
      <c r="O99" s="20">
        <f t="shared" ref="O99:O101" si="16">M28</f>
        <v>460</v>
      </c>
      <c r="P99" s="20">
        <f t="shared" ref="P99:P101" si="17">M28</f>
        <v>460</v>
      </c>
    </row>
    <row r="100" spans="4:16" ht="20.100000000000001" customHeight="1" x14ac:dyDescent="0.2">
      <c r="D100" s="20" t="s">
        <v>522</v>
      </c>
      <c r="E100" s="20" t="s">
        <v>493</v>
      </c>
      <c r="F100" s="20" t="s">
        <v>337</v>
      </c>
      <c r="G100" s="20">
        <f t="shared" si="14"/>
        <v>250</v>
      </c>
      <c r="H100" s="20">
        <f t="shared" si="14"/>
        <v>725</v>
      </c>
      <c r="I100" s="20">
        <f t="shared" si="14"/>
        <v>200</v>
      </c>
      <c r="J100" s="20">
        <f t="shared" si="14"/>
        <v>360</v>
      </c>
      <c r="K100" s="20">
        <f t="shared" si="14"/>
        <v>500</v>
      </c>
      <c r="L100" s="20">
        <f t="shared" si="15"/>
        <v>500</v>
      </c>
      <c r="M100" s="20">
        <f t="shared" si="15"/>
        <v>215</v>
      </c>
      <c r="N100" s="20">
        <f t="shared" si="7"/>
        <v>490</v>
      </c>
      <c r="O100" s="20">
        <f t="shared" si="16"/>
        <v>490</v>
      </c>
      <c r="P100" s="20">
        <f t="shared" si="17"/>
        <v>490</v>
      </c>
    </row>
    <row r="101" spans="4:16" ht="20.100000000000001" customHeight="1" x14ac:dyDescent="0.2">
      <c r="D101" s="20" t="s">
        <v>522</v>
      </c>
      <c r="E101" s="20" t="s">
        <v>493</v>
      </c>
      <c r="F101" s="20" t="s">
        <v>338</v>
      </c>
      <c r="G101" s="20">
        <f t="shared" si="14"/>
        <v>260</v>
      </c>
      <c r="H101" s="20">
        <f t="shared" si="14"/>
        <v>700</v>
      </c>
      <c r="I101" s="20">
        <f t="shared" si="14"/>
        <v>210</v>
      </c>
      <c r="J101" s="20">
        <f t="shared" si="14"/>
        <v>380</v>
      </c>
      <c r="K101" s="20">
        <f t="shared" si="14"/>
        <v>460</v>
      </c>
      <c r="L101" s="20">
        <f t="shared" si="15"/>
        <v>460</v>
      </c>
      <c r="M101" s="20">
        <f t="shared" si="15"/>
        <v>230</v>
      </c>
      <c r="N101" s="20">
        <f t="shared" si="7"/>
        <v>470</v>
      </c>
      <c r="O101" s="20">
        <f t="shared" si="16"/>
        <v>470</v>
      </c>
      <c r="P101" s="20">
        <f t="shared" si="17"/>
        <v>470</v>
      </c>
    </row>
    <row r="102" spans="4:16" ht="20.100000000000001" customHeight="1" x14ac:dyDescent="0.2">
      <c r="D102" s="20" t="s">
        <v>523</v>
      </c>
      <c r="E102" s="20" t="s">
        <v>493</v>
      </c>
      <c r="F102" s="20" t="str">
        <f>F35</f>
        <v>Spring</v>
      </c>
      <c r="G102" s="20">
        <f>G31</f>
        <v>250</v>
      </c>
      <c r="H102" s="20">
        <f t="shared" si="14"/>
        <v>820</v>
      </c>
      <c r="I102" s="20">
        <f t="shared" si="14"/>
        <v>240</v>
      </c>
      <c r="J102" s="20">
        <f t="shared" si="14"/>
        <v>410</v>
      </c>
      <c r="K102" s="20">
        <f>K31</f>
        <v>560</v>
      </c>
      <c r="L102" s="20">
        <f>K31</f>
        <v>560</v>
      </c>
      <c r="M102" s="20">
        <f>L31</f>
        <v>240</v>
      </c>
      <c r="N102" s="20">
        <f>M31</f>
        <v>510</v>
      </c>
      <c r="O102" s="20">
        <f>M31</f>
        <v>510</v>
      </c>
      <c r="P102" s="20">
        <f>M31</f>
        <v>510</v>
      </c>
    </row>
    <row r="103" spans="4:16" ht="20.100000000000001" customHeight="1" x14ac:dyDescent="0.2">
      <c r="D103" s="20" t="s">
        <v>523</v>
      </c>
      <c r="E103" s="20" t="s">
        <v>493</v>
      </c>
      <c r="F103" s="20" t="s">
        <v>336</v>
      </c>
      <c r="G103" s="20">
        <f t="shared" ref="G103:K105" si="18">G32</f>
        <v>280</v>
      </c>
      <c r="H103" s="20">
        <f t="shared" si="18"/>
        <v>850</v>
      </c>
      <c r="I103" s="20">
        <f t="shared" si="18"/>
        <v>260</v>
      </c>
      <c r="J103" s="20">
        <f t="shared" si="18"/>
        <v>440</v>
      </c>
      <c r="K103" s="20">
        <f t="shared" si="18"/>
        <v>550</v>
      </c>
      <c r="L103" s="20">
        <f t="shared" ref="L103:M105" si="19">K32</f>
        <v>550</v>
      </c>
      <c r="M103" s="20">
        <f t="shared" si="19"/>
        <v>270</v>
      </c>
      <c r="N103" s="20">
        <f t="shared" si="7"/>
        <v>520</v>
      </c>
      <c r="O103" s="20">
        <f t="shared" ref="O103:O105" si="20">M32</f>
        <v>520</v>
      </c>
      <c r="P103" s="20">
        <f t="shared" ref="P103:P105" si="21">M32</f>
        <v>520</v>
      </c>
    </row>
    <row r="104" spans="4:16" ht="20.100000000000001" customHeight="1" x14ac:dyDescent="0.2">
      <c r="D104" s="20" t="s">
        <v>523</v>
      </c>
      <c r="E104" s="20" t="s">
        <v>493</v>
      </c>
      <c r="F104" s="20" t="s">
        <v>337</v>
      </c>
      <c r="G104" s="20">
        <f t="shared" si="18"/>
        <v>100</v>
      </c>
      <c r="H104" s="20">
        <f t="shared" si="18"/>
        <v>700</v>
      </c>
      <c r="I104" s="20">
        <f t="shared" si="18"/>
        <v>95</v>
      </c>
      <c r="J104" s="20">
        <f t="shared" si="18"/>
        <v>300</v>
      </c>
      <c r="K104" s="20">
        <f t="shared" si="18"/>
        <v>450</v>
      </c>
      <c r="L104" s="20">
        <f t="shared" si="19"/>
        <v>450</v>
      </c>
      <c r="M104" s="20">
        <f t="shared" si="19"/>
        <v>95</v>
      </c>
      <c r="N104" s="20">
        <f t="shared" si="7"/>
        <v>410</v>
      </c>
      <c r="O104" s="20">
        <f t="shared" si="20"/>
        <v>410</v>
      </c>
      <c r="P104" s="20">
        <f t="shared" si="21"/>
        <v>410</v>
      </c>
    </row>
    <row r="105" spans="4:16" ht="20.100000000000001" customHeight="1" x14ac:dyDescent="0.2">
      <c r="D105" s="20" t="s">
        <v>523</v>
      </c>
      <c r="E105" s="20" t="s">
        <v>493</v>
      </c>
      <c r="F105" s="20" t="s">
        <v>338</v>
      </c>
      <c r="G105" s="20">
        <f t="shared" si="18"/>
        <v>150</v>
      </c>
      <c r="H105" s="20">
        <f t="shared" si="18"/>
        <v>720</v>
      </c>
      <c r="I105" s="20">
        <f t="shared" si="18"/>
        <v>140</v>
      </c>
      <c r="J105" s="20">
        <f t="shared" si="18"/>
        <v>320</v>
      </c>
      <c r="K105" s="20">
        <f t="shared" si="18"/>
        <v>470</v>
      </c>
      <c r="L105" s="20">
        <f t="shared" si="19"/>
        <v>470</v>
      </c>
      <c r="M105" s="20">
        <f t="shared" si="19"/>
        <v>140</v>
      </c>
      <c r="N105" s="20">
        <f t="shared" si="7"/>
        <v>440</v>
      </c>
      <c r="O105" s="20">
        <f t="shared" si="20"/>
        <v>440</v>
      </c>
      <c r="P105" s="20">
        <f t="shared" si="21"/>
        <v>440</v>
      </c>
    </row>
    <row r="106" spans="4:16" ht="20.100000000000001" customHeight="1" x14ac:dyDescent="0.2">
      <c r="D106" s="20" t="s">
        <v>525</v>
      </c>
      <c r="E106" s="20" t="str">
        <f>E35</f>
        <v>South West</v>
      </c>
      <c r="F106" s="20" t="str">
        <f t="shared" ref="F106:K106" si="22">F35</f>
        <v>Spring</v>
      </c>
      <c r="G106" s="20">
        <f t="shared" si="22"/>
        <v>340</v>
      </c>
      <c r="H106" s="20">
        <f t="shared" si="22"/>
        <v>800</v>
      </c>
      <c r="I106" s="20">
        <f t="shared" si="22"/>
        <v>260</v>
      </c>
      <c r="J106" s="20">
        <f t="shared" si="22"/>
        <v>420</v>
      </c>
      <c r="K106" s="20">
        <f t="shared" si="22"/>
        <v>550</v>
      </c>
      <c r="L106" s="20">
        <f>K35</f>
        <v>550</v>
      </c>
      <c r="M106" s="20">
        <f>L35</f>
        <v>300</v>
      </c>
      <c r="N106" s="20">
        <f>M35</f>
        <v>480</v>
      </c>
      <c r="O106" s="20">
        <f>M35</f>
        <v>480</v>
      </c>
      <c r="P106" s="20">
        <f>M35</f>
        <v>480</v>
      </c>
    </row>
    <row r="107" spans="4:16" ht="20.100000000000001" customHeight="1" x14ac:dyDescent="0.2">
      <c r="D107" s="20" t="s">
        <v>525</v>
      </c>
      <c r="E107" s="20" t="str">
        <f t="shared" ref="E107:K117" si="23">E36</f>
        <v>South West</v>
      </c>
      <c r="F107" s="20" t="str">
        <f t="shared" si="23"/>
        <v>Summer</v>
      </c>
      <c r="G107" s="20">
        <f t="shared" si="23"/>
        <v>380</v>
      </c>
      <c r="H107" s="20">
        <f t="shared" si="23"/>
        <v>780</v>
      </c>
      <c r="I107" s="20">
        <f t="shared" si="23"/>
        <v>300</v>
      </c>
      <c r="J107" s="20">
        <f t="shared" si="23"/>
        <v>450</v>
      </c>
      <c r="K107" s="20">
        <f t="shared" si="23"/>
        <v>530</v>
      </c>
      <c r="L107" s="20">
        <f t="shared" ref="L107:N117" si="24">K36</f>
        <v>530</v>
      </c>
      <c r="M107" s="20">
        <f t="shared" si="24"/>
        <v>340</v>
      </c>
      <c r="N107" s="20">
        <f t="shared" si="24"/>
        <v>470</v>
      </c>
      <c r="O107" s="20">
        <f t="shared" ref="O107:O117" si="25">M36</f>
        <v>470</v>
      </c>
      <c r="P107" s="20">
        <f t="shared" ref="P107:P117" si="26">M36</f>
        <v>470</v>
      </c>
    </row>
    <row r="108" spans="4:16" ht="20.100000000000001" customHeight="1" x14ac:dyDescent="0.2">
      <c r="D108" s="20" t="s">
        <v>525</v>
      </c>
      <c r="E108" s="20" t="str">
        <f t="shared" si="23"/>
        <v>South West</v>
      </c>
      <c r="F108" s="20" t="str">
        <f t="shared" si="23"/>
        <v>Autumn</v>
      </c>
      <c r="G108" s="20">
        <f t="shared" si="23"/>
        <v>100</v>
      </c>
      <c r="H108" s="20">
        <f t="shared" si="23"/>
        <v>680</v>
      </c>
      <c r="I108" s="20">
        <f t="shared" si="23"/>
        <v>80</v>
      </c>
      <c r="J108" s="20">
        <f t="shared" si="23"/>
        <v>320</v>
      </c>
      <c r="K108" s="20">
        <f t="shared" si="23"/>
        <v>480</v>
      </c>
      <c r="L108" s="20">
        <f t="shared" si="24"/>
        <v>480</v>
      </c>
      <c r="M108" s="20">
        <f t="shared" si="24"/>
        <v>100</v>
      </c>
      <c r="N108" s="20">
        <f t="shared" si="24"/>
        <v>340</v>
      </c>
      <c r="O108" s="20">
        <f t="shared" si="25"/>
        <v>340</v>
      </c>
      <c r="P108" s="20">
        <f t="shared" si="26"/>
        <v>340</v>
      </c>
    </row>
    <row r="109" spans="4:16" ht="20.100000000000001" customHeight="1" x14ac:dyDescent="0.2">
      <c r="D109" s="20" t="s">
        <v>525</v>
      </c>
      <c r="E109" s="20" t="str">
        <f t="shared" si="23"/>
        <v>South West</v>
      </c>
      <c r="F109" s="20" t="str">
        <f t="shared" si="23"/>
        <v>Winter</v>
      </c>
      <c r="G109" s="20">
        <f t="shared" si="23"/>
        <v>190</v>
      </c>
      <c r="H109" s="20">
        <f t="shared" si="23"/>
        <v>700</v>
      </c>
      <c r="I109" s="20">
        <f t="shared" si="23"/>
        <v>150</v>
      </c>
      <c r="J109" s="20">
        <f t="shared" si="23"/>
        <v>330</v>
      </c>
      <c r="K109" s="20">
        <f t="shared" si="23"/>
        <v>490</v>
      </c>
      <c r="L109" s="20">
        <f t="shared" si="24"/>
        <v>490</v>
      </c>
      <c r="M109" s="20">
        <f t="shared" si="24"/>
        <v>170</v>
      </c>
      <c r="N109" s="20">
        <f t="shared" si="24"/>
        <v>360</v>
      </c>
      <c r="O109" s="20">
        <f t="shared" si="25"/>
        <v>360</v>
      </c>
      <c r="P109" s="20">
        <f t="shared" si="26"/>
        <v>360</v>
      </c>
    </row>
    <row r="110" spans="4:16" ht="20.100000000000001" customHeight="1" x14ac:dyDescent="0.2">
      <c r="D110" s="20" t="s">
        <v>525</v>
      </c>
      <c r="E110" s="20" t="str">
        <f t="shared" si="23"/>
        <v>Pilbara</v>
      </c>
      <c r="F110" s="20" t="str">
        <f t="shared" si="23"/>
        <v>Spring</v>
      </c>
      <c r="G110" s="20">
        <f t="shared" si="23"/>
        <v>80</v>
      </c>
      <c r="H110" s="20">
        <f t="shared" si="23"/>
        <v>450</v>
      </c>
      <c r="I110" s="20">
        <f t="shared" si="23"/>
        <v>70</v>
      </c>
      <c r="J110" s="20">
        <f t="shared" si="23"/>
        <v>260</v>
      </c>
      <c r="K110" s="20">
        <f t="shared" si="23"/>
        <v>340</v>
      </c>
      <c r="L110" s="20">
        <f t="shared" si="24"/>
        <v>340</v>
      </c>
      <c r="M110" s="20">
        <f t="shared" si="24"/>
        <v>80</v>
      </c>
      <c r="N110" s="20">
        <f t="shared" si="24"/>
        <v>370</v>
      </c>
      <c r="O110" s="20">
        <f t="shared" si="25"/>
        <v>370</v>
      </c>
      <c r="P110" s="20">
        <f t="shared" si="26"/>
        <v>370</v>
      </c>
    </row>
    <row r="111" spans="4:16" ht="20.100000000000001" customHeight="1" x14ac:dyDescent="0.2">
      <c r="D111" s="20" t="s">
        <v>525</v>
      </c>
      <c r="E111" s="20" t="str">
        <f t="shared" si="23"/>
        <v>Pilbara</v>
      </c>
      <c r="F111" s="20" t="str">
        <f t="shared" si="23"/>
        <v>Summer</v>
      </c>
      <c r="G111" s="20">
        <f t="shared" si="23"/>
        <v>150</v>
      </c>
      <c r="H111" s="20">
        <f t="shared" si="23"/>
        <v>500</v>
      </c>
      <c r="I111" s="20">
        <f t="shared" si="23"/>
        <v>140</v>
      </c>
      <c r="J111" s="20">
        <f t="shared" si="23"/>
        <v>310</v>
      </c>
      <c r="K111" s="20">
        <f t="shared" si="23"/>
        <v>360</v>
      </c>
      <c r="L111" s="20">
        <f t="shared" si="24"/>
        <v>360</v>
      </c>
      <c r="M111" s="20">
        <f t="shared" si="24"/>
        <v>150</v>
      </c>
      <c r="N111" s="20">
        <f t="shared" si="24"/>
        <v>400</v>
      </c>
      <c r="O111" s="20">
        <f t="shared" si="25"/>
        <v>400</v>
      </c>
      <c r="P111" s="20">
        <f t="shared" si="26"/>
        <v>400</v>
      </c>
    </row>
    <row r="112" spans="4:16" ht="20.100000000000001" customHeight="1" x14ac:dyDescent="0.2">
      <c r="D112" s="20" t="s">
        <v>525</v>
      </c>
      <c r="E112" s="20" t="str">
        <f t="shared" si="23"/>
        <v>Pilbara</v>
      </c>
      <c r="F112" s="20" t="str">
        <f t="shared" si="23"/>
        <v>Autumn</v>
      </c>
      <c r="G112" s="20">
        <f t="shared" si="23"/>
        <v>230</v>
      </c>
      <c r="H112" s="20">
        <f t="shared" si="23"/>
        <v>550</v>
      </c>
      <c r="I112" s="20">
        <f t="shared" si="23"/>
        <v>220</v>
      </c>
      <c r="J112" s="20">
        <f t="shared" si="23"/>
        <v>330</v>
      </c>
      <c r="K112" s="20">
        <f t="shared" si="23"/>
        <v>380</v>
      </c>
      <c r="L112" s="20">
        <f t="shared" si="24"/>
        <v>380</v>
      </c>
      <c r="M112" s="20">
        <f t="shared" si="24"/>
        <v>230</v>
      </c>
      <c r="N112" s="20">
        <f t="shared" si="24"/>
        <v>420</v>
      </c>
      <c r="O112" s="20">
        <f t="shared" si="25"/>
        <v>420</v>
      </c>
      <c r="P112" s="20">
        <f t="shared" si="26"/>
        <v>420</v>
      </c>
    </row>
    <row r="113" spans="4:22" ht="20.100000000000001" customHeight="1" x14ac:dyDescent="0.2">
      <c r="D113" s="20" t="s">
        <v>525</v>
      </c>
      <c r="E113" s="20" t="str">
        <f t="shared" si="23"/>
        <v>Pilbara</v>
      </c>
      <c r="F113" s="20" t="str">
        <f t="shared" si="23"/>
        <v>Winter</v>
      </c>
      <c r="G113" s="20">
        <f t="shared" si="23"/>
        <v>250</v>
      </c>
      <c r="H113" s="20">
        <f t="shared" si="23"/>
        <v>500</v>
      </c>
      <c r="I113" s="20">
        <f t="shared" si="23"/>
        <v>240</v>
      </c>
      <c r="J113" s="20">
        <f t="shared" si="23"/>
        <v>340</v>
      </c>
      <c r="K113" s="20">
        <f t="shared" si="23"/>
        <v>360</v>
      </c>
      <c r="L113" s="20">
        <f t="shared" si="24"/>
        <v>360</v>
      </c>
      <c r="M113" s="20">
        <f t="shared" si="24"/>
        <v>250</v>
      </c>
      <c r="N113" s="20">
        <f t="shared" si="24"/>
        <v>390</v>
      </c>
      <c r="O113" s="20">
        <f t="shared" si="25"/>
        <v>390</v>
      </c>
      <c r="P113" s="20">
        <f t="shared" si="26"/>
        <v>390</v>
      </c>
    </row>
    <row r="114" spans="4:22" ht="20.100000000000001" customHeight="1" x14ac:dyDescent="0.2">
      <c r="D114" s="20" t="s">
        <v>525</v>
      </c>
      <c r="E114" s="20" t="str">
        <f t="shared" si="23"/>
        <v>Kimberley</v>
      </c>
      <c r="F114" s="20" t="str">
        <f t="shared" si="23"/>
        <v>Spring</v>
      </c>
      <c r="G114" s="20">
        <f t="shared" si="23"/>
        <v>220</v>
      </c>
      <c r="H114" s="20">
        <f t="shared" si="23"/>
        <v>500</v>
      </c>
      <c r="I114" s="20">
        <f t="shared" si="23"/>
        <v>180</v>
      </c>
      <c r="J114" s="20">
        <f t="shared" si="23"/>
        <v>300</v>
      </c>
      <c r="K114" s="20">
        <f t="shared" si="23"/>
        <v>320</v>
      </c>
      <c r="L114" s="20">
        <f t="shared" si="24"/>
        <v>320</v>
      </c>
      <c r="M114" s="20">
        <f t="shared" si="24"/>
        <v>210</v>
      </c>
      <c r="N114" s="20">
        <f t="shared" si="24"/>
        <v>340</v>
      </c>
      <c r="O114" s="20">
        <f t="shared" si="25"/>
        <v>340</v>
      </c>
      <c r="P114" s="20">
        <f t="shared" si="26"/>
        <v>340</v>
      </c>
    </row>
    <row r="115" spans="4:22" ht="20.100000000000001" customHeight="1" x14ac:dyDescent="0.2">
      <c r="D115" s="20" t="s">
        <v>525</v>
      </c>
      <c r="E115" s="20" t="str">
        <f t="shared" si="23"/>
        <v>Kimberley</v>
      </c>
      <c r="F115" s="20" t="str">
        <f t="shared" si="23"/>
        <v>Summer</v>
      </c>
      <c r="G115" s="20">
        <f t="shared" si="23"/>
        <v>110</v>
      </c>
      <c r="H115" s="20">
        <f t="shared" si="23"/>
        <v>550</v>
      </c>
      <c r="I115" s="20">
        <f t="shared" si="23"/>
        <v>90</v>
      </c>
      <c r="J115" s="20">
        <f t="shared" si="23"/>
        <v>220</v>
      </c>
      <c r="K115" s="20">
        <f t="shared" si="23"/>
        <v>380</v>
      </c>
      <c r="L115" s="20">
        <f t="shared" si="24"/>
        <v>380</v>
      </c>
      <c r="M115" s="20">
        <f t="shared" si="24"/>
        <v>100</v>
      </c>
      <c r="N115" s="20">
        <f t="shared" si="24"/>
        <v>390</v>
      </c>
      <c r="O115" s="20">
        <f t="shared" si="25"/>
        <v>390</v>
      </c>
      <c r="P115" s="20">
        <f t="shared" si="26"/>
        <v>390</v>
      </c>
      <c r="V115" s="1"/>
    </row>
    <row r="116" spans="4:22" ht="20.100000000000001" customHeight="1" x14ac:dyDescent="0.2">
      <c r="D116" s="20" t="s">
        <v>525</v>
      </c>
      <c r="E116" s="20" t="str">
        <f t="shared" si="23"/>
        <v>Kimberley</v>
      </c>
      <c r="F116" s="20" t="str">
        <f t="shared" si="23"/>
        <v>Autumn</v>
      </c>
      <c r="G116" s="20">
        <f t="shared" si="23"/>
        <v>170</v>
      </c>
      <c r="H116" s="20">
        <f t="shared" si="23"/>
        <v>600</v>
      </c>
      <c r="I116" s="20">
        <f t="shared" si="23"/>
        <v>140</v>
      </c>
      <c r="J116" s="20">
        <f t="shared" si="23"/>
        <v>270</v>
      </c>
      <c r="K116" s="20">
        <f t="shared" si="23"/>
        <v>390</v>
      </c>
      <c r="L116" s="20">
        <f t="shared" si="24"/>
        <v>390</v>
      </c>
      <c r="M116" s="20">
        <f t="shared" si="24"/>
        <v>160</v>
      </c>
      <c r="N116" s="20">
        <f t="shared" si="24"/>
        <v>430</v>
      </c>
      <c r="O116" s="20">
        <f t="shared" si="25"/>
        <v>430</v>
      </c>
      <c r="P116" s="20">
        <f t="shared" si="26"/>
        <v>430</v>
      </c>
      <c r="V116" s="1"/>
    </row>
    <row r="117" spans="4:22" ht="20.100000000000001" customHeight="1" x14ac:dyDescent="0.2">
      <c r="D117" s="20" t="s">
        <v>525</v>
      </c>
      <c r="E117" s="20" t="str">
        <f t="shared" si="23"/>
        <v>Kimberley</v>
      </c>
      <c r="F117" s="20" t="str">
        <f t="shared" si="23"/>
        <v>Winter</v>
      </c>
      <c r="G117" s="20">
        <f t="shared" si="23"/>
        <v>200</v>
      </c>
      <c r="H117" s="20">
        <f t="shared" si="23"/>
        <v>550</v>
      </c>
      <c r="I117" s="20">
        <f t="shared" si="23"/>
        <v>150</v>
      </c>
      <c r="J117" s="20">
        <f t="shared" si="23"/>
        <v>280</v>
      </c>
      <c r="K117" s="20">
        <f t="shared" si="23"/>
        <v>350</v>
      </c>
      <c r="L117" s="20">
        <f t="shared" si="24"/>
        <v>350</v>
      </c>
      <c r="M117" s="20">
        <f t="shared" si="24"/>
        <v>190</v>
      </c>
      <c r="N117" s="20">
        <f t="shared" si="24"/>
        <v>400</v>
      </c>
      <c r="O117" s="20">
        <f t="shared" si="25"/>
        <v>400</v>
      </c>
      <c r="P117" s="20">
        <f t="shared" si="26"/>
        <v>400</v>
      </c>
      <c r="V117" s="1"/>
    </row>
    <row r="118" spans="4:22" ht="20.100000000000001" customHeight="1" x14ac:dyDescent="0.2">
      <c r="D118" s="20" t="s">
        <v>529</v>
      </c>
      <c r="E118" s="20" t="str">
        <f>E54</f>
        <v>Alice Springs</v>
      </c>
      <c r="F118" s="20" t="str">
        <f t="shared" ref="F118:P118" si="27">F54</f>
        <v>Spring</v>
      </c>
      <c r="G118" s="20">
        <f t="shared" si="27"/>
        <v>220</v>
      </c>
      <c r="H118" s="20">
        <f t="shared" si="27"/>
        <v>706</v>
      </c>
      <c r="I118" s="20">
        <f t="shared" si="27"/>
        <v>208</v>
      </c>
      <c r="J118" s="20">
        <f t="shared" si="27"/>
        <v>323</v>
      </c>
      <c r="K118" s="20">
        <f t="shared" si="27"/>
        <v>415</v>
      </c>
      <c r="L118" s="20">
        <f t="shared" si="27"/>
        <v>467</v>
      </c>
      <c r="M118" s="20">
        <f t="shared" si="27"/>
        <v>223</v>
      </c>
      <c r="N118" s="20">
        <f t="shared" si="27"/>
        <v>371</v>
      </c>
      <c r="O118" s="20">
        <f t="shared" si="27"/>
        <v>493</v>
      </c>
      <c r="P118" s="20">
        <f t="shared" si="27"/>
        <v>585</v>
      </c>
    </row>
    <row r="119" spans="4:22" ht="20.100000000000001" customHeight="1" x14ac:dyDescent="0.2">
      <c r="D119" s="20" t="s">
        <v>529</v>
      </c>
      <c r="E119" s="20" t="str">
        <f t="shared" ref="E119:P134" si="28">E55</f>
        <v>Alice Springs</v>
      </c>
      <c r="F119" s="20" t="str">
        <f t="shared" si="28"/>
        <v>Summer</v>
      </c>
      <c r="G119" s="20">
        <f t="shared" si="28"/>
        <v>110</v>
      </c>
      <c r="H119" s="20">
        <f t="shared" si="28"/>
        <v>703</v>
      </c>
      <c r="I119" s="20">
        <f t="shared" si="28"/>
        <v>112</v>
      </c>
      <c r="J119" s="20">
        <f t="shared" si="28"/>
        <v>256</v>
      </c>
      <c r="K119" s="20">
        <f t="shared" si="28"/>
        <v>368</v>
      </c>
      <c r="L119" s="20">
        <f t="shared" si="28"/>
        <v>465</v>
      </c>
      <c r="M119" s="20">
        <f t="shared" si="28"/>
        <v>108</v>
      </c>
      <c r="N119" s="20">
        <f t="shared" si="28"/>
        <v>280</v>
      </c>
      <c r="O119" s="20">
        <f t="shared" si="28"/>
        <v>421</v>
      </c>
      <c r="P119" s="20">
        <f t="shared" si="28"/>
        <v>543</v>
      </c>
    </row>
    <row r="120" spans="4:22" ht="20.100000000000001" customHeight="1" x14ac:dyDescent="0.2">
      <c r="D120" s="20" t="s">
        <v>529</v>
      </c>
      <c r="E120" s="20" t="str">
        <f t="shared" si="28"/>
        <v>Alice Springs</v>
      </c>
      <c r="F120" s="20" t="str">
        <f t="shared" si="28"/>
        <v>Autumn</v>
      </c>
      <c r="G120" s="20">
        <f t="shared" si="28"/>
        <v>170</v>
      </c>
      <c r="H120" s="20">
        <f t="shared" si="28"/>
        <v>721</v>
      </c>
      <c r="I120" s="20">
        <f t="shared" si="28"/>
        <v>169</v>
      </c>
      <c r="J120" s="20">
        <f t="shared" si="28"/>
        <v>306</v>
      </c>
      <c r="K120" s="20">
        <f t="shared" si="28"/>
        <v>392</v>
      </c>
      <c r="L120" s="20">
        <f t="shared" si="28"/>
        <v>464</v>
      </c>
      <c r="M120" s="20">
        <f t="shared" si="28"/>
        <v>176</v>
      </c>
      <c r="N120" s="20">
        <f t="shared" si="28"/>
        <v>339</v>
      </c>
      <c r="O120" s="20">
        <f t="shared" si="28"/>
        <v>470</v>
      </c>
      <c r="P120" s="20">
        <f t="shared" si="28"/>
        <v>580</v>
      </c>
    </row>
    <row r="121" spans="4:22" ht="20.100000000000001" customHeight="1" x14ac:dyDescent="0.2">
      <c r="D121" s="20" t="s">
        <v>529</v>
      </c>
      <c r="E121" s="20" t="str">
        <f t="shared" si="28"/>
        <v>Alice Springs</v>
      </c>
      <c r="F121" s="20" t="str">
        <f t="shared" si="28"/>
        <v>Winter</v>
      </c>
      <c r="G121" s="20">
        <f t="shared" si="28"/>
        <v>200</v>
      </c>
      <c r="H121" s="20">
        <f t="shared" si="28"/>
        <v>727</v>
      </c>
      <c r="I121" s="20">
        <f t="shared" si="28"/>
        <v>211</v>
      </c>
      <c r="J121" s="20">
        <f t="shared" si="28"/>
        <v>338</v>
      </c>
      <c r="K121" s="20">
        <f t="shared" si="28"/>
        <v>432</v>
      </c>
      <c r="L121" s="20">
        <f t="shared" si="28"/>
        <v>492</v>
      </c>
      <c r="M121" s="20">
        <f t="shared" si="28"/>
        <v>222</v>
      </c>
      <c r="N121" s="20">
        <f t="shared" si="28"/>
        <v>377</v>
      </c>
      <c r="O121" s="20">
        <f t="shared" si="28"/>
        <v>498</v>
      </c>
      <c r="P121" s="20">
        <f t="shared" si="28"/>
        <v>590</v>
      </c>
    </row>
    <row r="122" spans="4:22" ht="20.100000000000001" customHeight="1" x14ac:dyDescent="0.2">
      <c r="D122" s="20" t="s">
        <v>529</v>
      </c>
      <c r="E122" s="20" t="str">
        <f t="shared" si="28"/>
        <v>Barkly</v>
      </c>
      <c r="F122" s="20" t="str">
        <f t="shared" si="28"/>
        <v>Spring</v>
      </c>
      <c r="G122" s="20">
        <f t="shared" si="28"/>
        <v>220</v>
      </c>
      <c r="H122" s="20">
        <f t="shared" si="28"/>
        <v>620</v>
      </c>
      <c r="I122" s="20">
        <f t="shared" si="28"/>
        <v>227</v>
      </c>
      <c r="J122" s="20">
        <f t="shared" si="28"/>
        <v>319</v>
      </c>
      <c r="K122" s="20">
        <f t="shared" si="28"/>
        <v>398</v>
      </c>
      <c r="L122" s="20">
        <f t="shared" si="28"/>
        <v>452</v>
      </c>
      <c r="M122" s="20">
        <f t="shared" si="28"/>
        <v>216</v>
      </c>
      <c r="N122" s="20">
        <f t="shared" si="28"/>
        <v>334</v>
      </c>
      <c r="O122" s="20" t="str">
        <f t="shared" si="28"/>
        <v>NO</v>
      </c>
      <c r="P122" s="20" t="str">
        <f t="shared" si="28"/>
        <v>NO</v>
      </c>
    </row>
    <row r="123" spans="4:22" ht="20.100000000000001" customHeight="1" x14ac:dyDescent="0.2">
      <c r="D123" s="20" t="s">
        <v>529</v>
      </c>
      <c r="E123" s="20" t="str">
        <f t="shared" si="28"/>
        <v>Barkly</v>
      </c>
      <c r="F123" s="20" t="str">
        <f t="shared" si="28"/>
        <v>Summer</v>
      </c>
      <c r="G123" s="20">
        <f t="shared" si="28"/>
        <v>110</v>
      </c>
      <c r="H123" s="20">
        <f t="shared" si="28"/>
        <v>650</v>
      </c>
      <c r="I123" s="20">
        <f t="shared" si="28"/>
        <v>108</v>
      </c>
      <c r="J123" s="20">
        <f t="shared" si="28"/>
        <v>262</v>
      </c>
      <c r="K123" s="20">
        <f t="shared" si="28"/>
        <v>346</v>
      </c>
      <c r="L123" s="20">
        <f t="shared" si="28"/>
        <v>430</v>
      </c>
      <c r="M123" s="20">
        <f t="shared" si="28"/>
        <v>111</v>
      </c>
      <c r="N123" s="20">
        <f t="shared" si="28"/>
        <v>236</v>
      </c>
      <c r="O123" s="20" t="str">
        <f t="shared" si="28"/>
        <v>NO</v>
      </c>
      <c r="P123" s="20" t="str">
        <f t="shared" si="28"/>
        <v>NO</v>
      </c>
    </row>
    <row r="124" spans="4:22" ht="20.100000000000001" customHeight="1" x14ac:dyDescent="0.2">
      <c r="D124" s="20" t="s">
        <v>529</v>
      </c>
      <c r="E124" s="20" t="str">
        <f t="shared" si="28"/>
        <v>Barkly</v>
      </c>
      <c r="F124" s="20" t="str">
        <f t="shared" si="28"/>
        <v>Autumn</v>
      </c>
      <c r="G124" s="20">
        <f t="shared" si="28"/>
        <v>170</v>
      </c>
      <c r="H124" s="20">
        <f t="shared" si="28"/>
        <v>670</v>
      </c>
      <c r="I124" s="20">
        <f t="shared" si="28"/>
        <v>170</v>
      </c>
      <c r="J124" s="20">
        <f t="shared" si="28"/>
        <v>266</v>
      </c>
      <c r="K124" s="20">
        <f t="shared" si="28"/>
        <v>363</v>
      </c>
      <c r="L124" s="20">
        <f t="shared" si="28"/>
        <v>444</v>
      </c>
      <c r="M124" s="20">
        <f t="shared" si="28"/>
        <v>169</v>
      </c>
      <c r="N124" s="20">
        <f t="shared" si="28"/>
        <v>282</v>
      </c>
      <c r="O124" s="20" t="str">
        <f t="shared" si="28"/>
        <v>NO</v>
      </c>
      <c r="P124" s="20" t="str">
        <f t="shared" si="28"/>
        <v>NO</v>
      </c>
    </row>
    <row r="125" spans="4:22" ht="20.100000000000001" customHeight="1" x14ac:dyDescent="0.2">
      <c r="D125" s="20" t="s">
        <v>529</v>
      </c>
      <c r="E125" s="20" t="str">
        <f t="shared" si="28"/>
        <v>Barkly</v>
      </c>
      <c r="F125" s="20" t="str">
        <f t="shared" si="28"/>
        <v>Winter</v>
      </c>
      <c r="G125" s="20">
        <f t="shared" si="28"/>
        <v>200</v>
      </c>
      <c r="H125" s="20">
        <f t="shared" si="28"/>
        <v>660</v>
      </c>
      <c r="I125" s="20">
        <f t="shared" si="28"/>
        <v>225</v>
      </c>
      <c r="J125" s="20">
        <f t="shared" si="28"/>
        <v>307</v>
      </c>
      <c r="K125" s="20">
        <f t="shared" si="28"/>
        <v>398</v>
      </c>
      <c r="L125" s="20">
        <f t="shared" si="28"/>
        <v>452</v>
      </c>
      <c r="M125" s="20">
        <f t="shared" si="28"/>
        <v>214</v>
      </c>
      <c r="N125" s="20">
        <f t="shared" si="28"/>
        <v>326</v>
      </c>
      <c r="O125" s="20" t="str">
        <f t="shared" si="28"/>
        <v>NO</v>
      </c>
      <c r="P125" s="20" t="str">
        <f t="shared" si="28"/>
        <v>NO</v>
      </c>
      <c r="V125" s="1"/>
    </row>
    <row r="126" spans="4:22" ht="20.100000000000001" customHeight="1" x14ac:dyDescent="0.2">
      <c r="D126" s="20" t="s">
        <v>529</v>
      </c>
      <c r="E126" s="20" t="str">
        <f t="shared" si="28"/>
        <v>Northern</v>
      </c>
      <c r="F126" s="20" t="str">
        <f t="shared" si="28"/>
        <v>Spring</v>
      </c>
      <c r="G126" s="20">
        <f t="shared" si="28"/>
        <v>220</v>
      </c>
      <c r="H126" s="20">
        <f t="shared" si="28"/>
        <v>620</v>
      </c>
      <c r="I126" s="20">
        <f t="shared" si="28"/>
        <v>177</v>
      </c>
      <c r="J126" s="20">
        <f t="shared" si="28"/>
        <v>267</v>
      </c>
      <c r="K126" s="20">
        <f t="shared" si="28"/>
        <v>365</v>
      </c>
      <c r="L126" s="20">
        <f t="shared" si="28"/>
        <v>406</v>
      </c>
      <c r="M126" s="20">
        <f t="shared" si="28"/>
        <v>231</v>
      </c>
      <c r="N126" s="20">
        <f t="shared" si="28"/>
        <v>249</v>
      </c>
      <c r="O126" s="20">
        <f t="shared" si="28"/>
        <v>324</v>
      </c>
      <c r="P126" s="20" t="str">
        <f t="shared" si="28"/>
        <v>NO</v>
      </c>
      <c r="V126" s="1"/>
    </row>
    <row r="127" spans="4:22" ht="20.100000000000001" customHeight="1" x14ac:dyDescent="0.2">
      <c r="D127" s="20" t="s">
        <v>529</v>
      </c>
      <c r="E127" s="20" t="str">
        <f t="shared" si="28"/>
        <v>Northern</v>
      </c>
      <c r="F127" s="20" t="str">
        <f t="shared" si="28"/>
        <v>Summer</v>
      </c>
      <c r="G127" s="20">
        <f t="shared" si="28"/>
        <v>110</v>
      </c>
      <c r="H127" s="20">
        <f t="shared" si="28"/>
        <v>650</v>
      </c>
      <c r="I127" s="20">
        <f t="shared" si="28"/>
        <v>102</v>
      </c>
      <c r="J127" s="20">
        <f t="shared" si="28"/>
        <v>203</v>
      </c>
      <c r="K127" s="20">
        <f t="shared" si="28"/>
        <v>299</v>
      </c>
      <c r="L127" s="20">
        <f t="shared" si="28"/>
        <v>380</v>
      </c>
      <c r="M127" s="20">
        <f t="shared" si="28"/>
        <v>102</v>
      </c>
      <c r="N127" s="20">
        <f t="shared" si="28"/>
        <v>218</v>
      </c>
      <c r="O127" s="20">
        <f t="shared" si="28"/>
        <v>263</v>
      </c>
      <c r="P127" s="20" t="str">
        <f t="shared" si="28"/>
        <v>NO</v>
      </c>
      <c r="V127" s="1"/>
    </row>
    <row r="128" spans="4:22" ht="20.100000000000001" customHeight="1" x14ac:dyDescent="0.2">
      <c r="D128" s="20" t="s">
        <v>529</v>
      </c>
      <c r="E128" s="20" t="str">
        <f t="shared" si="28"/>
        <v>Northern</v>
      </c>
      <c r="F128" s="20" t="str">
        <f t="shared" si="28"/>
        <v>Autumn</v>
      </c>
      <c r="G128" s="20">
        <f t="shared" si="28"/>
        <v>170</v>
      </c>
      <c r="H128" s="20">
        <f t="shared" si="28"/>
        <v>670</v>
      </c>
      <c r="I128" s="20">
        <f t="shared" si="28"/>
        <v>173</v>
      </c>
      <c r="J128" s="20">
        <f t="shared" si="28"/>
        <v>250</v>
      </c>
      <c r="K128" s="20">
        <f t="shared" si="28"/>
        <v>336</v>
      </c>
      <c r="L128" s="20">
        <f t="shared" si="28"/>
        <v>414</v>
      </c>
      <c r="M128" s="20">
        <f t="shared" si="28"/>
        <v>175</v>
      </c>
      <c r="N128" s="20">
        <f t="shared" si="28"/>
        <v>243</v>
      </c>
      <c r="O128" s="20">
        <f t="shared" si="28"/>
        <v>304</v>
      </c>
      <c r="P128" s="20" t="str">
        <f t="shared" si="28"/>
        <v>NO</v>
      </c>
      <c r="V128" s="1"/>
    </row>
    <row r="129" spans="4:22" ht="20.100000000000001" customHeight="1" x14ac:dyDescent="0.2">
      <c r="D129" s="20" t="s">
        <v>529</v>
      </c>
      <c r="E129" s="20" t="str">
        <f t="shared" si="28"/>
        <v>Northern</v>
      </c>
      <c r="F129" s="20" t="str">
        <f t="shared" si="28"/>
        <v>Winter</v>
      </c>
      <c r="G129" s="20">
        <f t="shared" si="28"/>
        <v>200</v>
      </c>
      <c r="H129" s="20">
        <f t="shared" si="28"/>
        <v>660</v>
      </c>
      <c r="I129" s="20">
        <f t="shared" si="28"/>
        <v>202</v>
      </c>
      <c r="J129" s="20">
        <f t="shared" si="28"/>
        <v>272</v>
      </c>
      <c r="K129" s="20">
        <f t="shared" si="28"/>
        <v>365</v>
      </c>
      <c r="L129" s="20">
        <f t="shared" si="28"/>
        <v>390</v>
      </c>
      <c r="M129" s="20">
        <f t="shared" si="28"/>
        <v>208</v>
      </c>
      <c r="N129" s="20">
        <f t="shared" si="28"/>
        <v>260</v>
      </c>
      <c r="O129" s="20">
        <f t="shared" si="28"/>
        <v>337</v>
      </c>
      <c r="P129" s="20" t="str">
        <f t="shared" si="28"/>
        <v>NO</v>
      </c>
      <c r="V129" s="1"/>
    </row>
    <row r="130" spans="4:22" ht="20.100000000000001" customHeight="1" x14ac:dyDescent="0.2">
      <c r="D130" s="20" t="s">
        <v>533</v>
      </c>
      <c r="E130" s="20" t="str">
        <f t="shared" si="28"/>
        <v>High</v>
      </c>
      <c r="F130" s="20" t="str">
        <f t="shared" si="28"/>
        <v>Spring</v>
      </c>
      <c r="G130" s="20">
        <f t="shared" si="28"/>
        <v>260</v>
      </c>
      <c r="H130" s="20">
        <f t="shared" si="28"/>
        <v>705</v>
      </c>
      <c r="I130" s="20">
        <f t="shared" si="28"/>
        <v>215</v>
      </c>
      <c r="J130" s="20">
        <f t="shared" si="28"/>
        <v>302</v>
      </c>
      <c r="K130" s="20">
        <f t="shared" si="28"/>
        <v>416</v>
      </c>
      <c r="L130" s="20">
        <f t="shared" si="28"/>
        <v>519</v>
      </c>
      <c r="M130" s="20">
        <f t="shared" si="28"/>
        <v>234</v>
      </c>
      <c r="N130" s="20">
        <f t="shared" si="28"/>
        <v>455</v>
      </c>
      <c r="O130" s="20">
        <f t="shared" si="28"/>
        <v>551</v>
      </c>
      <c r="P130" s="20">
        <f t="shared" si="28"/>
        <v>660</v>
      </c>
      <c r="V130" s="1"/>
    </row>
    <row r="131" spans="4:22" ht="20.100000000000001" customHeight="1" x14ac:dyDescent="0.2">
      <c r="D131" s="20" t="s">
        <v>533</v>
      </c>
      <c r="E131" s="20" t="str">
        <f t="shared" si="28"/>
        <v>High</v>
      </c>
      <c r="F131" s="20" t="str">
        <f t="shared" si="28"/>
        <v>Summer</v>
      </c>
      <c r="G131" s="20">
        <f t="shared" si="28"/>
        <v>153</v>
      </c>
      <c r="H131" s="20">
        <f t="shared" si="28"/>
        <v>703</v>
      </c>
      <c r="I131" s="20">
        <f t="shared" si="28"/>
        <v>118</v>
      </c>
      <c r="J131" s="20">
        <f t="shared" si="28"/>
        <v>277</v>
      </c>
      <c r="K131" s="20">
        <f t="shared" si="28"/>
        <v>397</v>
      </c>
      <c r="L131" s="20">
        <f t="shared" si="28"/>
        <v>483</v>
      </c>
      <c r="M131" s="20">
        <f t="shared" si="28"/>
        <v>111</v>
      </c>
      <c r="N131" s="20">
        <f t="shared" si="28"/>
        <v>304</v>
      </c>
      <c r="O131" s="20">
        <f t="shared" si="28"/>
        <v>521</v>
      </c>
      <c r="P131" s="20">
        <f t="shared" si="28"/>
        <v>547</v>
      </c>
    </row>
    <row r="132" spans="4:22" ht="20.100000000000001" customHeight="1" x14ac:dyDescent="0.2">
      <c r="D132" s="20" t="s">
        <v>533</v>
      </c>
      <c r="E132" s="20" t="str">
        <f t="shared" si="28"/>
        <v>High</v>
      </c>
      <c r="F132" s="20" t="str">
        <f t="shared" si="28"/>
        <v>Autumn</v>
      </c>
      <c r="G132" s="20">
        <f t="shared" si="28"/>
        <v>168</v>
      </c>
      <c r="H132" s="20">
        <f t="shared" si="28"/>
        <v>718</v>
      </c>
      <c r="I132" s="20">
        <f t="shared" si="28"/>
        <v>191</v>
      </c>
      <c r="J132" s="20">
        <f t="shared" si="28"/>
        <v>319</v>
      </c>
      <c r="K132" s="20">
        <f t="shared" si="28"/>
        <v>440</v>
      </c>
      <c r="L132" s="20">
        <f t="shared" si="28"/>
        <v>506</v>
      </c>
      <c r="M132" s="20">
        <f t="shared" si="28"/>
        <v>188</v>
      </c>
      <c r="N132" s="20">
        <f t="shared" si="28"/>
        <v>326</v>
      </c>
      <c r="O132" s="20">
        <f t="shared" si="28"/>
        <v>520</v>
      </c>
      <c r="P132" s="20">
        <f t="shared" si="28"/>
        <v>582</v>
      </c>
    </row>
    <row r="133" spans="4:22" ht="20.100000000000001" customHeight="1" x14ac:dyDescent="0.2">
      <c r="D133" s="20" t="s">
        <v>533</v>
      </c>
      <c r="E133" s="20" t="str">
        <f t="shared" si="28"/>
        <v>High</v>
      </c>
      <c r="F133" s="20" t="str">
        <f t="shared" si="28"/>
        <v>Winter</v>
      </c>
      <c r="G133" s="20">
        <f t="shared" si="28"/>
        <v>235</v>
      </c>
      <c r="H133" s="20">
        <f t="shared" si="28"/>
        <v>722</v>
      </c>
      <c r="I133" s="20">
        <f t="shared" si="28"/>
        <v>207</v>
      </c>
      <c r="J133" s="20">
        <f t="shared" si="28"/>
        <v>352</v>
      </c>
      <c r="K133" s="20">
        <f t="shared" si="28"/>
        <v>470</v>
      </c>
      <c r="L133" s="20">
        <f t="shared" si="28"/>
        <v>514</v>
      </c>
      <c r="M133" s="20">
        <f t="shared" si="28"/>
        <v>209</v>
      </c>
      <c r="N133" s="20">
        <f t="shared" si="28"/>
        <v>421</v>
      </c>
      <c r="O133" s="20">
        <f t="shared" si="28"/>
        <v>512</v>
      </c>
      <c r="P133" s="20">
        <f t="shared" si="28"/>
        <v>605</v>
      </c>
    </row>
    <row r="134" spans="4:22" ht="20.100000000000001" customHeight="1" x14ac:dyDescent="0.2">
      <c r="D134" s="20" t="s">
        <v>533</v>
      </c>
      <c r="E134" s="20" t="str">
        <f t="shared" si="28"/>
        <v>Moderate/High</v>
      </c>
      <c r="F134" s="20" t="str">
        <f t="shared" si="28"/>
        <v>Spring</v>
      </c>
      <c r="G134" s="20">
        <f t="shared" si="28"/>
        <v>230</v>
      </c>
      <c r="H134" s="20">
        <f t="shared" si="28"/>
        <v>674</v>
      </c>
      <c r="I134" s="20">
        <f t="shared" si="28"/>
        <v>217</v>
      </c>
      <c r="J134" s="20">
        <f t="shared" si="28"/>
        <v>344</v>
      </c>
      <c r="K134" s="20">
        <f t="shared" si="28"/>
        <v>357</v>
      </c>
      <c r="L134" s="20">
        <f t="shared" si="28"/>
        <v>467</v>
      </c>
      <c r="M134" s="20">
        <f t="shared" si="28"/>
        <v>242</v>
      </c>
      <c r="N134" s="20">
        <f t="shared" si="28"/>
        <v>370</v>
      </c>
      <c r="O134" s="20">
        <f t="shared" si="28"/>
        <v>550</v>
      </c>
      <c r="P134" s="20">
        <f t="shared" si="28"/>
        <v>620</v>
      </c>
    </row>
    <row r="135" spans="4:22" ht="20.100000000000001" customHeight="1" x14ac:dyDescent="0.2">
      <c r="D135" s="20" t="s">
        <v>533</v>
      </c>
      <c r="E135" s="20" t="str">
        <f t="shared" ref="E135:P145" si="29">E71</f>
        <v>Moderate/High</v>
      </c>
      <c r="F135" s="20" t="str">
        <f t="shared" si="29"/>
        <v>Summer</v>
      </c>
      <c r="G135" s="20">
        <f t="shared" si="29"/>
        <v>113</v>
      </c>
      <c r="H135" s="20">
        <f t="shared" si="29"/>
        <v>669</v>
      </c>
      <c r="I135" s="20">
        <f t="shared" si="29"/>
        <v>113</v>
      </c>
      <c r="J135" s="20">
        <f t="shared" si="29"/>
        <v>283</v>
      </c>
      <c r="K135" s="20">
        <f t="shared" si="29"/>
        <v>361</v>
      </c>
      <c r="L135" s="20">
        <f t="shared" si="29"/>
        <v>477</v>
      </c>
      <c r="M135" s="20">
        <f t="shared" si="29"/>
        <v>120</v>
      </c>
      <c r="N135" s="20">
        <f t="shared" si="29"/>
        <v>273</v>
      </c>
      <c r="O135" s="20">
        <f t="shared" si="29"/>
        <v>545</v>
      </c>
      <c r="P135" s="20">
        <f t="shared" si="29"/>
        <v>553</v>
      </c>
    </row>
    <row r="136" spans="4:22" ht="20.100000000000001" customHeight="1" x14ac:dyDescent="0.2">
      <c r="D136" s="20" t="s">
        <v>533</v>
      </c>
      <c r="E136" s="20" t="str">
        <f t="shared" si="29"/>
        <v>Moderate/High</v>
      </c>
      <c r="F136" s="20" t="str">
        <f t="shared" si="29"/>
        <v>Autumn</v>
      </c>
      <c r="G136" s="20">
        <f t="shared" si="29"/>
        <v>172</v>
      </c>
      <c r="H136" s="20">
        <f t="shared" si="29"/>
        <v>685</v>
      </c>
      <c r="I136" s="20">
        <f t="shared" si="29"/>
        <v>172</v>
      </c>
      <c r="J136" s="20">
        <f t="shared" si="29"/>
        <v>309</v>
      </c>
      <c r="K136" s="20">
        <f t="shared" si="29"/>
        <v>376</v>
      </c>
      <c r="L136" s="20">
        <f t="shared" si="29"/>
        <v>471</v>
      </c>
      <c r="M136" s="20">
        <f t="shared" si="29"/>
        <v>238</v>
      </c>
      <c r="N136" s="20">
        <f t="shared" si="29"/>
        <v>329</v>
      </c>
      <c r="O136" s="20">
        <f t="shared" si="29"/>
        <v>573</v>
      </c>
      <c r="P136" s="20">
        <f t="shared" si="29"/>
        <v>620</v>
      </c>
    </row>
    <row r="137" spans="4:22" ht="20.100000000000001" customHeight="1" x14ac:dyDescent="0.2">
      <c r="D137" s="20" t="s">
        <v>533</v>
      </c>
      <c r="E137" s="20" t="str">
        <f t="shared" si="29"/>
        <v>Moderate/High</v>
      </c>
      <c r="F137" s="20" t="str">
        <f t="shared" si="29"/>
        <v>Winter</v>
      </c>
      <c r="G137" s="20">
        <f t="shared" si="29"/>
        <v>241</v>
      </c>
      <c r="H137" s="20">
        <f t="shared" si="29"/>
        <v>692</v>
      </c>
      <c r="I137" s="20">
        <f t="shared" si="29"/>
        <v>208</v>
      </c>
      <c r="J137" s="20">
        <f t="shared" si="29"/>
        <v>344</v>
      </c>
      <c r="K137" s="20">
        <f t="shared" si="29"/>
        <v>364</v>
      </c>
      <c r="L137" s="20">
        <f t="shared" si="29"/>
        <v>484</v>
      </c>
      <c r="M137" s="20">
        <f t="shared" si="29"/>
        <v>260</v>
      </c>
      <c r="N137" s="20">
        <f t="shared" si="29"/>
        <v>350</v>
      </c>
      <c r="O137" s="20">
        <f t="shared" si="29"/>
        <v>567</v>
      </c>
      <c r="P137" s="20">
        <f t="shared" si="29"/>
        <v>620</v>
      </c>
    </row>
    <row r="138" spans="4:22" ht="20.100000000000001" customHeight="1" x14ac:dyDescent="0.2">
      <c r="D138" s="20" t="s">
        <v>533</v>
      </c>
      <c r="E138" s="20" t="str">
        <f t="shared" si="29"/>
        <v>Moderate/Low</v>
      </c>
      <c r="F138" s="20" t="str">
        <f t="shared" si="29"/>
        <v>Spring</v>
      </c>
      <c r="G138" s="20">
        <f t="shared" si="29"/>
        <v>236</v>
      </c>
      <c r="H138" s="20">
        <f t="shared" si="29"/>
        <v>674</v>
      </c>
      <c r="I138" s="20">
        <f t="shared" si="29"/>
        <v>178</v>
      </c>
      <c r="J138" s="20">
        <f t="shared" si="29"/>
        <v>310</v>
      </c>
      <c r="K138" s="20">
        <f t="shared" si="29"/>
        <v>428</v>
      </c>
      <c r="L138" s="20">
        <f t="shared" si="29"/>
        <v>466</v>
      </c>
      <c r="M138" s="20">
        <f t="shared" si="29"/>
        <v>193</v>
      </c>
      <c r="N138" s="20">
        <f t="shared" si="29"/>
        <v>370</v>
      </c>
      <c r="O138" s="20">
        <f t="shared" si="29"/>
        <v>519</v>
      </c>
      <c r="P138" s="20">
        <f t="shared" si="29"/>
        <v>565</v>
      </c>
    </row>
    <row r="139" spans="4:22" ht="20.100000000000001" customHeight="1" x14ac:dyDescent="0.2">
      <c r="D139" s="20" t="s">
        <v>533</v>
      </c>
      <c r="E139" s="20" t="str">
        <f t="shared" si="29"/>
        <v>Moderate/Low</v>
      </c>
      <c r="F139" s="20" t="str">
        <f t="shared" si="29"/>
        <v>Summer</v>
      </c>
      <c r="G139" s="20">
        <f t="shared" si="29"/>
        <v>120</v>
      </c>
      <c r="H139" s="20">
        <f t="shared" si="29"/>
        <v>669</v>
      </c>
      <c r="I139" s="20">
        <f t="shared" si="29"/>
        <v>112</v>
      </c>
      <c r="J139" s="20">
        <f t="shared" si="29"/>
        <v>250</v>
      </c>
      <c r="K139" s="20">
        <f t="shared" si="29"/>
        <v>390</v>
      </c>
      <c r="L139" s="20">
        <f t="shared" si="29"/>
        <v>448</v>
      </c>
      <c r="M139" s="20">
        <f t="shared" si="29"/>
        <v>115</v>
      </c>
      <c r="N139" s="20">
        <f t="shared" si="29"/>
        <v>273</v>
      </c>
      <c r="O139" s="20">
        <f t="shared" si="29"/>
        <v>433</v>
      </c>
      <c r="P139" s="20">
        <f t="shared" si="29"/>
        <v>556</v>
      </c>
    </row>
    <row r="140" spans="4:22" ht="20.100000000000001" customHeight="1" x14ac:dyDescent="0.2">
      <c r="D140" s="20" t="s">
        <v>533</v>
      </c>
      <c r="E140" s="20" t="str">
        <f t="shared" si="29"/>
        <v>Moderate/Low</v>
      </c>
      <c r="F140" s="20" t="str">
        <f t="shared" si="29"/>
        <v>Autumn</v>
      </c>
      <c r="G140" s="20">
        <f t="shared" si="29"/>
        <v>125</v>
      </c>
      <c r="H140" s="20">
        <f t="shared" si="29"/>
        <v>685</v>
      </c>
      <c r="I140" s="20">
        <f t="shared" si="29"/>
        <v>140</v>
      </c>
      <c r="J140" s="20">
        <f t="shared" si="29"/>
        <v>277</v>
      </c>
      <c r="K140" s="20">
        <f t="shared" si="29"/>
        <v>407</v>
      </c>
      <c r="L140" s="20">
        <f t="shared" si="29"/>
        <v>455</v>
      </c>
      <c r="M140" s="20">
        <f t="shared" si="29"/>
        <v>141</v>
      </c>
      <c r="N140" s="20">
        <f t="shared" si="29"/>
        <v>296</v>
      </c>
      <c r="O140" s="20">
        <f t="shared" si="29"/>
        <v>445</v>
      </c>
      <c r="P140" s="20">
        <f t="shared" si="29"/>
        <v>593</v>
      </c>
    </row>
    <row r="141" spans="4:22" ht="20.100000000000001" customHeight="1" x14ac:dyDescent="0.2">
      <c r="D141" s="20" t="s">
        <v>533</v>
      </c>
      <c r="E141" s="20" t="str">
        <f t="shared" si="29"/>
        <v>Moderate/Low</v>
      </c>
      <c r="F141" s="20" t="str">
        <f t="shared" si="29"/>
        <v>Winter</v>
      </c>
      <c r="G141" s="20">
        <f t="shared" si="29"/>
        <v>180</v>
      </c>
      <c r="H141" s="20">
        <f t="shared" si="29"/>
        <v>692</v>
      </c>
      <c r="I141" s="20">
        <f t="shared" si="29"/>
        <v>183</v>
      </c>
      <c r="J141" s="20">
        <f t="shared" si="29"/>
        <v>316</v>
      </c>
      <c r="K141" s="20">
        <f t="shared" si="29"/>
        <v>438</v>
      </c>
      <c r="L141" s="20">
        <f t="shared" si="29"/>
        <v>468</v>
      </c>
      <c r="M141" s="20">
        <f t="shared" si="29"/>
        <v>189</v>
      </c>
      <c r="N141" s="20">
        <f t="shared" si="29"/>
        <v>354</v>
      </c>
      <c r="O141" s="20">
        <f t="shared" si="29"/>
        <v>500</v>
      </c>
      <c r="P141" s="20">
        <f t="shared" si="29"/>
        <v>553</v>
      </c>
    </row>
    <row r="142" spans="4:22" ht="20.100000000000001" customHeight="1" x14ac:dyDescent="0.2">
      <c r="D142" s="20" t="s">
        <v>533</v>
      </c>
      <c r="E142" s="20" t="str">
        <f t="shared" si="29"/>
        <v>Low</v>
      </c>
      <c r="F142" s="20" t="str">
        <f t="shared" si="29"/>
        <v>Spring</v>
      </c>
      <c r="G142" s="20">
        <f t="shared" si="29"/>
        <v>190</v>
      </c>
      <c r="H142" s="20">
        <f t="shared" si="29"/>
        <v>617</v>
      </c>
      <c r="I142" s="20">
        <f t="shared" si="29"/>
        <v>174</v>
      </c>
      <c r="J142" s="20">
        <f t="shared" si="29"/>
        <v>265</v>
      </c>
      <c r="K142" s="20">
        <f t="shared" si="29"/>
        <v>371</v>
      </c>
      <c r="L142" s="20">
        <f t="shared" si="29"/>
        <v>415</v>
      </c>
      <c r="M142" s="20">
        <f t="shared" si="29"/>
        <v>170</v>
      </c>
      <c r="N142" s="20">
        <f t="shared" si="29"/>
        <v>272</v>
      </c>
      <c r="O142" s="20">
        <f t="shared" si="29"/>
        <v>392</v>
      </c>
      <c r="P142" s="20">
        <f t="shared" si="29"/>
        <v>531</v>
      </c>
    </row>
    <row r="143" spans="4:22" ht="20.100000000000001" customHeight="1" x14ac:dyDescent="0.2">
      <c r="D143" s="20" t="s">
        <v>533</v>
      </c>
      <c r="E143" s="20" t="str">
        <f t="shared" si="29"/>
        <v>Low</v>
      </c>
      <c r="F143" s="20" t="str">
        <f t="shared" si="29"/>
        <v>Summer</v>
      </c>
      <c r="G143" s="20">
        <f t="shared" si="29"/>
        <v>119</v>
      </c>
      <c r="H143" s="20">
        <f t="shared" si="29"/>
        <v>591</v>
      </c>
      <c r="I143" s="20">
        <f t="shared" si="29"/>
        <v>140</v>
      </c>
      <c r="J143" s="20">
        <f t="shared" si="29"/>
        <v>205</v>
      </c>
      <c r="K143" s="20">
        <f t="shared" si="29"/>
        <v>310</v>
      </c>
      <c r="L143" s="20">
        <f t="shared" si="29"/>
        <v>405</v>
      </c>
      <c r="M143" s="20">
        <f t="shared" si="29"/>
        <v>133</v>
      </c>
      <c r="N143" s="20">
        <f t="shared" si="29"/>
        <v>218</v>
      </c>
      <c r="O143" s="20">
        <f t="shared" si="29"/>
        <v>315</v>
      </c>
      <c r="P143" s="20">
        <f t="shared" si="29"/>
        <v>445</v>
      </c>
    </row>
    <row r="144" spans="4:22" ht="20.100000000000001" customHeight="1" x14ac:dyDescent="0.2">
      <c r="D144" s="20" t="s">
        <v>533</v>
      </c>
      <c r="E144" s="20" t="str">
        <f t="shared" si="29"/>
        <v>Low</v>
      </c>
      <c r="F144" s="20" t="str">
        <f t="shared" si="29"/>
        <v>Autumn</v>
      </c>
      <c r="G144" s="20">
        <f t="shared" si="29"/>
        <v>175</v>
      </c>
      <c r="H144" s="20">
        <f t="shared" si="29"/>
        <v>610</v>
      </c>
      <c r="I144" s="20">
        <f t="shared" si="29"/>
        <v>163</v>
      </c>
      <c r="J144" s="20">
        <f t="shared" si="29"/>
        <v>232</v>
      </c>
      <c r="K144" s="20">
        <f t="shared" si="29"/>
        <v>351</v>
      </c>
      <c r="L144" s="20">
        <f t="shared" si="29"/>
        <v>427</v>
      </c>
      <c r="M144" s="20">
        <f t="shared" si="29"/>
        <v>146</v>
      </c>
      <c r="N144" s="20">
        <f t="shared" si="29"/>
        <v>242</v>
      </c>
      <c r="O144" s="20">
        <f t="shared" si="29"/>
        <v>320</v>
      </c>
      <c r="P144" s="20">
        <f t="shared" si="29"/>
        <v>471</v>
      </c>
    </row>
    <row r="145" spans="4:16" ht="20.100000000000001" customHeight="1" x14ac:dyDescent="0.2">
      <c r="D145" s="20" t="s">
        <v>533</v>
      </c>
      <c r="E145" s="20" t="str">
        <f t="shared" si="29"/>
        <v>Low</v>
      </c>
      <c r="F145" s="20" t="str">
        <f t="shared" si="29"/>
        <v>Winter</v>
      </c>
      <c r="G145" s="20">
        <f t="shared" si="29"/>
        <v>192</v>
      </c>
      <c r="H145" s="20">
        <f t="shared" si="29"/>
        <v>615</v>
      </c>
      <c r="I145" s="20">
        <f t="shared" si="29"/>
        <v>162</v>
      </c>
      <c r="J145" s="20">
        <f t="shared" si="29"/>
        <v>255</v>
      </c>
      <c r="K145" s="20">
        <f t="shared" si="29"/>
        <v>364</v>
      </c>
      <c r="L145" s="20">
        <f t="shared" si="29"/>
        <v>420</v>
      </c>
      <c r="M145" s="20">
        <f t="shared" si="29"/>
        <v>157</v>
      </c>
      <c r="N145" s="20">
        <f t="shared" si="29"/>
        <v>261</v>
      </c>
      <c r="O145" s="20">
        <f t="shared" si="29"/>
        <v>342</v>
      </c>
      <c r="P145" s="20">
        <f t="shared" si="29"/>
        <v>484</v>
      </c>
    </row>
    <row r="146" spans="4:16" ht="20.100000000000001" customHeight="1" x14ac:dyDescent="0.2">
      <c r="D146" s="1" t="s">
        <v>537</v>
      </c>
      <c r="E146" s="1" t="s">
        <v>493</v>
      </c>
      <c r="F146" s="1" t="str">
        <f>F142</f>
        <v>Spring</v>
      </c>
      <c r="G146" s="1">
        <f t="shared" ref="G146:P149" si="30">AVERAGE(G86,G90,G94,G98,G102,G106,G110,G114,G118,G122,G126,G130,G134,G138,G142)</f>
        <v>198.73333333333332</v>
      </c>
      <c r="H146" s="1">
        <f t="shared" si="30"/>
        <v>643.06666666666672</v>
      </c>
      <c r="I146" s="1">
        <f t="shared" si="30"/>
        <v>173.4</v>
      </c>
      <c r="J146" s="1">
        <f t="shared" si="30"/>
        <v>321.33333333333331</v>
      </c>
      <c r="K146" s="1">
        <f t="shared" si="30"/>
        <v>426</v>
      </c>
      <c r="L146" s="1">
        <f t="shared" si="30"/>
        <v>455.46666666666664</v>
      </c>
      <c r="M146" s="1">
        <f t="shared" si="30"/>
        <v>187.26666666666668</v>
      </c>
      <c r="N146" s="1">
        <f t="shared" si="30"/>
        <v>385.4</v>
      </c>
      <c r="O146" s="1">
        <f t="shared" si="30"/>
        <v>442.07142857142856</v>
      </c>
      <c r="P146" s="1">
        <f t="shared" si="30"/>
        <v>486.23076923076923</v>
      </c>
    </row>
    <row r="147" spans="4:16" ht="20.100000000000001" customHeight="1" x14ac:dyDescent="0.2">
      <c r="D147" s="1" t="s">
        <v>537</v>
      </c>
      <c r="E147" s="1" t="s">
        <v>493</v>
      </c>
      <c r="F147" s="1" t="str">
        <f>F143</f>
        <v>Summer</v>
      </c>
      <c r="G147" s="1">
        <f t="shared" si="30"/>
        <v>193</v>
      </c>
      <c r="H147" s="1">
        <f t="shared" si="30"/>
        <v>660.33333333333337</v>
      </c>
      <c r="I147" s="1">
        <f t="shared" si="30"/>
        <v>156.33333333333334</v>
      </c>
      <c r="J147" s="1">
        <f t="shared" si="30"/>
        <v>309.73333333333335</v>
      </c>
      <c r="K147" s="1">
        <f t="shared" si="30"/>
        <v>417.4</v>
      </c>
      <c r="L147" s="1">
        <f t="shared" si="30"/>
        <v>458.53333333333336</v>
      </c>
      <c r="M147" s="1">
        <f t="shared" si="30"/>
        <v>162</v>
      </c>
      <c r="N147" s="1">
        <f t="shared" si="30"/>
        <v>353.46666666666664</v>
      </c>
      <c r="O147" s="1">
        <f t="shared" si="30"/>
        <v>428.42857142857144</v>
      </c>
      <c r="P147" s="1">
        <f t="shared" si="30"/>
        <v>472.61538461538464</v>
      </c>
    </row>
    <row r="148" spans="4:16" ht="20.100000000000001" customHeight="1" x14ac:dyDescent="0.2">
      <c r="D148" s="1" t="s">
        <v>537</v>
      </c>
      <c r="E148" s="1" t="s">
        <v>493</v>
      </c>
      <c r="F148" s="1" t="str">
        <f>F144</f>
        <v>Autumn</v>
      </c>
      <c r="G148" s="1">
        <f t="shared" si="30"/>
        <v>170.66666666666666</v>
      </c>
      <c r="H148" s="1">
        <f t="shared" si="30"/>
        <v>654.26666666666665</v>
      </c>
      <c r="I148" s="1">
        <f t="shared" si="30"/>
        <v>161.53333333333333</v>
      </c>
      <c r="J148" s="1">
        <f t="shared" si="30"/>
        <v>307.93333333333334</v>
      </c>
      <c r="K148" s="1">
        <f t="shared" si="30"/>
        <v>419.66666666666669</v>
      </c>
      <c r="L148" s="1">
        <f t="shared" si="30"/>
        <v>454.06666666666666</v>
      </c>
      <c r="M148" s="1">
        <f t="shared" si="30"/>
        <v>169.86666666666667</v>
      </c>
      <c r="N148" s="1">
        <f t="shared" si="30"/>
        <v>363.13333333333333</v>
      </c>
      <c r="O148" s="1">
        <f t="shared" si="30"/>
        <v>430.14285714285717</v>
      </c>
      <c r="P148" s="1">
        <f t="shared" si="30"/>
        <v>479.69230769230768</v>
      </c>
    </row>
    <row r="149" spans="4:16" ht="20.100000000000001" customHeight="1" x14ac:dyDescent="0.2">
      <c r="D149" s="1" t="s">
        <v>537</v>
      </c>
      <c r="E149" s="1" t="s">
        <v>493</v>
      </c>
      <c r="F149" s="1" t="str">
        <f>F145</f>
        <v>Winter</v>
      </c>
      <c r="G149" s="1">
        <f t="shared" si="30"/>
        <v>214.53333333333333</v>
      </c>
      <c r="H149" s="1">
        <f t="shared" si="30"/>
        <v>650.5333333333333</v>
      </c>
      <c r="I149" s="1">
        <f t="shared" si="30"/>
        <v>196.53333333333333</v>
      </c>
      <c r="J149" s="1">
        <f t="shared" si="30"/>
        <v>333.6</v>
      </c>
      <c r="K149" s="1">
        <f t="shared" si="30"/>
        <v>427.4</v>
      </c>
      <c r="L149" s="1">
        <f t="shared" si="30"/>
        <v>453.33333333333331</v>
      </c>
      <c r="M149" s="1">
        <f t="shared" si="30"/>
        <v>207.26666666666668</v>
      </c>
      <c r="N149" s="1">
        <f t="shared" si="30"/>
        <v>381.93333333333334</v>
      </c>
      <c r="O149" s="1">
        <f t="shared" si="30"/>
        <v>438.28571428571428</v>
      </c>
      <c r="P149" s="1">
        <f t="shared" si="30"/>
        <v>479.38461538461536</v>
      </c>
    </row>
    <row r="150" spans="4:16" ht="20.100000000000001" customHeight="1" x14ac:dyDescent="0.2">
      <c r="D150" s="2" t="s">
        <v>1790</v>
      </c>
      <c r="E150" s="1" t="str">
        <f>E86</f>
        <v>n/a</v>
      </c>
      <c r="F150" s="1" t="str">
        <f>F86</f>
        <v>Spring</v>
      </c>
      <c r="G150" s="1">
        <f>G86</f>
        <v>80</v>
      </c>
      <c r="H150" s="1">
        <f>H86</f>
        <v>480</v>
      </c>
      <c r="I150" s="1">
        <f>I86</f>
        <v>75</v>
      </c>
      <c r="J150" s="1">
        <f>J86</f>
        <v>300</v>
      </c>
      <c r="K150" s="1">
        <f>K86</f>
        <v>440</v>
      </c>
      <c r="L150" s="1">
        <f>L86</f>
        <v>440</v>
      </c>
      <c r="M150" s="1">
        <f>M86</f>
        <v>75</v>
      </c>
      <c r="N150" s="1">
        <f>N86</f>
        <v>380</v>
      </c>
      <c r="O150" s="1" t="e">
        <f>#REF!</f>
        <v>#REF!</v>
      </c>
      <c r="P150" s="1">
        <f>P86</f>
        <v>380</v>
      </c>
    </row>
    <row r="151" spans="4:16" ht="20.100000000000001" customHeight="1" x14ac:dyDescent="0.2">
      <c r="D151" s="17" t="s">
        <v>1791</v>
      </c>
      <c r="E151" s="1" t="str">
        <f>E87</f>
        <v>n/a</v>
      </c>
      <c r="F151" s="1" t="str">
        <f>F87</f>
        <v>Summer</v>
      </c>
      <c r="G151" s="1">
        <f>G87</f>
        <v>170</v>
      </c>
      <c r="H151" s="1">
        <f>H87</f>
        <v>520</v>
      </c>
      <c r="I151" s="1">
        <f>I87</f>
        <v>160</v>
      </c>
      <c r="J151" s="1">
        <f>J87</f>
        <v>360</v>
      </c>
      <c r="K151" s="1">
        <f>K87</f>
        <v>470</v>
      </c>
      <c r="L151" s="1">
        <f>L87</f>
        <v>470</v>
      </c>
      <c r="M151" s="1">
        <f>M87</f>
        <v>160</v>
      </c>
      <c r="N151" s="1">
        <f>N87</f>
        <v>420</v>
      </c>
      <c r="O151" s="1" t="e">
        <f>#REF!</f>
        <v>#REF!</v>
      </c>
      <c r="P151" s="1">
        <f>P87</f>
        <v>420</v>
      </c>
    </row>
    <row r="152" spans="4:16" ht="20.100000000000001" customHeight="1" x14ac:dyDescent="0.2">
      <c r="D152" s="1" t="s">
        <v>1792</v>
      </c>
      <c r="E152" s="1" t="str">
        <f>E88</f>
        <v>n/a</v>
      </c>
      <c r="F152" s="1" t="str">
        <f>F88</f>
        <v>Autumn</v>
      </c>
      <c r="G152" s="1">
        <f>G88</f>
        <v>240</v>
      </c>
      <c r="H152" s="1">
        <f>H88</f>
        <v>550</v>
      </c>
      <c r="I152" s="1">
        <f>I88</f>
        <v>220</v>
      </c>
      <c r="J152" s="1">
        <f>J88</f>
        <v>390</v>
      </c>
      <c r="K152" s="1">
        <f>K88</f>
        <v>490</v>
      </c>
      <c r="L152" s="1">
        <f>L88</f>
        <v>490</v>
      </c>
      <c r="M152" s="1">
        <f>M88</f>
        <v>220</v>
      </c>
      <c r="N152" s="1">
        <f>N88</f>
        <v>450</v>
      </c>
      <c r="O152" s="1" t="e">
        <f>#REF!</f>
        <v>#REF!</v>
      </c>
      <c r="P152" s="1">
        <f>P88</f>
        <v>450</v>
      </c>
    </row>
    <row r="153" spans="4:16" ht="20.100000000000001" customHeight="1" x14ac:dyDescent="0.2">
      <c r="D153" s="9" t="s">
        <v>636</v>
      </c>
      <c r="E153" s="1" t="str">
        <f>E89</f>
        <v>n/a</v>
      </c>
      <c r="F153" s="1" t="str">
        <f>F89</f>
        <v>Winter</v>
      </c>
      <c r="G153" s="1">
        <f>G89</f>
        <v>280</v>
      </c>
      <c r="H153" s="1">
        <f>H89</f>
        <v>560</v>
      </c>
      <c r="I153" s="1">
        <f>I89</f>
        <v>260</v>
      </c>
      <c r="J153" s="1">
        <f>J89</f>
        <v>410</v>
      </c>
      <c r="K153" s="1">
        <f>K89</f>
        <v>500</v>
      </c>
      <c r="L153" s="1">
        <f>L89</f>
        <v>500</v>
      </c>
      <c r="M153" s="1">
        <f>M89</f>
        <v>260</v>
      </c>
      <c r="N153" s="1">
        <f>N89</f>
        <v>460</v>
      </c>
      <c r="O153" s="1" t="e">
        <f>#REF!</f>
        <v>#REF!</v>
      </c>
      <c r="P153" s="1">
        <f>P89</f>
        <v>460</v>
      </c>
    </row>
    <row r="154" spans="4:16" ht="20.100000000000001" customHeight="1" x14ac:dyDescent="0.2">
      <c r="D154" s="20" t="s">
        <v>105</v>
      </c>
      <c r="E154" s="20" t="s">
        <v>489</v>
      </c>
      <c r="F154" s="20" t="s">
        <v>76</v>
      </c>
      <c r="G154" s="20" t="s">
        <v>538</v>
      </c>
      <c r="H154" s="20" t="s">
        <v>539</v>
      </c>
      <c r="I154" s="20" t="s">
        <v>549</v>
      </c>
      <c r="J154" s="20" t="s">
        <v>510</v>
      </c>
      <c r="K154" s="20" t="s">
        <v>550</v>
      </c>
      <c r="L154" s="20" t="s">
        <v>544</v>
      </c>
      <c r="M154" s="20" t="s">
        <v>551</v>
      </c>
    </row>
    <row r="155" spans="4:16" ht="20.100000000000001" customHeight="1" x14ac:dyDescent="0.2">
      <c r="D155" s="20" t="s">
        <v>1780</v>
      </c>
      <c r="E155" s="20" t="s">
        <v>493</v>
      </c>
      <c r="F155" s="20" t="s">
        <v>335</v>
      </c>
      <c r="G155" s="20">
        <v>0.5</v>
      </c>
      <c r="H155" s="20">
        <v>0.2</v>
      </c>
      <c r="I155" s="20">
        <v>0.5</v>
      </c>
      <c r="J155" s="20">
        <v>0.4</v>
      </c>
      <c r="K155" s="20">
        <v>0.3</v>
      </c>
      <c r="L155" s="20">
        <v>0.5</v>
      </c>
      <c r="M155" s="20">
        <v>0.4</v>
      </c>
    </row>
    <row r="156" spans="4:16" ht="20.100000000000001" customHeight="1" x14ac:dyDescent="0.2">
      <c r="D156" s="1" t="s">
        <v>1780</v>
      </c>
      <c r="E156" s="20" t="s">
        <v>493</v>
      </c>
      <c r="F156" s="20" t="s">
        <v>336</v>
      </c>
      <c r="G156" s="20">
        <v>1</v>
      </c>
      <c r="H156" s="20">
        <v>0.4</v>
      </c>
      <c r="I156" s="20">
        <v>0.9</v>
      </c>
      <c r="J156" s="20">
        <v>0.7</v>
      </c>
      <c r="K156" s="20">
        <v>0.3</v>
      </c>
      <c r="L156" s="20">
        <v>0.9</v>
      </c>
      <c r="M156" s="20">
        <v>0.4</v>
      </c>
    </row>
    <row r="157" spans="4:16" ht="20.100000000000001" customHeight="1" x14ac:dyDescent="0.2">
      <c r="D157" s="1" t="s">
        <v>1780</v>
      </c>
      <c r="E157" s="20" t="s">
        <v>493</v>
      </c>
      <c r="F157" s="20" t="s">
        <v>337</v>
      </c>
      <c r="G157" s="20">
        <v>0.8</v>
      </c>
      <c r="H157" s="20">
        <v>0.3</v>
      </c>
      <c r="I157" s="20">
        <v>0.7</v>
      </c>
      <c r="J157" s="20">
        <v>0.3</v>
      </c>
      <c r="K157" s="20">
        <v>0.2</v>
      </c>
      <c r="L157" s="20">
        <v>0.7</v>
      </c>
      <c r="M157" s="20">
        <v>0.3</v>
      </c>
    </row>
    <row r="158" spans="4:16" ht="20.100000000000001" customHeight="1" x14ac:dyDescent="0.2">
      <c r="D158" s="1" t="s">
        <v>1780</v>
      </c>
      <c r="E158" s="20" t="s">
        <v>493</v>
      </c>
      <c r="F158" s="20" t="s">
        <v>338</v>
      </c>
      <c r="G158" s="20">
        <v>0.4</v>
      </c>
      <c r="H158" s="20">
        <v>0.1</v>
      </c>
      <c r="I158" s="20">
        <v>0.4</v>
      </c>
      <c r="J158" s="20">
        <v>0.2</v>
      </c>
      <c r="K158" s="20">
        <v>0.1</v>
      </c>
      <c r="L158" s="20">
        <v>0.4</v>
      </c>
      <c r="M158" s="20">
        <v>0.1</v>
      </c>
    </row>
    <row r="159" spans="4:16" ht="20.100000000000001" customHeight="1" x14ac:dyDescent="0.2">
      <c r="D159" s="1" t="s">
        <v>1781</v>
      </c>
      <c r="E159" s="20" t="s">
        <v>493</v>
      </c>
      <c r="F159" s="20" t="s">
        <v>335</v>
      </c>
      <c r="G159" s="20">
        <v>0.99</v>
      </c>
      <c r="H159" s="20">
        <v>1.1000000000000001</v>
      </c>
      <c r="I159" s="20">
        <v>0.88</v>
      </c>
      <c r="J159" s="20">
        <v>0.55000000000000004</v>
      </c>
      <c r="K159" s="20">
        <v>0.55000000000000004</v>
      </c>
      <c r="L159" s="20">
        <v>0.88</v>
      </c>
      <c r="M159" s="20">
        <v>0.22</v>
      </c>
    </row>
    <row r="160" spans="4:16" ht="20.100000000000001" customHeight="1" x14ac:dyDescent="0.2">
      <c r="D160" s="1" t="s">
        <v>1781</v>
      </c>
      <c r="E160" s="20" t="s">
        <v>493</v>
      </c>
      <c r="F160" s="20" t="s">
        <v>336</v>
      </c>
      <c r="G160" s="20">
        <v>0.77</v>
      </c>
      <c r="H160" s="20">
        <v>0</v>
      </c>
      <c r="I160" s="20">
        <v>0.66</v>
      </c>
      <c r="J160" s="20">
        <v>0.22</v>
      </c>
      <c r="K160" s="20">
        <v>0</v>
      </c>
      <c r="L160" s="20">
        <v>0.66</v>
      </c>
      <c r="M160" s="20">
        <v>0</v>
      </c>
    </row>
    <row r="161" spans="4:13" ht="20.100000000000001" customHeight="1" x14ac:dyDescent="0.2">
      <c r="D161" s="1" t="s">
        <v>1781</v>
      </c>
      <c r="E161" s="20" t="s">
        <v>493</v>
      </c>
      <c r="F161" s="20" t="s">
        <v>337</v>
      </c>
      <c r="G161" s="20">
        <v>0.9</v>
      </c>
      <c r="H161" s="20">
        <v>-1.1000000000000001</v>
      </c>
      <c r="I161" s="20">
        <v>0.7</v>
      </c>
      <c r="J161" s="20">
        <v>0.22</v>
      </c>
      <c r="K161" s="20">
        <v>-0.55000000000000004</v>
      </c>
      <c r="L161" s="20">
        <v>0.8</v>
      </c>
      <c r="M161" s="20">
        <v>-0.22</v>
      </c>
    </row>
    <row r="162" spans="4:13" ht="20.100000000000001" customHeight="1" x14ac:dyDescent="0.2">
      <c r="D162" s="1" t="s">
        <v>1781</v>
      </c>
      <c r="E162" s="20" t="s">
        <v>493</v>
      </c>
      <c r="F162" s="20" t="s">
        <v>338</v>
      </c>
      <c r="G162" s="20">
        <v>0.88</v>
      </c>
      <c r="H162" s="20">
        <v>0</v>
      </c>
      <c r="I162" s="20">
        <v>0.77</v>
      </c>
      <c r="J162" s="20">
        <v>0.55000000000000004</v>
      </c>
      <c r="K162" s="20">
        <v>0</v>
      </c>
      <c r="L162" s="20">
        <v>0.82</v>
      </c>
      <c r="M162" s="20">
        <v>0</v>
      </c>
    </row>
    <row r="163" spans="4:13" ht="20.100000000000001" customHeight="1" x14ac:dyDescent="0.2">
      <c r="D163" s="1" t="s">
        <v>1782</v>
      </c>
      <c r="E163" s="20" t="s">
        <v>493</v>
      </c>
      <c r="F163" s="20" t="s">
        <v>335</v>
      </c>
      <c r="G163" s="20">
        <v>1</v>
      </c>
      <c r="H163" s="20">
        <v>0.5</v>
      </c>
      <c r="I163" s="20">
        <v>1</v>
      </c>
      <c r="J163" s="20">
        <v>1</v>
      </c>
      <c r="K163" s="20">
        <v>-0.44</v>
      </c>
      <c r="L163" s="20">
        <v>1</v>
      </c>
      <c r="M163" s="20">
        <v>0.5</v>
      </c>
    </row>
    <row r="164" spans="4:13" ht="20.100000000000001" customHeight="1" x14ac:dyDescent="0.2">
      <c r="D164" s="1" t="s">
        <v>1782</v>
      </c>
      <c r="E164" s="20" t="s">
        <v>493</v>
      </c>
      <c r="F164" s="20" t="s">
        <v>336</v>
      </c>
      <c r="G164" s="20">
        <v>0.82</v>
      </c>
      <c r="H164" s="20">
        <v>0.55000000000000004</v>
      </c>
      <c r="I164" s="20">
        <v>0.71</v>
      </c>
      <c r="J164" s="20">
        <v>0.55000000000000004</v>
      </c>
      <c r="K164" s="20">
        <v>0.99</v>
      </c>
      <c r="L164" s="20">
        <v>0.77</v>
      </c>
      <c r="M164" s="20">
        <v>0.5</v>
      </c>
    </row>
    <row r="165" spans="4:13" ht="20.100000000000001" customHeight="1" x14ac:dyDescent="0.2">
      <c r="D165" s="1" t="s">
        <v>1782</v>
      </c>
      <c r="E165" s="20" t="s">
        <v>493</v>
      </c>
      <c r="F165" s="20" t="s">
        <v>337</v>
      </c>
      <c r="G165" s="20">
        <v>0.77</v>
      </c>
      <c r="H165" s="20">
        <v>0.5</v>
      </c>
      <c r="I165" s="20">
        <v>0.55000000000000004</v>
      </c>
      <c r="J165" s="20">
        <v>0.11</v>
      </c>
      <c r="K165" s="20">
        <v>-0.33</v>
      </c>
      <c r="L165" s="20">
        <v>0.6</v>
      </c>
      <c r="M165" s="20">
        <v>0.33</v>
      </c>
    </row>
    <row r="166" spans="4:13" ht="20.100000000000001" customHeight="1" x14ac:dyDescent="0.2">
      <c r="D166" s="1" t="s">
        <v>1782</v>
      </c>
      <c r="E166" s="20" t="s">
        <v>493</v>
      </c>
      <c r="F166" s="20" t="s">
        <v>338</v>
      </c>
      <c r="G166" s="20">
        <v>0.11</v>
      </c>
      <c r="H166" s="20">
        <v>-0.27</v>
      </c>
      <c r="I166" s="20">
        <v>0.11</v>
      </c>
      <c r="J166" s="20">
        <v>0.22</v>
      </c>
      <c r="K166" s="20">
        <v>-0.44</v>
      </c>
      <c r="L166" s="20">
        <v>0.16</v>
      </c>
      <c r="M166" s="20">
        <v>-0.22</v>
      </c>
    </row>
    <row r="167" spans="4:13" ht="20.100000000000001" customHeight="1" x14ac:dyDescent="0.2">
      <c r="D167" s="1" t="s">
        <v>1783</v>
      </c>
      <c r="E167" s="20" t="s">
        <v>493</v>
      </c>
      <c r="F167" s="20" t="s">
        <v>335</v>
      </c>
      <c r="G167" s="20">
        <v>1.1000000000000001</v>
      </c>
      <c r="H167" s="20">
        <v>1.1000000000000001</v>
      </c>
      <c r="I167" s="20">
        <v>1.1000000000000001</v>
      </c>
      <c r="J167" s="20">
        <v>0.99</v>
      </c>
      <c r="K167" s="20">
        <v>0.99</v>
      </c>
      <c r="L167" s="20">
        <v>1.1000000000000001</v>
      </c>
      <c r="M167" s="20">
        <v>0.77</v>
      </c>
    </row>
    <row r="168" spans="4:13" ht="20.100000000000001" customHeight="1" x14ac:dyDescent="0.2">
      <c r="D168" s="1" t="s">
        <v>1783</v>
      </c>
      <c r="E168" s="20" t="s">
        <v>493</v>
      </c>
      <c r="F168" s="20" t="s">
        <v>336</v>
      </c>
      <c r="G168" s="20">
        <v>0.33</v>
      </c>
      <c r="H168" s="20">
        <v>0.33</v>
      </c>
      <c r="I168" s="20">
        <v>0.22</v>
      </c>
      <c r="J168" s="20">
        <v>0.33</v>
      </c>
      <c r="K168" s="20">
        <v>-0.1</v>
      </c>
      <c r="L168" s="20">
        <v>0.33</v>
      </c>
      <c r="M168" s="20">
        <v>0.11</v>
      </c>
    </row>
    <row r="169" spans="4:13" ht="20.100000000000001" customHeight="1" x14ac:dyDescent="0.2">
      <c r="D169" s="1" t="s">
        <v>1783</v>
      </c>
      <c r="E169" s="20" t="s">
        <v>493</v>
      </c>
      <c r="F169" s="20" t="s">
        <v>337</v>
      </c>
      <c r="G169" s="20">
        <v>0.5</v>
      </c>
      <c r="H169" s="20">
        <v>0.2</v>
      </c>
      <c r="I169" s="20">
        <v>0.55000000000000004</v>
      </c>
      <c r="J169" s="20">
        <v>0.44</v>
      </c>
      <c r="K169" s="20">
        <v>0.2</v>
      </c>
      <c r="L169" s="20">
        <v>0.55000000000000004</v>
      </c>
      <c r="M169" s="20">
        <v>0.2</v>
      </c>
    </row>
    <row r="170" spans="4:13" ht="20.100000000000001" customHeight="1" x14ac:dyDescent="0.2">
      <c r="D170" s="1" t="s">
        <v>1783</v>
      </c>
      <c r="E170" s="20" t="s">
        <v>493</v>
      </c>
      <c r="F170" s="20" t="s">
        <v>338</v>
      </c>
      <c r="G170" s="20">
        <v>0.55000000000000004</v>
      </c>
      <c r="H170" s="20">
        <v>0.22</v>
      </c>
      <c r="I170" s="20">
        <v>0.49</v>
      </c>
      <c r="J170" s="20">
        <v>0.22</v>
      </c>
      <c r="K170" s="20">
        <v>0.22</v>
      </c>
      <c r="L170" s="20">
        <v>0.49</v>
      </c>
      <c r="M170" s="20">
        <v>0.33</v>
      </c>
    </row>
    <row r="171" spans="4:13" ht="20.100000000000001" customHeight="1" x14ac:dyDescent="0.2">
      <c r="D171" s="1" t="s">
        <v>1784</v>
      </c>
      <c r="E171" s="20" t="s">
        <v>322</v>
      </c>
      <c r="F171" s="20" t="s">
        <v>335</v>
      </c>
      <c r="G171" s="20">
        <v>1.64</v>
      </c>
      <c r="H171" s="20">
        <v>1.1000000000000001</v>
      </c>
      <c r="I171" s="20">
        <v>1.21</v>
      </c>
      <c r="J171" s="20">
        <v>0.99</v>
      </c>
      <c r="K171" s="20">
        <v>0.66</v>
      </c>
      <c r="L171" s="20">
        <v>1.42</v>
      </c>
      <c r="M171" s="20">
        <v>1.1000000000000001</v>
      </c>
    </row>
    <row r="172" spans="4:13" ht="20.100000000000001" customHeight="1" x14ac:dyDescent="0.2">
      <c r="D172" s="1" t="s">
        <v>1784</v>
      </c>
      <c r="E172" s="20" t="s">
        <v>322</v>
      </c>
      <c r="F172" s="20" t="s">
        <v>336</v>
      </c>
      <c r="G172" s="20">
        <v>0.44</v>
      </c>
      <c r="H172" s="20">
        <v>-0.22</v>
      </c>
      <c r="I172" s="20">
        <v>0.44</v>
      </c>
      <c r="J172" s="20">
        <v>0.33</v>
      </c>
      <c r="K172" s="20">
        <v>-0.22</v>
      </c>
      <c r="L172" s="20">
        <v>0.44</v>
      </c>
      <c r="M172" s="20">
        <v>-0.11</v>
      </c>
    </row>
    <row r="173" spans="4:13" ht="20.100000000000001" customHeight="1" x14ac:dyDescent="0.2">
      <c r="D173" s="1" t="s">
        <v>1784</v>
      </c>
      <c r="E173" s="20" t="s">
        <v>322</v>
      </c>
      <c r="F173" s="20" t="s">
        <v>337</v>
      </c>
      <c r="G173" s="20">
        <v>0.6</v>
      </c>
      <c r="H173" s="20">
        <v>0</v>
      </c>
      <c r="I173" s="20">
        <v>0.6</v>
      </c>
      <c r="J173" s="20">
        <v>0.22</v>
      </c>
      <c r="K173" s="20">
        <v>-0.55000000000000004</v>
      </c>
      <c r="L173" s="20">
        <v>0.6</v>
      </c>
      <c r="M173" s="20">
        <v>0</v>
      </c>
    </row>
    <row r="174" spans="4:13" ht="20.100000000000001" customHeight="1" x14ac:dyDescent="0.2">
      <c r="D174" s="1" t="s">
        <v>1784</v>
      </c>
      <c r="E174" s="20" t="s">
        <v>322</v>
      </c>
      <c r="F174" s="20" t="s">
        <v>338</v>
      </c>
      <c r="G174" s="20">
        <v>0.99</v>
      </c>
      <c r="H174" s="20">
        <v>0.22</v>
      </c>
      <c r="I174" s="20">
        <v>0.77</v>
      </c>
      <c r="J174" s="20">
        <v>0.11</v>
      </c>
      <c r="K174" s="20">
        <v>0.11</v>
      </c>
      <c r="L174" s="20">
        <v>0.77</v>
      </c>
      <c r="M174" s="20">
        <v>0.44</v>
      </c>
    </row>
    <row r="175" spans="4:13" ht="20.100000000000001" customHeight="1" x14ac:dyDescent="0.2">
      <c r="D175" s="1" t="s">
        <v>1784</v>
      </c>
      <c r="E175" s="20" t="s">
        <v>495</v>
      </c>
      <c r="F175" s="20" t="s">
        <v>335</v>
      </c>
      <c r="G175" s="20">
        <v>0.7</v>
      </c>
      <c r="H175" s="20">
        <v>-0.55000000000000004</v>
      </c>
      <c r="I175" s="20">
        <v>0.7</v>
      </c>
      <c r="J175" s="20">
        <v>0.22</v>
      </c>
      <c r="K175" s="20">
        <v>-0.22</v>
      </c>
      <c r="L175" s="20">
        <v>0.7</v>
      </c>
      <c r="M175" s="20">
        <v>-0.22</v>
      </c>
    </row>
    <row r="176" spans="4:13" ht="20.100000000000001" customHeight="1" x14ac:dyDescent="0.2">
      <c r="D176" s="1" t="s">
        <v>1784</v>
      </c>
      <c r="E176" s="20" t="s">
        <v>495</v>
      </c>
      <c r="F176" s="20" t="s">
        <v>336</v>
      </c>
      <c r="G176" s="20">
        <v>0.77</v>
      </c>
      <c r="H176" s="20">
        <v>0.55000000000000004</v>
      </c>
      <c r="I176" s="20">
        <v>0.77</v>
      </c>
      <c r="J176" s="20">
        <v>0.66</v>
      </c>
      <c r="K176" s="20">
        <v>0.55000000000000004</v>
      </c>
      <c r="L176" s="20">
        <v>0.77</v>
      </c>
      <c r="M176" s="20">
        <v>0.33</v>
      </c>
    </row>
    <row r="177" spans="4:16" ht="20.100000000000001" customHeight="1" x14ac:dyDescent="0.2">
      <c r="D177" s="1" t="s">
        <v>1784</v>
      </c>
      <c r="E177" s="20" t="s">
        <v>495</v>
      </c>
      <c r="F177" s="20" t="s">
        <v>337</v>
      </c>
      <c r="G177" s="20">
        <v>0.88</v>
      </c>
      <c r="H177" s="20">
        <v>0.55000000000000004</v>
      </c>
      <c r="I177" s="20">
        <v>0.88</v>
      </c>
      <c r="J177" s="20">
        <v>0.22</v>
      </c>
      <c r="K177" s="20">
        <v>0.22</v>
      </c>
      <c r="L177" s="20">
        <v>0.88</v>
      </c>
      <c r="M177" s="20">
        <v>0.22</v>
      </c>
    </row>
    <row r="178" spans="4:16" ht="20.100000000000001" customHeight="1" x14ac:dyDescent="0.2">
      <c r="D178" s="1" t="s">
        <v>1784</v>
      </c>
      <c r="E178" s="20" t="s">
        <v>495</v>
      </c>
      <c r="F178" s="20" t="s">
        <v>338</v>
      </c>
      <c r="G178" s="20">
        <v>0.22</v>
      </c>
      <c r="H178" s="20">
        <v>-0.55000000000000004</v>
      </c>
      <c r="I178" s="20">
        <v>0.22</v>
      </c>
      <c r="J178" s="20">
        <v>0.11</v>
      </c>
      <c r="K178" s="20">
        <v>-0.22</v>
      </c>
      <c r="L178" s="20">
        <v>0.22</v>
      </c>
      <c r="M178" s="20">
        <v>-0.33</v>
      </c>
    </row>
    <row r="179" spans="4:16" ht="20.100000000000001" customHeight="1" x14ac:dyDescent="0.2">
      <c r="D179" s="1" t="s">
        <v>1784</v>
      </c>
      <c r="E179" s="20" t="s">
        <v>498</v>
      </c>
      <c r="F179" s="20" t="s">
        <v>335</v>
      </c>
      <c r="G179" s="20">
        <v>0.22</v>
      </c>
      <c r="H179" s="20">
        <v>-0.55000000000000004</v>
      </c>
      <c r="I179" s="20">
        <v>0.33</v>
      </c>
      <c r="J179" s="20">
        <v>0.22</v>
      </c>
      <c r="K179" s="20">
        <v>-0.33</v>
      </c>
      <c r="L179" s="20">
        <v>0.22</v>
      </c>
      <c r="M179" s="20">
        <v>-0.55000000000000004</v>
      </c>
    </row>
    <row r="180" spans="4:16" ht="20.100000000000001" customHeight="1" x14ac:dyDescent="0.2">
      <c r="D180" s="1" t="s">
        <v>1784</v>
      </c>
      <c r="E180" s="20" t="s">
        <v>498</v>
      </c>
      <c r="F180" s="20" t="s">
        <v>336</v>
      </c>
      <c r="G180" s="20">
        <v>0.8</v>
      </c>
      <c r="H180" s="20">
        <v>0.55000000000000004</v>
      </c>
      <c r="I180" s="20">
        <v>0.7</v>
      </c>
      <c r="J180" s="20">
        <v>0.44</v>
      </c>
      <c r="K180" s="20">
        <v>0.66</v>
      </c>
      <c r="L180" s="20">
        <v>0.8</v>
      </c>
      <c r="M180" s="20">
        <v>0.55000000000000004</v>
      </c>
    </row>
    <row r="181" spans="4:16" ht="20.100000000000001" customHeight="1" x14ac:dyDescent="0.2">
      <c r="D181" s="1" t="s">
        <v>1784</v>
      </c>
      <c r="E181" s="20" t="s">
        <v>498</v>
      </c>
      <c r="F181" s="20" t="s">
        <v>337</v>
      </c>
      <c r="G181" s="20">
        <v>0.66</v>
      </c>
      <c r="H181" s="20">
        <v>0.55000000000000004</v>
      </c>
      <c r="I181" s="20">
        <v>0.55000000000000004</v>
      </c>
      <c r="J181" s="20">
        <v>0.55000000000000004</v>
      </c>
      <c r="K181" s="20">
        <v>0.11</v>
      </c>
      <c r="L181" s="20">
        <v>0.66</v>
      </c>
      <c r="M181" s="20">
        <v>0.55000000000000004</v>
      </c>
    </row>
    <row r="182" spans="4:16" ht="20.100000000000001" customHeight="1" x14ac:dyDescent="0.2">
      <c r="D182" s="1" t="s">
        <v>1784</v>
      </c>
      <c r="E182" s="20" t="s">
        <v>498</v>
      </c>
      <c r="F182" s="20" t="s">
        <v>338</v>
      </c>
      <c r="G182" s="20">
        <v>0.33</v>
      </c>
      <c r="H182" s="20">
        <v>-0.55000000000000004</v>
      </c>
      <c r="I182" s="20">
        <v>0.11</v>
      </c>
      <c r="J182" s="20">
        <v>0.11</v>
      </c>
      <c r="K182" s="20">
        <v>-0.44</v>
      </c>
      <c r="L182" s="20">
        <v>0.33</v>
      </c>
      <c r="M182" s="20">
        <v>-0.55000000000000004</v>
      </c>
    </row>
    <row r="183" spans="4:16" ht="20.100000000000001" customHeight="1" x14ac:dyDescent="0.2">
      <c r="M183" s="1"/>
    </row>
    <row r="184" spans="4:16" ht="20.100000000000001" customHeight="1" x14ac:dyDescent="0.2">
      <c r="M184" s="1"/>
    </row>
    <row r="185" spans="4:16" ht="20.100000000000001" customHeight="1" x14ac:dyDescent="0.2">
      <c r="D185" s="2" t="s">
        <v>1793</v>
      </c>
      <c r="M185" s="1"/>
    </row>
    <row r="186" spans="4:16" ht="20.100000000000001" customHeight="1" x14ac:dyDescent="0.2">
      <c r="D186" s="17" t="s">
        <v>1794</v>
      </c>
      <c r="M186" s="1"/>
    </row>
    <row r="187" spans="4:16" ht="20.100000000000001" customHeight="1" x14ac:dyDescent="0.2">
      <c r="D187" s="1" t="s">
        <v>1792</v>
      </c>
      <c r="M187" s="1"/>
    </row>
    <row r="188" spans="4:16" ht="20.100000000000001" customHeight="1" x14ac:dyDescent="0.2">
      <c r="D188" s="9" t="s">
        <v>636</v>
      </c>
      <c r="M188" s="1"/>
    </row>
    <row r="189" spans="4:16" ht="20.100000000000001" customHeight="1" x14ac:dyDescent="0.2">
      <c r="D189" s="20" t="s">
        <v>105</v>
      </c>
      <c r="E189" s="20" t="s">
        <v>489</v>
      </c>
      <c r="F189" s="20" t="s">
        <v>76</v>
      </c>
      <c r="G189" s="20" t="s">
        <v>538</v>
      </c>
      <c r="H189" s="20" t="s">
        <v>539</v>
      </c>
      <c r="I189" s="20" t="s">
        <v>549</v>
      </c>
      <c r="J189" s="20" t="s">
        <v>510</v>
      </c>
      <c r="K189" s="20" t="s">
        <v>552</v>
      </c>
      <c r="L189" s="20" t="s">
        <v>553</v>
      </c>
      <c r="M189" s="20" t="s">
        <v>544</v>
      </c>
      <c r="N189" s="20" t="s">
        <v>545</v>
      </c>
      <c r="O189" s="20" t="s">
        <v>546</v>
      </c>
      <c r="P189" s="20" t="s">
        <v>547</v>
      </c>
    </row>
    <row r="190" spans="4:16" ht="20.100000000000001" customHeight="1" x14ac:dyDescent="0.2">
      <c r="D190" s="20" t="s">
        <v>1787</v>
      </c>
      <c r="E190" s="20" t="s">
        <v>491</v>
      </c>
      <c r="F190" s="20" t="s">
        <v>335</v>
      </c>
      <c r="G190" s="20">
        <v>0.22</v>
      </c>
      <c r="H190" s="20">
        <v>-0.23</v>
      </c>
      <c r="I190" s="20">
        <v>0.25</v>
      </c>
      <c r="J190" s="20">
        <v>0.17</v>
      </c>
      <c r="K190" s="20">
        <v>0.18</v>
      </c>
      <c r="L190" s="20">
        <v>-0.28000000000000003</v>
      </c>
      <c r="M190" s="20">
        <v>0.32</v>
      </c>
      <c r="N190" s="20">
        <v>0.24</v>
      </c>
      <c r="O190" s="20">
        <v>0.25</v>
      </c>
      <c r="P190" s="20">
        <v>-0.05</v>
      </c>
    </row>
    <row r="191" spans="4:16" ht="20.100000000000001" customHeight="1" x14ac:dyDescent="0.2">
      <c r="D191" s="1" t="s">
        <v>1787</v>
      </c>
      <c r="E191" s="20" t="s">
        <v>491</v>
      </c>
      <c r="F191" s="20" t="s">
        <v>336</v>
      </c>
      <c r="G191" s="20">
        <v>0.66</v>
      </c>
      <c r="H191" s="20">
        <v>0.2</v>
      </c>
      <c r="I191" s="20">
        <v>0.62</v>
      </c>
      <c r="J191" s="20">
        <v>0.54</v>
      </c>
      <c r="K191" s="20">
        <v>0.38</v>
      </c>
      <c r="L191" s="20">
        <v>0.27</v>
      </c>
      <c r="M191" s="20">
        <v>0.75</v>
      </c>
      <c r="N191" s="20">
        <v>0.64</v>
      </c>
      <c r="O191" s="20">
        <v>0.55000000000000004</v>
      </c>
      <c r="P191" s="20">
        <v>0.48</v>
      </c>
    </row>
    <row r="192" spans="4:16" ht="20.100000000000001" customHeight="1" x14ac:dyDescent="0.2">
      <c r="D192" s="1" t="s">
        <v>1787</v>
      </c>
      <c r="E192" s="20" t="s">
        <v>491</v>
      </c>
      <c r="F192" s="20" t="s">
        <v>337</v>
      </c>
      <c r="G192" s="20">
        <v>0.49</v>
      </c>
      <c r="H192" s="20">
        <v>0.13</v>
      </c>
      <c r="I192" s="20">
        <v>0.54</v>
      </c>
      <c r="J192" s="20">
        <v>0.45</v>
      </c>
      <c r="K192" s="20">
        <v>0.35</v>
      </c>
      <c r="L192" s="20">
        <v>0.15</v>
      </c>
      <c r="M192" s="20">
        <v>0.63</v>
      </c>
      <c r="N192" s="20">
        <v>0.54</v>
      </c>
      <c r="O192" s="20">
        <v>0.42</v>
      </c>
      <c r="P192" s="20">
        <v>0.26</v>
      </c>
    </row>
    <row r="193" spans="4:16" ht="20.100000000000001" customHeight="1" x14ac:dyDescent="0.2">
      <c r="D193" s="1" t="s">
        <v>1787</v>
      </c>
      <c r="E193" s="20" t="s">
        <v>491</v>
      </c>
      <c r="F193" s="20" t="s">
        <v>338</v>
      </c>
      <c r="G193" s="20">
        <v>0.27</v>
      </c>
      <c r="H193" s="20">
        <v>-0.8</v>
      </c>
      <c r="I193" s="20">
        <v>0.22</v>
      </c>
      <c r="J193" s="20">
        <v>0.09</v>
      </c>
      <c r="K193" s="20">
        <v>0.12</v>
      </c>
      <c r="L193" s="20">
        <v>0.02</v>
      </c>
      <c r="M193" s="20">
        <v>0.25</v>
      </c>
      <c r="N193" s="20">
        <v>0.18</v>
      </c>
      <c r="O193" s="20">
        <v>0.12</v>
      </c>
      <c r="P193" s="20">
        <v>0.03</v>
      </c>
    </row>
    <row r="194" spans="4:16" ht="20.100000000000001" customHeight="1" x14ac:dyDescent="0.2">
      <c r="D194" s="1" t="s">
        <v>1787</v>
      </c>
      <c r="E194" s="20" t="s">
        <v>496</v>
      </c>
      <c r="F194" s="20" t="s">
        <v>335</v>
      </c>
      <c r="G194" s="20">
        <v>0.22</v>
      </c>
      <c r="H194" s="20">
        <v>-0.44</v>
      </c>
      <c r="I194" s="20">
        <v>0.2</v>
      </c>
      <c r="J194" s="20">
        <v>0.21</v>
      </c>
      <c r="K194" s="20">
        <v>0.18</v>
      </c>
      <c r="L194" s="20">
        <v>0.01</v>
      </c>
      <c r="M194" s="20">
        <v>0.12</v>
      </c>
      <c r="N194" s="20">
        <v>0.09</v>
      </c>
      <c r="O194" s="20" t="s">
        <v>1788</v>
      </c>
      <c r="P194" s="20" t="s">
        <v>1788</v>
      </c>
    </row>
    <row r="195" spans="4:16" ht="20.100000000000001" customHeight="1" x14ac:dyDescent="0.2">
      <c r="D195" s="1" t="s">
        <v>1787</v>
      </c>
      <c r="E195" s="20" t="s">
        <v>496</v>
      </c>
      <c r="F195" s="20" t="s">
        <v>336</v>
      </c>
      <c r="G195" s="20">
        <v>0.66</v>
      </c>
      <c r="H195" s="20">
        <v>0.22</v>
      </c>
      <c r="I195" s="20">
        <v>0.68</v>
      </c>
      <c r="J195" s="20">
        <v>0.22</v>
      </c>
      <c r="K195" s="20">
        <v>0.24</v>
      </c>
      <c r="L195" s="20">
        <v>0.25</v>
      </c>
      <c r="M195" s="20">
        <v>0.64</v>
      </c>
      <c r="N195" s="20">
        <v>0.37</v>
      </c>
      <c r="O195" s="20" t="s">
        <v>1788</v>
      </c>
      <c r="P195" s="20" t="s">
        <v>1788</v>
      </c>
    </row>
    <row r="196" spans="4:16" ht="20.100000000000001" customHeight="1" x14ac:dyDescent="0.2">
      <c r="D196" s="1" t="s">
        <v>1787</v>
      </c>
      <c r="E196" s="20" t="s">
        <v>496</v>
      </c>
      <c r="F196" s="20" t="s">
        <v>337</v>
      </c>
      <c r="G196" s="20">
        <v>0.49</v>
      </c>
      <c r="H196" s="20">
        <v>0.05</v>
      </c>
      <c r="I196" s="20">
        <v>0.64</v>
      </c>
      <c r="J196" s="20">
        <v>0.25</v>
      </c>
      <c r="K196" s="20">
        <v>0.28999999999999998</v>
      </c>
      <c r="L196" s="20">
        <v>0.12</v>
      </c>
      <c r="M196" s="20">
        <v>0.56999999999999995</v>
      </c>
      <c r="N196" s="20">
        <v>0.49</v>
      </c>
      <c r="O196" s="20" t="s">
        <v>1788</v>
      </c>
      <c r="P196" s="20" t="s">
        <v>1788</v>
      </c>
    </row>
    <row r="197" spans="4:16" ht="20.100000000000001" customHeight="1" x14ac:dyDescent="0.2">
      <c r="D197" s="1" t="s">
        <v>1787</v>
      </c>
      <c r="E197" s="20" t="s">
        <v>496</v>
      </c>
      <c r="F197" s="20" t="s">
        <v>338</v>
      </c>
      <c r="G197" s="20">
        <v>0.27</v>
      </c>
      <c r="H197" s="20">
        <v>-0.27</v>
      </c>
      <c r="I197" s="20">
        <v>0.31</v>
      </c>
      <c r="J197" s="20">
        <v>0.28999999999999998</v>
      </c>
      <c r="K197" s="20">
        <v>0.19</v>
      </c>
      <c r="L197" s="20">
        <v>0.04</v>
      </c>
      <c r="M197" s="20">
        <v>0.26</v>
      </c>
      <c r="N197" s="20">
        <v>0.28000000000000003</v>
      </c>
      <c r="O197" s="20" t="s">
        <v>1788</v>
      </c>
      <c r="P197" s="20" t="s">
        <v>1788</v>
      </c>
    </row>
    <row r="198" spans="4:16" ht="20.100000000000001" customHeight="1" x14ac:dyDescent="0.2">
      <c r="D198" s="1" t="s">
        <v>1787</v>
      </c>
      <c r="E198" s="20" t="s">
        <v>499</v>
      </c>
      <c r="F198" s="20" t="s">
        <v>335</v>
      </c>
      <c r="G198" s="20">
        <v>0.22</v>
      </c>
      <c r="H198" s="20">
        <v>-0.44</v>
      </c>
      <c r="I198" s="20">
        <v>0</v>
      </c>
      <c r="J198" s="20">
        <v>0.15</v>
      </c>
      <c r="K198" s="20">
        <v>0.08</v>
      </c>
      <c r="L198" s="20">
        <v>0.17</v>
      </c>
      <c r="M198" s="20">
        <v>0.06</v>
      </c>
      <c r="N198" s="20">
        <v>0.02</v>
      </c>
      <c r="O198" s="20">
        <v>-0.14000000000000001</v>
      </c>
      <c r="P198" s="20" t="s">
        <v>1788</v>
      </c>
    </row>
    <row r="199" spans="4:16" ht="20.100000000000001" customHeight="1" x14ac:dyDescent="0.2">
      <c r="D199" s="1" t="s">
        <v>1787</v>
      </c>
      <c r="E199" s="20" t="s">
        <v>499</v>
      </c>
      <c r="F199" s="20" t="s">
        <v>336</v>
      </c>
      <c r="G199" s="20">
        <v>0.66</v>
      </c>
      <c r="H199" s="20">
        <v>0.22</v>
      </c>
      <c r="I199" s="20">
        <v>0.79</v>
      </c>
      <c r="J199" s="20">
        <v>0.4</v>
      </c>
      <c r="K199" s="20">
        <v>0.38</v>
      </c>
      <c r="L199" s="20">
        <v>0.27</v>
      </c>
      <c r="M199" s="20">
        <v>0.8</v>
      </c>
      <c r="N199" s="20">
        <v>0.16</v>
      </c>
      <c r="O199" s="20">
        <v>0.3</v>
      </c>
      <c r="P199" s="20" t="s">
        <v>1788</v>
      </c>
    </row>
    <row r="200" spans="4:16" ht="20.100000000000001" customHeight="1" x14ac:dyDescent="0.2">
      <c r="D200" s="1" t="s">
        <v>1787</v>
      </c>
      <c r="E200" s="20" t="s">
        <v>499</v>
      </c>
      <c r="F200" s="20" t="s">
        <v>337</v>
      </c>
      <c r="G200" s="20">
        <v>0.49</v>
      </c>
      <c r="H200" s="20">
        <v>0.05</v>
      </c>
      <c r="I200" s="20">
        <v>0.55000000000000004</v>
      </c>
      <c r="J200" s="20">
        <v>0.38</v>
      </c>
      <c r="K200" s="20">
        <v>0.36</v>
      </c>
      <c r="L200" s="20">
        <v>0.06</v>
      </c>
      <c r="M200" s="20">
        <v>0.57999999999999996</v>
      </c>
      <c r="N200" s="20">
        <v>0.23</v>
      </c>
      <c r="O200" s="20">
        <v>0.4</v>
      </c>
      <c r="P200" s="20" t="s">
        <v>1788</v>
      </c>
    </row>
    <row r="201" spans="4:16" ht="20.100000000000001" customHeight="1" x14ac:dyDescent="0.2">
      <c r="D201" s="1" t="s">
        <v>1787</v>
      </c>
      <c r="E201" s="20" t="s">
        <v>499</v>
      </c>
      <c r="F201" s="20" t="s">
        <v>338</v>
      </c>
      <c r="G201" s="20">
        <v>0.27</v>
      </c>
      <c r="H201" s="20">
        <v>-0.27</v>
      </c>
      <c r="I201" s="20">
        <v>0.02</v>
      </c>
      <c r="J201" s="20">
        <v>0.09</v>
      </c>
      <c r="K201" s="20">
        <v>0.16</v>
      </c>
      <c r="L201" s="20">
        <v>-0.04</v>
      </c>
      <c r="M201" s="20">
        <v>0.21</v>
      </c>
      <c r="N201" s="20">
        <v>0.03</v>
      </c>
      <c r="O201" s="20">
        <v>0.11</v>
      </c>
      <c r="P201" s="20" t="s">
        <v>1788</v>
      </c>
    </row>
    <row r="202" spans="4:16" ht="20.100000000000001" customHeight="1" x14ac:dyDescent="0.2">
      <c r="D202" s="1" t="s">
        <v>1789</v>
      </c>
      <c r="E202" s="20" t="s">
        <v>492</v>
      </c>
      <c r="F202" s="20" t="s">
        <v>335</v>
      </c>
      <c r="G202" s="20">
        <v>0.27</v>
      </c>
      <c r="H202" s="20">
        <v>-0.19</v>
      </c>
      <c r="I202" s="20">
        <v>0.38</v>
      </c>
      <c r="J202" s="20">
        <v>0.25</v>
      </c>
      <c r="K202" s="20">
        <v>7.0000000000000007E-2</v>
      </c>
      <c r="L202" s="20">
        <v>0.05</v>
      </c>
      <c r="M202" s="20">
        <v>0.52</v>
      </c>
      <c r="N202" s="20">
        <v>0.55000000000000004</v>
      </c>
      <c r="O202" s="20">
        <v>0.19</v>
      </c>
      <c r="P202" s="20">
        <v>0.6</v>
      </c>
    </row>
    <row r="203" spans="4:16" ht="20.100000000000001" customHeight="1" x14ac:dyDescent="0.2">
      <c r="D203" s="1" t="s">
        <v>1789</v>
      </c>
      <c r="E203" s="20" t="s">
        <v>492</v>
      </c>
      <c r="F203" s="20" t="s">
        <v>336</v>
      </c>
      <c r="G203" s="20">
        <v>0.16</v>
      </c>
      <c r="H203" s="20">
        <v>0.16</v>
      </c>
      <c r="I203" s="20">
        <v>0.8</v>
      </c>
      <c r="J203" s="20">
        <v>0.56999999999999995</v>
      </c>
      <c r="K203" s="20">
        <v>0.76</v>
      </c>
      <c r="L203" s="20">
        <v>0.49</v>
      </c>
      <c r="M203" s="20">
        <v>0.84</v>
      </c>
      <c r="N203" s="20">
        <v>0.51</v>
      </c>
      <c r="O203" s="20">
        <v>0.36</v>
      </c>
      <c r="P203" s="20">
        <v>0.17</v>
      </c>
    </row>
    <row r="204" spans="4:16" ht="20.100000000000001" customHeight="1" x14ac:dyDescent="0.2">
      <c r="D204" s="1" t="s">
        <v>1789</v>
      </c>
      <c r="E204" s="20" t="s">
        <v>492</v>
      </c>
      <c r="F204" s="20" t="s">
        <v>337</v>
      </c>
      <c r="G204" s="20">
        <v>0.45</v>
      </c>
      <c r="H204" s="20">
        <v>0.1</v>
      </c>
      <c r="I204" s="20">
        <v>0.49</v>
      </c>
      <c r="J204" s="20">
        <v>0.41</v>
      </c>
      <c r="K204" s="20">
        <v>0.4</v>
      </c>
      <c r="L204" s="20">
        <v>0.17</v>
      </c>
      <c r="M204" s="20">
        <v>0.54</v>
      </c>
      <c r="N204" s="20">
        <v>0.64</v>
      </c>
      <c r="O204" s="20">
        <v>-0.05</v>
      </c>
      <c r="P204" s="20">
        <v>0.32</v>
      </c>
    </row>
    <row r="205" spans="4:16" ht="20.100000000000001" customHeight="1" x14ac:dyDescent="0.2">
      <c r="D205" s="1" t="s">
        <v>1789</v>
      </c>
      <c r="E205" s="20" t="s">
        <v>492</v>
      </c>
      <c r="F205" s="20" t="s">
        <v>338</v>
      </c>
      <c r="G205" s="20">
        <v>0.51</v>
      </c>
      <c r="H205" s="20">
        <v>-7.0000000000000007E-2</v>
      </c>
      <c r="I205" s="20">
        <v>0.13</v>
      </c>
      <c r="J205" s="20">
        <v>-0.09</v>
      </c>
      <c r="K205" s="20">
        <v>-0.13</v>
      </c>
      <c r="L205" s="20">
        <v>7.0000000000000007E-2</v>
      </c>
      <c r="M205" s="20">
        <v>0.25</v>
      </c>
      <c r="N205" s="20">
        <v>0.71</v>
      </c>
      <c r="O205" s="20">
        <v>0.17</v>
      </c>
      <c r="P205" s="20">
        <v>0.43</v>
      </c>
    </row>
    <row r="206" spans="4:16" ht="20.100000000000001" customHeight="1" x14ac:dyDescent="0.2">
      <c r="D206" s="1" t="s">
        <v>1789</v>
      </c>
      <c r="E206" s="20" t="s">
        <v>497</v>
      </c>
      <c r="F206" s="20" t="s">
        <v>335</v>
      </c>
      <c r="G206" s="20">
        <v>-0.12</v>
      </c>
      <c r="H206" s="20">
        <v>-0.19</v>
      </c>
      <c r="I206" s="20">
        <v>0.41</v>
      </c>
      <c r="J206" s="20">
        <v>0.09</v>
      </c>
      <c r="K206" s="20">
        <v>0.41</v>
      </c>
      <c r="L206" s="20">
        <v>-0.19</v>
      </c>
      <c r="M206" s="20">
        <v>7.0000000000000007E-2</v>
      </c>
      <c r="N206" s="20">
        <v>1.07</v>
      </c>
      <c r="O206" s="20">
        <v>-0.08</v>
      </c>
      <c r="P206" s="20">
        <v>0</v>
      </c>
    </row>
    <row r="207" spans="4:16" ht="20.100000000000001" customHeight="1" x14ac:dyDescent="0.2">
      <c r="D207" s="1" t="s">
        <v>1789</v>
      </c>
      <c r="E207" s="20" t="s">
        <v>497</v>
      </c>
      <c r="F207" s="20" t="s">
        <v>336</v>
      </c>
      <c r="G207" s="20">
        <v>0.65</v>
      </c>
      <c r="H207" s="20">
        <v>0.19</v>
      </c>
      <c r="I207" s="20">
        <v>0.65</v>
      </c>
      <c r="J207" s="20">
        <v>0.51</v>
      </c>
      <c r="K207" s="20">
        <v>0.18</v>
      </c>
      <c r="L207" s="20">
        <v>0.63</v>
      </c>
      <c r="M207" s="20">
        <v>1.3</v>
      </c>
      <c r="N207" s="20">
        <v>0.48</v>
      </c>
      <c r="O207" s="20">
        <v>1.1200000000000001</v>
      </c>
      <c r="P207" s="20">
        <v>0.38</v>
      </c>
    </row>
    <row r="208" spans="4:16" ht="20.100000000000001" customHeight="1" x14ac:dyDescent="0.2">
      <c r="D208" s="1" t="s">
        <v>1789</v>
      </c>
      <c r="E208" s="20" t="s">
        <v>497</v>
      </c>
      <c r="F208" s="20" t="s">
        <v>337</v>
      </c>
      <c r="G208" s="20">
        <v>0.7</v>
      </c>
      <c r="H208" s="20">
        <v>0.13</v>
      </c>
      <c r="I208" s="20">
        <v>0.52</v>
      </c>
      <c r="J208" s="20">
        <v>0.34</v>
      </c>
      <c r="K208" s="20">
        <v>0.02</v>
      </c>
      <c r="L208" s="20">
        <v>0.04</v>
      </c>
      <c r="M208" s="20">
        <v>0.77</v>
      </c>
      <c r="N208" s="20">
        <v>0.42</v>
      </c>
      <c r="O208" s="20">
        <v>0.12</v>
      </c>
      <c r="P208" s="20">
        <v>0.74</v>
      </c>
    </row>
    <row r="209" spans="4:16" ht="20.100000000000001" customHeight="1" x14ac:dyDescent="0.2">
      <c r="D209" s="1" t="s">
        <v>1789</v>
      </c>
      <c r="E209" s="20" t="s">
        <v>497</v>
      </c>
      <c r="F209" s="20" t="s">
        <v>338</v>
      </c>
      <c r="G209" s="20">
        <v>0.32</v>
      </c>
      <c r="H209" s="20">
        <v>-0.06</v>
      </c>
      <c r="I209" s="20">
        <v>0.25</v>
      </c>
      <c r="J209" s="20">
        <v>0.19</v>
      </c>
      <c r="K209" s="20">
        <v>-0.1</v>
      </c>
      <c r="L209" s="20">
        <v>-0.02</v>
      </c>
      <c r="M209" s="20">
        <v>0.02</v>
      </c>
      <c r="N209" s="20">
        <v>0.23</v>
      </c>
      <c r="O209" s="20">
        <v>-0.13</v>
      </c>
      <c r="P209" s="20">
        <v>0</v>
      </c>
    </row>
    <row r="210" spans="4:16" ht="20.100000000000001" customHeight="1" x14ac:dyDescent="0.2">
      <c r="D210" s="1" t="s">
        <v>1789</v>
      </c>
      <c r="E210" s="20" t="s">
        <v>500</v>
      </c>
      <c r="F210" s="20" t="s">
        <v>335</v>
      </c>
      <c r="G210" s="20">
        <v>0.62</v>
      </c>
      <c r="H210" s="20">
        <v>-0.19</v>
      </c>
      <c r="I210" s="20">
        <v>0.37</v>
      </c>
      <c r="J210" s="20">
        <v>0.41</v>
      </c>
      <c r="K210" s="20">
        <v>0.06</v>
      </c>
      <c r="L210" s="20">
        <v>-0.02</v>
      </c>
      <c r="M210" s="20">
        <v>0.47</v>
      </c>
      <c r="N210" s="20">
        <v>0.44</v>
      </c>
      <c r="O210" s="20">
        <v>0.3</v>
      </c>
      <c r="P210" s="20">
        <v>0.13</v>
      </c>
    </row>
    <row r="211" spans="4:16" ht="20.100000000000001" customHeight="1" x14ac:dyDescent="0.2">
      <c r="D211" s="1" t="s">
        <v>1789</v>
      </c>
      <c r="E211" s="20" t="s">
        <v>500</v>
      </c>
      <c r="F211" s="20" t="s">
        <v>336</v>
      </c>
      <c r="G211" s="20">
        <v>0.05</v>
      </c>
      <c r="H211" s="20">
        <v>0.19</v>
      </c>
      <c r="I211" s="20">
        <v>0.31</v>
      </c>
      <c r="J211" s="20">
        <v>0.54</v>
      </c>
      <c r="K211" s="20">
        <v>0.53</v>
      </c>
      <c r="L211" s="20">
        <v>0.15</v>
      </c>
      <c r="M211" s="20">
        <v>0.28000000000000003</v>
      </c>
      <c r="N211" s="20">
        <v>0.56999999999999995</v>
      </c>
      <c r="O211" s="20">
        <v>0.42</v>
      </c>
      <c r="P211" s="20">
        <v>0.4</v>
      </c>
    </row>
    <row r="212" spans="4:16" ht="20.100000000000001" customHeight="1" x14ac:dyDescent="0.2">
      <c r="D212" s="1" t="s">
        <v>1789</v>
      </c>
      <c r="E212" s="20" t="s">
        <v>500</v>
      </c>
      <c r="F212" s="20" t="s">
        <v>337</v>
      </c>
      <c r="G212" s="20">
        <v>0.33</v>
      </c>
      <c r="H212" s="20">
        <v>0.13</v>
      </c>
      <c r="I212" s="20">
        <v>0.39</v>
      </c>
      <c r="J212" s="20">
        <v>0.36</v>
      </c>
      <c r="K212" s="20">
        <v>0.26</v>
      </c>
      <c r="L212" s="20">
        <v>0.11</v>
      </c>
      <c r="M212" s="20">
        <v>0.4</v>
      </c>
      <c r="N212" s="20">
        <v>0.44</v>
      </c>
      <c r="O212" s="20">
        <v>0.37</v>
      </c>
      <c r="P212" s="20">
        <v>-0.01</v>
      </c>
    </row>
    <row r="213" spans="4:16" ht="20.100000000000001" customHeight="1" x14ac:dyDescent="0.2">
      <c r="D213" s="1" t="s">
        <v>1789</v>
      </c>
      <c r="E213" s="20" t="s">
        <v>500</v>
      </c>
      <c r="F213" s="20" t="s">
        <v>338</v>
      </c>
      <c r="G213" s="20">
        <v>0.61</v>
      </c>
      <c r="H213" s="20">
        <v>-0.06</v>
      </c>
      <c r="I213" s="20">
        <v>0.21</v>
      </c>
      <c r="J213" s="20">
        <v>0.18</v>
      </c>
      <c r="K213" s="20">
        <v>0.12</v>
      </c>
      <c r="L213" s="20">
        <v>0.06</v>
      </c>
      <c r="M213" s="20">
        <v>0.28999999999999998</v>
      </c>
      <c r="N213" s="20">
        <v>0.41</v>
      </c>
      <c r="O213" s="20">
        <v>0.41</v>
      </c>
      <c r="P213" s="20">
        <v>-0.15</v>
      </c>
    </row>
    <row r="214" spans="4:16" ht="20.100000000000001" customHeight="1" x14ac:dyDescent="0.2">
      <c r="D214" s="1" t="s">
        <v>1789</v>
      </c>
      <c r="E214" s="20" t="s">
        <v>503</v>
      </c>
      <c r="F214" s="20" t="s">
        <v>335</v>
      </c>
      <c r="G214" s="20">
        <v>-0.2</v>
      </c>
      <c r="H214" s="20">
        <v>0.02</v>
      </c>
      <c r="I214" s="20">
        <v>0.24</v>
      </c>
      <c r="J214" s="20">
        <v>0.3</v>
      </c>
      <c r="K214" s="20">
        <v>0.23</v>
      </c>
      <c r="L214" s="20">
        <v>-0.05</v>
      </c>
      <c r="M214" s="20">
        <v>0.34</v>
      </c>
      <c r="N214" s="20">
        <v>0.3</v>
      </c>
      <c r="O214" s="20">
        <v>0.56999999999999995</v>
      </c>
      <c r="P214" s="20">
        <v>0.52</v>
      </c>
    </row>
    <row r="215" spans="4:16" ht="20.100000000000001" customHeight="1" x14ac:dyDescent="0.2">
      <c r="D215" s="1" t="s">
        <v>1789</v>
      </c>
      <c r="E215" s="20" t="s">
        <v>503</v>
      </c>
      <c r="F215" s="20" t="s">
        <v>336</v>
      </c>
      <c r="G215" s="20">
        <v>0.62</v>
      </c>
      <c r="H215" s="20">
        <v>0.21</v>
      </c>
      <c r="I215" s="20">
        <v>0.25</v>
      </c>
      <c r="J215" s="20">
        <v>0.32</v>
      </c>
      <c r="K215" s="20">
        <v>0.47</v>
      </c>
      <c r="L215" s="20">
        <v>0.31</v>
      </c>
      <c r="M215" s="20">
        <v>0.14000000000000001</v>
      </c>
      <c r="N215" s="20">
        <v>0.4</v>
      </c>
      <c r="O215" s="20">
        <v>0.26</v>
      </c>
      <c r="P215" s="20">
        <v>0.43</v>
      </c>
    </row>
    <row r="216" spans="4:16" ht="20.100000000000001" customHeight="1" x14ac:dyDescent="0.2">
      <c r="D216" s="1" t="s">
        <v>1789</v>
      </c>
      <c r="E216" s="20" t="s">
        <v>503</v>
      </c>
      <c r="F216" s="20" t="s">
        <v>337</v>
      </c>
      <c r="G216" s="20">
        <v>0.4</v>
      </c>
      <c r="H216" s="20">
        <v>0.13</v>
      </c>
      <c r="I216" s="20">
        <v>0.12</v>
      </c>
      <c r="J216" s="20">
        <v>0.27</v>
      </c>
      <c r="K216" s="20">
        <v>0.3</v>
      </c>
      <c r="L216" s="20">
        <v>0.08</v>
      </c>
      <c r="M216" s="20">
        <v>0.13</v>
      </c>
      <c r="N216" s="20">
        <v>0.24</v>
      </c>
      <c r="O216" s="20">
        <v>0.15</v>
      </c>
      <c r="P216" s="20">
        <v>0.21</v>
      </c>
    </row>
    <row r="217" spans="4:16" ht="20.100000000000001" customHeight="1" x14ac:dyDescent="0.2">
      <c r="D217" s="1" t="s">
        <v>1789</v>
      </c>
      <c r="E217" s="20" t="s">
        <v>503</v>
      </c>
      <c r="F217" s="20" t="s">
        <v>338</v>
      </c>
      <c r="G217" s="20">
        <v>0.08</v>
      </c>
      <c r="H217" s="20">
        <v>0.04</v>
      </c>
      <c r="I217" s="20">
        <v>0.06</v>
      </c>
      <c r="J217" s="20">
        <v>0.18</v>
      </c>
      <c r="K217" s="20">
        <v>0.11</v>
      </c>
      <c r="L217" s="20">
        <v>-7.0000000000000007E-2</v>
      </c>
      <c r="M217" s="20">
        <v>0.13</v>
      </c>
      <c r="N217" s="20">
        <v>0.16</v>
      </c>
      <c r="O217" s="20">
        <v>0.4</v>
      </c>
      <c r="P217" s="20">
        <v>0.33</v>
      </c>
    </row>
    <row r="218" spans="4:16" ht="20.100000000000001" customHeight="1" x14ac:dyDescent="0.2">
      <c r="M218" s="1"/>
    </row>
    <row r="219" spans="4:16" ht="20.100000000000001" customHeight="1" x14ac:dyDescent="0.2">
      <c r="M219" s="1"/>
    </row>
    <row r="220" spans="4:16" ht="20.100000000000001" customHeight="1" x14ac:dyDescent="0.2">
      <c r="D220" s="2" t="s">
        <v>548</v>
      </c>
      <c r="M220" s="1"/>
    </row>
    <row r="221" spans="4:16" ht="20.100000000000001" customHeight="1" x14ac:dyDescent="0.2">
      <c r="M221" s="1"/>
    </row>
    <row r="222" spans="4:16" ht="20.100000000000001" customHeight="1" x14ac:dyDescent="0.2">
      <c r="D222" s="20" t="s">
        <v>105</v>
      </c>
      <c r="E222" s="20" t="s">
        <v>489</v>
      </c>
      <c r="F222" s="20" t="s">
        <v>76</v>
      </c>
      <c r="G222" s="123" t="s">
        <v>326</v>
      </c>
      <c r="H222" s="123" t="s">
        <v>184</v>
      </c>
      <c r="I222" s="123" t="s">
        <v>327</v>
      </c>
      <c r="J222" s="123" t="s">
        <v>328</v>
      </c>
      <c r="K222" s="123" t="s">
        <v>329</v>
      </c>
      <c r="L222" s="123" t="s">
        <v>330</v>
      </c>
      <c r="M222" s="123" t="s">
        <v>331</v>
      </c>
      <c r="N222" s="123" t="s">
        <v>332</v>
      </c>
      <c r="O222" s="123" t="s">
        <v>333</v>
      </c>
      <c r="P222" s="123" t="s">
        <v>334</v>
      </c>
    </row>
    <row r="223" spans="4:16" ht="20.100000000000001" customHeight="1" x14ac:dyDescent="0.2">
      <c r="D223" s="20" t="s">
        <v>519</v>
      </c>
      <c r="E223" s="20" t="s">
        <v>493</v>
      </c>
      <c r="F223" s="20" t="str">
        <f>F155</f>
        <v>Spring</v>
      </c>
      <c r="G223" s="20">
        <f>G155</f>
        <v>0.5</v>
      </c>
      <c r="H223" s="20">
        <f t="shared" ref="H223:J223" si="31">H155</f>
        <v>0.2</v>
      </c>
      <c r="I223" s="20">
        <f t="shared" si="31"/>
        <v>0.5</v>
      </c>
      <c r="J223" s="20">
        <f t="shared" si="31"/>
        <v>0.4</v>
      </c>
      <c r="K223" s="20">
        <f>K155</f>
        <v>0.3</v>
      </c>
      <c r="L223" s="20">
        <f>K155</f>
        <v>0.3</v>
      </c>
      <c r="M223" s="20">
        <f>L155</f>
        <v>0.5</v>
      </c>
      <c r="N223" s="20">
        <f>M155</f>
        <v>0.4</v>
      </c>
      <c r="O223" s="20">
        <f>M155</f>
        <v>0.4</v>
      </c>
      <c r="P223" s="20">
        <f>M155</f>
        <v>0.4</v>
      </c>
    </row>
    <row r="224" spans="4:16" ht="20.100000000000001" customHeight="1" x14ac:dyDescent="0.2">
      <c r="D224" s="20" t="s">
        <v>519</v>
      </c>
      <c r="E224" s="20" t="s">
        <v>493</v>
      </c>
      <c r="F224" s="20" t="str">
        <f t="shared" ref="F224:K226" si="32">F156</f>
        <v>Summer</v>
      </c>
      <c r="G224" s="20">
        <f t="shared" si="32"/>
        <v>1</v>
      </c>
      <c r="H224" s="20">
        <f t="shared" si="32"/>
        <v>0.4</v>
      </c>
      <c r="I224" s="20">
        <f t="shared" si="32"/>
        <v>0.9</v>
      </c>
      <c r="J224" s="20">
        <f t="shared" si="32"/>
        <v>0.7</v>
      </c>
      <c r="K224" s="20">
        <f t="shared" si="32"/>
        <v>0.3</v>
      </c>
      <c r="L224" s="20">
        <f t="shared" ref="L224:N226" si="33">K156</f>
        <v>0.3</v>
      </c>
      <c r="M224" s="20">
        <f t="shared" si="33"/>
        <v>0.9</v>
      </c>
      <c r="N224" s="20">
        <f t="shared" si="33"/>
        <v>0.4</v>
      </c>
      <c r="O224" s="20">
        <f t="shared" ref="O224:O226" si="34">M156</f>
        <v>0.4</v>
      </c>
      <c r="P224" s="20">
        <f t="shared" ref="P224:P226" si="35">M156</f>
        <v>0.4</v>
      </c>
    </row>
    <row r="225" spans="4:16" ht="20.100000000000001" customHeight="1" x14ac:dyDescent="0.2">
      <c r="D225" s="20" t="s">
        <v>519</v>
      </c>
      <c r="E225" s="20" t="s">
        <v>493</v>
      </c>
      <c r="F225" s="20" t="str">
        <f t="shared" si="32"/>
        <v>Autumn</v>
      </c>
      <c r="G225" s="20">
        <f t="shared" si="32"/>
        <v>0.8</v>
      </c>
      <c r="H225" s="20">
        <f t="shared" si="32"/>
        <v>0.3</v>
      </c>
      <c r="I225" s="20">
        <f t="shared" si="32"/>
        <v>0.7</v>
      </c>
      <c r="J225" s="20">
        <f t="shared" si="32"/>
        <v>0.3</v>
      </c>
      <c r="K225" s="20">
        <f t="shared" si="32"/>
        <v>0.2</v>
      </c>
      <c r="L225" s="20">
        <f t="shared" si="33"/>
        <v>0.2</v>
      </c>
      <c r="M225" s="20">
        <f t="shared" si="33"/>
        <v>0.7</v>
      </c>
      <c r="N225" s="20">
        <f t="shared" si="33"/>
        <v>0.3</v>
      </c>
      <c r="O225" s="20">
        <f t="shared" si="34"/>
        <v>0.3</v>
      </c>
      <c r="P225" s="20">
        <f t="shared" si="35"/>
        <v>0.3</v>
      </c>
    </row>
    <row r="226" spans="4:16" ht="20.100000000000001" customHeight="1" x14ac:dyDescent="0.2">
      <c r="D226" s="20" t="s">
        <v>519</v>
      </c>
      <c r="E226" s="20" t="s">
        <v>493</v>
      </c>
      <c r="F226" s="20" t="str">
        <f t="shared" si="32"/>
        <v>Winter</v>
      </c>
      <c r="G226" s="20">
        <f t="shared" si="32"/>
        <v>0.4</v>
      </c>
      <c r="H226" s="20">
        <f t="shared" si="32"/>
        <v>0.1</v>
      </c>
      <c r="I226" s="20">
        <f t="shared" si="32"/>
        <v>0.4</v>
      </c>
      <c r="J226" s="20">
        <f t="shared" si="32"/>
        <v>0.2</v>
      </c>
      <c r="K226" s="20">
        <f t="shared" si="32"/>
        <v>0.1</v>
      </c>
      <c r="L226" s="20">
        <f t="shared" si="33"/>
        <v>0.1</v>
      </c>
      <c r="M226" s="20">
        <f t="shared" si="33"/>
        <v>0.4</v>
      </c>
      <c r="N226" s="20">
        <f t="shared" si="33"/>
        <v>0.1</v>
      </c>
      <c r="O226" s="20">
        <f t="shared" si="34"/>
        <v>0.1</v>
      </c>
      <c r="P226" s="20">
        <f t="shared" si="35"/>
        <v>0.1</v>
      </c>
    </row>
    <row r="227" spans="4:16" ht="20.100000000000001" customHeight="1" x14ac:dyDescent="0.2">
      <c r="D227" s="20" t="s">
        <v>520</v>
      </c>
      <c r="E227" s="20" t="s">
        <v>493</v>
      </c>
      <c r="F227" s="20" t="str">
        <f>F155</f>
        <v>Spring</v>
      </c>
      <c r="G227" s="20">
        <f>G155</f>
        <v>0.5</v>
      </c>
      <c r="H227" s="20">
        <f t="shared" ref="H227:J227" si="36">H155</f>
        <v>0.2</v>
      </c>
      <c r="I227" s="20">
        <f t="shared" si="36"/>
        <v>0.5</v>
      </c>
      <c r="J227" s="20">
        <f t="shared" si="36"/>
        <v>0.4</v>
      </c>
      <c r="K227" s="20">
        <f>K155</f>
        <v>0.3</v>
      </c>
      <c r="L227" s="20">
        <f>K155</f>
        <v>0.3</v>
      </c>
      <c r="M227" s="20">
        <f t="shared" ref="M227" si="37">L155</f>
        <v>0.5</v>
      </c>
      <c r="N227" s="20">
        <f>M155</f>
        <v>0.4</v>
      </c>
      <c r="O227" s="20">
        <f>M155</f>
        <v>0.4</v>
      </c>
      <c r="P227" s="20">
        <f>M155</f>
        <v>0.4</v>
      </c>
    </row>
    <row r="228" spans="4:16" ht="20.100000000000001" customHeight="1" x14ac:dyDescent="0.2">
      <c r="D228" s="20" t="s">
        <v>520</v>
      </c>
      <c r="E228" s="20" t="s">
        <v>493</v>
      </c>
      <c r="F228" s="20" t="str">
        <f t="shared" ref="F228:K231" si="38">F156</f>
        <v>Summer</v>
      </c>
      <c r="G228" s="20">
        <f t="shared" si="38"/>
        <v>1</v>
      </c>
      <c r="H228" s="20">
        <f t="shared" si="38"/>
        <v>0.4</v>
      </c>
      <c r="I228" s="20">
        <f t="shared" si="38"/>
        <v>0.9</v>
      </c>
      <c r="J228" s="20">
        <f t="shared" si="38"/>
        <v>0.7</v>
      </c>
      <c r="K228" s="20">
        <f t="shared" si="38"/>
        <v>0.3</v>
      </c>
      <c r="L228" s="20">
        <f t="shared" ref="L228:N231" si="39">K156</f>
        <v>0.3</v>
      </c>
      <c r="M228" s="20">
        <f t="shared" si="39"/>
        <v>0.9</v>
      </c>
      <c r="N228" s="20">
        <f t="shared" si="39"/>
        <v>0.4</v>
      </c>
      <c r="O228" s="20">
        <f t="shared" ref="O228:O230" si="40">M156</f>
        <v>0.4</v>
      </c>
      <c r="P228" s="20">
        <f t="shared" ref="P228:P230" si="41">M156</f>
        <v>0.4</v>
      </c>
    </row>
    <row r="229" spans="4:16" ht="20.100000000000001" customHeight="1" x14ac:dyDescent="0.2">
      <c r="D229" s="20" t="s">
        <v>520</v>
      </c>
      <c r="E229" s="20" t="s">
        <v>493</v>
      </c>
      <c r="F229" s="20" t="str">
        <f t="shared" si="38"/>
        <v>Autumn</v>
      </c>
      <c r="G229" s="20">
        <f t="shared" si="38"/>
        <v>0.8</v>
      </c>
      <c r="H229" s="20">
        <f t="shared" si="38"/>
        <v>0.3</v>
      </c>
      <c r="I229" s="20">
        <f t="shared" si="38"/>
        <v>0.7</v>
      </c>
      <c r="J229" s="20">
        <f t="shared" si="38"/>
        <v>0.3</v>
      </c>
      <c r="K229" s="20">
        <f t="shared" si="38"/>
        <v>0.2</v>
      </c>
      <c r="L229" s="20">
        <f t="shared" si="39"/>
        <v>0.2</v>
      </c>
      <c r="M229" s="20">
        <f t="shared" si="39"/>
        <v>0.7</v>
      </c>
      <c r="N229" s="20">
        <f t="shared" si="39"/>
        <v>0.3</v>
      </c>
      <c r="O229" s="20">
        <f t="shared" si="40"/>
        <v>0.3</v>
      </c>
      <c r="P229" s="20">
        <f t="shared" si="41"/>
        <v>0.3</v>
      </c>
    </row>
    <row r="230" spans="4:16" ht="20.100000000000001" customHeight="1" x14ac:dyDescent="0.2">
      <c r="D230" s="20" t="s">
        <v>520</v>
      </c>
      <c r="E230" s="20" t="s">
        <v>493</v>
      </c>
      <c r="F230" s="20" t="str">
        <f t="shared" si="38"/>
        <v>Winter</v>
      </c>
      <c r="G230" s="20">
        <f t="shared" si="38"/>
        <v>0.4</v>
      </c>
      <c r="H230" s="20">
        <f t="shared" si="38"/>
        <v>0.1</v>
      </c>
      <c r="I230" s="20">
        <f t="shared" si="38"/>
        <v>0.4</v>
      </c>
      <c r="J230" s="20">
        <f t="shared" si="38"/>
        <v>0.2</v>
      </c>
      <c r="K230" s="20">
        <f t="shared" si="38"/>
        <v>0.1</v>
      </c>
      <c r="L230" s="20">
        <f t="shared" si="39"/>
        <v>0.1</v>
      </c>
      <c r="M230" s="20">
        <f t="shared" si="39"/>
        <v>0.4</v>
      </c>
      <c r="N230" s="20">
        <f t="shared" si="39"/>
        <v>0.1</v>
      </c>
      <c r="O230" s="20">
        <f t="shared" si="40"/>
        <v>0.1</v>
      </c>
      <c r="P230" s="20">
        <f t="shared" si="41"/>
        <v>0.1</v>
      </c>
    </row>
    <row r="231" spans="4:16" ht="20.100000000000001" customHeight="1" x14ac:dyDescent="0.2">
      <c r="D231" s="20" t="s">
        <v>521</v>
      </c>
      <c r="E231" s="20" t="s">
        <v>493</v>
      </c>
      <c r="F231" s="20" t="str">
        <f>F159</f>
        <v>Spring</v>
      </c>
      <c r="G231" s="20">
        <f>G159</f>
        <v>0.99</v>
      </c>
      <c r="H231" s="20">
        <f t="shared" si="38"/>
        <v>1.1000000000000001</v>
      </c>
      <c r="I231" s="20">
        <f t="shared" si="38"/>
        <v>0.88</v>
      </c>
      <c r="J231" s="20">
        <f t="shared" si="38"/>
        <v>0.55000000000000004</v>
      </c>
      <c r="K231" s="20">
        <f>K159</f>
        <v>0.55000000000000004</v>
      </c>
      <c r="L231" s="20">
        <f>K159</f>
        <v>0.55000000000000004</v>
      </c>
      <c r="M231" s="20">
        <f t="shared" si="39"/>
        <v>0.88</v>
      </c>
      <c r="N231" s="20">
        <f>M159</f>
        <v>0.22</v>
      </c>
      <c r="O231" s="20">
        <f>M159</f>
        <v>0.22</v>
      </c>
      <c r="P231" s="20">
        <f>M159</f>
        <v>0.22</v>
      </c>
    </row>
    <row r="232" spans="4:16" ht="20.100000000000001" customHeight="1" x14ac:dyDescent="0.2">
      <c r="D232" s="20" t="s">
        <v>521</v>
      </c>
      <c r="E232" s="20" t="s">
        <v>493</v>
      </c>
      <c r="F232" s="20" t="str">
        <f t="shared" ref="F232:K247" si="42">F160</f>
        <v>Summer</v>
      </c>
      <c r="G232" s="20">
        <f t="shared" si="42"/>
        <v>0.77</v>
      </c>
      <c r="H232" s="20">
        <f t="shared" si="42"/>
        <v>0</v>
      </c>
      <c r="I232" s="20">
        <f t="shared" si="42"/>
        <v>0.66</v>
      </c>
      <c r="J232" s="20">
        <f t="shared" si="42"/>
        <v>0.22</v>
      </c>
      <c r="K232" s="20">
        <f t="shared" si="42"/>
        <v>0</v>
      </c>
      <c r="L232" s="20">
        <f t="shared" ref="L232:N247" si="43">K160</f>
        <v>0</v>
      </c>
      <c r="M232" s="20">
        <f t="shared" si="43"/>
        <v>0.66</v>
      </c>
      <c r="N232" s="20">
        <f t="shared" si="43"/>
        <v>0</v>
      </c>
      <c r="O232" s="20">
        <f t="shared" ref="O232:O254" si="44">M160</f>
        <v>0</v>
      </c>
      <c r="P232" s="20">
        <f t="shared" ref="P232:P254" si="45">M160</f>
        <v>0</v>
      </c>
    </row>
    <row r="233" spans="4:16" ht="20.100000000000001" customHeight="1" x14ac:dyDescent="0.2">
      <c r="D233" s="20" t="s">
        <v>521</v>
      </c>
      <c r="E233" s="20" t="s">
        <v>493</v>
      </c>
      <c r="F233" s="20" t="str">
        <f t="shared" si="42"/>
        <v>Autumn</v>
      </c>
      <c r="G233" s="20">
        <f t="shared" si="42"/>
        <v>0.9</v>
      </c>
      <c r="H233" s="20">
        <f t="shared" si="42"/>
        <v>-1.1000000000000001</v>
      </c>
      <c r="I233" s="20">
        <f t="shared" si="42"/>
        <v>0.7</v>
      </c>
      <c r="J233" s="20">
        <f t="shared" si="42"/>
        <v>0.22</v>
      </c>
      <c r="K233" s="20">
        <f t="shared" si="42"/>
        <v>-0.55000000000000004</v>
      </c>
      <c r="L233" s="20">
        <f t="shared" si="43"/>
        <v>-0.55000000000000004</v>
      </c>
      <c r="M233" s="20">
        <f t="shared" si="43"/>
        <v>0.8</v>
      </c>
      <c r="N233" s="20">
        <f t="shared" si="43"/>
        <v>-0.22</v>
      </c>
      <c r="O233" s="20">
        <f t="shared" si="44"/>
        <v>-0.22</v>
      </c>
      <c r="P233" s="20">
        <f t="shared" si="45"/>
        <v>-0.22</v>
      </c>
    </row>
    <row r="234" spans="4:16" ht="20.100000000000001" customHeight="1" x14ac:dyDescent="0.2">
      <c r="D234" s="20" t="s">
        <v>521</v>
      </c>
      <c r="E234" s="20" t="s">
        <v>493</v>
      </c>
      <c r="F234" s="20" t="str">
        <f t="shared" si="42"/>
        <v>Winter</v>
      </c>
      <c r="G234" s="20">
        <f t="shared" si="42"/>
        <v>0.88</v>
      </c>
      <c r="H234" s="20">
        <f t="shared" si="42"/>
        <v>0</v>
      </c>
      <c r="I234" s="20">
        <f t="shared" si="42"/>
        <v>0.77</v>
      </c>
      <c r="J234" s="20">
        <f t="shared" si="42"/>
        <v>0.55000000000000004</v>
      </c>
      <c r="K234" s="20">
        <f t="shared" si="42"/>
        <v>0</v>
      </c>
      <c r="L234" s="20">
        <f t="shared" si="43"/>
        <v>0</v>
      </c>
      <c r="M234" s="20">
        <f t="shared" si="43"/>
        <v>0.82</v>
      </c>
      <c r="N234" s="20">
        <f t="shared" si="43"/>
        <v>0</v>
      </c>
      <c r="O234" s="20">
        <f t="shared" si="44"/>
        <v>0</v>
      </c>
      <c r="P234" s="20">
        <f t="shared" si="45"/>
        <v>0</v>
      </c>
    </row>
    <row r="235" spans="4:16" ht="20.100000000000001" customHeight="1" x14ac:dyDescent="0.2">
      <c r="D235" s="20" t="s">
        <v>522</v>
      </c>
      <c r="E235" s="20" t="s">
        <v>493</v>
      </c>
      <c r="F235" s="20" t="str">
        <f t="shared" si="42"/>
        <v>Spring</v>
      </c>
      <c r="G235" s="20">
        <f t="shared" si="42"/>
        <v>1</v>
      </c>
      <c r="H235" s="20">
        <f t="shared" si="42"/>
        <v>0.5</v>
      </c>
      <c r="I235" s="20">
        <f t="shared" si="42"/>
        <v>1</v>
      </c>
      <c r="J235" s="20">
        <f t="shared" si="42"/>
        <v>1</v>
      </c>
      <c r="K235" s="20">
        <f t="shared" si="42"/>
        <v>-0.44</v>
      </c>
      <c r="L235" s="20">
        <f t="shared" si="43"/>
        <v>-0.44</v>
      </c>
      <c r="M235" s="20">
        <f t="shared" si="43"/>
        <v>1</v>
      </c>
      <c r="N235" s="20">
        <f t="shared" si="43"/>
        <v>0.5</v>
      </c>
      <c r="O235" s="20">
        <f t="shared" si="44"/>
        <v>0.5</v>
      </c>
      <c r="P235" s="20">
        <f t="shared" si="45"/>
        <v>0.5</v>
      </c>
    </row>
    <row r="236" spans="4:16" ht="20.100000000000001" customHeight="1" x14ac:dyDescent="0.2">
      <c r="D236" s="20" t="s">
        <v>522</v>
      </c>
      <c r="E236" s="20" t="s">
        <v>493</v>
      </c>
      <c r="F236" s="20" t="str">
        <f t="shared" si="42"/>
        <v>Summer</v>
      </c>
      <c r="G236" s="20">
        <f t="shared" si="42"/>
        <v>0.82</v>
      </c>
      <c r="H236" s="20">
        <f t="shared" si="42"/>
        <v>0.55000000000000004</v>
      </c>
      <c r="I236" s="20">
        <f t="shared" si="42"/>
        <v>0.71</v>
      </c>
      <c r="J236" s="20">
        <f t="shared" si="42"/>
        <v>0.55000000000000004</v>
      </c>
      <c r="K236" s="20">
        <f t="shared" si="42"/>
        <v>0.99</v>
      </c>
      <c r="L236" s="20">
        <f t="shared" si="43"/>
        <v>0.99</v>
      </c>
      <c r="M236" s="20">
        <f t="shared" si="43"/>
        <v>0.77</v>
      </c>
      <c r="N236" s="20">
        <f t="shared" si="43"/>
        <v>0.5</v>
      </c>
      <c r="O236" s="20">
        <f t="shared" si="44"/>
        <v>0.5</v>
      </c>
      <c r="P236" s="20">
        <f t="shared" si="45"/>
        <v>0.5</v>
      </c>
    </row>
    <row r="237" spans="4:16" ht="20.100000000000001" customHeight="1" x14ac:dyDescent="0.2">
      <c r="D237" s="20" t="s">
        <v>522</v>
      </c>
      <c r="E237" s="20" t="s">
        <v>493</v>
      </c>
      <c r="F237" s="20" t="str">
        <f t="shared" si="42"/>
        <v>Autumn</v>
      </c>
      <c r="G237" s="20">
        <f t="shared" si="42"/>
        <v>0.77</v>
      </c>
      <c r="H237" s="20">
        <f t="shared" si="42"/>
        <v>0.5</v>
      </c>
      <c r="I237" s="20">
        <f t="shared" si="42"/>
        <v>0.55000000000000004</v>
      </c>
      <c r="J237" s="20">
        <f t="shared" si="42"/>
        <v>0.11</v>
      </c>
      <c r="K237" s="20">
        <f t="shared" si="42"/>
        <v>-0.33</v>
      </c>
      <c r="L237" s="20">
        <f t="shared" si="43"/>
        <v>-0.33</v>
      </c>
      <c r="M237" s="20">
        <f t="shared" si="43"/>
        <v>0.6</v>
      </c>
      <c r="N237" s="20">
        <f t="shared" si="43"/>
        <v>0.33</v>
      </c>
      <c r="O237" s="20">
        <f t="shared" si="44"/>
        <v>0.33</v>
      </c>
      <c r="P237" s="20">
        <f t="shared" si="45"/>
        <v>0.33</v>
      </c>
    </row>
    <row r="238" spans="4:16" ht="20.100000000000001" customHeight="1" x14ac:dyDescent="0.2">
      <c r="D238" s="20" t="s">
        <v>522</v>
      </c>
      <c r="E238" s="20" t="s">
        <v>493</v>
      </c>
      <c r="F238" s="20" t="str">
        <f t="shared" si="42"/>
        <v>Winter</v>
      </c>
      <c r="G238" s="20">
        <f t="shared" si="42"/>
        <v>0.11</v>
      </c>
      <c r="H238" s="20">
        <f t="shared" si="42"/>
        <v>-0.27</v>
      </c>
      <c r="I238" s="20">
        <f t="shared" si="42"/>
        <v>0.11</v>
      </c>
      <c r="J238" s="20">
        <f t="shared" si="42"/>
        <v>0.22</v>
      </c>
      <c r="K238" s="20">
        <f t="shared" si="42"/>
        <v>-0.44</v>
      </c>
      <c r="L238" s="20">
        <f t="shared" si="43"/>
        <v>-0.44</v>
      </c>
      <c r="M238" s="20">
        <f t="shared" si="43"/>
        <v>0.16</v>
      </c>
      <c r="N238" s="20">
        <f t="shared" si="43"/>
        <v>-0.22</v>
      </c>
      <c r="O238" s="20">
        <f t="shared" si="44"/>
        <v>-0.22</v>
      </c>
      <c r="P238" s="20">
        <f t="shared" si="45"/>
        <v>-0.22</v>
      </c>
    </row>
    <row r="239" spans="4:16" ht="20.100000000000001" customHeight="1" x14ac:dyDescent="0.2">
      <c r="D239" s="20" t="s">
        <v>523</v>
      </c>
      <c r="E239" s="20" t="s">
        <v>493</v>
      </c>
      <c r="F239" s="20" t="str">
        <f t="shared" si="42"/>
        <v>Spring</v>
      </c>
      <c r="G239" s="20">
        <f t="shared" si="42"/>
        <v>1.1000000000000001</v>
      </c>
      <c r="H239" s="20">
        <f t="shared" si="42"/>
        <v>1.1000000000000001</v>
      </c>
      <c r="I239" s="20">
        <f t="shared" si="42"/>
        <v>1.1000000000000001</v>
      </c>
      <c r="J239" s="20">
        <f t="shared" si="42"/>
        <v>0.99</v>
      </c>
      <c r="K239" s="20">
        <f t="shared" si="42"/>
        <v>0.99</v>
      </c>
      <c r="L239" s="20">
        <f t="shared" si="43"/>
        <v>0.99</v>
      </c>
      <c r="M239" s="20">
        <f t="shared" si="43"/>
        <v>1.1000000000000001</v>
      </c>
      <c r="N239" s="20">
        <f t="shared" si="43"/>
        <v>0.77</v>
      </c>
      <c r="O239" s="20">
        <f t="shared" si="44"/>
        <v>0.77</v>
      </c>
      <c r="P239" s="20">
        <f t="shared" si="45"/>
        <v>0.77</v>
      </c>
    </row>
    <row r="240" spans="4:16" ht="20.100000000000001" customHeight="1" x14ac:dyDescent="0.2">
      <c r="D240" s="20" t="s">
        <v>523</v>
      </c>
      <c r="E240" s="20" t="s">
        <v>493</v>
      </c>
      <c r="F240" s="20" t="str">
        <f t="shared" si="42"/>
        <v>Summer</v>
      </c>
      <c r="G240" s="20">
        <f t="shared" si="42"/>
        <v>0.33</v>
      </c>
      <c r="H240" s="20">
        <f t="shared" si="42"/>
        <v>0.33</v>
      </c>
      <c r="I240" s="20">
        <f t="shared" si="42"/>
        <v>0.22</v>
      </c>
      <c r="J240" s="20">
        <f t="shared" si="42"/>
        <v>0.33</v>
      </c>
      <c r="K240" s="20">
        <f t="shared" si="42"/>
        <v>-0.1</v>
      </c>
      <c r="L240" s="20">
        <f t="shared" si="43"/>
        <v>-0.1</v>
      </c>
      <c r="M240" s="20">
        <f t="shared" si="43"/>
        <v>0.33</v>
      </c>
      <c r="N240" s="20">
        <f t="shared" si="43"/>
        <v>0.11</v>
      </c>
      <c r="O240" s="20">
        <f t="shared" si="44"/>
        <v>0.11</v>
      </c>
      <c r="P240" s="20">
        <f t="shared" si="45"/>
        <v>0.11</v>
      </c>
    </row>
    <row r="241" spans="4:16" ht="20.100000000000001" customHeight="1" x14ac:dyDescent="0.2">
      <c r="D241" s="20" t="s">
        <v>523</v>
      </c>
      <c r="E241" s="20" t="s">
        <v>493</v>
      </c>
      <c r="F241" s="20" t="str">
        <f t="shared" si="42"/>
        <v>Autumn</v>
      </c>
      <c r="G241" s="20">
        <f t="shared" si="42"/>
        <v>0.5</v>
      </c>
      <c r="H241" s="20">
        <f t="shared" si="42"/>
        <v>0.2</v>
      </c>
      <c r="I241" s="20">
        <f t="shared" si="42"/>
        <v>0.55000000000000004</v>
      </c>
      <c r="J241" s="20">
        <f t="shared" si="42"/>
        <v>0.44</v>
      </c>
      <c r="K241" s="20">
        <f t="shared" si="42"/>
        <v>0.2</v>
      </c>
      <c r="L241" s="20">
        <f t="shared" si="43"/>
        <v>0.2</v>
      </c>
      <c r="M241" s="20">
        <f t="shared" si="43"/>
        <v>0.55000000000000004</v>
      </c>
      <c r="N241" s="20">
        <f t="shared" si="43"/>
        <v>0.2</v>
      </c>
      <c r="O241" s="20">
        <f t="shared" si="44"/>
        <v>0.2</v>
      </c>
      <c r="P241" s="20">
        <f t="shared" si="45"/>
        <v>0.2</v>
      </c>
    </row>
    <row r="242" spans="4:16" ht="20.100000000000001" customHeight="1" x14ac:dyDescent="0.2">
      <c r="D242" s="20" t="s">
        <v>523</v>
      </c>
      <c r="E242" s="20" t="s">
        <v>493</v>
      </c>
      <c r="F242" s="20" t="str">
        <f t="shared" si="42"/>
        <v>Winter</v>
      </c>
      <c r="G242" s="20">
        <f t="shared" si="42"/>
        <v>0.55000000000000004</v>
      </c>
      <c r="H242" s="20">
        <f t="shared" si="42"/>
        <v>0.22</v>
      </c>
      <c r="I242" s="20">
        <f t="shared" si="42"/>
        <v>0.49</v>
      </c>
      <c r="J242" s="20">
        <f t="shared" si="42"/>
        <v>0.22</v>
      </c>
      <c r="K242" s="20">
        <f t="shared" si="42"/>
        <v>0.22</v>
      </c>
      <c r="L242" s="20">
        <f t="shared" si="43"/>
        <v>0.22</v>
      </c>
      <c r="M242" s="20">
        <f t="shared" si="43"/>
        <v>0.49</v>
      </c>
      <c r="N242" s="20">
        <f t="shared" si="43"/>
        <v>0.33</v>
      </c>
      <c r="O242" s="20">
        <f t="shared" si="44"/>
        <v>0.33</v>
      </c>
      <c r="P242" s="20">
        <f t="shared" si="45"/>
        <v>0.33</v>
      </c>
    </row>
    <row r="243" spans="4:16" ht="20.100000000000001" customHeight="1" x14ac:dyDescent="0.2">
      <c r="D243" s="20" t="s">
        <v>525</v>
      </c>
      <c r="E243" s="20" t="str">
        <f>E171</f>
        <v>South West</v>
      </c>
      <c r="F243" s="20" t="str">
        <f t="shared" si="42"/>
        <v>Spring</v>
      </c>
      <c r="G243" s="20">
        <f t="shared" si="42"/>
        <v>1.64</v>
      </c>
      <c r="H243" s="20">
        <f t="shared" si="42"/>
        <v>1.1000000000000001</v>
      </c>
      <c r="I243" s="20">
        <f t="shared" si="42"/>
        <v>1.21</v>
      </c>
      <c r="J243" s="20">
        <f t="shared" si="42"/>
        <v>0.99</v>
      </c>
      <c r="K243" s="20">
        <f t="shared" si="42"/>
        <v>0.66</v>
      </c>
      <c r="L243" s="20">
        <f t="shared" si="43"/>
        <v>0.66</v>
      </c>
      <c r="M243" s="20">
        <f t="shared" si="43"/>
        <v>1.42</v>
      </c>
      <c r="N243" s="20">
        <f t="shared" si="43"/>
        <v>1.1000000000000001</v>
      </c>
      <c r="O243" s="20">
        <f t="shared" si="44"/>
        <v>1.1000000000000001</v>
      </c>
      <c r="P243" s="20">
        <f t="shared" si="45"/>
        <v>1.1000000000000001</v>
      </c>
    </row>
    <row r="244" spans="4:16" ht="20.100000000000001" customHeight="1" x14ac:dyDescent="0.2">
      <c r="D244" s="20" t="s">
        <v>525</v>
      </c>
      <c r="E244" s="20" t="str">
        <f t="shared" ref="E244:K254" si="46">E172</f>
        <v>South West</v>
      </c>
      <c r="F244" s="20" t="str">
        <f t="shared" si="42"/>
        <v>Summer</v>
      </c>
      <c r="G244" s="20">
        <f t="shared" si="42"/>
        <v>0.44</v>
      </c>
      <c r="H244" s="20">
        <f t="shared" si="42"/>
        <v>-0.22</v>
      </c>
      <c r="I244" s="20">
        <f t="shared" si="42"/>
        <v>0.44</v>
      </c>
      <c r="J244" s="20">
        <f t="shared" si="42"/>
        <v>0.33</v>
      </c>
      <c r="K244" s="20">
        <f t="shared" si="42"/>
        <v>-0.22</v>
      </c>
      <c r="L244" s="20">
        <f t="shared" si="43"/>
        <v>-0.22</v>
      </c>
      <c r="M244" s="20">
        <f t="shared" si="43"/>
        <v>0.44</v>
      </c>
      <c r="N244" s="20">
        <f t="shared" si="43"/>
        <v>-0.11</v>
      </c>
      <c r="O244" s="20">
        <f t="shared" si="44"/>
        <v>-0.11</v>
      </c>
      <c r="P244" s="20">
        <f t="shared" si="45"/>
        <v>-0.11</v>
      </c>
    </row>
    <row r="245" spans="4:16" ht="20.100000000000001" customHeight="1" x14ac:dyDescent="0.2">
      <c r="D245" s="20" t="s">
        <v>525</v>
      </c>
      <c r="E245" s="20" t="str">
        <f t="shared" si="46"/>
        <v>South West</v>
      </c>
      <c r="F245" s="20" t="str">
        <f t="shared" si="42"/>
        <v>Autumn</v>
      </c>
      <c r="G245" s="20">
        <f t="shared" si="42"/>
        <v>0.6</v>
      </c>
      <c r="H245" s="20">
        <f t="shared" si="42"/>
        <v>0</v>
      </c>
      <c r="I245" s="20">
        <f t="shared" si="42"/>
        <v>0.6</v>
      </c>
      <c r="J245" s="20">
        <f t="shared" si="42"/>
        <v>0.22</v>
      </c>
      <c r="K245" s="20">
        <f t="shared" si="42"/>
        <v>-0.55000000000000004</v>
      </c>
      <c r="L245" s="20">
        <f t="shared" si="43"/>
        <v>-0.55000000000000004</v>
      </c>
      <c r="M245" s="20">
        <f t="shared" si="43"/>
        <v>0.6</v>
      </c>
      <c r="N245" s="20">
        <f t="shared" si="43"/>
        <v>0</v>
      </c>
      <c r="O245" s="20">
        <f t="shared" si="44"/>
        <v>0</v>
      </c>
      <c r="P245" s="20">
        <f t="shared" si="45"/>
        <v>0</v>
      </c>
    </row>
    <row r="246" spans="4:16" ht="20.100000000000001" customHeight="1" x14ac:dyDescent="0.2">
      <c r="D246" s="20" t="s">
        <v>525</v>
      </c>
      <c r="E246" s="20" t="str">
        <f t="shared" si="46"/>
        <v>South West</v>
      </c>
      <c r="F246" s="20" t="str">
        <f t="shared" si="42"/>
        <v>Winter</v>
      </c>
      <c r="G246" s="20">
        <f t="shared" si="42"/>
        <v>0.99</v>
      </c>
      <c r="H246" s="20">
        <f t="shared" si="42"/>
        <v>0.22</v>
      </c>
      <c r="I246" s="20">
        <f t="shared" si="42"/>
        <v>0.77</v>
      </c>
      <c r="J246" s="20">
        <f t="shared" si="42"/>
        <v>0.11</v>
      </c>
      <c r="K246" s="20">
        <f t="shared" si="42"/>
        <v>0.11</v>
      </c>
      <c r="L246" s="20">
        <f t="shared" si="43"/>
        <v>0.11</v>
      </c>
      <c r="M246" s="20">
        <f t="shared" si="43"/>
        <v>0.77</v>
      </c>
      <c r="N246" s="20">
        <f t="shared" si="43"/>
        <v>0.44</v>
      </c>
      <c r="O246" s="20">
        <f t="shared" si="44"/>
        <v>0.44</v>
      </c>
      <c r="P246" s="20">
        <f t="shared" si="45"/>
        <v>0.44</v>
      </c>
    </row>
    <row r="247" spans="4:16" ht="20.100000000000001" customHeight="1" x14ac:dyDescent="0.2">
      <c r="D247" s="20" t="s">
        <v>525</v>
      </c>
      <c r="E247" s="20" t="str">
        <f t="shared" si="46"/>
        <v>Pilbara</v>
      </c>
      <c r="F247" s="20" t="str">
        <f t="shared" si="42"/>
        <v>Spring</v>
      </c>
      <c r="G247" s="20">
        <f t="shared" si="42"/>
        <v>0.7</v>
      </c>
      <c r="H247" s="20">
        <f t="shared" si="42"/>
        <v>-0.55000000000000004</v>
      </c>
      <c r="I247" s="20">
        <f t="shared" si="42"/>
        <v>0.7</v>
      </c>
      <c r="J247" s="20">
        <f t="shared" si="42"/>
        <v>0.22</v>
      </c>
      <c r="K247" s="20">
        <f t="shared" si="42"/>
        <v>-0.22</v>
      </c>
      <c r="L247" s="20">
        <f t="shared" si="43"/>
        <v>-0.22</v>
      </c>
      <c r="M247" s="20">
        <f t="shared" si="43"/>
        <v>0.7</v>
      </c>
      <c r="N247" s="20">
        <f t="shared" si="43"/>
        <v>-0.22</v>
      </c>
      <c r="O247" s="20">
        <f t="shared" si="44"/>
        <v>-0.22</v>
      </c>
      <c r="P247" s="20">
        <f t="shared" si="45"/>
        <v>-0.22</v>
      </c>
    </row>
    <row r="248" spans="4:16" ht="20.100000000000001" customHeight="1" x14ac:dyDescent="0.2">
      <c r="D248" s="20" t="s">
        <v>525</v>
      </c>
      <c r="E248" s="20" t="str">
        <f t="shared" si="46"/>
        <v>Pilbara</v>
      </c>
      <c r="F248" s="20" t="str">
        <f t="shared" si="46"/>
        <v>Summer</v>
      </c>
      <c r="G248" s="20">
        <f t="shared" si="46"/>
        <v>0.77</v>
      </c>
      <c r="H248" s="20">
        <f t="shared" si="46"/>
        <v>0.55000000000000004</v>
      </c>
      <c r="I248" s="20">
        <f t="shared" si="46"/>
        <v>0.77</v>
      </c>
      <c r="J248" s="20">
        <f t="shared" si="46"/>
        <v>0.66</v>
      </c>
      <c r="K248" s="20">
        <f t="shared" si="46"/>
        <v>0.55000000000000004</v>
      </c>
      <c r="L248" s="20">
        <f t="shared" ref="L248:N254" si="47">K176</f>
        <v>0.55000000000000004</v>
      </c>
      <c r="M248" s="20">
        <f t="shared" si="47"/>
        <v>0.77</v>
      </c>
      <c r="N248" s="20">
        <f t="shared" si="47"/>
        <v>0.33</v>
      </c>
      <c r="O248" s="20">
        <f t="shared" si="44"/>
        <v>0.33</v>
      </c>
      <c r="P248" s="20">
        <f t="shared" si="45"/>
        <v>0.33</v>
      </c>
    </row>
    <row r="249" spans="4:16" ht="20.100000000000001" customHeight="1" x14ac:dyDescent="0.2">
      <c r="D249" s="20" t="s">
        <v>525</v>
      </c>
      <c r="E249" s="20" t="str">
        <f t="shared" si="46"/>
        <v>Pilbara</v>
      </c>
      <c r="F249" s="20" t="str">
        <f t="shared" si="46"/>
        <v>Autumn</v>
      </c>
      <c r="G249" s="20">
        <f t="shared" si="46"/>
        <v>0.88</v>
      </c>
      <c r="H249" s="20">
        <f t="shared" si="46"/>
        <v>0.55000000000000004</v>
      </c>
      <c r="I249" s="20">
        <f t="shared" si="46"/>
        <v>0.88</v>
      </c>
      <c r="J249" s="20">
        <f t="shared" si="46"/>
        <v>0.22</v>
      </c>
      <c r="K249" s="20">
        <f t="shared" si="46"/>
        <v>0.22</v>
      </c>
      <c r="L249" s="20">
        <f t="shared" si="47"/>
        <v>0.22</v>
      </c>
      <c r="M249" s="20">
        <f t="shared" si="47"/>
        <v>0.88</v>
      </c>
      <c r="N249" s="20">
        <f t="shared" si="47"/>
        <v>0.22</v>
      </c>
      <c r="O249" s="20">
        <f t="shared" si="44"/>
        <v>0.22</v>
      </c>
      <c r="P249" s="20">
        <f t="shared" si="45"/>
        <v>0.22</v>
      </c>
    </row>
    <row r="250" spans="4:16" ht="20.100000000000001" customHeight="1" x14ac:dyDescent="0.2">
      <c r="D250" s="20" t="s">
        <v>525</v>
      </c>
      <c r="E250" s="20" t="str">
        <f t="shared" si="46"/>
        <v>Pilbara</v>
      </c>
      <c r="F250" s="20" t="str">
        <f t="shared" si="46"/>
        <v>Winter</v>
      </c>
      <c r="G250" s="20">
        <f t="shared" si="46"/>
        <v>0.22</v>
      </c>
      <c r="H250" s="20">
        <f t="shared" si="46"/>
        <v>-0.55000000000000004</v>
      </c>
      <c r="I250" s="20">
        <f t="shared" si="46"/>
        <v>0.22</v>
      </c>
      <c r="J250" s="20">
        <f t="shared" si="46"/>
        <v>0.11</v>
      </c>
      <c r="K250" s="20">
        <f t="shared" si="46"/>
        <v>-0.22</v>
      </c>
      <c r="L250" s="20">
        <f t="shared" si="47"/>
        <v>-0.22</v>
      </c>
      <c r="M250" s="20">
        <f t="shared" si="47"/>
        <v>0.22</v>
      </c>
      <c r="N250" s="20">
        <f t="shared" si="47"/>
        <v>-0.33</v>
      </c>
      <c r="O250" s="20">
        <f t="shared" si="44"/>
        <v>-0.33</v>
      </c>
      <c r="P250" s="20">
        <f t="shared" si="45"/>
        <v>-0.33</v>
      </c>
    </row>
    <row r="251" spans="4:16" ht="20.100000000000001" customHeight="1" x14ac:dyDescent="0.2">
      <c r="D251" s="20" t="s">
        <v>525</v>
      </c>
      <c r="E251" s="20" t="str">
        <f t="shared" si="46"/>
        <v>Kimberley</v>
      </c>
      <c r="F251" s="20" t="str">
        <f t="shared" si="46"/>
        <v>Spring</v>
      </c>
      <c r="G251" s="20">
        <f t="shared" si="46"/>
        <v>0.22</v>
      </c>
      <c r="H251" s="20">
        <f t="shared" si="46"/>
        <v>-0.55000000000000004</v>
      </c>
      <c r="I251" s="20">
        <f t="shared" si="46"/>
        <v>0.33</v>
      </c>
      <c r="J251" s="20">
        <f t="shared" si="46"/>
        <v>0.22</v>
      </c>
      <c r="K251" s="20">
        <f t="shared" si="46"/>
        <v>-0.33</v>
      </c>
      <c r="L251" s="20">
        <f t="shared" si="47"/>
        <v>-0.33</v>
      </c>
      <c r="M251" s="20">
        <f t="shared" si="47"/>
        <v>0.22</v>
      </c>
      <c r="N251" s="20">
        <f t="shared" si="47"/>
        <v>-0.55000000000000004</v>
      </c>
      <c r="O251" s="20">
        <f t="shared" si="44"/>
        <v>-0.55000000000000004</v>
      </c>
      <c r="P251" s="20">
        <f t="shared" si="45"/>
        <v>-0.55000000000000004</v>
      </c>
    </row>
    <row r="252" spans="4:16" ht="20.100000000000001" customHeight="1" x14ac:dyDescent="0.2">
      <c r="D252" s="20" t="s">
        <v>525</v>
      </c>
      <c r="E252" s="20" t="str">
        <f t="shared" si="46"/>
        <v>Kimberley</v>
      </c>
      <c r="F252" s="20" t="str">
        <f t="shared" si="46"/>
        <v>Summer</v>
      </c>
      <c r="G252" s="20">
        <f t="shared" si="46"/>
        <v>0.8</v>
      </c>
      <c r="H252" s="20">
        <f t="shared" si="46"/>
        <v>0.55000000000000004</v>
      </c>
      <c r="I252" s="20">
        <f t="shared" si="46"/>
        <v>0.7</v>
      </c>
      <c r="J252" s="20">
        <f t="shared" si="46"/>
        <v>0.44</v>
      </c>
      <c r="K252" s="20">
        <f t="shared" si="46"/>
        <v>0.66</v>
      </c>
      <c r="L252" s="20">
        <f t="shared" si="47"/>
        <v>0.66</v>
      </c>
      <c r="M252" s="20">
        <f t="shared" si="47"/>
        <v>0.8</v>
      </c>
      <c r="N252" s="20">
        <f t="shared" si="47"/>
        <v>0.55000000000000004</v>
      </c>
      <c r="O252" s="20">
        <f t="shared" si="44"/>
        <v>0.55000000000000004</v>
      </c>
      <c r="P252" s="20">
        <f t="shared" si="45"/>
        <v>0.55000000000000004</v>
      </c>
    </row>
    <row r="253" spans="4:16" ht="20.100000000000001" customHeight="1" x14ac:dyDescent="0.2">
      <c r="D253" s="20" t="s">
        <v>525</v>
      </c>
      <c r="E253" s="20" t="str">
        <f t="shared" si="46"/>
        <v>Kimberley</v>
      </c>
      <c r="F253" s="20" t="str">
        <f t="shared" si="46"/>
        <v>Autumn</v>
      </c>
      <c r="G253" s="20">
        <f t="shared" si="46"/>
        <v>0.66</v>
      </c>
      <c r="H253" s="20">
        <f t="shared" si="46"/>
        <v>0.55000000000000004</v>
      </c>
      <c r="I253" s="20">
        <f t="shared" si="46"/>
        <v>0.55000000000000004</v>
      </c>
      <c r="J253" s="20">
        <f t="shared" si="46"/>
        <v>0.55000000000000004</v>
      </c>
      <c r="K253" s="20">
        <f t="shared" si="46"/>
        <v>0.11</v>
      </c>
      <c r="L253" s="20">
        <f t="shared" si="47"/>
        <v>0.11</v>
      </c>
      <c r="M253" s="20">
        <f t="shared" si="47"/>
        <v>0.66</v>
      </c>
      <c r="N253" s="20">
        <f t="shared" si="47"/>
        <v>0.55000000000000004</v>
      </c>
      <c r="O253" s="20">
        <f t="shared" si="44"/>
        <v>0.55000000000000004</v>
      </c>
      <c r="P253" s="20">
        <f t="shared" si="45"/>
        <v>0.55000000000000004</v>
      </c>
    </row>
    <row r="254" spans="4:16" ht="20.100000000000001" customHeight="1" x14ac:dyDescent="0.2">
      <c r="D254" s="20" t="s">
        <v>525</v>
      </c>
      <c r="E254" s="20" t="str">
        <f t="shared" si="46"/>
        <v>Kimberley</v>
      </c>
      <c r="F254" s="20" t="str">
        <f t="shared" si="46"/>
        <v>Winter</v>
      </c>
      <c r="G254" s="20">
        <f t="shared" si="46"/>
        <v>0.33</v>
      </c>
      <c r="H254" s="20">
        <f t="shared" si="46"/>
        <v>-0.55000000000000004</v>
      </c>
      <c r="I254" s="20">
        <f t="shared" si="46"/>
        <v>0.11</v>
      </c>
      <c r="J254" s="20">
        <f t="shared" si="46"/>
        <v>0.11</v>
      </c>
      <c r="K254" s="20">
        <f t="shared" si="46"/>
        <v>-0.44</v>
      </c>
      <c r="L254" s="20">
        <f t="shared" si="47"/>
        <v>-0.44</v>
      </c>
      <c r="M254" s="20">
        <f t="shared" si="47"/>
        <v>0.33</v>
      </c>
      <c r="N254" s="20">
        <f t="shared" si="47"/>
        <v>-0.55000000000000004</v>
      </c>
      <c r="O254" s="20">
        <f t="shared" si="44"/>
        <v>-0.55000000000000004</v>
      </c>
      <c r="P254" s="20">
        <f t="shared" si="45"/>
        <v>-0.55000000000000004</v>
      </c>
    </row>
    <row r="255" spans="4:16" ht="20.100000000000001" customHeight="1" x14ac:dyDescent="0.2">
      <c r="D255" s="20" t="s">
        <v>529</v>
      </c>
      <c r="E255" s="20" t="str">
        <f>E190</f>
        <v>Alice Springs</v>
      </c>
      <c r="F255" s="20" t="str">
        <f>F190</f>
        <v>Spring</v>
      </c>
      <c r="G255" s="20">
        <f>G190</f>
        <v>0.22</v>
      </c>
      <c r="H255" s="20">
        <f t="shared" ref="H255:P255" si="48">H190</f>
        <v>-0.23</v>
      </c>
      <c r="I255" s="20">
        <f t="shared" si="48"/>
        <v>0.25</v>
      </c>
      <c r="J255" s="20">
        <f t="shared" si="48"/>
        <v>0.17</v>
      </c>
      <c r="K255" s="20">
        <f t="shared" si="48"/>
        <v>0.18</v>
      </c>
      <c r="L255" s="20">
        <f t="shared" si="48"/>
        <v>-0.28000000000000003</v>
      </c>
      <c r="M255" s="20">
        <f t="shared" si="48"/>
        <v>0.32</v>
      </c>
      <c r="N255" s="20">
        <f t="shared" si="48"/>
        <v>0.24</v>
      </c>
      <c r="O255" s="20">
        <f t="shared" si="48"/>
        <v>0.25</v>
      </c>
      <c r="P255" s="20">
        <f t="shared" si="48"/>
        <v>-0.05</v>
      </c>
    </row>
    <row r="256" spans="4:16" ht="20.100000000000001" customHeight="1" x14ac:dyDescent="0.2">
      <c r="D256" s="20" t="s">
        <v>529</v>
      </c>
      <c r="E256" s="20" t="str">
        <f t="shared" ref="E256:P271" si="49">E191</f>
        <v>Alice Springs</v>
      </c>
      <c r="F256" s="20" t="str">
        <f t="shared" si="49"/>
        <v>Summer</v>
      </c>
      <c r="G256" s="20">
        <f t="shared" si="49"/>
        <v>0.66</v>
      </c>
      <c r="H256" s="20">
        <f t="shared" si="49"/>
        <v>0.2</v>
      </c>
      <c r="I256" s="20">
        <f t="shared" si="49"/>
        <v>0.62</v>
      </c>
      <c r="J256" s="20">
        <f t="shared" si="49"/>
        <v>0.54</v>
      </c>
      <c r="K256" s="20">
        <f t="shared" si="49"/>
        <v>0.38</v>
      </c>
      <c r="L256" s="20">
        <f t="shared" si="49"/>
        <v>0.27</v>
      </c>
      <c r="M256" s="20">
        <f t="shared" si="49"/>
        <v>0.75</v>
      </c>
      <c r="N256" s="20">
        <f t="shared" si="49"/>
        <v>0.64</v>
      </c>
      <c r="O256" s="20">
        <f t="shared" si="49"/>
        <v>0.55000000000000004</v>
      </c>
      <c r="P256" s="20">
        <f t="shared" si="49"/>
        <v>0.48</v>
      </c>
    </row>
    <row r="257" spans="4:16" ht="20.100000000000001" customHeight="1" x14ac:dyDescent="0.2">
      <c r="D257" s="20" t="s">
        <v>529</v>
      </c>
      <c r="E257" s="20" t="str">
        <f t="shared" si="49"/>
        <v>Alice Springs</v>
      </c>
      <c r="F257" s="20" t="str">
        <f t="shared" si="49"/>
        <v>Autumn</v>
      </c>
      <c r="G257" s="20">
        <f t="shared" si="49"/>
        <v>0.49</v>
      </c>
      <c r="H257" s="20">
        <f t="shared" si="49"/>
        <v>0.13</v>
      </c>
      <c r="I257" s="20">
        <f t="shared" si="49"/>
        <v>0.54</v>
      </c>
      <c r="J257" s="20">
        <f t="shared" si="49"/>
        <v>0.45</v>
      </c>
      <c r="K257" s="20">
        <f t="shared" si="49"/>
        <v>0.35</v>
      </c>
      <c r="L257" s="20">
        <f t="shared" si="49"/>
        <v>0.15</v>
      </c>
      <c r="M257" s="20">
        <f t="shared" si="49"/>
        <v>0.63</v>
      </c>
      <c r="N257" s="20">
        <f t="shared" si="49"/>
        <v>0.54</v>
      </c>
      <c r="O257" s="20">
        <f t="shared" si="49"/>
        <v>0.42</v>
      </c>
      <c r="P257" s="20">
        <f t="shared" si="49"/>
        <v>0.26</v>
      </c>
    </row>
    <row r="258" spans="4:16" ht="20.100000000000001" customHeight="1" x14ac:dyDescent="0.2">
      <c r="D258" s="20" t="s">
        <v>529</v>
      </c>
      <c r="E258" s="20" t="str">
        <f t="shared" si="49"/>
        <v>Alice Springs</v>
      </c>
      <c r="F258" s="20" t="str">
        <f t="shared" si="49"/>
        <v>Winter</v>
      </c>
      <c r="G258" s="20">
        <f t="shared" si="49"/>
        <v>0.27</v>
      </c>
      <c r="H258" s="20">
        <f t="shared" si="49"/>
        <v>-0.8</v>
      </c>
      <c r="I258" s="20">
        <f t="shared" si="49"/>
        <v>0.22</v>
      </c>
      <c r="J258" s="20">
        <f t="shared" si="49"/>
        <v>0.09</v>
      </c>
      <c r="K258" s="20">
        <f t="shared" si="49"/>
        <v>0.12</v>
      </c>
      <c r="L258" s="20">
        <f t="shared" si="49"/>
        <v>0.02</v>
      </c>
      <c r="M258" s="20">
        <f t="shared" si="49"/>
        <v>0.25</v>
      </c>
      <c r="N258" s="20">
        <f t="shared" si="49"/>
        <v>0.18</v>
      </c>
      <c r="O258" s="20">
        <f t="shared" si="49"/>
        <v>0.12</v>
      </c>
      <c r="P258" s="20">
        <f t="shared" si="49"/>
        <v>0.03</v>
      </c>
    </row>
    <row r="259" spans="4:16" ht="20.100000000000001" customHeight="1" x14ac:dyDescent="0.2">
      <c r="D259" s="20" t="s">
        <v>529</v>
      </c>
      <c r="E259" s="20" t="str">
        <f t="shared" si="49"/>
        <v>Barkly</v>
      </c>
      <c r="F259" s="20" t="str">
        <f t="shared" si="49"/>
        <v>Spring</v>
      </c>
      <c r="G259" s="20">
        <f t="shared" si="49"/>
        <v>0.22</v>
      </c>
      <c r="H259" s="20">
        <f t="shared" si="49"/>
        <v>-0.44</v>
      </c>
      <c r="I259" s="20">
        <f t="shared" si="49"/>
        <v>0.2</v>
      </c>
      <c r="J259" s="20">
        <f t="shared" si="49"/>
        <v>0.21</v>
      </c>
      <c r="K259" s="20">
        <f t="shared" si="49"/>
        <v>0.18</v>
      </c>
      <c r="L259" s="20">
        <f t="shared" si="49"/>
        <v>0.01</v>
      </c>
      <c r="M259" s="20">
        <f t="shared" si="49"/>
        <v>0.12</v>
      </c>
      <c r="N259" s="20">
        <f t="shared" si="49"/>
        <v>0.09</v>
      </c>
      <c r="O259" s="20" t="str">
        <f t="shared" si="49"/>
        <v>NO</v>
      </c>
      <c r="P259" s="20" t="str">
        <f t="shared" si="49"/>
        <v>NO</v>
      </c>
    </row>
    <row r="260" spans="4:16" ht="20.100000000000001" customHeight="1" x14ac:dyDescent="0.2">
      <c r="D260" s="20" t="s">
        <v>529</v>
      </c>
      <c r="E260" s="20" t="str">
        <f t="shared" si="49"/>
        <v>Barkly</v>
      </c>
      <c r="F260" s="20" t="str">
        <f t="shared" si="49"/>
        <v>Summer</v>
      </c>
      <c r="G260" s="20">
        <f t="shared" si="49"/>
        <v>0.66</v>
      </c>
      <c r="H260" s="20">
        <f t="shared" si="49"/>
        <v>0.22</v>
      </c>
      <c r="I260" s="20">
        <f t="shared" si="49"/>
        <v>0.68</v>
      </c>
      <c r="J260" s="20">
        <f t="shared" si="49"/>
        <v>0.22</v>
      </c>
      <c r="K260" s="20">
        <f t="shared" si="49"/>
        <v>0.24</v>
      </c>
      <c r="L260" s="20">
        <f t="shared" si="49"/>
        <v>0.25</v>
      </c>
      <c r="M260" s="20">
        <f t="shared" si="49"/>
        <v>0.64</v>
      </c>
      <c r="N260" s="20">
        <f t="shared" si="49"/>
        <v>0.37</v>
      </c>
      <c r="O260" s="20" t="str">
        <f t="shared" si="49"/>
        <v>NO</v>
      </c>
      <c r="P260" s="20" t="str">
        <f t="shared" si="49"/>
        <v>NO</v>
      </c>
    </row>
    <row r="261" spans="4:16" ht="20.100000000000001" customHeight="1" x14ac:dyDescent="0.2">
      <c r="D261" s="20" t="s">
        <v>529</v>
      </c>
      <c r="E261" s="20" t="str">
        <f t="shared" si="49"/>
        <v>Barkly</v>
      </c>
      <c r="F261" s="20" t="str">
        <f t="shared" si="49"/>
        <v>Autumn</v>
      </c>
      <c r="G261" s="20">
        <f t="shared" si="49"/>
        <v>0.49</v>
      </c>
      <c r="H261" s="20">
        <f t="shared" si="49"/>
        <v>0.05</v>
      </c>
      <c r="I261" s="20">
        <f t="shared" si="49"/>
        <v>0.64</v>
      </c>
      <c r="J261" s="20">
        <f t="shared" si="49"/>
        <v>0.25</v>
      </c>
      <c r="K261" s="20">
        <f t="shared" si="49"/>
        <v>0.28999999999999998</v>
      </c>
      <c r="L261" s="20">
        <f t="shared" si="49"/>
        <v>0.12</v>
      </c>
      <c r="M261" s="20">
        <f t="shared" si="49"/>
        <v>0.56999999999999995</v>
      </c>
      <c r="N261" s="20">
        <f t="shared" si="49"/>
        <v>0.49</v>
      </c>
      <c r="O261" s="20" t="str">
        <f t="shared" si="49"/>
        <v>NO</v>
      </c>
      <c r="P261" s="20" t="str">
        <f t="shared" si="49"/>
        <v>NO</v>
      </c>
    </row>
    <row r="262" spans="4:16" ht="20.100000000000001" customHeight="1" x14ac:dyDescent="0.2">
      <c r="D262" s="20" t="s">
        <v>529</v>
      </c>
      <c r="E262" s="20" t="str">
        <f t="shared" si="49"/>
        <v>Barkly</v>
      </c>
      <c r="F262" s="20" t="str">
        <f t="shared" si="49"/>
        <v>Winter</v>
      </c>
      <c r="G262" s="20">
        <f t="shared" si="49"/>
        <v>0.27</v>
      </c>
      <c r="H262" s="20">
        <f t="shared" si="49"/>
        <v>-0.27</v>
      </c>
      <c r="I262" s="20">
        <f t="shared" si="49"/>
        <v>0.31</v>
      </c>
      <c r="J262" s="20">
        <f t="shared" si="49"/>
        <v>0.28999999999999998</v>
      </c>
      <c r="K262" s="20">
        <f t="shared" si="49"/>
        <v>0.19</v>
      </c>
      <c r="L262" s="20">
        <f t="shared" si="49"/>
        <v>0.04</v>
      </c>
      <c r="M262" s="20">
        <f t="shared" si="49"/>
        <v>0.26</v>
      </c>
      <c r="N262" s="20">
        <f t="shared" si="49"/>
        <v>0.28000000000000003</v>
      </c>
      <c r="O262" s="20" t="str">
        <f t="shared" si="49"/>
        <v>NO</v>
      </c>
      <c r="P262" s="20" t="str">
        <f t="shared" si="49"/>
        <v>NO</v>
      </c>
    </row>
    <row r="263" spans="4:16" ht="20.100000000000001" customHeight="1" x14ac:dyDescent="0.2">
      <c r="D263" s="20" t="s">
        <v>529</v>
      </c>
      <c r="E263" s="20" t="str">
        <f t="shared" si="49"/>
        <v>Northern</v>
      </c>
      <c r="F263" s="20" t="str">
        <f t="shared" si="49"/>
        <v>Spring</v>
      </c>
      <c r="G263" s="20">
        <f t="shared" si="49"/>
        <v>0.22</v>
      </c>
      <c r="H263" s="20">
        <f t="shared" si="49"/>
        <v>-0.44</v>
      </c>
      <c r="I263" s="20">
        <f t="shared" si="49"/>
        <v>0</v>
      </c>
      <c r="J263" s="20">
        <f t="shared" si="49"/>
        <v>0.15</v>
      </c>
      <c r="K263" s="20">
        <f t="shared" si="49"/>
        <v>0.08</v>
      </c>
      <c r="L263" s="20">
        <f t="shared" si="49"/>
        <v>0.17</v>
      </c>
      <c r="M263" s="20">
        <f t="shared" si="49"/>
        <v>0.06</v>
      </c>
      <c r="N263" s="20">
        <f t="shared" si="49"/>
        <v>0.02</v>
      </c>
      <c r="O263" s="20">
        <f t="shared" si="49"/>
        <v>-0.14000000000000001</v>
      </c>
      <c r="P263" s="20" t="str">
        <f t="shared" si="49"/>
        <v>NO</v>
      </c>
    </row>
    <row r="264" spans="4:16" ht="20.100000000000001" customHeight="1" x14ac:dyDescent="0.2">
      <c r="D264" s="20" t="s">
        <v>529</v>
      </c>
      <c r="E264" s="20" t="str">
        <f t="shared" si="49"/>
        <v>Northern</v>
      </c>
      <c r="F264" s="20" t="str">
        <f t="shared" si="49"/>
        <v>Summer</v>
      </c>
      <c r="G264" s="20">
        <f t="shared" si="49"/>
        <v>0.66</v>
      </c>
      <c r="H264" s="20">
        <f t="shared" si="49"/>
        <v>0.22</v>
      </c>
      <c r="I264" s="20">
        <f t="shared" si="49"/>
        <v>0.79</v>
      </c>
      <c r="J264" s="20">
        <f t="shared" si="49"/>
        <v>0.4</v>
      </c>
      <c r="K264" s="20">
        <f t="shared" si="49"/>
        <v>0.38</v>
      </c>
      <c r="L264" s="20">
        <f t="shared" si="49"/>
        <v>0.27</v>
      </c>
      <c r="M264" s="20">
        <f t="shared" si="49"/>
        <v>0.8</v>
      </c>
      <c r="N264" s="20">
        <f t="shared" si="49"/>
        <v>0.16</v>
      </c>
      <c r="O264" s="20">
        <f t="shared" si="49"/>
        <v>0.3</v>
      </c>
      <c r="P264" s="20" t="str">
        <f t="shared" si="49"/>
        <v>NO</v>
      </c>
    </row>
    <row r="265" spans="4:16" ht="20.100000000000001" customHeight="1" x14ac:dyDescent="0.2">
      <c r="D265" s="20" t="s">
        <v>529</v>
      </c>
      <c r="E265" s="20" t="str">
        <f t="shared" si="49"/>
        <v>Northern</v>
      </c>
      <c r="F265" s="20" t="str">
        <f t="shared" si="49"/>
        <v>Autumn</v>
      </c>
      <c r="G265" s="20">
        <f t="shared" si="49"/>
        <v>0.49</v>
      </c>
      <c r="H265" s="20">
        <f t="shared" si="49"/>
        <v>0.05</v>
      </c>
      <c r="I265" s="20">
        <f t="shared" si="49"/>
        <v>0.55000000000000004</v>
      </c>
      <c r="J265" s="20">
        <f t="shared" si="49"/>
        <v>0.38</v>
      </c>
      <c r="K265" s="20">
        <f t="shared" si="49"/>
        <v>0.36</v>
      </c>
      <c r="L265" s="20">
        <f t="shared" si="49"/>
        <v>0.06</v>
      </c>
      <c r="M265" s="20">
        <f t="shared" si="49"/>
        <v>0.57999999999999996</v>
      </c>
      <c r="N265" s="20">
        <f t="shared" si="49"/>
        <v>0.23</v>
      </c>
      <c r="O265" s="20">
        <f t="shared" si="49"/>
        <v>0.4</v>
      </c>
      <c r="P265" s="20" t="str">
        <f t="shared" si="49"/>
        <v>NO</v>
      </c>
    </row>
    <row r="266" spans="4:16" ht="20.100000000000001" customHeight="1" x14ac:dyDescent="0.2">
      <c r="D266" s="20" t="s">
        <v>529</v>
      </c>
      <c r="E266" s="20" t="str">
        <f t="shared" si="49"/>
        <v>Northern</v>
      </c>
      <c r="F266" s="20" t="str">
        <f t="shared" si="49"/>
        <v>Winter</v>
      </c>
      <c r="G266" s="20">
        <f t="shared" si="49"/>
        <v>0.27</v>
      </c>
      <c r="H266" s="20">
        <f t="shared" si="49"/>
        <v>-0.27</v>
      </c>
      <c r="I266" s="20">
        <f t="shared" si="49"/>
        <v>0.02</v>
      </c>
      <c r="J266" s="20">
        <f t="shared" si="49"/>
        <v>0.09</v>
      </c>
      <c r="K266" s="20">
        <f t="shared" si="49"/>
        <v>0.16</v>
      </c>
      <c r="L266" s="20">
        <f t="shared" si="49"/>
        <v>-0.04</v>
      </c>
      <c r="M266" s="20">
        <f t="shared" si="49"/>
        <v>0.21</v>
      </c>
      <c r="N266" s="20">
        <f t="shared" si="49"/>
        <v>0.03</v>
      </c>
      <c r="O266" s="20">
        <f t="shared" si="49"/>
        <v>0.11</v>
      </c>
      <c r="P266" s="20" t="str">
        <f t="shared" si="49"/>
        <v>NO</v>
      </c>
    </row>
    <row r="267" spans="4:16" ht="20.100000000000001" customHeight="1" x14ac:dyDescent="0.2">
      <c r="D267" s="20" t="s">
        <v>533</v>
      </c>
      <c r="E267" s="20" t="str">
        <f t="shared" si="49"/>
        <v>High</v>
      </c>
      <c r="F267" s="20" t="str">
        <f t="shared" si="49"/>
        <v>Spring</v>
      </c>
      <c r="G267" s="20">
        <f t="shared" si="49"/>
        <v>0.27</v>
      </c>
      <c r="H267" s="20">
        <f t="shared" si="49"/>
        <v>-0.19</v>
      </c>
      <c r="I267" s="20">
        <f t="shared" si="49"/>
        <v>0.38</v>
      </c>
      <c r="J267" s="20">
        <f t="shared" si="49"/>
        <v>0.25</v>
      </c>
      <c r="K267" s="20">
        <f t="shared" si="49"/>
        <v>7.0000000000000007E-2</v>
      </c>
      <c r="L267" s="20">
        <f t="shared" si="49"/>
        <v>0.05</v>
      </c>
      <c r="M267" s="20">
        <f t="shared" si="49"/>
        <v>0.52</v>
      </c>
      <c r="N267" s="20">
        <f t="shared" si="49"/>
        <v>0.55000000000000004</v>
      </c>
      <c r="O267" s="20">
        <f t="shared" si="49"/>
        <v>0.19</v>
      </c>
      <c r="P267" s="20">
        <f t="shared" si="49"/>
        <v>0.6</v>
      </c>
    </row>
    <row r="268" spans="4:16" ht="20.100000000000001" customHeight="1" x14ac:dyDescent="0.2">
      <c r="D268" s="20" t="s">
        <v>533</v>
      </c>
      <c r="E268" s="20" t="str">
        <f t="shared" si="49"/>
        <v>High</v>
      </c>
      <c r="F268" s="20" t="str">
        <f t="shared" si="49"/>
        <v>Summer</v>
      </c>
      <c r="G268" s="20">
        <f t="shared" si="49"/>
        <v>0.16</v>
      </c>
      <c r="H268" s="20">
        <f t="shared" si="49"/>
        <v>0.16</v>
      </c>
      <c r="I268" s="20">
        <f t="shared" si="49"/>
        <v>0.8</v>
      </c>
      <c r="J268" s="20">
        <f t="shared" si="49"/>
        <v>0.56999999999999995</v>
      </c>
      <c r="K268" s="20">
        <f t="shared" si="49"/>
        <v>0.76</v>
      </c>
      <c r="L268" s="20">
        <f t="shared" si="49"/>
        <v>0.49</v>
      </c>
      <c r="M268" s="20">
        <f t="shared" si="49"/>
        <v>0.84</v>
      </c>
      <c r="N268" s="20">
        <f t="shared" si="49"/>
        <v>0.51</v>
      </c>
      <c r="O268" s="20">
        <f t="shared" si="49"/>
        <v>0.36</v>
      </c>
      <c r="P268" s="20">
        <f t="shared" si="49"/>
        <v>0.17</v>
      </c>
    </row>
    <row r="269" spans="4:16" ht="20.100000000000001" customHeight="1" x14ac:dyDescent="0.2">
      <c r="D269" s="20" t="s">
        <v>533</v>
      </c>
      <c r="E269" s="20" t="str">
        <f t="shared" si="49"/>
        <v>High</v>
      </c>
      <c r="F269" s="20" t="str">
        <f t="shared" si="49"/>
        <v>Autumn</v>
      </c>
      <c r="G269" s="20">
        <f t="shared" si="49"/>
        <v>0.45</v>
      </c>
      <c r="H269" s="20">
        <f t="shared" si="49"/>
        <v>0.1</v>
      </c>
      <c r="I269" s="20">
        <f t="shared" si="49"/>
        <v>0.49</v>
      </c>
      <c r="J269" s="20">
        <f t="shared" si="49"/>
        <v>0.41</v>
      </c>
      <c r="K269" s="20">
        <f t="shared" si="49"/>
        <v>0.4</v>
      </c>
      <c r="L269" s="20">
        <f t="shared" si="49"/>
        <v>0.17</v>
      </c>
      <c r="M269" s="20">
        <f t="shared" si="49"/>
        <v>0.54</v>
      </c>
      <c r="N269" s="20">
        <f t="shared" si="49"/>
        <v>0.64</v>
      </c>
      <c r="O269" s="20">
        <f t="shared" si="49"/>
        <v>-0.05</v>
      </c>
      <c r="P269" s="20">
        <f t="shared" si="49"/>
        <v>0.32</v>
      </c>
    </row>
    <row r="270" spans="4:16" ht="20.100000000000001" customHeight="1" x14ac:dyDescent="0.2">
      <c r="D270" s="20" t="s">
        <v>533</v>
      </c>
      <c r="E270" s="20" t="str">
        <f t="shared" si="49"/>
        <v>High</v>
      </c>
      <c r="F270" s="20" t="str">
        <f t="shared" si="49"/>
        <v>Winter</v>
      </c>
      <c r="G270" s="20">
        <f t="shared" si="49"/>
        <v>0.51</v>
      </c>
      <c r="H270" s="20">
        <f t="shared" si="49"/>
        <v>-7.0000000000000007E-2</v>
      </c>
      <c r="I270" s="20">
        <f t="shared" si="49"/>
        <v>0.13</v>
      </c>
      <c r="J270" s="20">
        <f t="shared" si="49"/>
        <v>-0.09</v>
      </c>
      <c r="K270" s="20">
        <f t="shared" si="49"/>
        <v>-0.13</v>
      </c>
      <c r="L270" s="20">
        <f t="shared" si="49"/>
        <v>7.0000000000000007E-2</v>
      </c>
      <c r="M270" s="20">
        <f t="shared" si="49"/>
        <v>0.25</v>
      </c>
      <c r="N270" s="20">
        <f t="shared" si="49"/>
        <v>0.71</v>
      </c>
      <c r="O270" s="20">
        <f t="shared" si="49"/>
        <v>0.17</v>
      </c>
      <c r="P270" s="20">
        <f t="shared" si="49"/>
        <v>0.43</v>
      </c>
    </row>
    <row r="271" spans="4:16" ht="20.100000000000001" customHeight="1" x14ac:dyDescent="0.2">
      <c r="D271" s="20" t="s">
        <v>533</v>
      </c>
      <c r="E271" s="20" t="str">
        <f t="shared" si="49"/>
        <v>Moderate/High</v>
      </c>
      <c r="F271" s="20" t="str">
        <f t="shared" si="49"/>
        <v>Spring</v>
      </c>
      <c r="G271" s="20">
        <f t="shared" si="49"/>
        <v>-0.12</v>
      </c>
      <c r="H271" s="20">
        <f t="shared" si="49"/>
        <v>-0.19</v>
      </c>
      <c r="I271" s="20">
        <f t="shared" si="49"/>
        <v>0.41</v>
      </c>
      <c r="J271" s="20">
        <f t="shared" si="49"/>
        <v>0.09</v>
      </c>
      <c r="K271" s="20">
        <f t="shared" si="49"/>
        <v>0.41</v>
      </c>
      <c r="L271" s="20">
        <f t="shared" si="49"/>
        <v>-0.19</v>
      </c>
      <c r="M271" s="20">
        <f t="shared" si="49"/>
        <v>7.0000000000000007E-2</v>
      </c>
      <c r="N271" s="20">
        <f t="shared" si="49"/>
        <v>1.07</v>
      </c>
      <c r="O271" s="20">
        <f t="shared" si="49"/>
        <v>-0.08</v>
      </c>
      <c r="P271" s="20">
        <f t="shared" si="49"/>
        <v>0</v>
      </c>
    </row>
    <row r="272" spans="4:16" ht="20.100000000000001" customHeight="1" x14ac:dyDescent="0.2">
      <c r="D272" s="20" t="s">
        <v>533</v>
      </c>
      <c r="E272" s="20" t="str">
        <f t="shared" ref="E272:P282" si="50">E207</f>
        <v>Moderate/High</v>
      </c>
      <c r="F272" s="20" t="str">
        <f t="shared" si="50"/>
        <v>Summer</v>
      </c>
      <c r="G272" s="20">
        <f t="shared" si="50"/>
        <v>0.65</v>
      </c>
      <c r="H272" s="20">
        <f t="shared" si="50"/>
        <v>0.19</v>
      </c>
      <c r="I272" s="20">
        <f t="shared" si="50"/>
        <v>0.65</v>
      </c>
      <c r="J272" s="20">
        <f t="shared" si="50"/>
        <v>0.51</v>
      </c>
      <c r="K272" s="20">
        <f t="shared" si="50"/>
        <v>0.18</v>
      </c>
      <c r="L272" s="20">
        <f t="shared" si="50"/>
        <v>0.63</v>
      </c>
      <c r="M272" s="20">
        <f t="shared" si="50"/>
        <v>1.3</v>
      </c>
      <c r="N272" s="20">
        <f t="shared" si="50"/>
        <v>0.48</v>
      </c>
      <c r="O272" s="20">
        <f t="shared" si="50"/>
        <v>1.1200000000000001</v>
      </c>
      <c r="P272" s="20">
        <f t="shared" si="50"/>
        <v>0.38</v>
      </c>
    </row>
    <row r="273" spans="4:16" ht="20.100000000000001" customHeight="1" x14ac:dyDescent="0.2">
      <c r="D273" s="20" t="s">
        <v>533</v>
      </c>
      <c r="E273" s="20" t="str">
        <f t="shared" si="50"/>
        <v>Moderate/High</v>
      </c>
      <c r="F273" s="20" t="str">
        <f t="shared" si="50"/>
        <v>Autumn</v>
      </c>
      <c r="G273" s="20">
        <f t="shared" si="50"/>
        <v>0.7</v>
      </c>
      <c r="H273" s="20">
        <f t="shared" si="50"/>
        <v>0.13</v>
      </c>
      <c r="I273" s="20">
        <f t="shared" si="50"/>
        <v>0.52</v>
      </c>
      <c r="J273" s="20">
        <f t="shared" si="50"/>
        <v>0.34</v>
      </c>
      <c r="K273" s="20">
        <f t="shared" si="50"/>
        <v>0.02</v>
      </c>
      <c r="L273" s="20">
        <f t="shared" si="50"/>
        <v>0.04</v>
      </c>
      <c r="M273" s="20">
        <f t="shared" si="50"/>
        <v>0.77</v>
      </c>
      <c r="N273" s="20">
        <f t="shared" si="50"/>
        <v>0.42</v>
      </c>
      <c r="O273" s="20">
        <f t="shared" si="50"/>
        <v>0.12</v>
      </c>
      <c r="P273" s="20">
        <f t="shared" si="50"/>
        <v>0.74</v>
      </c>
    </row>
    <row r="274" spans="4:16" ht="20.100000000000001" customHeight="1" x14ac:dyDescent="0.2">
      <c r="D274" s="20" t="s">
        <v>533</v>
      </c>
      <c r="E274" s="20" t="str">
        <f t="shared" si="50"/>
        <v>Moderate/High</v>
      </c>
      <c r="F274" s="20" t="str">
        <f t="shared" si="50"/>
        <v>Winter</v>
      </c>
      <c r="G274" s="20">
        <f t="shared" si="50"/>
        <v>0.32</v>
      </c>
      <c r="H274" s="20">
        <f t="shared" si="50"/>
        <v>-0.06</v>
      </c>
      <c r="I274" s="20">
        <f t="shared" si="50"/>
        <v>0.25</v>
      </c>
      <c r="J274" s="20">
        <f t="shared" si="50"/>
        <v>0.19</v>
      </c>
      <c r="K274" s="20">
        <f t="shared" si="50"/>
        <v>-0.1</v>
      </c>
      <c r="L274" s="20">
        <f t="shared" si="50"/>
        <v>-0.02</v>
      </c>
      <c r="M274" s="20">
        <f t="shared" si="50"/>
        <v>0.02</v>
      </c>
      <c r="N274" s="20">
        <f t="shared" si="50"/>
        <v>0.23</v>
      </c>
      <c r="O274" s="20">
        <f t="shared" si="50"/>
        <v>-0.13</v>
      </c>
      <c r="P274" s="20">
        <f t="shared" si="50"/>
        <v>0</v>
      </c>
    </row>
    <row r="275" spans="4:16" ht="20.100000000000001" customHeight="1" x14ac:dyDescent="0.2">
      <c r="D275" s="20" t="s">
        <v>533</v>
      </c>
      <c r="E275" s="20" t="str">
        <f t="shared" si="50"/>
        <v>Moderate/Low</v>
      </c>
      <c r="F275" s="20" t="str">
        <f t="shared" si="50"/>
        <v>Spring</v>
      </c>
      <c r="G275" s="20">
        <f t="shared" si="50"/>
        <v>0.62</v>
      </c>
      <c r="H275" s="20">
        <f t="shared" si="50"/>
        <v>-0.19</v>
      </c>
      <c r="I275" s="20">
        <f t="shared" si="50"/>
        <v>0.37</v>
      </c>
      <c r="J275" s="20">
        <f t="shared" si="50"/>
        <v>0.41</v>
      </c>
      <c r="K275" s="20">
        <f t="shared" si="50"/>
        <v>0.06</v>
      </c>
      <c r="L275" s="20">
        <f t="shared" si="50"/>
        <v>-0.02</v>
      </c>
      <c r="M275" s="20">
        <f t="shared" si="50"/>
        <v>0.47</v>
      </c>
      <c r="N275" s="20">
        <f t="shared" si="50"/>
        <v>0.44</v>
      </c>
      <c r="O275" s="20">
        <f t="shared" si="50"/>
        <v>0.3</v>
      </c>
      <c r="P275" s="20">
        <f t="shared" si="50"/>
        <v>0.13</v>
      </c>
    </row>
    <row r="276" spans="4:16" ht="20.100000000000001" customHeight="1" x14ac:dyDescent="0.2">
      <c r="D276" s="20" t="s">
        <v>533</v>
      </c>
      <c r="E276" s="20" t="str">
        <f t="shared" si="50"/>
        <v>Moderate/Low</v>
      </c>
      <c r="F276" s="20" t="str">
        <f t="shared" si="50"/>
        <v>Summer</v>
      </c>
      <c r="G276" s="20">
        <f t="shared" si="50"/>
        <v>0.05</v>
      </c>
      <c r="H276" s="20">
        <f t="shared" si="50"/>
        <v>0.19</v>
      </c>
      <c r="I276" s="20">
        <f t="shared" si="50"/>
        <v>0.31</v>
      </c>
      <c r="J276" s="20">
        <f t="shared" si="50"/>
        <v>0.54</v>
      </c>
      <c r="K276" s="20">
        <f t="shared" si="50"/>
        <v>0.53</v>
      </c>
      <c r="L276" s="20">
        <f t="shared" si="50"/>
        <v>0.15</v>
      </c>
      <c r="M276" s="20">
        <f t="shared" si="50"/>
        <v>0.28000000000000003</v>
      </c>
      <c r="N276" s="20">
        <f t="shared" si="50"/>
        <v>0.56999999999999995</v>
      </c>
      <c r="O276" s="20">
        <f t="shared" si="50"/>
        <v>0.42</v>
      </c>
      <c r="P276" s="20">
        <f t="shared" si="50"/>
        <v>0.4</v>
      </c>
    </row>
    <row r="277" spans="4:16" ht="20.100000000000001" customHeight="1" x14ac:dyDescent="0.2">
      <c r="D277" s="20" t="s">
        <v>533</v>
      </c>
      <c r="E277" s="20" t="str">
        <f t="shared" si="50"/>
        <v>Moderate/Low</v>
      </c>
      <c r="F277" s="20" t="str">
        <f t="shared" si="50"/>
        <v>Autumn</v>
      </c>
      <c r="G277" s="20">
        <f t="shared" si="50"/>
        <v>0.33</v>
      </c>
      <c r="H277" s="20">
        <f t="shared" si="50"/>
        <v>0.13</v>
      </c>
      <c r="I277" s="20">
        <f t="shared" si="50"/>
        <v>0.39</v>
      </c>
      <c r="J277" s="20">
        <f t="shared" si="50"/>
        <v>0.36</v>
      </c>
      <c r="K277" s="20">
        <f t="shared" si="50"/>
        <v>0.26</v>
      </c>
      <c r="L277" s="20">
        <f t="shared" si="50"/>
        <v>0.11</v>
      </c>
      <c r="M277" s="20">
        <f t="shared" si="50"/>
        <v>0.4</v>
      </c>
      <c r="N277" s="20">
        <f t="shared" si="50"/>
        <v>0.44</v>
      </c>
      <c r="O277" s="20">
        <f t="shared" si="50"/>
        <v>0.37</v>
      </c>
      <c r="P277" s="20">
        <f t="shared" si="50"/>
        <v>-0.01</v>
      </c>
    </row>
    <row r="278" spans="4:16" ht="20.100000000000001" customHeight="1" x14ac:dyDescent="0.2">
      <c r="D278" s="20" t="s">
        <v>533</v>
      </c>
      <c r="E278" s="20" t="str">
        <f t="shared" si="50"/>
        <v>Moderate/Low</v>
      </c>
      <c r="F278" s="20" t="str">
        <f t="shared" si="50"/>
        <v>Winter</v>
      </c>
      <c r="G278" s="20">
        <f t="shared" si="50"/>
        <v>0.61</v>
      </c>
      <c r="H278" s="20">
        <f t="shared" si="50"/>
        <v>-0.06</v>
      </c>
      <c r="I278" s="20">
        <f t="shared" si="50"/>
        <v>0.21</v>
      </c>
      <c r="J278" s="20">
        <f t="shared" si="50"/>
        <v>0.18</v>
      </c>
      <c r="K278" s="20">
        <f t="shared" si="50"/>
        <v>0.12</v>
      </c>
      <c r="L278" s="20">
        <f t="shared" si="50"/>
        <v>0.06</v>
      </c>
      <c r="M278" s="20">
        <f t="shared" si="50"/>
        <v>0.28999999999999998</v>
      </c>
      <c r="N278" s="20">
        <f t="shared" si="50"/>
        <v>0.41</v>
      </c>
      <c r="O278" s="20">
        <f t="shared" si="50"/>
        <v>0.41</v>
      </c>
      <c r="P278" s="20">
        <f t="shared" si="50"/>
        <v>-0.15</v>
      </c>
    </row>
    <row r="279" spans="4:16" ht="20.100000000000001" customHeight="1" x14ac:dyDescent="0.2">
      <c r="D279" s="20" t="s">
        <v>533</v>
      </c>
      <c r="E279" s="20" t="str">
        <f t="shared" si="50"/>
        <v>Low</v>
      </c>
      <c r="F279" s="20" t="str">
        <f t="shared" si="50"/>
        <v>Spring</v>
      </c>
      <c r="G279" s="20">
        <f t="shared" si="50"/>
        <v>-0.2</v>
      </c>
      <c r="H279" s="20">
        <f t="shared" si="50"/>
        <v>0.02</v>
      </c>
      <c r="I279" s="20">
        <f t="shared" si="50"/>
        <v>0.24</v>
      </c>
      <c r="J279" s="20">
        <f t="shared" si="50"/>
        <v>0.3</v>
      </c>
      <c r="K279" s="20">
        <f t="shared" si="50"/>
        <v>0.23</v>
      </c>
      <c r="L279" s="20">
        <f t="shared" si="50"/>
        <v>-0.05</v>
      </c>
      <c r="M279" s="20">
        <f t="shared" si="50"/>
        <v>0.34</v>
      </c>
      <c r="N279" s="20">
        <f t="shared" si="50"/>
        <v>0.3</v>
      </c>
      <c r="O279" s="20">
        <f t="shared" si="50"/>
        <v>0.56999999999999995</v>
      </c>
      <c r="P279" s="20">
        <f t="shared" si="50"/>
        <v>0.52</v>
      </c>
    </row>
    <row r="280" spans="4:16" ht="20.100000000000001" customHeight="1" x14ac:dyDescent="0.2">
      <c r="D280" s="20" t="s">
        <v>533</v>
      </c>
      <c r="E280" s="20" t="str">
        <f t="shared" si="50"/>
        <v>Low</v>
      </c>
      <c r="F280" s="20" t="str">
        <f t="shared" si="50"/>
        <v>Summer</v>
      </c>
      <c r="G280" s="20">
        <f t="shared" si="50"/>
        <v>0.62</v>
      </c>
      <c r="H280" s="20">
        <f t="shared" si="50"/>
        <v>0.21</v>
      </c>
      <c r="I280" s="20">
        <f t="shared" si="50"/>
        <v>0.25</v>
      </c>
      <c r="J280" s="20">
        <f t="shared" si="50"/>
        <v>0.32</v>
      </c>
      <c r="K280" s="20">
        <f t="shared" si="50"/>
        <v>0.47</v>
      </c>
      <c r="L280" s="20">
        <f t="shared" si="50"/>
        <v>0.31</v>
      </c>
      <c r="M280" s="20">
        <f t="shared" si="50"/>
        <v>0.14000000000000001</v>
      </c>
      <c r="N280" s="20">
        <f t="shared" si="50"/>
        <v>0.4</v>
      </c>
      <c r="O280" s="20">
        <f t="shared" si="50"/>
        <v>0.26</v>
      </c>
      <c r="P280" s="20">
        <f t="shared" si="50"/>
        <v>0.43</v>
      </c>
    </row>
    <row r="281" spans="4:16" ht="20.100000000000001" customHeight="1" x14ac:dyDescent="0.2">
      <c r="D281" s="20" t="s">
        <v>533</v>
      </c>
      <c r="E281" s="20" t="str">
        <f t="shared" si="50"/>
        <v>Low</v>
      </c>
      <c r="F281" s="20" t="str">
        <f t="shared" si="50"/>
        <v>Autumn</v>
      </c>
      <c r="G281" s="20">
        <f t="shared" si="50"/>
        <v>0.4</v>
      </c>
      <c r="H281" s="20">
        <f t="shared" si="50"/>
        <v>0.13</v>
      </c>
      <c r="I281" s="20">
        <f t="shared" si="50"/>
        <v>0.12</v>
      </c>
      <c r="J281" s="20">
        <f t="shared" si="50"/>
        <v>0.27</v>
      </c>
      <c r="K281" s="20">
        <f t="shared" si="50"/>
        <v>0.3</v>
      </c>
      <c r="L281" s="20">
        <f t="shared" si="50"/>
        <v>0.08</v>
      </c>
      <c r="M281" s="20">
        <f t="shared" si="50"/>
        <v>0.13</v>
      </c>
      <c r="N281" s="20">
        <f t="shared" si="50"/>
        <v>0.24</v>
      </c>
      <c r="O281" s="20">
        <f t="shared" si="50"/>
        <v>0.15</v>
      </c>
      <c r="P281" s="20">
        <f t="shared" si="50"/>
        <v>0.21</v>
      </c>
    </row>
    <row r="282" spans="4:16" ht="20.100000000000001" customHeight="1" x14ac:dyDescent="0.2">
      <c r="D282" s="20" t="s">
        <v>533</v>
      </c>
      <c r="E282" s="20" t="str">
        <f t="shared" si="50"/>
        <v>Low</v>
      </c>
      <c r="F282" s="20" t="str">
        <f t="shared" si="50"/>
        <v>Winter</v>
      </c>
      <c r="G282" s="20">
        <f t="shared" si="50"/>
        <v>0.08</v>
      </c>
      <c r="H282" s="20">
        <f t="shared" si="50"/>
        <v>0.04</v>
      </c>
      <c r="I282" s="20">
        <f t="shared" si="50"/>
        <v>0.06</v>
      </c>
      <c r="J282" s="20">
        <f t="shared" si="50"/>
        <v>0.18</v>
      </c>
      <c r="K282" s="20">
        <f t="shared" si="50"/>
        <v>0.11</v>
      </c>
      <c r="L282" s="20">
        <f t="shared" si="50"/>
        <v>-7.0000000000000007E-2</v>
      </c>
      <c r="M282" s="20">
        <f t="shared" si="50"/>
        <v>0.13</v>
      </c>
      <c r="N282" s="20">
        <f t="shared" si="50"/>
        <v>0.16</v>
      </c>
      <c r="O282" s="20">
        <f t="shared" si="50"/>
        <v>0.4</v>
      </c>
      <c r="P282" s="20">
        <f t="shared" si="50"/>
        <v>0.33</v>
      </c>
    </row>
    <row r="283" spans="4:16" ht="20.100000000000001" customHeight="1" x14ac:dyDescent="0.2">
      <c r="M283" s="8"/>
    </row>
    <row r="284" spans="4:16" ht="20.100000000000001" customHeight="1" x14ac:dyDescent="0.2">
      <c r="M284" s="8"/>
    </row>
    <row r="285" spans="4:16" ht="20.100000000000001" customHeight="1" x14ac:dyDescent="0.2">
      <c r="D285" s="2" t="s">
        <v>1795</v>
      </c>
      <c r="M285" s="8"/>
    </row>
    <row r="286" spans="4:16" ht="20.100000000000001" customHeight="1" x14ac:dyDescent="0.2">
      <c r="D286" s="17" t="s">
        <v>1796</v>
      </c>
      <c r="M286" s="8"/>
    </row>
    <row r="287" spans="4:16" ht="20.100000000000001" customHeight="1" x14ac:dyDescent="0.2">
      <c r="D287" s="1" t="s">
        <v>1797</v>
      </c>
      <c r="M287" s="8"/>
    </row>
    <row r="288" spans="4:16" ht="20.100000000000001" customHeight="1" x14ac:dyDescent="0.2">
      <c r="D288" s="9" t="s">
        <v>346</v>
      </c>
      <c r="M288" s="8"/>
    </row>
    <row r="289" spans="4:13" ht="20.100000000000001" customHeight="1" x14ac:dyDescent="0.2">
      <c r="D289" s="26" t="s">
        <v>1798</v>
      </c>
      <c r="M289" s="8"/>
    </row>
    <row r="290" spans="4:13" ht="20.100000000000001" customHeight="1" x14ac:dyDescent="0.2">
      <c r="D290" s="20" t="s">
        <v>105</v>
      </c>
      <c r="E290" s="20" t="s">
        <v>489</v>
      </c>
      <c r="F290" s="20" t="s">
        <v>335</v>
      </c>
      <c r="G290" s="20" t="s">
        <v>336</v>
      </c>
      <c r="H290" s="20" t="s">
        <v>337</v>
      </c>
      <c r="I290" s="20" t="s">
        <v>338</v>
      </c>
      <c r="M290" s="8"/>
    </row>
    <row r="291" spans="4:13" ht="20.100000000000001" customHeight="1" x14ac:dyDescent="0.2">
      <c r="D291" s="20" t="s">
        <v>519</v>
      </c>
      <c r="E291" s="20" t="s">
        <v>493</v>
      </c>
      <c r="F291" s="20">
        <v>0.55000000000000004</v>
      </c>
      <c r="G291" s="20">
        <v>0.65</v>
      </c>
      <c r="H291" s="20">
        <v>0.6</v>
      </c>
      <c r="I291" s="20">
        <v>0.5</v>
      </c>
      <c r="M291" s="8"/>
    </row>
    <row r="292" spans="4:13" ht="20.100000000000001" customHeight="1" x14ac:dyDescent="0.2">
      <c r="D292" s="1" t="s">
        <v>520</v>
      </c>
      <c r="E292" s="20" t="s">
        <v>493</v>
      </c>
      <c r="F292" s="20">
        <v>0.55000000000000004</v>
      </c>
      <c r="G292" s="20">
        <v>0.65</v>
      </c>
      <c r="H292" s="20">
        <v>0.6</v>
      </c>
      <c r="I292" s="20">
        <v>0.5</v>
      </c>
      <c r="M292" s="8"/>
    </row>
    <row r="293" spans="4:13" ht="20.100000000000001" customHeight="1" x14ac:dyDescent="0.2">
      <c r="D293" s="1" t="s">
        <v>529</v>
      </c>
      <c r="E293" s="20" t="s">
        <v>491</v>
      </c>
      <c r="F293" s="20">
        <v>0.55000000000000004</v>
      </c>
      <c r="G293" s="20">
        <v>0.61</v>
      </c>
      <c r="H293" s="20">
        <v>0.56999999999999995</v>
      </c>
      <c r="I293" s="20">
        <v>0.54</v>
      </c>
      <c r="M293" s="8"/>
    </row>
    <row r="294" spans="4:13" ht="20.100000000000001" customHeight="1" x14ac:dyDescent="0.2">
      <c r="D294" s="1" t="s">
        <v>529</v>
      </c>
      <c r="E294" s="20" t="s">
        <v>496</v>
      </c>
      <c r="F294" s="20">
        <v>0.55000000000000004</v>
      </c>
      <c r="G294" s="20">
        <v>0.61</v>
      </c>
      <c r="H294" s="20">
        <v>0.56999999999999995</v>
      </c>
      <c r="I294" s="20">
        <v>0.54</v>
      </c>
      <c r="M294" s="8"/>
    </row>
    <row r="295" spans="4:13" ht="20.100000000000001" customHeight="1" x14ac:dyDescent="0.2">
      <c r="D295" s="1" t="s">
        <v>529</v>
      </c>
      <c r="E295" s="20" t="s">
        <v>499</v>
      </c>
      <c r="F295" s="20">
        <v>0.55000000000000004</v>
      </c>
      <c r="G295" s="20">
        <v>0.61</v>
      </c>
      <c r="H295" s="20">
        <v>0.56999999999999995</v>
      </c>
      <c r="I295" s="20">
        <v>0.54</v>
      </c>
      <c r="M295" s="8"/>
    </row>
    <row r="296" spans="4:13" ht="20.100000000000001" customHeight="1" x14ac:dyDescent="0.2">
      <c r="D296" s="1" t="s">
        <v>533</v>
      </c>
      <c r="E296" s="20" t="s">
        <v>492</v>
      </c>
      <c r="F296" s="20">
        <v>0.53</v>
      </c>
      <c r="G296" s="20">
        <v>0.56999999999999995</v>
      </c>
      <c r="H296" s="20">
        <v>0.55000000000000004</v>
      </c>
      <c r="I296" s="20">
        <v>0.51</v>
      </c>
      <c r="M296" s="8"/>
    </row>
    <row r="297" spans="4:13" ht="20.100000000000001" customHeight="1" x14ac:dyDescent="0.2">
      <c r="D297" s="1" t="s">
        <v>533</v>
      </c>
      <c r="E297" s="20" t="s">
        <v>497</v>
      </c>
      <c r="F297" s="20">
        <v>0.53</v>
      </c>
      <c r="G297" s="20">
        <v>0.56999999999999995</v>
      </c>
      <c r="H297" s="20">
        <v>0.55000000000000004</v>
      </c>
      <c r="I297" s="20">
        <v>0.51</v>
      </c>
      <c r="M297" s="8"/>
    </row>
    <row r="298" spans="4:13" ht="20.100000000000001" customHeight="1" x14ac:dyDescent="0.2">
      <c r="D298" s="1" t="s">
        <v>533</v>
      </c>
      <c r="E298" s="20" t="s">
        <v>500</v>
      </c>
      <c r="F298" s="20">
        <v>0.53</v>
      </c>
      <c r="G298" s="20">
        <v>0.56999999999999995</v>
      </c>
      <c r="H298" s="20">
        <v>0.55000000000000004</v>
      </c>
      <c r="I298" s="20">
        <v>0.51</v>
      </c>
      <c r="M298" s="8"/>
    </row>
    <row r="299" spans="4:13" ht="20.100000000000001" customHeight="1" x14ac:dyDescent="0.2">
      <c r="D299" s="1" t="s">
        <v>533</v>
      </c>
      <c r="E299" s="20" t="s">
        <v>503</v>
      </c>
      <c r="F299" s="20">
        <v>0.53</v>
      </c>
      <c r="G299" s="20">
        <v>0.56999999999999995</v>
      </c>
      <c r="H299" s="20">
        <v>0.55000000000000004</v>
      </c>
      <c r="I299" s="20">
        <v>0.51</v>
      </c>
      <c r="M299" s="8"/>
    </row>
    <row r="300" spans="4:13" ht="20.100000000000001" customHeight="1" x14ac:dyDescent="0.2">
      <c r="D300" s="1" t="s">
        <v>521</v>
      </c>
      <c r="E300" s="20" t="s">
        <v>493</v>
      </c>
      <c r="F300" s="20">
        <v>0.7</v>
      </c>
      <c r="G300" s="20">
        <v>0.55000000000000004</v>
      </c>
      <c r="H300" s="20">
        <v>0.55000000000000004</v>
      </c>
      <c r="I300" s="20">
        <v>0.75</v>
      </c>
      <c r="M300" s="8"/>
    </row>
    <row r="301" spans="4:13" ht="20.100000000000001" customHeight="1" x14ac:dyDescent="0.2">
      <c r="D301" s="1" t="s">
        <v>522</v>
      </c>
      <c r="E301" s="20" t="s">
        <v>493</v>
      </c>
      <c r="F301" s="20">
        <v>0.75</v>
      </c>
      <c r="G301" s="20">
        <v>0.6</v>
      </c>
      <c r="H301" s="20">
        <v>0.7</v>
      </c>
      <c r="I301" s="20">
        <v>0.75</v>
      </c>
      <c r="M301" s="8"/>
    </row>
    <row r="302" spans="4:13" ht="20.100000000000001" customHeight="1" x14ac:dyDescent="0.2">
      <c r="D302" s="1" t="s">
        <v>523</v>
      </c>
      <c r="E302" s="20" t="s">
        <v>493</v>
      </c>
      <c r="F302" s="20">
        <v>0.8</v>
      </c>
      <c r="G302" s="20">
        <v>0.55000000000000004</v>
      </c>
      <c r="H302" s="20">
        <v>0.6</v>
      </c>
      <c r="I302" s="20">
        <v>0.76</v>
      </c>
      <c r="M302" s="8"/>
    </row>
    <row r="303" spans="4:13" ht="20.100000000000001" customHeight="1" x14ac:dyDescent="0.2">
      <c r="D303" s="1" t="s">
        <v>525</v>
      </c>
      <c r="E303" s="20" t="s">
        <v>322</v>
      </c>
      <c r="F303" s="20">
        <v>0.8</v>
      </c>
      <c r="G303" s="20">
        <v>0.57999999999999996</v>
      </c>
      <c r="H303" s="20">
        <v>0.5</v>
      </c>
      <c r="I303" s="20">
        <v>0.75</v>
      </c>
      <c r="M303" s="8"/>
    </row>
    <row r="304" spans="4:13" ht="20.100000000000001" customHeight="1" x14ac:dyDescent="0.2">
      <c r="D304" s="1" t="s">
        <v>525</v>
      </c>
      <c r="E304" s="20" t="s">
        <v>495</v>
      </c>
      <c r="F304" s="20">
        <v>0.4</v>
      </c>
      <c r="G304" s="20">
        <v>0.65</v>
      </c>
      <c r="H304" s="20">
        <v>0.55000000000000004</v>
      </c>
      <c r="I304" s="20">
        <v>0.45</v>
      </c>
      <c r="M304" s="8"/>
    </row>
    <row r="305" spans="4:13" ht="20.100000000000001" customHeight="1" x14ac:dyDescent="0.2">
      <c r="D305" s="1" t="s">
        <v>525</v>
      </c>
      <c r="E305" s="20" t="s">
        <v>498</v>
      </c>
      <c r="F305" s="20">
        <v>0.4</v>
      </c>
      <c r="G305" s="20">
        <v>0.65</v>
      </c>
      <c r="H305" s="20">
        <v>0.55000000000000004</v>
      </c>
      <c r="I305" s="20">
        <v>0.45</v>
      </c>
      <c r="M305" s="8"/>
    </row>
    <row r="306" spans="4:13" ht="20.100000000000001" customHeight="1" x14ac:dyDescent="0.2">
      <c r="M306" s="8"/>
    </row>
    <row r="307" spans="4:13" ht="20.100000000000001" customHeight="1" x14ac:dyDescent="0.2">
      <c r="M307" s="8"/>
    </row>
    <row r="308" spans="4:13" ht="20.100000000000001" customHeight="1" x14ac:dyDescent="0.2">
      <c r="D308" s="2" t="s">
        <v>1799</v>
      </c>
      <c r="M308" s="8"/>
    </row>
    <row r="309" spans="4:13" ht="20.100000000000001" customHeight="1" x14ac:dyDescent="0.2">
      <c r="D309" s="17" t="s">
        <v>1800</v>
      </c>
      <c r="M309" s="8"/>
    </row>
    <row r="310" spans="4:13" ht="20.100000000000001" customHeight="1" x14ac:dyDescent="0.2">
      <c r="D310" s="1" t="s">
        <v>1801</v>
      </c>
      <c r="M310" s="8"/>
    </row>
    <row r="311" spans="4:13" ht="20.100000000000001" customHeight="1" x14ac:dyDescent="0.2">
      <c r="D311" s="9" t="s">
        <v>346</v>
      </c>
      <c r="M311" s="8"/>
    </row>
    <row r="312" spans="4:13" ht="20.100000000000001" customHeight="1" x14ac:dyDescent="0.2">
      <c r="D312" s="26" t="s">
        <v>1798</v>
      </c>
      <c r="M312" s="8"/>
    </row>
    <row r="313" spans="4:13" ht="20.100000000000001" customHeight="1" x14ac:dyDescent="0.2">
      <c r="D313" s="20" t="s">
        <v>105</v>
      </c>
      <c r="E313" s="20" t="s">
        <v>489</v>
      </c>
      <c r="F313" s="20" t="s">
        <v>335</v>
      </c>
      <c r="G313" s="20" t="s">
        <v>336</v>
      </c>
      <c r="H313" s="20" t="s">
        <v>337</v>
      </c>
      <c r="I313" s="20" t="s">
        <v>338</v>
      </c>
      <c r="M313" s="8"/>
    </row>
    <row r="314" spans="4:13" ht="20.100000000000001" customHeight="1" x14ac:dyDescent="0.2">
      <c r="D314" s="20" t="s">
        <v>519</v>
      </c>
      <c r="E314" s="20" t="s">
        <v>493</v>
      </c>
      <c r="F314" s="20">
        <v>7.0000000000000007E-2</v>
      </c>
      <c r="G314" s="20">
        <v>0.13</v>
      </c>
      <c r="H314" s="20">
        <v>0.1</v>
      </c>
      <c r="I314" s="20">
        <v>0.06</v>
      </c>
      <c r="M314" s="8"/>
    </row>
    <row r="315" spans="4:13" ht="20.100000000000001" customHeight="1" x14ac:dyDescent="0.2">
      <c r="D315" s="20" t="s">
        <v>520</v>
      </c>
      <c r="E315" s="20" t="s">
        <v>493</v>
      </c>
      <c r="F315" s="20">
        <v>7.0000000000000007E-2</v>
      </c>
      <c r="G315" s="20">
        <v>0.13</v>
      </c>
      <c r="H315" s="20">
        <v>0.1</v>
      </c>
      <c r="I315" s="20">
        <v>0.06</v>
      </c>
      <c r="M315" s="8"/>
    </row>
    <row r="316" spans="4:13" ht="20.100000000000001" customHeight="1" x14ac:dyDescent="0.2">
      <c r="D316" s="20" t="s">
        <v>529</v>
      </c>
      <c r="E316" s="20" t="s">
        <v>491</v>
      </c>
      <c r="F316" s="20">
        <v>5.8000000000000003E-2</v>
      </c>
      <c r="G316" s="20">
        <v>9.1999999999999998E-2</v>
      </c>
      <c r="H316" s="20">
        <v>7.4999999999999997E-2</v>
      </c>
      <c r="I316" s="20">
        <v>5.2999999999999999E-2</v>
      </c>
      <c r="M316" s="8"/>
    </row>
    <row r="317" spans="4:13" ht="20.100000000000001" customHeight="1" x14ac:dyDescent="0.2">
      <c r="D317" s="20" t="s">
        <v>529</v>
      </c>
      <c r="E317" s="20" t="s">
        <v>496</v>
      </c>
      <c r="F317" s="20">
        <v>5.8000000000000003E-2</v>
      </c>
      <c r="G317" s="20">
        <v>9.1999999999999998E-2</v>
      </c>
      <c r="H317" s="20">
        <v>7.4999999999999997E-2</v>
      </c>
      <c r="I317" s="20">
        <v>5.2999999999999999E-2</v>
      </c>
      <c r="M317" s="8"/>
    </row>
    <row r="318" spans="4:13" ht="20.100000000000001" customHeight="1" x14ac:dyDescent="0.2">
      <c r="D318" s="20" t="s">
        <v>529</v>
      </c>
      <c r="E318" s="20" t="s">
        <v>499</v>
      </c>
      <c r="F318" s="20">
        <v>5.8000000000000003E-2</v>
      </c>
      <c r="G318" s="20">
        <v>9.1999999999999998E-2</v>
      </c>
      <c r="H318" s="20">
        <v>7.4999999999999997E-2</v>
      </c>
      <c r="I318" s="20">
        <v>5.2999999999999999E-2</v>
      </c>
      <c r="M318" s="8"/>
    </row>
    <row r="319" spans="4:13" ht="20.100000000000001" customHeight="1" x14ac:dyDescent="0.2">
      <c r="D319" s="20" t="s">
        <v>533</v>
      </c>
      <c r="E319" s="20" t="s">
        <v>492</v>
      </c>
      <c r="F319" s="20">
        <v>7.1999999999999995E-2</v>
      </c>
      <c r="G319" s="20">
        <v>9.9000000000000005E-2</v>
      </c>
      <c r="H319" s="20">
        <v>7.8E-2</v>
      </c>
      <c r="I319" s="20">
        <v>5.8999999999999997E-2</v>
      </c>
      <c r="M319" s="1"/>
    </row>
    <row r="320" spans="4:13" ht="20.100000000000001" customHeight="1" x14ac:dyDescent="0.2">
      <c r="D320" s="20" t="s">
        <v>533</v>
      </c>
      <c r="E320" s="20" t="s">
        <v>497</v>
      </c>
      <c r="F320" s="20">
        <v>7.1999999999999995E-2</v>
      </c>
      <c r="G320" s="20">
        <v>9.9000000000000005E-2</v>
      </c>
      <c r="H320" s="20">
        <v>7.8E-2</v>
      </c>
      <c r="I320" s="20">
        <v>5.8999999999999997E-2</v>
      </c>
      <c r="M320" s="1"/>
    </row>
    <row r="321" spans="4:13" ht="20.100000000000001" customHeight="1" x14ac:dyDescent="0.2">
      <c r="D321" s="20" t="s">
        <v>533</v>
      </c>
      <c r="E321" s="20" t="s">
        <v>500</v>
      </c>
      <c r="F321" s="20">
        <v>7.1999999999999995E-2</v>
      </c>
      <c r="G321" s="20">
        <v>9.9000000000000005E-2</v>
      </c>
      <c r="H321" s="20">
        <v>7.8E-2</v>
      </c>
      <c r="I321" s="20">
        <v>5.8999999999999997E-2</v>
      </c>
      <c r="M321" s="1"/>
    </row>
    <row r="322" spans="4:13" ht="20.100000000000001" customHeight="1" x14ac:dyDescent="0.2">
      <c r="D322" s="20" t="s">
        <v>533</v>
      </c>
      <c r="E322" s="20" t="s">
        <v>503</v>
      </c>
      <c r="F322" s="20">
        <v>7.1999999999999995E-2</v>
      </c>
      <c r="G322" s="20">
        <v>9.9000000000000005E-2</v>
      </c>
      <c r="H322" s="20">
        <v>7.8E-2</v>
      </c>
      <c r="I322" s="20">
        <v>5.8999999999999997E-2</v>
      </c>
      <c r="M322" s="1"/>
    </row>
    <row r="323" spans="4:13" ht="20.100000000000001" customHeight="1" x14ac:dyDescent="0.2">
      <c r="D323" s="20" t="s">
        <v>521</v>
      </c>
      <c r="E323" s="20" t="s">
        <v>493</v>
      </c>
      <c r="F323" s="20">
        <v>0.16</v>
      </c>
      <c r="G323" s="20">
        <v>7.0000000000000007E-2</v>
      </c>
      <c r="H323" s="20">
        <v>0.09</v>
      </c>
      <c r="I323" s="20">
        <v>0.2</v>
      </c>
      <c r="M323" s="1"/>
    </row>
    <row r="324" spans="4:13" ht="20.100000000000001" customHeight="1" x14ac:dyDescent="0.2">
      <c r="D324" s="20" t="s">
        <v>522</v>
      </c>
      <c r="E324" s="20" t="s">
        <v>493</v>
      </c>
      <c r="F324" s="20">
        <v>0.2</v>
      </c>
      <c r="G324" s="20">
        <v>0.1</v>
      </c>
      <c r="H324" s="20">
        <v>0.16</v>
      </c>
      <c r="I324" s="20">
        <v>0.2</v>
      </c>
      <c r="M324" s="1"/>
    </row>
    <row r="325" spans="4:13" ht="20.100000000000001" customHeight="1" x14ac:dyDescent="0.2">
      <c r="D325" s="20" t="s">
        <v>523</v>
      </c>
      <c r="E325" s="20" t="s">
        <v>493</v>
      </c>
      <c r="F325" s="20">
        <v>0.25</v>
      </c>
      <c r="G325" s="20">
        <v>7.0000000000000007E-2</v>
      </c>
      <c r="H325" s="20">
        <v>0.1</v>
      </c>
      <c r="I325" s="20">
        <v>0.21</v>
      </c>
      <c r="M325" s="1"/>
    </row>
    <row r="326" spans="4:13" ht="20.100000000000001" customHeight="1" x14ac:dyDescent="0.2">
      <c r="D326" s="20" t="s">
        <v>525</v>
      </c>
      <c r="E326" s="20" t="s">
        <v>322</v>
      </c>
      <c r="F326" s="20">
        <v>0.2</v>
      </c>
      <c r="G326" s="20">
        <v>0.09</v>
      </c>
      <c r="H326" s="20">
        <v>0.06</v>
      </c>
      <c r="I326" s="20">
        <v>0.2</v>
      </c>
      <c r="M326" s="1"/>
    </row>
    <row r="327" spans="4:13" ht="20.100000000000001" customHeight="1" x14ac:dyDescent="0.2">
      <c r="D327" s="20" t="s">
        <v>525</v>
      </c>
      <c r="E327" s="20" t="s">
        <v>495</v>
      </c>
      <c r="F327" s="20">
        <v>0.04</v>
      </c>
      <c r="G327" s="20">
        <v>0.12</v>
      </c>
      <c r="H327" s="20">
        <v>0.09</v>
      </c>
      <c r="I327" s="20">
        <v>0.06</v>
      </c>
      <c r="M327" s="1"/>
    </row>
    <row r="328" spans="4:13" ht="20.100000000000001" customHeight="1" x14ac:dyDescent="0.2">
      <c r="D328" s="20" t="s">
        <v>525</v>
      </c>
      <c r="E328" s="20" t="s">
        <v>498</v>
      </c>
      <c r="F328" s="20">
        <v>0.04</v>
      </c>
      <c r="G328" s="20">
        <v>0.12</v>
      </c>
      <c r="H328" s="20">
        <v>0.09</v>
      </c>
      <c r="I328" s="20">
        <v>0.06</v>
      </c>
      <c r="M328" s="1"/>
    </row>
    <row r="329" spans="4:13" ht="20.100000000000001" customHeight="1" x14ac:dyDescent="0.2">
      <c r="M329" s="1"/>
    </row>
    <row r="330" spans="4:13" ht="20.100000000000001" customHeight="1" x14ac:dyDescent="0.2">
      <c r="M330" s="1"/>
    </row>
    <row r="331" spans="4:13" ht="20.100000000000001" customHeight="1" x14ac:dyDescent="0.2">
      <c r="D331" s="2" t="s">
        <v>1802</v>
      </c>
      <c r="M331" s="1"/>
    </row>
    <row r="332" spans="4:13" ht="20.100000000000001" customHeight="1" x14ac:dyDescent="0.2">
      <c r="D332" s="17" t="s">
        <v>1803</v>
      </c>
      <c r="M332" s="1"/>
    </row>
    <row r="333" spans="4:13" ht="20.100000000000001" customHeight="1" x14ac:dyDescent="0.2">
      <c r="D333" s="1" t="s">
        <v>1804</v>
      </c>
      <c r="I333" s="26" t="s">
        <v>554</v>
      </c>
      <c r="M333" s="1"/>
    </row>
    <row r="334" spans="4:13" ht="20.100000000000001" customHeight="1" x14ac:dyDescent="0.2">
      <c r="D334" s="20" t="s">
        <v>555</v>
      </c>
      <c r="E334" s="20" t="s">
        <v>76</v>
      </c>
      <c r="F334" s="20" t="s">
        <v>556</v>
      </c>
      <c r="G334" s="20" t="s">
        <v>557</v>
      </c>
      <c r="I334" s="20" t="s">
        <v>555</v>
      </c>
      <c r="J334" s="20" t="s">
        <v>76</v>
      </c>
      <c r="K334" s="20" t="s">
        <v>556</v>
      </c>
      <c r="L334" s="20" t="s">
        <v>557</v>
      </c>
      <c r="M334" s="1"/>
    </row>
    <row r="335" spans="4:13" ht="20.100000000000001" customHeight="1" x14ac:dyDescent="0.2">
      <c r="D335" s="20" t="s">
        <v>1805</v>
      </c>
      <c r="E335" s="20" t="s">
        <v>335</v>
      </c>
      <c r="F335" s="20">
        <v>1.3</v>
      </c>
      <c r="G335" s="20">
        <v>6</v>
      </c>
      <c r="I335" s="20" t="str">
        <f>Table_SourceData_PastureBeef_FeedIntakeAdjustment[[#This Row],[Breed]]</f>
        <v>Hereford or Shorthorn breeds</v>
      </c>
      <c r="J335" s="20" t="s">
        <v>357</v>
      </c>
      <c r="K335" s="20">
        <f>Table_SourceData_PastureBeef_FeedIntakeAdjustment[[#This Row],[Feed adjustment]]</f>
        <v>1.3</v>
      </c>
      <c r="L335" s="20">
        <f>Table_SourceData_PastureBeef_FeedIntakeAdjustment[[#This Row],[Milk intake/production]]</f>
        <v>6</v>
      </c>
      <c r="M335" s="1"/>
    </row>
    <row r="336" spans="4:13" ht="20.100000000000001" customHeight="1" x14ac:dyDescent="0.2">
      <c r="D336" s="1" t="s">
        <v>1805</v>
      </c>
      <c r="E336" s="20" t="s">
        <v>336</v>
      </c>
      <c r="F336" s="20">
        <v>1.1000000000000001</v>
      </c>
      <c r="G336" s="20">
        <v>4</v>
      </c>
      <c r="I336" s="1" t="str">
        <f>Table_SourceData_PastureBeef_FeedIntakeAdjustment[[#This Row],[Breed]]</f>
        <v>Hereford or Shorthorn breeds</v>
      </c>
      <c r="J336" s="20" t="s">
        <v>384</v>
      </c>
      <c r="K336" s="20">
        <f>Table_SourceData_PastureBeef_FeedIntakeAdjustment[[#This Row],[Feed adjustment]]</f>
        <v>1.1000000000000001</v>
      </c>
      <c r="L336" s="20">
        <f>Table_SourceData_PastureBeef_FeedIntakeAdjustment[[#This Row],[Milk intake/production]]</f>
        <v>4</v>
      </c>
      <c r="M336" s="1"/>
    </row>
    <row r="337" spans="4:13" ht="20.100000000000001" customHeight="1" x14ac:dyDescent="0.2">
      <c r="D337" s="1" t="s">
        <v>1805</v>
      </c>
      <c r="E337" s="20" t="s">
        <v>337</v>
      </c>
      <c r="F337" s="20">
        <v>0</v>
      </c>
      <c r="G337" s="20">
        <v>0</v>
      </c>
      <c r="I337" s="1" t="str">
        <f>D340</f>
        <v>Northern Brahman cross breed</v>
      </c>
      <c r="J337" s="20" t="s">
        <v>357</v>
      </c>
      <c r="K337" s="20">
        <f>F340</f>
        <v>1.3</v>
      </c>
      <c r="L337" s="20">
        <f t="shared" ref="L337:L338" si="51">G340</f>
        <v>4</v>
      </c>
      <c r="M337" s="1"/>
    </row>
    <row r="338" spans="4:13" ht="20.100000000000001" customHeight="1" x14ac:dyDescent="0.2">
      <c r="D338" s="1" t="s">
        <v>1805</v>
      </c>
      <c r="E338" s="20" t="s">
        <v>338</v>
      </c>
      <c r="F338" s="20">
        <v>0</v>
      </c>
      <c r="G338" s="20">
        <v>0</v>
      </c>
      <c r="I338" s="1" t="str">
        <f>D341</f>
        <v>Northern Brahman cross breed</v>
      </c>
      <c r="J338" s="20" t="s">
        <v>384</v>
      </c>
      <c r="K338" s="20">
        <f t="shared" ref="K338" si="52">F341</f>
        <v>1.1000000000000001</v>
      </c>
      <c r="L338" s="20">
        <f t="shared" si="51"/>
        <v>3</v>
      </c>
      <c r="M338" s="1"/>
    </row>
    <row r="339" spans="4:13" ht="20.100000000000001" customHeight="1" x14ac:dyDescent="0.2">
      <c r="D339" s="1" t="s">
        <v>1806</v>
      </c>
      <c r="E339" s="20" t="s">
        <v>335</v>
      </c>
      <c r="F339" s="20">
        <v>0</v>
      </c>
      <c r="G339" s="20">
        <v>0</v>
      </c>
      <c r="M339" s="1"/>
    </row>
    <row r="340" spans="4:13" ht="20.100000000000001" customHeight="1" x14ac:dyDescent="0.2">
      <c r="D340" s="1" t="s">
        <v>1806</v>
      </c>
      <c r="E340" s="20" t="s">
        <v>336</v>
      </c>
      <c r="F340" s="20">
        <v>1.3</v>
      </c>
      <c r="G340" s="20">
        <v>4</v>
      </c>
      <c r="M340" s="1"/>
    </row>
    <row r="341" spans="4:13" ht="20.100000000000001" customHeight="1" x14ac:dyDescent="0.2">
      <c r="D341" s="1" t="s">
        <v>1806</v>
      </c>
      <c r="E341" s="20" t="s">
        <v>337</v>
      </c>
      <c r="F341" s="20">
        <v>1.1000000000000001</v>
      </c>
      <c r="G341" s="20">
        <v>3</v>
      </c>
      <c r="M341" s="1"/>
    </row>
    <row r="342" spans="4:13" ht="20.100000000000001" customHeight="1" x14ac:dyDescent="0.2">
      <c r="D342" s="1" t="s">
        <v>1806</v>
      </c>
      <c r="E342" s="20" t="s">
        <v>338</v>
      </c>
      <c r="F342" s="20">
        <v>0</v>
      </c>
      <c r="G342" s="20">
        <v>0</v>
      </c>
      <c r="M342" s="1"/>
    </row>
    <row r="343" spans="4:13" ht="20.100000000000001" customHeight="1" x14ac:dyDescent="0.2">
      <c r="M343" s="1"/>
    </row>
    <row r="344" spans="4:13" ht="20.100000000000001" customHeight="1" x14ac:dyDescent="0.2">
      <c r="M344" s="1"/>
    </row>
    <row r="345" spans="4:13" ht="20.100000000000001" customHeight="1" x14ac:dyDescent="0.2">
      <c r="D345" s="2" t="s">
        <v>1807</v>
      </c>
      <c r="M345" s="1"/>
    </row>
    <row r="346" spans="4:13" ht="20.100000000000001" customHeight="1" x14ac:dyDescent="0.2">
      <c r="D346" s="17" t="s">
        <v>1808</v>
      </c>
      <c r="M346" s="1"/>
    </row>
    <row r="347" spans="4:13" ht="20.100000000000001" customHeight="1" x14ac:dyDescent="0.2">
      <c r="D347" s="1" t="s">
        <v>1809</v>
      </c>
      <c r="M347" s="1"/>
    </row>
    <row r="348" spans="4:13" ht="20.100000000000001" customHeight="1" x14ac:dyDescent="0.2">
      <c r="D348" s="9" t="s">
        <v>636</v>
      </c>
      <c r="M348" s="1"/>
    </row>
    <row r="349" spans="4:13" ht="20.100000000000001" customHeight="1" x14ac:dyDescent="0.2">
      <c r="D349" s="26" t="s">
        <v>1810</v>
      </c>
      <c r="M349" s="1"/>
    </row>
    <row r="350" spans="4:13" ht="20.100000000000001" customHeight="1" x14ac:dyDescent="0.2">
      <c r="D350" s="20" t="s">
        <v>105</v>
      </c>
      <c r="E350" s="20" t="s">
        <v>558</v>
      </c>
      <c r="F350" s="20" t="s">
        <v>559</v>
      </c>
      <c r="G350" s="20" t="s">
        <v>540</v>
      </c>
      <c r="H350" s="20" t="s">
        <v>541</v>
      </c>
      <c r="I350" s="20" t="s">
        <v>560</v>
      </c>
      <c r="J350" s="20" t="s">
        <v>544</v>
      </c>
      <c r="K350" s="20" t="s">
        <v>551</v>
      </c>
      <c r="L350" s="20" t="s">
        <v>561</v>
      </c>
      <c r="M350" s="1"/>
    </row>
    <row r="351" spans="4:13" ht="20.100000000000001" customHeight="1" x14ac:dyDescent="0.2">
      <c r="D351" s="20" t="s">
        <v>519</v>
      </c>
      <c r="E351" s="20">
        <v>700</v>
      </c>
      <c r="F351" s="20">
        <v>700</v>
      </c>
      <c r="G351" s="20">
        <v>500</v>
      </c>
      <c r="H351" s="20">
        <v>500</v>
      </c>
      <c r="I351" s="20">
        <v>500</v>
      </c>
      <c r="J351" s="20">
        <v>600</v>
      </c>
      <c r="K351" s="20">
        <v>600</v>
      </c>
      <c r="L351" s="20" t="s">
        <v>519</v>
      </c>
      <c r="M351" s="1"/>
    </row>
    <row r="352" spans="4:13" ht="20.100000000000001" customHeight="1" x14ac:dyDescent="0.2">
      <c r="D352" s="1" t="s">
        <v>520</v>
      </c>
      <c r="E352" s="20">
        <v>700</v>
      </c>
      <c r="F352" s="20">
        <v>700</v>
      </c>
      <c r="G352" s="20">
        <v>500</v>
      </c>
      <c r="H352" s="20">
        <v>500</v>
      </c>
      <c r="I352" s="20">
        <v>500</v>
      </c>
      <c r="J352" s="20">
        <v>600</v>
      </c>
      <c r="K352" s="20">
        <v>600</v>
      </c>
      <c r="L352" s="20" t="s">
        <v>520</v>
      </c>
      <c r="M352" s="1"/>
    </row>
    <row r="353" spans="4:15" ht="20.100000000000001" customHeight="1" x14ac:dyDescent="0.2">
      <c r="D353" s="1" t="s">
        <v>1787</v>
      </c>
      <c r="E353" s="20">
        <v>770</v>
      </c>
      <c r="F353" s="20">
        <v>770</v>
      </c>
      <c r="G353" s="20">
        <v>550</v>
      </c>
      <c r="H353" s="20">
        <v>550</v>
      </c>
      <c r="I353" s="20">
        <v>550</v>
      </c>
      <c r="J353" s="20">
        <v>660</v>
      </c>
      <c r="K353" s="20">
        <v>660</v>
      </c>
      <c r="L353" s="20" t="s">
        <v>529</v>
      </c>
      <c r="M353" s="1"/>
    </row>
    <row r="354" spans="4:15" ht="20.100000000000001" customHeight="1" x14ac:dyDescent="0.2">
      <c r="D354" s="1" t="s">
        <v>1789</v>
      </c>
      <c r="E354" s="20">
        <v>770</v>
      </c>
      <c r="F354" s="20">
        <v>770</v>
      </c>
      <c r="G354" s="20">
        <v>550</v>
      </c>
      <c r="H354" s="20">
        <v>550</v>
      </c>
      <c r="I354" s="20">
        <v>550</v>
      </c>
      <c r="J354" s="20">
        <v>660</v>
      </c>
      <c r="K354" s="20">
        <v>660</v>
      </c>
      <c r="L354" s="20" t="s">
        <v>533</v>
      </c>
      <c r="M354" s="1"/>
    </row>
    <row r="355" spans="4:15" ht="20.100000000000001" customHeight="1" x14ac:dyDescent="0.2">
      <c r="D355" s="1" t="s">
        <v>1781</v>
      </c>
      <c r="E355" s="20">
        <v>770</v>
      </c>
      <c r="F355" s="20">
        <v>770</v>
      </c>
      <c r="G355" s="20">
        <v>550</v>
      </c>
      <c r="H355" s="20">
        <v>550</v>
      </c>
      <c r="I355" s="20">
        <v>550</v>
      </c>
      <c r="J355" s="20">
        <v>660</v>
      </c>
      <c r="K355" s="20">
        <v>660</v>
      </c>
      <c r="L355" s="20" t="s">
        <v>521</v>
      </c>
      <c r="M355" s="1"/>
    </row>
    <row r="356" spans="4:15" ht="20.100000000000001" customHeight="1" x14ac:dyDescent="0.2">
      <c r="D356" s="1" t="s">
        <v>1782</v>
      </c>
      <c r="E356" s="20">
        <v>770</v>
      </c>
      <c r="F356" s="20">
        <v>770</v>
      </c>
      <c r="G356" s="20">
        <v>550</v>
      </c>
      <c r="H356" s="20">
        <v>550</v>
      </c>
      <c r="I356" s="20">
        <v>550</v>
      </c>
      <c r="J356" s="20">
        <v>660</v>
      </c>
      <c r="K356" s="20">
        <v>660</v>
      </c>
      <c r="L356" s="20" t="s">
        <v>522</v>
      </c>
      <c r="M356" s="1"/>
    </row>
    <row r="357" spans="4:15" ht="20.100000000000001" customHeight="1" x14ac:dyDescent="0.2">
      <c r="D357" s="1" t="s">
        <v>1783</v>
      </c>
      <c r="E357" s="20">
        <v>770</v>
      </c>
      <c r="F357" s="20">
        <v>770</v>
      </c>
      <c r="G357" s="20">
        <v>550</v>
      </c>
      <c r="H357" s="20">
        <v>550</v>
      </c>
      <c r="I357" s="20">
        <v>550</v>
      </c>
      <c r="J357" s="20">
        <v>660</v>
      </c>
      <c r="K357" s="20">
        <v>660</v>
      </c>
      <c r="L357" s="20" t="s">
        <v>523</v>
      </c>
      <c r="M357" s="1"/>
    </row>
    <row r="358" spans="4:15" ht="20.100000000000001" customHeight="1" x14ac:dyDescent="0.2">
      <c r="D358" s="1" t="s">
        <v>1784</v>
      </c>
      <c r="E358" s="20">
        <v>770</v>
      </c>
      <c r="F358" s="20">
        <v>770</v>
      </c>
      <c r="G358" s="20">
        <v>550</v>
      </c>
      <c r="H358" s="20">
        <v>550</v>
      </c>
      <c r="I358" s="20">
        <v>550</v>
      </c>
      <c r="J358" s="20">
        <v>660</v>
      </c>
      <c r="K358" s="20">
        <v>660</v>
      </c>
      <c r="L358" s="20" t="s">
        <v>525</v>
      </c>
      <c r="M358" s="1"/>
    </row>
    <row r="359" spans="4:15" ht="20.100000000000001" customHeight="1" x14ac:dyDescent="0.2">
      <c r="M359" s="1"/>
    </row>
    <row r="360" spans="4:15" ht="20.100000000000001" customHeight="1" x14ac:dyDescent="0.2">
      <c r="M360" s="1"/>
    </row>
    <row r="361" spans="4:15" ht="20.100000000000001" customHeight="1" x14ac:dyDescent="0.2">
      <c r="D361" s="20" t="s">
        <v>105</v>
      </c>
      <c r="E361" s="123" t="s">
        <v>326</v>
      </c>
      <c r="F361" s="123" t="s">
        <v>184</v>
      </c>
      <c r="G361" s="123" t="s">
        <v>327</v>
      </c>
      <c r="H361" s="123" t="s">
        <v>328</v>
      </c>
      <c r="I361" s="123" t="s">
        <v>329</v>
      </c>
      <c r="J361" s="123" t="s">
        <v>330</v>
      </c>
      <c r="K361" s="123" t="s">
        <v>331</v>
      </c>
      <c r="L361" s="123" t="s">
        <v>332</v>
      </c>
      <c r="M361" s="123" t="s">
        <v>333</v>
      </c>
      <c r="N361" s="123" t="s">
        <v>334</v>
      </c>
      <c r="O361" s="20" t="s">
        <v>561</v>
      </c>
    </row>
    <row r="362" spans="4:15" ht="20.100000000000001" customHeight="1" x14ac:dyDescent="0.2">
      <c r="D362" s="20" t="str">
        <f>D351</f>
        <v>ACT</v>
      </c>
      <c r="E362" s="20">
        <f t="shared" ref="E362:H362" si="53">E351</f>
        <v>700</v>
      </c>
      <c r="F362" s="20">
        <f t="shared" si="53"/>
        <v>700</v>
      </c>
      <c r="G362" s="20">
        <f t="shared" si="53"/>
        <v>500</v>
      </c>
      <c r="H362" s="20">
        <f t="shared" si="53"/>
        <v>500</v>
      </c>
      <c r="I362" s="20">
        <f>I351</f>
        <v>500</v>
      </c>
      <c r="J362" s="20">
        <f>I351</f>
        <v>500</v>
      </c>
      <c r="K362" s="20">
        <f t="shared" ref="K362" si="54">J351</f>
        <v>600</v>
      </c>
      <c r="L362" s="20">
        <f>K351</f>
        <v>600</v>
      </c>
      <c r="M362" s="20">
        <f>K351</f>
        <v>600</v>
      </c>
      <c r="N362" s="20">
        <f>K351</f>
        <v>600</v>
      </c>
      <c r="O362" s="20" t="str">
        <f>L351</f>
        <v>ACT</v>
      </c>
    </row>
    <row r="363" spans="4:15" ht="20.100000000000001" customHeight="1" x14ac:dyDescent="0.2">
      <c r="D363" s="20" t="str">
        <f t="shared" ref="D363:I369" si="55">D352</f>
        <v>NSW</v>
      </c>
      <c r="E363" s="20">
        <f t="shared" si="55"/>
        <v>700</v>
      </c>
      <c r="F363" s="20">
        <f t="shared" si="55"/>
        <v>700</v>
      </c>
      <c r="G363" s="20">
        <f t="shared" si="55"/>
        <v>500</v>
      </c>
      <c r="H363" s="20">
        <f t="shared" si="55"/>
        <v>500</v>
      </c>
      <c r="I363" s="20">
        <f t="shared" si="55"/>
        <v>500</v>
      </c>
      <c r="J363" s="20">
        <f t="shared" ref="J363:L369" si="56">I352</f>
        <v>500</v>
      </c>
      <c r="K363" s="20">
        <f t="shared" si="56"/>
        <v>600</v>
      </c>
      <c r="L363" s="20">
        <f t="shared" si="56"/>
        <v>600</v>
      </c>
      <c r="M363" s="20">
        <f t="shared" ref="M363:M369" si="57">K352</f>
        <v>600</v>
      </c>
      <c r="N363" s="20">
        <f t="shared" ref="N363:O369" si="58">K352</f>
        <v>600</v>
      </c>
      <c r="O363" s="20" t="str">
        <f t="shared" si="58"/>
        <v>NSW</v>
      </c>
    </row>
    <row r="364" spans="4:15" ht="20.100000000000001" customHeight="1" x14ac:dyDescent="0.2">
      <c r="D364" s="20" t="str">
        <f t="shared" si="55"/>
        <v>Northern Territory</v>
      </c>
      <c r="E364" s="20">
        <f t="shared" si="55"/>
        <v>770</v>
      </c>
      <c r="F364" s="20">
        <f t="shared" si="55"/>
        <v>770</v>
      </c>
      <c r="G364" s="20">
        <f t="shared" si="55"/>
        <v>550</v>
      </c>
      <c r="H364" s="20">
        <f t="shared" si="55"/>
        <v>550</v>
      </c>
      <c r="I364" s="20">
        <f t="shared" si="55"/>
        <v>550</v>
      </c>
      <c r="J364" s="20">
        <f t="shared" si="56"/>
        <v>550</v>
      </c>
      <c r="K364" s="20">
        <f t="shared" si="56"/>
        <v>660</v>
      </c>
      <c r="L364" s="20">
        <f t="shared" si="56"/>
        <v>660</v>
      </c>
      <c r="M364" s="20">
        <f t="shared" si="57"/>
        <v>660</v>
      </c>
      <c r="N364" s="20">
        <f t="shared" si="58"/>
        <v>660</v>
      </c>
      <c r="O364" s="20" t="str">
        <f t="shared" si="58"/>
        <v>NT</v>
      </c>
    </row>
    <row r="365" spans="4:15" ht="20.100000000000001" customHeight="1" x14ac:dyDescent="0.2">
      <c r="D365" s="20" t="str">
        <f t="shared" si="55"/>
        <v>Queensland</v>
      </c>
      <c r="E365" s="20">
        <f t="shared" si="55"/>
        <v>770</v>
      </c>
      <c r="F365" s="20">
        <f t="shared" si="55"/>
        <v>770</v>
      </c>
      <c r="G365" s="20">
        <f t="shared" si="55"/>
        <v>550</v>
      </c>
      <c r="H365" s="20">
        <f t="shared" si="55"/>
        <v>550</v>
      </c>
      <c r="I365" s="20">
        <f t="shared" si="55"/>
        <v>550</v>
      </c>
      <c r="J365" s="20">
        <f t="shared" si="56"/>
        <v>550</v>
      </c>
      <c r="K365" s="20">
        <f t="shared" si="56"/>
        <v>660</v>
      </c>
      <c r="L365" s="20">
        <f t="shared" si="56"/>
        <v>660</v>
      </c>
      <c r="M365" s="20">
        <f t="shared" si="57"/>
        <v>660</v>
      </c>
      <c r="N365" s="20">
        <f t="shared" si="58"/>
        <v>660</v>
      </c>
      <c r="O365" s="20" t="str">
        <f t="shared" si="58"/>
        <v>QLD</v>
      </c>
    </row>
    <row r="366" spans="4:15" ht="20.100000000000001" customHeight="1" x14ac:dyDescent="0.2">
      <c r="D366" s="20" t="str">
        <f t="shared" si="55"/>
        <v>South Australia</v>
      </c>
      <c r="E366" s="20">
        <f t="shared" si="55"/>
        <v>770</v>
      </c>
      <c r="F366" s="20">
        <f t="shared" si="55"/>
        <v>770</v>
      </c>
      <c r="G366" s="20">
        <f t="shared" si="55"/>
        <v>550</v>
      </c>
      <c r="H366" s="20">
        <f t="shared" si="55"/>
        <v>550</v>
      </c>
      <c r="I366" s="20">
        <f t="shared" si="55"/>
        <v>550</v>
      </c>
      <c r="J366" s="20">
        <f t="shared" si="56"/>
        <v>550</v>
      </c>
      <c r="K366" s="20">
        <f t="shared" si="56"/>
        <v>660</v>
      </c>
      <c r="L366" s="20">
        <f t="shared" si="56"/>
        <v>660</v>
      </c>
      <c r="M366" s="20">
        <f t="shared" si="57"/>
        <v>660</v>
      </c>
      <c r="N366" s="20">
        <f t="shared" si="58"/>
        <v>660</v>
      </c>
      <c r="O366" s="20" t="str">
        <f t="shared" si="58"/>
        <v>SA</v>
      </c>
    </row>
    <row r="367" spans="4:15" ht="20.100000000000001" customHeight="1" x14ac:dyDescent="0.2">
      <c r="D367" s="20" t="str">
        <f t="shared" si="55"/>
        <v>Tasmania</v>
      </c>
      <c r="E367" s="20">
        <f t="shared" si="55"/>
        <v>770</v>
      </c>
      <c r="F367" s="20">
        <f t="shared" si="55"/>
        <v>770</v>
      </c>
      <c r="G367" s="20">
        <f t="shared" si="55"/>
        <v>550</v>
      </c>
      <c r="H367" s="20">
        <f t="shared" si="55"/>
        <v>550</v>
      </c>
      <c r="I367" s="20">
        <f t="shared" si="55"/>
        <v>550</v>
      </c>
      <c r="J367" s="20">
        <f t="shared" si="56"/>
        <v>550</v>
      </c>
      <c r="K367" s="20">
        <f t="shared" si="56"/>
        <v>660</v>
      </c>
      <c r="L367" s="20">
        <f t="shared" si="56"/>
        <v>660</v>
      </c>
      <c r="M367" s="20">
        <f t="shared" si="57"/>
        <v>660</v>
      </c>
      <c r="N367" s="20">
        <f t="shared" si="58"/>
        <v>660</v>
      </c>
      <c r="O367" s="20" t="str">
        <f t="shared" si="58"/>
        <v>TAS</v>
      </c>
    </row>
    <row r="368" spans="4:15" ht="20.100000000000001" customHeight="1" x14ac:dyDescent="0.2">
      <c r="D368" s="20" t="str">
        <f t="shared" si="55"/>
        <v>Victoria</v>
      </c>
      <c r="E368" s="20">
        <f t="shared" si="55"/>
        <v>770</v>
      </c>
      <c r="F368" s="20">
        <f t="shared" si="55"/>
        <v>770</v>
      </c>
      <c r="G368" s="20">
        <f t="shared" si="55"/>
        <v>550</v>
      </c>
      <c r="H368" s="20">
        <f t="shared" si="55"/>
        <v>550</v>
      </c>
      <c r="I368" s="20">
        <f t="shared" si="55"/>
        <v>550</v>
      </c>
      <c r="J368" s="20">
        <f t="shared" si="56"/>
        <v>550</v>
      </c>
      <c r="K368" s="20">
        <f t="shared" si="56"/>
        <v>660</v>
      </c>
      <c r="L368" s="20">
        <f t="shared" si="56"/>
        <v>660</v>
      </c>
      <c r="M368" s="20">
        <f t="shared" si="57"/>
        <v>660</v>
      </c>
      <c r="N368" s="20">
        <f t="shared" si="58"/>
        <v>660</v>
      </c>
      <c r="O368" s="20" t="str">
        <f t="shared" si="58"/>
        <v>VIC</v>
      </c>
    </row>
    <row r="369" spans="4:15" ht="20.100000000000001" customHeight="1" x14ac:dyDescent="0.2">
      <c r="D369" s="20" t="str">
        <f t="shared" si="55"/>
        <v>Western Australia</v>
      </c>
      <c r="E369" s="20">
        <f t="shared" si="55"/>
        <v>770</v>
      </c>
      <c r="F369" s="20">
        <f t="shared" si="55"/>
        <v>770</v>
      </c>
      <c r="G369" s="20">
        <f t="shared" si="55"/>
        <v>550</v>
      </c>
      <c r="H369" s="20">
        <f t="shared" si="55"/>
        <v>550</v>
      </c>
      <c r="I369" s="20">
        <f t="shared" si="55"/>
        <v>550</v>
      </c>
      <c r="J369" s="20">
        <f t="shared" si="56"/>
        <v>550</v>
      </c>
      <c r="K369" s="20">
        <f t="shared" si="56"/>
        <v>660</v>
      </c>
      <c r="L369" s="20">
        <f t="shared" si="56"/>
        <v>660</v>
      </c>
      <c r="M369" s="20">
        <f t="shared" si="57"/>
        <v>660</v>
      </c>
      <c r="N369" s="20">
        <f t="shared" si="58"/>
        <v>660</v>
      </c>
      <c r="O369" s="20" t="str">
        <f t="shared" si="58"/>
        <v>WA</v>
      </c>
    </row>
    <row r="370" spans="4:15" ht="20.100000000000001" customHeight="1" x14ac:dyDescent="0.2">
      <c r="M370" s="1"/>
    </row>
    <row r="371" spans="4:15" ht="20.100000000000001" customHeight="1" x14ac:dyDescent="0.2">
      <c r="M371" s="1"/>
    </row>
    <row r="372" spans="4:15" ht="20.100000000000001" customHeight="1" x14ac:dyDescent="0.2">
      <c r="D372" s="2" t="s">
        <v>1811</v>
      </c>
      <c r="M372" s="1"/>
    </row>
    <row r="373" spans="4:15" ht="20.100000000000001" customHeight="1" x14ac:dyDescent="0.2">
      <c r="D373" s="17" t="s">
        <v>1812</v>
      </c>
      <c r="M373" s="1"/>
    </row>
    <row r="374" spans="4:15" ht="20.100000000000001" customHeight="1" x14ac:dyDescent="0.2">
      <c r="D374" s="1" t="s">
        <v>411</v>
      </c>
      <c r="M374" s="1"/>
    </row>
    <row r="375" spans="4:15" ht="20.100000000000001" customHeight="1" x14ac:dyDescent="0.2">
      <c r="D375" s="9" t="s">
        <v>346</v>
      </c>
      <c r="E375" s="124" t="s">
        <v>562</v>
      </c>
      <c r="M375" s="1"/>
    </row>
    <row r="376" spans="4:15" ht="20.100000000000001" customHeight="1" x14ac:dyDescent="0.2">
      <c r="D376" s="26" t="s">
        <v>1813</v>
      </c>
      <c r="M376" s="1"/>
    </row>
    <row r="377" spans="4:15" ht="20.100000000000001" customHeight="1" x14ac:dyDescent="0.2">
      <c r="D377" s="20" t="s">
        <v>105</v>
      </c>
      <c r="E377" s="20" t="s">
        <v>489</v>
      </c>
      <c r="F377" s="20" t="s">
        <v>91</v>
      </c>
      <c r="G377" s="20" t="s">
        <v>563</v>
      </c>
      <c r="M377" s="1"/>
    </row>
    <row r="378" spans="4:15" ht="20.100000000000001" customHeight="1" x14ac:dyDescent="0.2">
      <c r="D378" s="20" t="s">
        <v>519</v>
      </c>
      <c r="E378" s="20" t="s">
        <v>493</v>
      </c>
      <c r="F378" s="20">
        <v>99.191999999999993</v>
      </c>
      <c r="G378" s="20">
        <v>0.80800000000000005</v>
      </c>
      <c r="M378" s="1"/>
    </row>
    <row r="379" spans="4:15" ht="20.100000000000001" customHeight="1" x14ac:dyDescent="0.2">
      <c r="D379" s="1" t="s">
        <v>520</v>
      </c>
      <c r="E379" s="20" t="s">
        <v>493</v>
      </c>
      <c r="F379" s="20">
        <v>99.451999999999998</v>
      </c>
      <c r="G379" s="20">
        <v>0.54800000000000004</v>
      </c>
      <c r="M379" s="1"/>
    </row>
    <row r="380" spans="4:15" ht="20.100000000000001" customHeight="1" x14ac:dyDescent="0.2">
      <c r="D380" s="1" t="s">
        <v>521</v>
      </c>
      <c r="E380" s="20" t="s">
        <v>493</v>
      </c>
      <c r="F380" s="20">
        <v>99.759</v>
      </c>
      <c r="G380" s="20">
        <v>0.24099999999999999</v>
      </c>
      <c r="M380" s="1"/>
    </row>
    <row r="381" spans="4:15" ht="20.100000000000001" customHeight="1" x14ac:dyDescent="0.2">
      <c r="D381" s="1" t="s">
        <v>522</v>
      </c>
      <c r="E381" s="20" t="s">
        <v>493</v>
      </c>
      <c r="F381" s="20">
        <v>99.122</v>
      </c>
      <c r="G381" s="20">
        <v>0.878</v>
      </c>
      <c r="M381" s="1"/>
    </row>
    <row r="382" spans="4:15" ht="20.100000000000001" customHeight="1" x14ac:dyDescent="0.2">
      <c r="D382" s="1" t="s">
        <v>523</v>
      </c>
      <c r="E382" s="20" t="s">
        <v>493</v>
      </c>
      <c r="F382" s="20">
        <v>98.894000000000005</v>
      </c>
      <c r="G382" s="20">
        <v>1.1060000000000001</v>
      </c>
      <c r="M382" s="1"/>
    </row>
    <row r="383" spans="4:15" ht="20.100000000000001" customHeight="1" x14ac:dyDescent="0.2">
      <c r="D383" s="1" t="s">
        <v>525</v>
      </c>
      <c r="E383" s="20" t="s">
        <v>322</v>
      </c>
      <c r="F383" s="20">
        <v>99.622</v>
      </c>
      <c r="G383" s="20">
        <v>0.378</v>
      </c>
      <c r="M383" s="1"/>
    </row>
    <row r="384" spans="4:15" ht="20.100000000000001" customHeight="1" x14ac:dyDescent="0.2">
      <c r="D384" s="1" t="s">
        <v>525</v>
      </c>
      <c r="E384" s="20" t="s">
        <v>495</v>
      </c>
      <c r="F384" s="20">
        <v>99.998999999999995</v>
      </c>
      <c r="G384" s="20">
        <v>1E-3</v>
      </c>
      <c r="M384" s="1"/>
    </row>
    <row r="385" spans="4:13" ht="20.100000000000001" customHeight="1" x14ac:dyDescent="0.2">
      <c r="D385" s="1" t="s">
        <v>525</v>
      </c>
      <c r="E385" s="20" t="s">
        <v>498</v>
      </c>
      <c r="F385" s="20">
        <v>99.998999999999995</v>
      </c>
      <c r="G385" s="20">
        <v>1E-3</v>
      </c>
      <c r="M385" s="1"/>
    </row>
    <row r="386" spans="4:13" ht="20.100000000000001" customHeight="1" x14ac:dyDescent="0.2">
      <c r="D386" s="1" t="s">
        <v>529</v>
      </c>
      <c r="E386" s="20" t="s">
        <v>491</v>
      </c>
      <c r="F386" s="20">
        <v>99.998999999999995</v>
      </c>
      <c r="G386" s="20">
        <v>1E-3</v>
      </c>
      <c r="M386" s="1"/>
    </row>
    <row r="387" spans="4:13" ht="20.100000000000001" customHeight="1" x14ac:dyDescent="0.2">
      <c r="D387" s="1" t="s">
        <v>529</v>
      </c>
      <c r="E387" s="20" t="s">
        <v>496</v>
      </c>
      <c r="F387" s="20">
        <v>99.994</v>
      </c>
      <c r="G387" s="20">
        <v>6.0000000000000001E-3</v>
      </c>
      <c r="M387" s="1"/>
    </row>
    <row r="388" spans="4:13" ht="20.100000000000001" customHeight="1" x14ac:dyDescent="0.2">
      <c r="D388" s="1" t="s">
        <v>529</v>
      </c>
      <c r="E388" s="20" t="s">
        <v>499</v>
      </c>
      <c r="F388" s="20">
        <v>99.998999999999995</v>
      </c>
      <c r="G388" s="20">
        <v>1E-3</v>
      </c>
      <c r="M388" s="1"/>
    </row>
    <row r="389" spans="4:13" ht="20.100000000000001" customHeight="1" x14ac:dyDescent="0.2">
      <c r="D389" s="1" t="s">
        <v>533</v>
      </c>
      <c r="E389" s="20" t="s">
        <v>492</v>
      </c>
      <c r="F389" s="20">
        <v>99.772999999999996</v>
      </c>
      <c r="G389" s="20">
        <v>0.22700000000000001</v>
      </c>
      <c r="M389" s="1"/>
    </row>
    <row r="390" spans="4:13" ht="20.100000000000001" customHeight="1" x14ac:dyDescent="0.2">
      <c r="D390" s="1" t="s">
        <v>533</v>
      </c>
      <c r="E390" s="20" t="s">
        <v>497</v>
      </c>
      <c r="F390" s="20">
        <v>99.897999999999996</v>
      </c>
      <c r="G390" s="20">
        <v>0.10199999999999999</v>
      </c>
      <c r="M390" s="1"/>
    </row>
    <row r="391" spans="4:13" ht="20.100000000000001" customHeight="1" x14ac:dyDescent="0.2">
      <c r="D391" s="1" t="s">
        <v>533</v>
      </c>
      <c r="E391" s="20" t="s">
        <v>500</v>
      </c>
      <c r="F391" s="20">
        <v>99.978999999999999</v>
      </c>
      <c r="G391" s="20">
        <v>2.1000000000000001E-2</v>
      </c>
      <c r="M391" s="1"/>
    </row>
    <row r="392" spans="4:13" ht="20.100000000000001" customHeight="1" x14ac:dyDescent="0.2">
      <c r="D392" s="1" t="s">
        <v>533</v>
      </c>
      <c r="E392" s="20" t="s">
        <v>503</v>
      </c>
      <c r="F392" s="20">
        <v>99.977000000000004</v>
      </c>
      <c r="G392" s="20">
        <v>2.3E-2</v>
      </c>
      <c r="M392" s="1"/>
    </row>
    <row r="393" spans="4:13" ht="20.100000000000001" customHeight="1" x14ac:dyDescent="0.2">
      <c r="M393" s="1"/>
    </row>
    <row r="394" spans="4:13" ht="20.100000000000001" customHeight="1" x14ac:dyDescent="0.2">
      <c r="M394" s="1"/>
    </row>
    <row r="395" spans="4:13" ht="20.100000000000001" customHeight="1" x14ac:dyDescent="0.2">
      <c r="D395" s="2" t="s">
        <v>1814</v>
      </c>
      <c r="M395" s="1"/>
    </row>
    <row r="396" spans="4:13" ht="20.100000000000001" customHeight="1" x14ac:dyDescent="0.2">
      <c r="D396" s="17" t="s">
        <v>1815</v>
      </c>
      <c r="M396" s="1"/>
    </row>
    <row r="397" spans="4:13" ht="20.100000000000001" customHeight="1" x14ac:dyDescent="0.2">
      <c r="D397" s="1" t="s">
        <v>1816</v>
      </c>
      <c r="M397" s="1"/>
    </row>
    <row r="398" spans="4:13" ht="20.100000000000001" customHeight="1" x14ac:dyDescent="0.2">
      <c r="D398" s="9" t="s">
        <v>346</v>
      </c>
      <c r="M398" s="1"/>
    </row>
    <row r="399" spans="4:13" ht="20.100000000000001" customHeight="1" x14ac:dyDescent="0.2">
      <c r="D399" s="26" t="s">
        <v>1813</v>
      </c>
      <c r="M399" s="1"/>
    </row>
    <row r="400" spans="4:13" ht="20.100000000000001" customHeight="1" x14ac:dyDescent="0.2">
      <c r="D400" s="20" t="s">
        <v>105</v>
      </c>
      <c r="E400" s="20" t="s">
        <v>489</v>
      </c>
      <c r="F400" s="20" t="s">
        <v>91</v>
      </c>
      <c r="G400" s="20" t="s">
        <v>563</v>
      </c>
      <c r="M400" s="1"/>
    </row>
    <row r="401" spans="4:13" ht="20.100000000000001" customHeight="1" x14ac:dyDescent="0.2">
      <c r="D401" s="20" t="s">
        <v>519</v>
      </c>
      <c r="E401" s="20" t="s">
        <v>493</v>
      </c>
      <c r="F401" s="20">
        <v>4.7000000000000002E-3</v>
      </c>
      <c r="G401" s="20">
        <v>0.71</v>
      </c>
      <c r="M401" s="1"/>
    </row>
    <row r="402" spans="4:13" ht="20.100000000000001" customHeight="1" x14ac:dyDescent="0.2">
      <c r="D402" s="20" t="s">
        <v>520</v>
      </c>
      <c r="E402" s="20" t="s">
        <v>493</v>
      </c>
      <c r="F402" s="20">
        <v>4.7000000000000002E-3</v>
      </c>
      <c r="G402" s="20">
        <v>0.75</v>
      </c>
      <c r="M402" s="1"/>
    </row>
    <row r="403" spans="4:13" ht="20.100000000000001" customHeight="1" x14ac:dyDescent="0.2">
      <c r="D403" s="20" t="s">
        <v>521</v>
      </c>
      <c r="E403" s="20" t="s">
        <v>493</v>
      </c>
      <c r="F403" s="20">
        <v>4.7000000000000002E-3</v>
      </c>
      <c r="G403" s="20">
        <v>0.74</v>
      </c>
      <c r="M403" s="1"/>
    </row>
    <row r="404" spans="4:13" ht="20.100000000000001" customHeight="1" x14ac:dyDescent="0.2">
      <c r="D404" s="20" t="s">
        <v>522</v>
      </c>
      <c r="E404" s="20" t="s">
        <v>493</v>
      </c>
      <c r="F404" s="20">
        <v>4.7000000000000002E-3</v>
      </c>
      <c r="G404" s="20">
        <v>0.7</v>
      </c>
      <c r="M404" s="1"/>
    </row>
    <row r="405" spans="4:13" ht="20.100000000000001" customHeight="1" x14ac:dyDescent="0.2">
      <c r="D405" s="20" t="s">
        <v>523</v>
      </c>
      <c r="E405" s="20" t="s">
        <v>493</v>
      </c>
      <c r="F405" s="20">
        <v>4.7000000000000002E-3</v>
      </c>
      <c r="G405" s="20">
        <v>0.74</v>
      </c>
      <c r="M405" s="1"/>
    </row>
    <row r="406" spans="4:13" ht="20.100000000000001" customHeight="1" x14ac:dyDescent="0.2">
      <c r="D406" s="20" t="s">
        <v>525</v>
      </c>
      <c r="E406" s="20" t="s">
        <v>322</v>
      </c>
      <c r="F406" s="20">
        <v>4.7000000000000002E-3</v>
      </c>
      <c r="G406" s="20">
        <v>0.76</v>
      </c>
      <c r="M406" s="1"/>
    </row>
    <row r="407" spans="4:13" ht="20.100000000000001" customHeight="1" x14ac:dyDescent="0.2">
      <c r="D407" s="20" t="s">
        <v>525</v>
      </c>
      <c r="E407" s="20" t="s">
        <v>495</v>
      </c>
      <c r="F407" s="20">
        <v>4.7000000000000002E-3</v>
      </c>
      <c r="G407" s="20">
        <v>0.76</v>
      </c>
      <c r="M407" s="1"/>
    </row>
    <row r="408" spans="4:13" ht="20.100000000000001" customHeight="1" x14ac:dyDescent="0.2">
      <c r="D408" s="20" t="s">
        <v>525</v>
      </c>
      <c r="E408" s="20" t="s">
        <v>498</v>
      </c>
      <c r="F408" s="20">
        <v>4.7000000000000002E-3</v>
      </c>
      <c r="G408" s="20">
        <v>0.76</v>
      </c>
      <c r="M408" s="1"/>
    </row>
    <row r="409" spans="4:13" ht="20.100000000000001" customHeight="1" x14ac:dyDescent="0.2">
      <c r="D409" s="20" t="s">
        <v>529</v>
      </c>
      <c r="E409" s="20" t="s">
        <v>491</v>
      </c>
      <c r="F409" s="20">
        <v>4.7000000000000002E-3</v>
      </c>
      <c r="G409" s="20">
        <v>0.8</v>
      </c>
      <c r="M409" s="1"/>
    </row>
    <row r="410" spans="4:13" ht="20.100000000000001" customHeight="1" x14ac:dyDescent="0.2">
      <c r="D410" s="20" t="s">
        <v>529</v>
      </c>
      <c r="E410" s="20" t="s">
        <v>496</v>
      </c>
      <c r="F410" s="20">
        <v>4.7000000000000002E-3</v>
      </c>
      <c r="G410" s="20">
        <v>0.8</v>
      </c>
      <c r="M410" s="1"/>
    </row>
    <row r="411" spans="4:13" ht="20.100000000000001" customHeight="1" x14ac:dyDescent="0.2">
      <c r="D411" s="20" t="s">
        <v>529</v>
      </c>
      <c r="E411" s="20" t="s">
        <v>499</v>
      </c>
      <c r="F411" s="20">
        <v>4.7000000000000002E-3</v>
      </c>
      <c r="G411" s="20">
        <v>0.8</v>
      </c>
      <c r="M411" s="1"/>
    </row>
    <row r="412" spans="4:13" ht="20.100000000000001" customHeight="1" x14ac:dyDescent="0.2">
      <c r="D412" s="20" t="s">
        <v>533</v>
      </c>
      <c r="E412" s="20" t="s">
        <v>492</v>
      </c>
      <c r="F412" s="20">
        <v>4.7000000000000002E-3</v>
      </c>
      <c r="G412" s="20">
        <v>0.78</v>
      </c>
      <c r="M412" s="1"/>
    </row>
    <row r="413" spans="4:13" ht="20.100000000000001" customHeight="1" x14ac:dyDescent="0.2">
      <c r="D413" s="20" t="s">
        <v>533</v>
      </c>
      <c r="E413" s="20" t="s">
        <v>497</v>
      </c>
      <c r="F413" s="20">
        <v>4.7000000000000002E-3</v>
      </c>
      <c r="G413" s="20">
        <v>0.78</v>
      </c>
      <c r="M413" s="1"/>
    </row>
    <row r="414" spans="4:13" ht="20.100000000000001" customHeight="1" x14ac:dyDescent="0.2">
      <c r="D414" s="20" t="s">
        <v>533</v>
      </c>
      <c r="E414" s="20" t="s">
        <v>500</v>
      </c>
      <c r="F414" s="20">
        <v>4.7000000000000002E-3</v>
      </c>
      <c r="G414" s="20">
        <v>0.78</v>
      </c>
      <c r="M414" s="1"/>
    </row>
    <row r="415" spans="4:13" ht="20.100000000000001" customHeight="1" x14ac:dyDescent="0.2">
      <c r="D415" s="20" t="s">
        <v>533</v>
      </c>
      <c r="E415" s="20" t="s">
        <v>503</v>
      </c>
      <c r="F415" s="20">
        <v>4.7000000000000002E-3</v>
      </c>
      <c r="G415" s="20">
        <v>0.78</v>
      </c>
      <c r="M415" s="1"/>
    </row>
    <row r="416" spans="4:13" ht="20.100000000000001" customHeight="1" x14ac:dyDescent="0.2">
      <c r="M416" s="1"/>
    </row>
    <row r="417" spans="4:13" ht="20.100000000000001" customHeight="1" x14ac:dyDescent="0.2">
      <c r="M417" s="1"/>
    </row>
    <row r="418" spans="4:13" ht="20.100000000000001" customHeight="1" x14ac:dyDescent="0.2">
      <c r="D418" s="2" t="s">
        <v>1817</v>
      </c>
      <c r="M418" s="1"/>
    </row>
    <row r="419" spans="4:13" ht="20.100000000000001" customHeight="1" x14ac:dyDescent="0.2">
      <c r="D419" s="17" t="s">
        <v>1818</v>
      </c>
      <c r="M419" s="1"/>
    </row>
    <row r="420" spans="4:13" ht="20.100000000000001" customHeight="1" x14ac:dyDescent="0.2">
      <c r="D420" s="1" t="s">
        <v>1253</v>
      </c>
      <c r="M420" s="1"/>
    </row>
    <row r="421" spans="4:13" ht="20.100000000000001" customHeight="1" x14ac:dyDescent="0.2">
      <c r="D421" s="9" t="s">
        <v>346</v>
      </c>
      <c r="M421" s="1"/>
    </row>
    <row r="422" spans="4:13" ht="20.100000000000001" customHeight="1" x14ac:dyDescent="0.2">
      <c r="D422" s="77">
        <v>0.08</v>
      </c>
      <c r="M422" s="1"/>
    </row>
    <row r="423" spans="4:13" ht="20.100000000000001" customHeight="1" x14ac:dyDescent="0.2">
      <c r="M423" s="1"/>
    </row>
    <row r="424" spans="4:13" ht="20.100000000000001" customHeight="1" x14ac:dyDescent="0.2">
      <c r="D424" s="2" t="s">
        <v>1819</v>
      </c>
      <c r="M424" s="1"/>
    </row>
    <row r="425" spans="4:13" ht="20.100000000000001" customHeight="1" x14ac:dyDescent="0.2">
      <c r="D425" s="17" t="s">
        <v>1818</v>
      </c>
      <c r="M425" s="1"/>
    </row>
    <row r="426" spans="4:13" ht="20.100000000000001" customHeight="1" x14ac:dyDescent="0.2">
      <c r="D426" s="1" t="s">
        <v>1820</v>
      </c>
      <c r="M426" s="1"/>
    </row>
    <row r="427" spans="4:13" ht="20.100000000000001" customHeight="1" x14ac:dyDescent="0.2">
      <c r="D427" s="9" t="s">
        <v>1821</v>
      </c>
      <c r="M427" s="1"/>
    </row>
    <row r="428" spans="4:13" ht="20.100000000000001" customHeight="1" x14ac:dyDescent="0.2">
      <c r="D428" s="77">
        <v>0.19</v>
      </c>
      <c r="M428" s="1"/>
    </row>
    <row r="429" spans="4:13" ht="20.100000000000001" customHeight="1" x14ac:dyDescent="0.2">
      <c r="M429" s="1"/>
    </row>
    <row r="430" spans="4:13" ht="20.100000000000001" customHeight="1" x14ac:dyDescent="0.2">
      <c r="D430" s="2" t="s">
        <v>1822</v>
      </c>
      <c r="M430" s="1"/>
    </row>
    <row r="431" spans="4:13" ht="20.100000000000001" customHeight="1" x14ac:dyDescent="0.2">
      <c r="D431" s="17" t="s">
        <v>1818</v>
      </c>
      <c r="M431" s="1"/>
    </row>
    <row r="432" spans="4:13" ht="20.100000000000001" customHeight="1" x14ac:dyDescent="0.2">
      <c r="D432" s="1" t="s">
        <v>1823</v>
      </c>
      <c r="M432" s="1"/>
    </row>
    <row r="433" spans="4:13" ht="20.100000000000001" customHeight="1" x14ac:dyDescent="0.2">
      <c r="D433" s="9" t="s">
        <v>346</v>
      </c>
      <c r="M433" s="1"/>
    </row>
    <row r="434" spans="4:13" ht="20.100000000000001" customHeight="1" x14ac:dyDescent="0.2">
      <c r="D434" s="77">
        <v>0.21</v>
      </c>
      <c r="M434" s="1"/>
    </row>
    <row r="435" spans="4:13" ht="20.100000000000001" customHeight="1" x14ac:dyDescent="0.2">
      <c r="M435" s="1"/>
    </row>
    <row r="436" spans="4:13" ht="20.100000000000001" customHeight="1" x14ac:dyDescent="0.2">
      <c r="D436" s="2" t="s">
        <v>1824</v>
      </c>
      <c r="M436" s="1"/>
    </row>
    <row r="437" spans="4:13" ht="20.100000000000001" customHeight="1" x14ac:dyDescent="0.2">
      <c r="D437" s="17" t="s">
        <v>1818</v>
      </c>
      <c r="M437" s="1"/>
    </row>
    <row r="438" spans="4:13" ht="20.100000000000001" customHeight="1" x14ac:dyDescent="0.2">
      <c r="D438" s="1" t="s">
        <v>1362</v>
      </c>
      <c r="M438" s="1"/>
    </row>
    <row r="439" spans="4:13" ht="20.100000000000001" customHeight="1" x14ac:dyDescent="0.2">
      <c r="D439" s="9" t="s">
        <v>346</v>
      </c>
      <c r="M439" s="1"/>
    </row>
    <row r="440" spans="4:13" ht="20.100000000000001" customHeight="1" x14ac:dyDescent="0.2">
      <c r="D440" s="77">
        <v>0.24</v>
      </c>
      <c r="M440" s="1"/>
    </row>
    <row r="441" spans="4:13" ht="20.100000000000001" customHeight="1" x14ac:dyDescent="0.2">
      <c r="M441" s="1"/>
    </row>
    <row r="442" spans="4:13" ht="20.100000000000001" customHeight="1" x14ac:dyDescent="0.2">
      <c r="D442" s="20" t="s">
        <v>564</v>
      </c>
      <c r="E442" s="20" t="s">
        <v>139</v>
      </c>
      <c r="F442" s="20" t="s">
        <v>565</v>
      </c>
      <c r="G442" s="20" t="s">
        <v>566</v>
      </c>
      <c r="H442" s="20" t="s">
        <v>567</v>
      </c>
      <c r="I442" s="20" t="s">
        <v>568</v>
      </c>
      <c r="M442" s="1"/>
    </row>
    <row r="443" spans="4:13" ht="20.100000000000001" customHeight="1" x14ac:dyDescent="0.2">
      <c r="D443" s="20" t="s">
        <v>1061</v>
      </c>
      <c r="E443" s="20" t="s">
        <v>1825</v>
      </c>
      <c r="F443" s="20" t="s">
        <v>537</v>
      </c>
      <c r="G443" s="20" t="s">
        <v>1826</v>
      </c>
      <c r="H443" s="20">
        <v>11</v>
      </c>
      <c r="I443" s="20" t="s">
        <v>1827</v>
      </c>
      <c r="M443" s="1"/>
    </row>
    <row r="444" spans="4:13" ht="20.100000000000001" customHeight="1" x14ac:dyDescent="0.2">
      <c r="D444" s="20" t="s">
        <v>1061</v>
      </c>
      <c r="E444" s="20" t="s">
        <v>1825</v>
      </c>
      <c r="F444" s="20" t="s">
        <v>520</v>
      </c>
      <c r="G444" s="20" t="s">
        <v>1826</v>
      </c>
      <c r="H444" s="20">
        <v>8.2100000000000009</v>
      </c>
      <c r="I444" s="20" t="s">
        <v>1827</v>
      </c>
      <c r="M444" s="1"/>
    </row>
    <row r="445" spans="4:13" ht="20.100000000000001" customHeight="1" x14ac:dyDescent="0.2">
      <c r="D445" s="20" t="s">
        <v>1061</v>
      </c>
      <c r="E445" s="20" t="s">
        <v>1825</v>
      </c>
      <c r="F445" s="20" t="s">
        <v>529</v>
      </c>
      <c r="G445" s="20" t="s">
        <v>1826</v>
      </c>
      <c r="H445" s="20">
        <v>12.2</v>
      </c>
      <c r="I445" s="20" t="s">
        <v>1827</v>
      </c>
      <c r="M445" s="1"/>
    </row>
    <row r="446" spans="4:13" ht="20.100000000000001" customHeight="1" x14ac:dyDescent="0.2">
      <c r="D446" s="20" t="s">
        <v>1061</v>
      </c>
      <c r="E446" s="20" t="s">
        <v>1825</v>
      </c>
      <c r="F446" s="20" t="s">
        <v>533</v>
      </c>
      <c r="G446" s="20" t="s">
        <v>1826</v>
      </c>
      <c r="H446" s="20">
        <v>10.9</v>
      </c>
      <c r="I446" s="20" t="s">
        <v>1827</v>
      </c>
      <c r="M446" s="1"/>
    </row>
    <row r="447" spans="4:13" ht="20.100000000000001" customHeight="1" x14ac:dyDescent="0.2">
      <c r="D447" s="20" t="s">
        <v>1061</v>
      </c>
      <c r="E447" s="20" t="s">
        <v>1825</v>
      </c>
      <c r="F447" s="20" t="s">
        <v>521</v>
      </c>
      <c r="G447" s="20" t="s">
        <v>1826</v>
      </c>
      <c r="H447" s="20">
        <v>7.63</v>
      </c>
      <c r="I447" s="20" t="s">
        <v>1827</v>
      </c>
      <c r="M447" s="1"/>
    </row>
    <row r="448" spans="4:13" ht="20.100000000000001" customHeight="1" x14ac:dyDescent="0.2">
      <c r="D448" s="20" t="s">
        <v>1061</v>
      </c>
      <c r="E448" s="20" t="s">
        <v>1825</v>
      </c>
      <c r="F448" s="20" t="s">
        <v>522</v>
      </c>
      <c r="G448" s="20" t="s">
        <v>1826</v>
      </c>
      <c r="H448" s="20">
        <v>8.75</v>
      </c>
      <c r="I448" s="20" t="s">
        <v>1827</v>
      </c>
      <c r="M448" s="1"/>
    </row>
    <row r="449" spans="4:13" ht="20.100000000000001" customHeight="1" x14ac:dyDescent="0.2">
      <c r="D449" s="20" t="s">
        <v>1061</v>
      </c>
      <c r="E449" s="20" t="s">
        <v>1825</v>
      </c>
      <c r="F449" s="20" t="s">
        <v>523</v>
      </c>
      <c r="G449" s="20" t="s">
        <v>1826</v>
      </c>
      <c r="H449" s="20">
        <v>8.17</v>
      </c>
      <c r="I449" s="20" t="s">
        <v>1827</v>
      </c>
      <c r="M449" s="1"/>
    </row>
    <row r="450" spans="4:13" ht="20.100000000000001" customHeight="1" x14ac:dyDescent="0.2">
      <c r="D450" s="20" t="s">
        <v>1061</v>
      </c>
      <c r="E450" s="20" t="s">
        <v>1825</v>
      </c>
      <c r="F450" s="20" t="s">
        <v>525</v>
      </c>
      <c r="G450" s="20" t="s">
        <v>1826</v>
      </c>
      <c r="H450" s="20">
        <v>13.1</v>
      </c>
      <c r="I450" s="20" t="s">
        <v>1827</v>
      </c>
      <c r="M450" s="1"/>
    </row>
    <row r="451" spans="4:13" ht="20.100000000000001" customHeight="1" x14ac:dyDescent="0.2">
      <c r="D451" s="20" t="s">
        <v>1061</v>
      </c>
      <c r="E451" s="20" t="s">
        <v>1828</v>
      </c>
      <c r="F451" s="20" t="s">
        <v>537</v>
      </c>
      <c r="G451" s="20" t="s">
        <v>1826</v>
      </c>
      <c r="H451" s="20">
        <v>14.5</v>
      </c>
      <c r="I451" s="20" t="s">
        <v>1827</v>
      </c>
      <c r="M451" s="1"/>
    </row>
    <row r="452" spans="4:13" ht="20.100000000000001" customHeight="1" x14ac:dyDescent="0.2">
      <c r="D452" s="20" t="s">
        <v>1061</v>
      </c>
      <c r="E452" s="20" t="s">
        <v>1828</v>
      </c>
      <c r="F452" s="20" t="s">
        <v>520</v>
      </c>
      <c r="G452" s="20" t="s">
        <v>1826</v>
      </c>
      <c r="H452" s="20">
        <v>11.3</v>
      </c>
      <c r="I452" s="20" t="s">
        <v>1827</v>
      </c>
      <c r="M452" s="1"/>
    </row>
    <row r="453" spans="4:13" ht="20.100000000000001" customHeight="1" x14ac:dyDescent="0.2">
      <c r="D453" s="20" t="s">
        <v>1061</v>
      </c>
      <c r="E453" s="20" t="s">
        <v>1828</v>
      </c>
      <c r="F453" s="20" t="s">
        <v>529</v>
      </c>
      <c r="G453" s="20" t="s">
        <v>1826</v>
      </c>
      <c r="H453" s="20">
        <v>18.899999999999999</v>
      </c>
      <c r="I453" s="20" t="s">
        <v>1827</v>
      </c>
      <c r="M453" s="1"/>
    </row>
    <row r="454" spans="4:13" ht="20.100000000000001" customHeight="1" x14ac:dyDescent="0.2">
      <c r="D454" s="20" t="s">
        <v>1061</v>
      </c>
      <c r="E454" s="20" t="s">
        <v>1828</v>
      </c>
      <c r="F454" s="20" t="s">
        <v>533</v>
      </c>
      <c r="G454" s="20" t="s">
        <v>1826</v>
      </c>
      <c r="H454" s="20">
        <v>13.9</v>
      </c>
      <c r="I454" s="20" t="s">
        <v>1827</v>
      </c>
      <c r="M454" s="1"/>
    </row>
    <row r="455" spans="4:13" ht="20.100000000000001" customHeight="1" x14ac:dyDescent="0.2">
      <c r="D455" s="20" t="s">
        <v>1061</v>
      </c>
      <c r="E455" s="20" t="s">
        <v>1828</v>
      </c>
      <c r="F455" s="20" t="s">
        <v>521</v>
      </c>
      <c r="G455" s="20" t="s">
        <v>1826</v>
      </c>
      <c r="H455" s="20">
        <v>12.3</v>
      </c>
      <c r="I455" s="20" t="s">
        <v>1827</v>
      </c>
    </row>
    <row r="456" spans="4:13" ht="20.100000000000001" customHeight="1" x14ac:dyDescent="0.2">
      <c r="D456" s="20" t="s">
        <v>1061</v>
      </c>
      <c r="E456" s="20" t="s">
        <v>1828</v>
      </c>
      <c r="F456" s="20" t="s">
        <v>522</v>
      </c>
      <c r="G456" s="20" t="s">
        <v>1826</v>
      </c>
      <c r="H456" s="20">
        <v>11.5</v>
      </c>
      <c r="I456" s="20" t="s">
        <v>1827</v>
      </c>
    </row>
    <row r="457" spans="4:13" ht="20.100000000000001" customHeight="1" x14ac:dyDescent="0.2">
      <c r="D457" s="20" t="s">
        <v>1061</v>
      </c>
      <c r="E457" s="20" t="s">
        <v>1828</v>
      </c>
      <c r="F457" s="20" t="s">
        <v>523</v>
      </c>
      <c r="G457" s="20" t="s">
        <v>1826</v>
      </c>
      <c r="H457" s="20">
        <v>11.5</v>
      </c>
      <c r="I457" s="20" t="s">
        <v>1827</v>
      </c>
    </row>
    <row r="458" spans="4:13" ht="20.100000000000001" customHeight="1" x14ac:dyDescent="0.2">
      <c r="D458" s="20" t="s">
        <v>1061</v>
      </c>
      <c r="E458" s="20" t="s">
        <v>1828</v>
      </c>
      <c r="F458" s="20" t="s">
        <v>525</v>
      </c>
      <c r="G458" s="20" t="s">
        <v>1826</v>
      </c>
      <c r="H458" s="20">
        <v>20.8</v>
      </c>
      <c r="I458" s="20" t="s">
        <v>1827</v>
      </c>
    </row>
    <row r="459" spans="4:13" ht="20.100000000000001" customHeight="1" x14ac:dyDescent="0.2">
      <c r="D459" s="20" t="s">
        <v>1061</v>
      </c>
      <c r="E459" s="20" t="s">
        <v>1829</v>
      </c>
      <c r="F459" s="20" t="s">
        <v>537</v>
      </c>
      <c r="G459" s="20" t="s">
        <v>1826</v>
      </c>
      <c r="H459" s="20">
        <v>15.5</v>
      </c>
      <c r="I459" s="20" t="s">
        <v>1827</v>
      </c>
    </row>
    <row r="460" spans="4:13" ht="20.100000000000001" customHeight="1" x14ac:dyDescent="0.2">
      <c r="D460" s="20" t="s">
        <v>1061</v>
      </c>
      <c r="E460" s="20" t="s">
        <v>1829</v>
      </c>
      <c r="F460" s="20" t="s">
        <v>520</v>
      </c>
      <c r="G460" s="20" t="s">
        <v>1826</v>
      </c>
      <c r="H460" s="20">
        <v>12.7</v>
      </c>
      <c r="I460" s="20" t="s">
        <v>1827</v>
      </c>
    </row>
    <row r="461" spans="4:13" ht="20.100000000000001" customHeight="1" x14ac:dyDescent="0.2">
      <c r="D461" s="20" t="s">
        <v>1061</v>
      </c>
      <c r="E461" s="20" t="s">
        <v>1829</v>
      </c>
      <c r="F461" s="20" t="s">
        <v>529</v>
      </c>
      <c r="G461" s="20" t="s">
        <v>1826</v>
      </c>
      <c r="H461" s="20">
        <v>19.100000000000001</v>
      </c>
      <c r="I461" s="20" t="s">
        <v>1827</v>
      </c>
    </row>
    <row r="462" spans="4:13" ht="20.100000000000001" customHeight="1" x14ac:dyDescent="0.2">
      <c r="D462" s="20" t="s">
        <v>1061</v>
      </c>
      <c r="E462" s="20" t="s">
        <v>1829</v>
      </c>
      <c r="F462" s="20" t="s">
        <v>533</v>
      </c>
      <c r="G462" s="20" t="s">
        <v>1826</v>
      </c>
      <c r="H462" s="20">
        <v>20.5</v>
      </c>
      <c r="I462" s="20" t="s">
        <v>1827</v>
      </c>
    </row>
    <row r="463" spans="4:13" ht="20.100000000000001" customHeight="1" x14ac:dyDescent="0.2">
      <c r="D463" s="20" t="s">
        <v>1061</v>
      </c>
      <c r="E463" s="20" t="s">
        <v>1829</v>
      </c>
      <c r="F463" s="20" t="s">
        <v>521</v>
      </c>
      <c r="G463" s="20" t="s">
        <v>1826</v>
      </c>
      <c r="H463" s="20">
        <v>10.8</v>
      </c>
      <c r="I463" s="20" t="s">
        <v>1827</v>
      </c>
    </row>
    <row r="464" spans="4:13" ht="20.100000000000001" customHeight="1" x14ac:dyDescent="0.2">
      <c r="D464" s="20" t="s">
        <v>1061</v>
      </c>
      <c r="E464" s="20" t="s">
        <v>1829</v>
      </c>
      <c r="F464" s="20" t="s">
        <v>522</v>
      </c>
      <c r="G464" s="20" t="s">
        <v>1826</v>
      </c>
      <c r="H464" s="20">
        <v>13.4</v>
      </c>
      <c r="I464" s="20" t="s">
        <v>1827</v>
      </c>
    </row>
    <row r="465" spans="4:9" ht="20.100000000000001" customHeight="1" x14ac:dyDescent="0.2">
      <c r="D465" s="20" t="s">
        <v>1061</v>
      </c>
      <c r="E465" s="20" t="s">
        <v>1829</v>
      </c>
      <c r="F465" s="20" t="s">
        <v>523</v>
      </c>
      <c r="G465" s="20" t="s">
        <v>1826</v>
      </c>
      <c r="H465" s="20">
        <v>12</v>
      </c>
      <c r="I465" s="20" t="s">
        <v>1827</v>
      </c>
    </row>
    <row r="466" spans="4:9" ht="20.100000000000001" customHeight="1" x14ac:dyDescent="0.2">
      <c r="D466" s="20" t="s">
        <v>1061</v>
      </c>
      <c r="E466" s="20" t="s">
        <v>1829</v>
      </c>
      <c r="F466" s="20" t="s">
        <v>525</v>
      </c>
      <c r="G466" s="20" t="s">
        <v>1826</v>
      </c>
      <c r="H466" s="20">
        <v>12.4</v>
      </c>
      <c r="I466" s="20" t="s">
        <v>1827</v>
      </c>
    </row>
    <row r="467" spans="4:9" ht="20.100000000000001" customHeight="1" x14ac:dyDescent="0.2">
      <c r="D467" s="20" t="s">
        <v>1830</v>
      </c>
      <c r="E467" s="20" t="s">
        <v>1830</v>
      </c>
      <c r="F467" s="20" t="s">
        <v>537</v>
      </c>
      <c r="G467" s="20" t="s">
        <v>1826</v>
      </c>
      <c r="H467" s="20">
        <v>1.36</v>
      </c>
      <c r="I467" s="20" t="s">
        <v>1827</v>
      </c>
    </row>
    <row r="468" spans="4:9" ht="20.100000000000001" customHeight="1" x14ac:dyDescent="0.2">
      <c r="D468" s="20" t="s">
        <v>1080</v>
      </c>
      <c r="E468" s="20" t="s">
        <v>1831</v>
      </c>
      <c r="F468" s="20" t="s">
        <v>523</v>
      </c>
      <c r="G468" s="20" t="s">
        <v>1826</v>
      </c>
      <c r="H468" s="20">
        <v>4.41</v>
      </c>
      <c r="I468" s="20" t="s">
        <v>1827</v>
      </c>
    </row>
    <row r="469" spans="4:9" ht="20.100000000000001" customHeight="1" x14ac:dyDescent="0.2">
      <c r="D469" s="20" t="s">
        <v>1084</v>
      </c>
      <c r="E469" s="20" t="s">
        <v>1084</v>
      </c>
      <c r="F469" s="20" t="s">
        <v>537</v>
      </c>
      <c r="G469" s="20" t="s">
        <v>1826</v>
      </c>
      <c r="H469" s="20">
        <v>3.38</v>
      </c>
      <c r="I469" s="20" t="s">
        <v>1827</v>
      </c>
    </row>
    <row r="470" spans="4:9" ht="20.100000000000001" customHeight="1" x14ac:dyDescent="0.2">
      <c r="D470" s="20" t="s">
        <v>1832</v>
      </c>
      <c r="E470" s="20" t="s">
        <v>1833</v>
      </c>
      <c r="F470" s="20" t="s">
        <v>537</v>
      </c>
      <c r="G470" s="20" t="s">
        <v>1826</v>
      </c>
      <c r="H470" s="20">
        <v>6.81</v>
      </c>
      <c r="I470" s="20" t="s">
        <v>1827</v>
      </c>
    </row>
    <row r="471" spans="4:9" ht="20.100000000000001" customHeight="1" x14ac:dyDescent="0.2">
      <c r="D471" s="20" t="s">
        <v>1832</v>
      </c>
      <c r="E471" s="20" t="s">
        <v>1833</v>
      </c>
      <c r="F471" s="20" t="s">
        <v>520</v>
      </c>
      <c r="G471" s="20" t="s">
        <v>1826</v>
      </c>
      <c r="H471" s="20">
        <v>2.2599999999999998</v>
      </c>
      <c r="I471" s="20" t="s">
        <v>1827</v>
      </c>
    </row>
    <row r="472" spans="4:9" ht="20.100000000000001" customHeight="1" x14ac:dyDescent="0.2">
      <c r="D472" s="20" t="s">
        <v>1832</v>
      </c>
      <c r="E472" s="20" t="s">
        <v>1833</v>
      </c>
      <c r="F472" s="20" t="s">
        <v>533</v>
      </c>
      <c r="G472" s="20" t="s">
        <v>1826</v>
      </c>
      <c r="H472" s="20">
        <v>6.33</v>
      </c>
      <c r="I472" s="20" t="s">
        <v>1827</v>
      </c>
    </row>
    <row r="473" spans="4:9" ht="20.100000000000001" customHeight="1" x14ac:dyDescent="0.2">
      <c r="D473" s="20" t="s">
        <v>1832</v>
      </c>
      <c r="E473" s="20" t="s">
        <v>1833</v>
      </c>
      <c r="F473" s="20" t="s">
        <v>521</v>
      </c>
      <c r="G473" s="20" t="s">
        <v>1826</v>
      </c>
      <c r="H473" s="20">
        <v>6.18</v>
      </c>
      <c r="I473" s="20" t="s">
        <v>1827</v>
      </c>
    </row>
    <row r="474" spans="4:9" ht="20.100000000000001" customHeight="1" x14ac:dyDescent="0.2">
      <c r="D474" s="20" t="s">
        <v>1832</v>
      </c>
      <c r="E474" s="20" t="s">
        <v>1833</v>
      </c>
      <c r="F474" s="20" t="s">
        <v>522</v>
      </c>
      <c r="G474" s="20" t="s">
        <v>1826</v>
      </c>
      <c r="H474" s="20">
        <v>7.5</v>
      </c>
      <c r="I474" s="20" t="s">
        <v>1827</v>
      </c>
    </row>
    <row r="475" spans="4:9" ht="20.100000000000001" customHeight="1" x14ac:dyDescent="0.2">
      <c r="D475" s="20" t="s">
        <v>1832</v>
      </c>
      <c r="E475" s="20" t="s">
        <v>1833</v>
      </c>
      <c r="F475" s="20" t="s">
        <v>523</v>
      </c>
      <c r="G475" s="20" t="s">
        <v>1826</v>
      </c>
      <c r="H475" s="20">
        <v>8.08</v>
      </c>
      <c r="I475" s="20" t="s">
        <v>1827</v>
      </c>
    </row>
    <row r="476" spans="4:9" ht="20.100000000000001" customHeight="1" x14ac:dyDescent="0.2">
      <c r="D476" s="20" t="s">
        <v>1832</v>
      </c>
      <c r="E476" s="20" t="s">
        <v>1833</v>
      </c>
      <c r="F476" s="20" t="s">
        <v>525</v>
      </c>
      <c r="G476" s="20" t="s">
        <v>1826</v>
      </c>
      <c r="H476" s="20">
        <v>5.45</v>
      </c>
      <c r="I476" s="20" t="s">
        <v>1827</v>
      </c>
    </row>
    <row r="477" spans="4:9" ht="20.100000000000001" customHeight="1" x14ac:dyDescent="0.2">
      <c r="D477" s="20" t="s">
        <v>1832</v>
      </c>
      <c r="E477" s="20" t="s">
        <v>1834</v>
      </c>
      <c r="F477" s="20" t="s">
        <v>537</v>
      </c>
      <c r="G477" s="20" t="s">
        <v>1826</v>
      </c>
      <c r="H477" s="20">
        <v>7.15</v>
      </c>
      <c r="I477" s="20" t="s">
        <v>1827</v>
      </c>
    </row>
    <row r="478" spans="4:9" ht="20.100000000000001" customHeight="1" x14ac:dyDescent="0.2">
      <c r="D478" s="20" t="s">
        <v>1832</v>
      </c>
      <c r="E478" s="20" t="s">
        <v>1834</v>
      </c>
      <c r="F478" s="20" t="s">
        <v>520</v>
      </c>
      <c r="G478" s="20" t="s">
        <v>1826</v>
      </c>
      <c r="H478" s="20">
        <v>8.2899999999999991</v>
      </c>
      <c r="I478" s="20" t="s">
        <v>1827</v>
      </c>
    </row>
    <row r="479" spans="4:9" ht="20.100000000000001" customHeight="1" x14ac:dyDescent="0.2">
      <c r="D479" s="20" t="s">
        <v>1832</v>
      </c>
      <c r="E479" s="20" t="s">
        <v>1834</v>
      </c>
      <c r="F479" s="20" t="s">
        <v>533</v>
      </c>
      <c r="G479" s="20" t="s">
        <v>1826</v>
      </c>
      <c r="H479" s="20">
        <v>6.39</v>
      </c>
      <c r="I479" s="20" t="s">
        <v>1827</v>
      </c>
    </row>
    <row r="480" spans="4:9" ht="20.100000000000001" customHeight="1" x14ac:dyDescent="0.2">
      <c r="D480" s="20" t="s">
        <v>1832</v>
      </c>
      <c r="E480" s="20" t="s">
        <v>1834</v>
      </c>
      <c r="F480" s="20" t="s">
        <v>521</v>
      </c>
      <c r="G480" s="20" t="s">
        <v>1826</v>
      </c>
      <c r="H480" s="20">
        <v>6.87</v>
      </c>
      <c r="I480" s="20" t="s">
        <v>1827</v>
      </c>
    </row>
    <row r="481" spans="4:9" ht="20.100000000000001" customHeight="1" x14ac:dyDescent="0.2">
      <c r="D481" s="20" t="s">
        <v>1832</v>
      </c>
      <c r="E481" s="20" t="s">
        <v>1834</v>
      </c>
      <c r="F481" s="20" t="s">
        <v>522</v>
      </c>
      <c r="G481" s="20" t="s">
        <v>1826</v>
      </c>
      <c r="H481" s="20">
        <v>8.66</v>
      </c>
      <c r="I481" s="20" t="s">
        <v>1827</v>
      </c>
    </row>
    <row r="482" spans="4:9" ht="20.100000000000001" customHeight="1" x14ac:dyDescent="0.2">
      <c r="D482" s="20" t="s">
        <v>1832</v>
      </c>
      <c r="E482" s="20" t="s">
        <v>1834</v>
      </c>
      <c r="F482" s="20" t="s">
        <v>523</v>
      </c>
      <c r="G482" s="20" t="s">
        <v>1826</v>
      </c>
      <c r="H482" s="20">
        <v>10</v>
      </c>
      <c r="I482" s="20" t="s">
        <v>1827</v>
      </c>
    </row>
    <row r="483" spans="4:9" ht="20.100000000000001" customHeight="1" x14ac:dyDescent="0.2">
      <c r="D483" s="20" t="s">
        <v>1832</v>
      </c>
      <c r="E483" s="20" t="s">
        <v>1834</v>
      </c>
      <c r="F483" s="20" t="s">
        <v>525</v>
      </c>
      <c r="G483" s="20" t="s">
        <v>1826</v>
      </c>
      <c r="H483" s="20">
        <v>5.67</v>
      </c>
      <c r="I483" s="20" t="s">
        <v>1827</v>
      </c>
    </row>
  </sheetData>
  <pageMargins left="0.7" right="0.7" top="0.75" bottom="0.75" header="0.3" footer="0.3"/>
  <tableParts count="27">
    <tablePart r:id="rId1"/>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 r:id="rId19"/>
    <tablePart r:id="rId20"/>
    <tablePart r:id="rId21"/>
    <tablePart r:id="rId22"/>
    <tablePart r:id="rId23"/>
    <tablePart r:id="rId24"/>
    <tablePart r:id="rId25"/>
    <tablePart r:id="rId26"/>
    <tablePart r:id="rId27"/>
  </tableParts>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9B0F8F-8467-43BD-912C-15486AE00E16}">
  <sheetPr>
    <tabColor theme="2" tint="-0.499984740745262"/>
  </sheetPr>
  <dimension ref="A1:AI235"/>
  <sheetViews>
    <sheetView showGridLines="0" topLeftCell="B1" zoomScaleNormal="100" workbookViewId="0">
      <pane xSplit="8" ySplit="17" topLeftCell="J18" activePane="bottomRight" state="frozen"/>
      <selection activeCell="B1" sqref="B1"/>
      <selection pane="topRight" activeCell="J1" sqref="J1"/>
      <selection pane="bottomLeft" activeCell="B18" sqref="B18"/>
      <selection pane="bottomRight" activeCell="A59" sqref="A59"/>
    </sheetView>
  </sheetViews>
  <sheetFormatPr defaultRowHeight="20.100000000000001" customHeight="1" x14ac:dyDescent="0.2"/>
  <cols>
    <col min="1" max="1" width="36.7109375" customWidth="1"/>
    <col min="2" max="2" width="4.7109375" customWidth="1"/>
    <col min="3" max="3" width="4.7109375" style="1" customWidth="1"/>
    <col min="4" max="9" width="20.7109375" style="1" customWidth="1"/>
    <col min="10" max="10" width="26.28515625" style="1" customWidth="1"/>
    <col min="11" max="31" width="20.7109375" style="1" customWidth="1"/>
    <col min="32" max="32" width="4.7109375" style="1" customWidth="1"/>
  </cols>
  <sheetData>
    <row r="1" spans="1:35" s="21" customFormat="1" ht="30" customHeight="1" x14ac:dyDescent="0.35">
      <c r="A1" s="10" t="e" vm="1">
        <v>#VALUE!</v>
      </c>
      <c r="C1" s="21" t="s">
        <v>958</v>
      </c>
      <c r="AG1"/>
      <c r="AH1"/>
      <c r="AI1"/>
    </row>
    <row r="2" spans="1:35" s="3" customFormat="1" ht="20.100000000000001" customHeight="1" x14ac:dyDescent="0.2">
      <c r="A2"/>
      <c r="AG2"/>
      <c r="AH2"/>
      <c r="AI2"/>
    </row>
    <row r="3" spans="1:35" ht="20.100000000000001" customHeight="1" x14ac:dyDescent="0.2">
      <c r="A3" s="5" t="str">
        <f>HYPERLINK("#'Home'!A1", "Home")</f>
        <v>Home</v>
      </c>
      <c r="C3" s="23"/>
      <c r="D3" s="23"/>
      <c r="E3" s="23"/>
      <c r="F3" s="23"/>
      <c r="G3" s="23"/>
      <c r="H3" s="23"/>
      <c r="I3" s="23"/>
      <c r="J3" s="23"/>
      <c r="K3" s="23"/>
      <c r="L3" s="23"/>
      <c r="M3" s="23"/>
      <c r="N3" s="23"/>
      <c r="O3" s="23"/>
      <c r="P3" s="23"/>
      <c r="Q3" s="23"/>
      <c r="R3" s="23"/>
      <c r="S3" s="23"/>
      <c r="T3" s="23"/>
      <c r="U3" s="23"/>
      <c r="V3" s="23"/>
      <c r="W3" s="23"/>
      <c r="X3" s="23"/>
      <c r="Y3" s="23"/>
      <c r="Z3" s="23"/>
      <c r="AA3" s="23"/>
      <c r="AB3" s="23"/>
      <c r="AC3" s="23"/>
      <c r="AD3" s="23"/>
      <c r="AE3" s="23"/>
      <c r="AF3" s="23"/>
    </row>
    <row r="4" spans="1:35" ht="20.100000000000001" customHeight="1" x14ac:dyDescent="0.2">
      <c r="A4" s="5" t="str">
        <f>HYPERLINK("#'Results - Activity period'!A1", "Results - Activity period")</f>
        <v>Results - Activity period</v>
      </c>
    </row>
    <row r="5" spans="1:35" ht="20.100000000000001" customHeight="1" x14ac:dyDescent="0.2">
      <c r="A5" s="5" t="str">
        <f>HYPERLINK("#'Results - Product EI'!A1", "Results - Product Emissions Intensity")</f>
        <v>Results - Product Emissions Intensity</v>
      </c>
      <c r="D5" s="2" t="s">
        <v>1835</v>
      </c>
    </row>
    <row r="7" spans="1:35" ht="20.100000000000001" customHeight="1" x14ac:dyDescent="0.2">
      <c r="D7" s="238" t="s">
        <v>959</v>
      </c>
      <c r="E7" s="238" t="s">
        <v>960</v>
      </c>
      <c r="F7" s="238" t="s">
        <v>961</v>
      </c>
      <c r="G7" s="238" t="s">
        <v>962</v>
      </c>
      <c r="H7" s="238" t="s">
        <v>963</v>
      </c>
      <c r="I7" s="238" t="s">
        <v>964</v>
      </c>
      <c r="J7" s="238" t="s">
        <v>965</v>
      </c>
      <c r="K7" s="238" t="s">
        <v>966</v>
      </c>
      <c r="AG7" s="1"/>
      <c r="AH7" s="1"/>
      <c r="AI7" s="1"/>
    </row>
    <row r="8" spans="1:35" ht="20.100000000000001" customHeight="1" x14ac:dyDescent="0.2">
      <c r="A8" s="7" t="s">
        <v>0</v>
      </c>
      <c r="D8" t="s">
        <v>1836</v>
      </c>
      <c r="E8" t="s">
        <v>1837</v>
      </c>
      <c r="F8" t="s">
        <v>1838</v>
      </c>
      <c r="G8" t="s">
        <v>1839</v>
      </c>
      <c r="H8" t="s">
        <v>1837</v>
      </c>
      <c r="I8" t="s">
        <v>1840</v>
      </c>
      <c r="J8" t="s">
        <v>1841</v>
      </c>
      <c r="K8" t="s">
        <v>1842</v>
      </c>
      <c r="AG8" s="1"/>
      <c r="AH8" s="1"/>
      <c r="AI8" s="1"/>
    </row>
    <row r="9" spans="1:35" ht="20.100000000000001" customHeight="1" x14ac:dyDescent="0.2">
      <c r="A9" s="5" t="str">
        <f>HYPERLINK("#'Input - Enterprise'!A1", "Enterprise")</f>
        <v>Enterprise</v>
      </c>
      <c r="D9" t="s">
        <v>1843</v>
      </c>
      <c r="E9" t="s">
        <v>1844</v>
      </c>
      <c r="F9" t="s">
        <v>1838</v>
      </c>
      <c r="G9" t="s">
        <v>1839</v>
      </c>
      <c r="H9" t="s">
        <v>1845</v>
      </c>
      <c r="I9" t="s">
        <v>1846</v>
      </c>
      <c r="J9" t="s">
        <v>1847</v>
      </c>
      <c r="K9" t="s">
        <v>1848</v>
      </c>
      <c r="AG9" s="1"/>
      <c r="AH9" s="1"/>
      <c r="AI9" s="1"/>
    </row>
    <row r="10" spans="1:35" ht="20.100000000000001" customHeight="1" x14ac:dyDescent="0.2">
      <c r="A10" s="5" t="str">
        <f>HYPERLINK("#'Input - Site'!A1", "Site")</f>
        <v>Site</v>
      </c>
      <c r="D10" t="s">
        <v>1849</v>
      </c>
      <c r="E10" t="s">
        <v>1844</v>
      </c>
      <c r="F10" t="s">
        <v>1850</v>
      </c>
      <c r="G10" t="s">
        <v>1851</v>
      </c>
      <c r="H10" t="s">
        <v>1844</v>
      </c>
      <c r="I10" t="s">
        <v>1852</v>
      </c>
      <c r="J10" t="s">
        <v>1853</v>
      </c>
      <c r="K10" t="s">
        <v>1854</v>
      </c>
      <c r="AG10" s="1"/>
      <c r="AH10" s="1"/>
      <c r="AI10" s="1"/>
    </row>
    <row r="11" spans="1:35" ht="20.100000000000001" customHeight="1" x14ac:dyDescent="0.2">
      <c r="A11" s="5" t="str">
        <f>HYPERLINK("#'Input - Pasture Beef'!A1", "Pasture Beef")</f>
        <v>Pasture Beef</v>
      </c>
    </row>
    <row r="12" spans="1:35" ht="20.100000000000001" customHeight="1" x14ac:dyDescent="0.2">
      <c r="A12" s="5" t="str">
        <f>HYPERLINK("#'Input - Livestock sales'!A1", "Livestock sales")</f>
        <v>Livestock sales</v>
      </c>
    </row>
    <row r="13" spans="1:35" ht="20.100000000000001" customHeight="1" x14ac:dyDescent="0.2">
      <c r="A13" s="5" t="str">
        <f>HYPERLINK("#'Input - Beef cattle purchases'!A1", "Beef cattle purchases")</f>
        <v>Beef cattle purchases</v>
      </c>
    </row>
    <row r="14" spans="1:35" ht="20.100000000000001" customHeight="1" x14ac:dyDescent="0.2">
      <c r="A14" s="5" t="str">
        <f>HYPERLINK("#'Input - Pasture'!A1", "Pasture")</f>
        <v>Pasture</v>
      </c>
    </row>
    <row r="15" spans="1:35" ht="20.100000000000001" customHeight="1" x14ac:dyDescent="0.2">
      <c r="A15" s="5" t="str">
        <f>HYPERLINK("#'Input - Fert Prod System'!A1", "Fert Prod System")</f>
        <v>Fert Prod System</v>
      </c>
      <c r="D15" s="2" t="s">
        <v>1855</v>
      </c>
      <c r="E15" s="8"/>
      <c r="F15" s="8"/>
      <c r="G15" s="8"/>
      <c r="H15" s="8"/>
      <c r="I15" s="8"/>
      <c r="J15" s="8"/>
      <c r="K15" s="8"/>
      <c r="L15" s="8"/>
    </row>
    <row r="16" spans="1:35" ht="20.100000000000001" customHeight="1" x14ac:dyDescent="0.2">
      <c r="A16" s="5" t="str">
        <f>HYPERLINK("#'Input - Fertiliser'!A1", "Fertiliser")</f>
        <v>Fertiliser</v>
      </c>
      <c r="D16" s="17" t="s">
        <v>1856</v>
      </c>
      <c r="E16" s="8"/>
      <c r="F16" s="8"/>
      <c r="G16" s="8"/>
      <c r="H16" s="8"/>
      <c r="I16" s="8"/>
      <c r="J16" s="8"/>
      <c r="K16" s="8"/>
      <c r="L16" s="8"/>
    </row>
    <row r="17" spans="1:14" ht="20.100000000000001" customHeight="1" x14ac:dyDescent="0.2">
      <c r="A17" s="5" t="str">
        <f>HYPERLINK("#'Input - Fuel'!A1", "Fuel")</f>
        <v>Fuel</v>
      </c>
      <c r="D17" s="26" t="str" cm="1">
        <f t="array" ref="D17">"⚠️" &amp; Agresidue_SourceData.CropAttributes_Variation()</f>
        <v>⚠️VARIATION FROM SOURCE: 'N/A' values passed as zero for calculations.</v>
      </c>
      <c r="E17" s="8"/>
      <c r="F17" s="8"/>
      <c r="G17" s="8"/>
      <c r="H17" s="8"/>
      <c r="I17" s="8"/>
      <c r="J17" s="8"/>
      <c r="K17" s="8"/>
      <c r="L17" s="8"/>
    </row>
    <row r="18" spans="1:14" ht="20.100000000000001" customHeight="1" x14ac:dyDescent="0.2">
      <c r="A18" s="5" t="str">
        <f>HYPERLINK("#'Input - Electricity'!A1", "Electricity")</f>
        <v>Electricity</v>
      </c>
      <c r="D18" s="8"/>
      <c r="E18" s="8"/>
      <c r="F18" s="8"/>
      <c r="G18" s="8"/>
      <c r="H18" s="8"/>
      <c r="I18" s="8"/>
      <c r="J18" s="8"/>
      <c r="K18" s="8"/>
      <c r="L18" s="8"/>
    </row>
    <row r="19" spans="1:14" ht="20.100000000000001" customHeight="1" x14ac:dyDescent="0.2">
      <c r="A19" s="5" t="str">
        <f>HYPERLINK("#'Input - Common farm inputs'!A1", "Common farm inputs")</f>
        <v>Common farm inputs</v>
      </c>
      <c r="D19" t="s">
        <v>172</v>
      </c>
      <c r="E19" t="s">
        <v>967</v>
      </c>
      <c r="F19" t="s">
        <v>968</v>
      </c>
      <c r="G19" t="s">
        <v>969</v>
      </c>
      <c r="H19" t="s">
        <v>970</v>
      </c>
      <c r="I19" t="s">
        <v>971</v>
      </c>
      <c r="J19" t="s">
        <v>972</v>
      </c>
      <c r="K19" t="s">
        <v>973</v>
      </c>
      <c r="L19" t="s">
        <v>974</v>
      </c>
      <c r="N19" s="2" t="s">
        <v>484</v>
      </c>
    </row>
    <row r="20" spans="1:14" ht="20.100000000000001" customHeight="1" x14ac:dyDescent="0.2">
      <c r="A20" s="5" t="str">
        <f>HYPERLINK("#'Input - Crop pasture farm input'!A1", "Crop pasture farm input")</f>
        <v>Crop pasture farm input</v>
      </c>
      <c r="D20" t="s">
        <v>1857</v>
      </c>
      <c r="E20">
        <v>1.5</v>
      </c>
      <c r="F20">
        <v>0.28999999999999998</v>
      </c>
      <c r="G20">
        <v>0.88</v>
      </c>
      <c r="H20">
        <v>0.4</v>
      </c>
      <c r="I20">
        <v>6.0000000000000001E-3</v>
      </c>
      <c r="J20">
        <v>0.01</v>
      </c>
      <c r="K20">
        <v>0.5</v>
      </c>
      <c r="L20">
        <v>0.9</v>
      </c>
    </row>
    <row r="21" spans="1:14" ht="20.100000000000001" customHeight="1" x14ac:dyDescent="0.2">
      <c r="A21" s="5" t="str">
        <f>HYPERLINK("#'Input - Livestock farm Inputs'!A1", "Livestock farm Inputs")</f>
        <v>Livestock farm Inputs</v>
      </c>
      <c r="D21" t="s">
        <v>1858</v>
      </c>
      <c r="E21">
        <v>1.24</v>
      </c>
      <c r="F21">
        <v>0.32</v>
      </c>
      <c r="G21">
        <v>0.88</v>
      </c>
      <c r="H21">
        <v>0.4</v>
      </c>
      <c r="I21">
        <v>7.0000000000000001E-3</v>
      </c>
      <c r="J21">
        <v>0.01</v>
      </c>
      <c r="K21">
        <v>0.5</v>
      </c>
      <c r="L21">
        <v>0.85</v>
      </c>
      <c r="N21" s="20" t="s">
        <v>72</v>
      </c>
    </row>
    <row r="22" spans="1:14" ht="20.100000000000001" customHeight="1" x14ac:dyDescent="0.2">
      <c r="A22" s="5" t="str">
        <f>HYPERLINK("#'Input - Freight'!A1", "Freight")</f>
        <v>Freight</v>
      </c>
      <c r="D22" t="s">
        <v>735</v>
      </c>
      <c r="E22">
        <v>0.81</v>
      </c>
      <c r="F22">
        <v>0.39</v>
      </c>
      <c r="G22">
        <v>0.85</v>
      </c>
      <c r="H22">
        <v>0.42</v>
      </c>
      <c r="I22">
        <v>5.0000000000000001E-3</v>
      </c>
      <c r="J22">
        <v>7.0000000000000001E-3</v>
      </c>
      <c r="K22">
        <v>1</v>
      </c>
      <c r="L22">
        <v>0.8</v>
      </c>
      <c r="N22" s="20" t="s">
        <v>490</v>
      </c>
    </row>
    <row r="23" spans="1:14" ht="20.100000000000001" customHeight="1" x14ac:dyDescent="0.2">
      <c r="A23" s="5" t="str">
        <f>HYPERLINK("#'Input - Solid waste'!A1", "Solid waste")</f>
        <v>Solid waste</v>
      </c>
      <c r="D23" t="s">
        <v>1859</v>
      </c>
      <c r="E23">
        <v>1.42</v>
      </c>
      <c r="F23">
        <v>0.43</v>
      </c>
      <c r="G23">
        <v>0.88</v>
      </c>
      <c r="H23">
        <v>0.4</v>
      </c>
      <c r="I23">
        <v>6.0000000000000001E-3</v>
      </c>
      <c r="J23">
        <v>0.01</v>
      </c>
      <c r="K23">
        <v>0.5</v>
      </c>
      <c r="L23">
        <v>0.85</v>
      </c>
      <c r="N23" s="20" t="s">
        <v>494</v>
      </c>
    </row>
    <row r="24" spans="1:14" ht="20.100000000000001" customHeight="1" x14ac:dyDescent="0.2">
      <c r="A24" s="5" t="str">
        <f>HYPERLINK("#'Input - Manure sent off-site'!A1", "Manure sent off-site")</f>
        <v>Manure sent off-site</v>
      </c>
      <c r="D24" t="s">
        <v>1860</v>
      </c>
      <c r="E24">
        <v>1.31</v>
      </c>
      <c r="F24">
        <v>0.16</v>
      </c>
      <c r="G24">
        <v>0.8</v>
      </c>
      <c r="H24">
        <v>0.42</v>
      </c>
      <c r="I24">
        <v>7.0000000000000001E-3</v>
      </c>
      <c r="J24">
        <v>0.01</v>
      </c>
      <c r="K24">
        <v>1</v>
      </c>
      <c r="L24">
        <v>0.8</v>
      </c>
      <c r="N24" s="1" t="s">
        <v>355</v>
      </c>
    </row>
    <row r="25" spans="1:14" ht="20.100000000000001" customHeight="1" x14ac:dyDescent="0.2">
      <c r="A25" s="5" t="str">
        <f>HYPERLINK("#'Input - Data quality'!A1", "Data quality")</f>
        <v>Data quality</v>
      </c>
      <c r="D25" t="s">
        <v>1861</v>
      </c>
      <c r="E25">
        <v>1.5</v>
      </c>
      <c r="F25">
        <v>0.22</v>
      </c>
      <c r="G25">
        <v>0.8</v>
      </c>
      <c r="H25">
        <v>0.4</v>
      </c>
      <c r="I25">
        <v>8.0000000000000002E-3</v>
      </c>
      <c r="J25">
        <v>7.0000000000000001E-3</v>
      </c>
      <c r="K25">
        <v>0.5</v>
      </c>
      <c r="L25">
        <v>0.85</v>
      </c>
      <c r="N25" s="1" t="s">
        <v>502</v>
      </c>
    </row>
    <row r="26" spans="1:14" ht="20.100000000000001" customHeight="1" x14ac:dyDescent="0.2">
      <c r="D26" t="s">
        <v>1862</v>
      </c>
      <c r="E26">
        <v>1.5</v>
      </c>
      <c r="F26">
        <v>0.42</v>
      </c>
      <c r="G26">
        <v>0.88</v>
      </c>
      <c r="H26">
        <v>0.4</v>
      </c>
      <c r="I26">
        <v>6.0000000000000001E-3</v>
      </c>
      <c r="J26">
        <v>0.01</v>
      </c>
      <c r="K26">
        <v>0.5</v>
      </c>
      <c r="L26">
        <v>0.85</v>
      </c>
      <c r="N26" s="1" t="s">
        <v>504</v>
      </c>
    </row>
    <row r="27" spans="1:14" ht="20.100000000000001" customHeight="1" x14ac:dyDescent="0.2">
      <c r="D27" t="s">
        <v>1863</v>
      </c>
      <c r="E27">
        <v>1.46</v>
      </c>
      <c r="F27">
        <v>0.36</v>
      </c>
      <c r="G27">
        <v>0.88</v>
      </c>
      <c r="H27">
        <v>0.4</v>
      </c>
      <c r="I27">
        <v>6.0000000000000001E-3</v>
      </c>
      <c r="J27">
        <v>0.01</v>
      </c>
      <c r="K27">
        <v>0.5</v>
      </c>
      <c r="L27">
        <v>0.85</v>
      </c>
    </row>
    <row r="28" spans="1:14" ht="20.100000000000001" customHeight="1" x14ac:dyDescent="0.2">
      <c r="A28" s="6" t="s">
        <v>2</v>
      </c>
      <c r="D28" t="s">
        <v>1864</v>
      </c>
      <c r="E28">
        <v>1.37</v>
      </c>
      <c r="F28">
        <v>0.51</v>
      </c>
      <c r="G28">
        <v>0.87</v>
      </c>
      <c r="H28">
        <v>0.4</v>
      </c>
      <c r="I28">
        <v>8.9999999999999993E-3</v>
      </c>
      <c r="J28">
        <v>0.01</v>
      </c>
      <c r="K28">
        <v>0.5</v>
      </c>
      <c r="L28">
        <v>0.85</v>
      </c>
    </row>
    <row r="29" spans="1:14" ht="20.100000000000001" customHeight="1" x14ac:dyDescent="0.2">
      <c r="A29" s="5" t="str">
        <f>HYPERLINK("#'3.2.1.1-2 Enteric Methane'!A1", "3.2.1.1-2 Enteric Methane")</f>
        <v>3.2.1.1-2 Enteric Methane</v>
      </c>
      <c r="D29" t="s">
        <v>1865</v>
      </c>
      <c r="E29">
        <v>0.34</v>
      </c>
      <c r="F29">
        <v>0.43</v>
      </c>
      <c r="G29">
        <v>0.25</v>
      </c>
      <c r="H29">
        <v>0.4</v>
      </c>
      <c r="I29">
        <v>0.02</v>
      </c>
      <c r="J29">
        <v>0.01</v>
      </c>
      <c r="K29" t="s">
        <v>493</v>
      </c>
      <c r="L29">
        <v>0.85</v>
      </c>
    </row>
    <row r="30" spans="1:14" ht="20.100000000000001" customHeight="1" x14ac:dyDescent="0.2">
      <c r="A30" s="5" t="str">
        <f>HYPERLINK("#'4.2.1.1-2 Methane'!A1", "4.2.1.1-2 Manure methane")</f>
        <v>4.2.1.1-2 Manure methane</v>
      </c>
      <c r="D30" t="s">
        <v>1866</v>
      </c>
      <c r="E30">
        <v>1.07</v>
      </c>
      <c r="F30">
        <v>0.2</v>
      </c>
      <c r="G30">
        <v>0.8</v>
      </c>
      <c r="H30">
        <v>0.42</v>
      </c>
      <c r="I30">
        <v>1.6E-2</v>
      </c>
      <c r="J30">
        <v>1.4E-2</v>
      </c>
      <c r="K30">
        <v>0.5</v>
      </c>
      <c r="L30">
        <v>0.85</v>
      </c>
    </row>
    <row r="31" spans="1:14" ht="20.100000000000001" customHeight="1" x14ac:dyDescent="0.2">
      <c r="A31" s="5" t="str">
        <f>HYPERLINK("#'4.2.1.3-4 Soil direct N20'!A1", "4.2.1.3-4 Soil direct N2O")</f>
        <v>4.2.1.3-4 Soil direct N2O</v>
      </c>
      <c r="D31" t="s">
        <v>1867</v>
      </c>
      <c r="E31">
        <v>0.25</v>
      </c>
      <c r="F31">
        <v>0.45</v>
      </c>
      <c r="G31">
        <v>0.2</v>
      </c>
      <c r="H31">
        <v>0.4</v>
      </c>
      <c r="I31">
        <v>5.0000000000000001E-3</v>
      </c>
      <c r="J31">
        <v>7.0000000000000001E-3</v>
      </c>
      <c r="K31">
        <v>1</v>
      </c>
      <c r="L31">
        <v>0.8</v>
      </c>
    </row>
    <row r="32" spans="1:14" ht="20.100000000000001" customHeight="1" x14ac:dyDescent="0.2">
      <c r="A32" s="5" t="str">
        <f>HYPERLINK("#'4.2.1.5-6 Soil Atmos Dep'!A1", "4.2.1.5-6 Soil atm. deposition")</f>
        <v>4.2.1.5-6 Soil atm. deposition</v>
      </c>
      <c r="D32" t="s">
        <v>667</v>
      </c>
      <c r="E32">
        <v>1.9</v>
      </c>
      <c r="F32">
        <v>0.3</v>
      </c>
      <c r="G32">
        <v>0.9</v>
      </c>
      <c r="H32">
        <v>0.4</v>
      </c>
      <c r="I32">
        <v>0.01</v>
      </c>
      <c r="J32">
        <v>0.01</v>
      </c>
      <c r="K32" t="s">
        <v>493</v>
      </c>
      <c r="L32">
        <v>0.85</v>
      </c>
    </row>
    <row r="33" spans="1:13" ht="20.100000000000001" customHeight="1" x14ac:dyDescent="0.2">
      <c r="A33" s="5" t="str">
        <f>HYPERLINK("#'4.2.1.7-8 Soil leach runoff'!A1", "4.2.1.7-8 Soil leach &amp; runoff")</f>
        <v>4.2.1.7-8 Soil leach &amp; runoff</v>
      </c>
      <c r="D33" t="s">
        <v>1868</v>
      </c>
      <c r="E33">
        <v>1.5</v>
      </c>
      <c r="F33">
        <v>0.28999999999999998</v>
      </c>
      <c r="G33">
        <v>0.88</v>
      </c>
      <c r="H33">
        <v>0.4</v>
      </c>
      <c r="I33">
        <v>6.0000000000000001E-3</v>
      </c>
      <c r="J33" t="s">
        <v>493</v>
      </c>
      <c r="K33" t="s">
        <v>493</v>
      </c>
      <c r="L33">
        <v>0.85</v>
      </c>
    </row>
    <row r="34" spans="1:13" ht="20.100000000000001" customHeight="1" x14ac:dyDescent="0.2">
      <c r="A34" s="5" t="str">
        <f>HYPERLINK("#'5.1.1.1-2 Inorganic fert N2O'!A1", "5.1.1.1-2 Inorganic fert N2O")</f>
        <v>5.1.1.1-2 Inorganic fert N2O</v>
      </c>
      <c r="D34" t="s">
        <v>1869</v>
      </c>
      <c r="E34">
        <v>2.08</v>
      </c>
      <c r="F34">
        <v>0.33</v>
      </c>
      <c r="G34">
        <v>0.96</v>
      </c>
      <c r="H34">
        <v>0.4</v>
      </c>
      <c r="I34">
        <v>8.9999999999999993E-3</v>
      </c>
      <c r="J34">
        <v>0.01</v>
      </c>
      <c r="K34">
        <v>0.5</v>
      </c>
      <c r="L34">
        <v>0.85</v>
      </c>
    </row>
    <row r="35" spans="1:13" ht="20.100000000000001" customHeight="1" x14ac:dyDescent="0.2">
      <c r="A35" s="5" t="str">
        <f>HYPERLINK("#'5.1.1.3-4 Inorganic fert CO2'!A1", "5.1.1.3-4 Inorganic fert CO2")</f>
        <v>5.1.1.3-4 Inorganic fert CO2</v>
      </c>
      <c r="D35" t="s">
        <v>1870</v>
      </c>
      <c r="E35">
        <v>1.34</v>
      </c>
      <c r="F35">
        <v>0.37</v>
      </c>
      <c r="G35">
        <v>0.88</v>
      </c>
      <c r="H35">
        <v>0.4</v>
      </c>
      <c r="I35">
        <v>6.0000000000000001E-3</v>
      </c>
      <c r="J35">
        <v>0.01</v>
      </c>
      <c r="K35" t="s">
        <v>493</v>
      </c>
      <c r="L35">
        <v>0.85</v>
      </c>
    </row>
    <row r="36" spans="1:13" ht="20.100000000000001" customHeight="1" x14ac:dyDescent="0.2">
      <c r="A36" s="5" t="str">
        <f>HYPERLINK("#'5.2.1.1-2 Organic Fert N2O'!A1", "5.2.1.1-2 Organic fert N2O")</f>
        <v>5.2.1.1-2 Organic fert N2O</v>
      </c>
      <c r="D36" t="s">
        <v>1871</v>
      </c>
      <c r="E36">
        <v>1</v>
      </c>
      <c r="F36">
        <v>0.22</v>
      </c>
      <c r="G36">
        <v>0.85</v>
      </c>
      <c r="H36">
        <v>0.4</v>
      </c>
      <c r="I36">
        <v>8.0000000000000002E-3</v>
      </c>
      <c r="J36">
        <v>8.9999999999999993E-3</v>
      </c>
      <c r="K36" t="s">
        <v>493</v>
      </c>
      <c r="L36" t="s">
        <v>493</v>
      </c>
    </row>
    <row r="37" spans="1:13" ht="20.100000000000001" customHeight="1" x14ac:dyDescent="0.2">
      <c r="A37" s="5" t="str">
        <f>HYPERLINK("#'5.3.1.1-2 Lime CO2'!A1", "5.3.1.1-2 Lime CO2")</f>
        <v>5.3.1.1-2 Lime CO2</v>
      </c>
      <c r="D37" t="s">
        <v>1872</v>
      </c>
      <c r="E37">
        <v>1.5</v>
      </c>
      <c r="F37">
        <v>0.28999999999999998</v>
      </c>
      <c r="G37">
        <v>0.88</v>
      </c>
      <c r="H37">
        <v>0.4</v>
      </c>
      <c r="I37">
        <v>6.0000000000000001E-3</v>
      </c>
      <c r="J37" t="s">
        <v>493</v>
      </c>
      <c r="K37" t="s">
        <v>493</v>
      </c>
      <c r="L37" t="s">
        <v>493</v>
      </c>
    </row>
    <row r="38" spans="1:13" ht="20.100000000000001" customHeight="1" x14ac:dyDescent="0.2">
      <c r="A38" s="5" t="str">
        <f>HYPERLINK("#'5.4.1.1-4 Atmos deposition'!A1", "5.4.1.1-4 Atmos. deposition")</f>
        <v>5.4.1.1-4 Atmos. deposition</v>
      </c>
      <c r="D38" s="8"/>
      <c r="E38" s="8"/>
      <c r="F38" s="8"/>
      <c r="G38" s="8"/>
      <c r="H38" s="8"/>
      <c r="I38" s="8"/>
      <c r="J38" s="8"/>
      <c r="K38" s="8"/>
      <c r="L38" s="8"/>
    </row>
    <row r="39" spans="1:13" ht="20.100000000000001" customHeight="1" x14ac:dyDescent="0.2">
      <c r="A39" s="5" t="str">
        <f>HYPERLINK("#'5.5.1.1-2 Leaching and runoff'!A1", "5.5.1.1-2 Leaching &amp; runoff")</f>
        <v>5.5.1.1-2 Leaching &amp; runoff</v>
      </c>
      <c r="D39" s="8"/>
      <c r="E39" s="8"/>
      <c r="F39" s="8"/>
      <c r="G39" s="8"/>
      <c r="H39" s="8"/>
      <c r="I39" s="8"/>
      <c r="J39" s="8"/>
      <c r="K39" s="8"/>
      <c r="L39" s="8"/>
    </row>
    <row r="40" spans="1:13" ht="20.100000000000001" customHeight="1" x14ac:dyDescent="0.2">
      <c r="A40" s="5" t="str">
        <f>HYPERLINK("#'6.2.1.1-2 Pasture residue N2O'!A1", "6.2.1.1-2 Pasture residue N2O")</f>
        <v>6.2.1.1-2 Pasture residue N2O</v>
      </c>
      <c r="D40" s="2" t="s">
        <v>1873</v>
      </c>
      <c r="E40" s="25"/>
      <c r="F40" s="25"/>
      <c r="G40" s="8"/>
      <c r="H40" s="8"/>
      <c r="I40" s="8"/>
      <c r="J40" s="8"/>
      <c r="K40" s="8"/>
      <c r="L40" s="8"/>
    </row>
    <row r="41" spans="1:13" ht="20.100000000000001" customHeight="1" x14ac:dyDescent="0.2">
      <c r="A41" s="5" t="str">
        <f>HYPERLINK("#'6.3.1.1-2 Leach runoff pasture'!A1", "6.3.1.1-2 Leach &amp; runoff (pasture)")</f>
        <v>6.3.1.1-2 Leach &amp; runoff (pasture)</v>
      </c>
      <c r="D41" s="17" t="s">
        <v>1874</v>
      </c>
      <c r="E41" s="25"/>
      <c r="F41" s="25"/>
      <c r="G41" s="8"/>
      <c r="H41" s="8"/>
      <c r="I41" s="8"/>
      <c r="J41" s="8"/>
      <c r="K41" s="8"/>
      <c r="L41" s="8"/>
    </row>
    <row r="42" spans="1:13" ht="20.100000000000001" customHeight="1" x14ac:dyDescent="0.2">
      <c r="A42" s="5" t="str">
        <f>HYPERLINK("#'8.1.1.1-2 Transport fuel'!A1", "8.1.1.1-2 Transport fuel")</f>
        <v>8.1.1.1-2 Transport fuel</v>
      </c>
      <c r="D42" s="17"/>
      <c r="E42" s="25"/>
      <c r="F42" s="25"/>
      <c r="H42" s="8"/>
      <c r="I42" s="8"/>
      <c r="M42" s="25"/>
    </row>
    <row r="43" spans="1:13" ht="20.100000000000001" customHeight="1" x14ac:dyDescent="0.2">
      <c r="A43" s="5" t="str">
        <f>HYPERLINK("#'8.2.1.1-2 Stationary fuel'!A1", "8.2.1.1-2 Stationary fuel")</f>
        <v>8.2.1.1-2 Stationary fuel</v>
      </c>
      <c r="D43" s="177" t="s">
        <v>975</v>
      </c>
      <c r="E43" s="177" t="s">
        <v>976</v>
      </c>
      <c r="F43" s="25"/>
      <c r="H43" s="8"/>
      <c r="I43" s="8"/>
      <c r="M43" s="25"/>
    </row>
    <row r="44" spans="1:13" ht="20.100000000000001" customHeight="1" x14ac:dyDescent="0.2">
      <c r="A44" s="5" t="str">
        <f>HYPERLINK("#'10.1.1-2 Solid waste treatment'!A1", "10.1.1.1-2 Solid waste")</f>
        <v>10.1.1.1-2 Solid waste</v>
      </c>
      <c r="D44" s="27" t="s">
        <v>1875</v>
      </c>
      <c r="E44" s="27">
        <v>6.0000000000000001E-3</v>
      </c>
      <c r="F44" s="25"/>
      <c r="H44" s="8"/>
      <c r="I44" s="8"/>
      <c r="M44" s="25"/>
    </row>
    <row r="45" spans="1:13" ht="20.100000000000001" customHeight="1" x14ac:dyDescent="0.2">
      <c r="A45" s="5" t="str">
        <f>HYPERLINK("#'14.1.1-2 Purchased electricity'!A1", "14.1.1-2 Purchased electricity")</f>
        <v>14.1.1-2 Purchased electricity</v>
      </c>
      <c r="D45" s="27" t="s">
        <v>1876</v>
      </c>
      <c r="E45" s="27">
        <v>5.0000000000000001E-3</v>
      </c>
      <c r="F45" s="25"/>
      <c r="H45" s="8"/>
      <c r="I45" s="8"/>
      <c r="M45" s="25"/>
    </row>
    <row r="46" spans="1:13" ht="20.100000000000001" customHeight="1" x14ac:dyDescent="0.2">
      <c r="A46" s="5" t="str">
        <f>HYPERLINK("#'15 Scope 3'!A1", "15 Scope 3")</f>
        <v>15 Scope 3</v>
      </c>
      <c r="H46" s="8"/>
      <c r="I46" s="8"/>
      <c r="M46" s="25"/>
    </row>
    <row r="47" spans="1:13" ht="20.100000000000001" customHeight="1" x14ac:dyDescent="0.2">
      <c r="A47" s="5" t="str">
        <f>HYPERLINK("#'Calcs - Manure sent off-site'!A1", "Calcs - Manure sent off-site")</f>
        <v>Calcs - Manure sent off-site</v>
      </c>
      <c r="M47" s="25"/>
    </row>
    <row r="48" spans="1:13" ht="20.100000000000001" customHeight="1" x14ac:dyDescent="0.2">
      <c r="D48" s="2" t="s">
        <v>1877</v>
      </c>
      <c r="K48" s="8"/>
      <c r="L48" s="8"/>
    </row>
    <row r="49" spans="1:12" ht="20.100000000000001" customHeight="1" x14ac:dyDescent="0.2">
      <c r="D49" s="17" t="s">
        <v>1878</v>
      </c>
      <c r="K49" s="8"/>
      <c r="L49" s="8"/>
    </row>
    <row r="50" spans="1:12" ht="20.100000000000001" customHeight="1" x14ac:dyDescent="0.2">
      <c r="A50" s="85" t="s">
        <v>1</v>
      </c>
      <c r="K50" s="8"/>
      <c r="L50" s="8"/>
    </row>
    <row r="51" spans="1:12" ht="20.100000000000001" customHeight="1" x14ac:dyDescent="0.2">
      <c r="A51" s="5" t="str">
        <f>HYPERLINK("#'Constants - Pasture Beef'!A1", "Constants - Pasture Beef")</f>
        <v>Constants - Pasture Beef</v>
      </c>
      <c r="D51" s="20" t="s">
        <v>257</v>
      </c>
      <c r="E51" s="20" t="s">
        <v>977</v>
      </c>
      <c r="F51" s="20" t="s">
        <v>978</v>
      </c>
      <c r="G51" s="20" t="s">
        <v>979</v>
      </c>
      <c r="H51" s="20" t="s">
        <v>980</v>
      </c>
      <c r="I51" s="20" t="s">
        <v>981</v>
      </c>
      <c r="K51" s="8"/>
      <c r="L51" s="8"/>
    </row>
    <row r="52" spans="1:12" ht="20.100000000000001" customHeight="1" x14ac:dyDescent="0.2">
      <c r="A52" s="86" t="str">
        <f>HYPERLINK("#'Constants - Ag Residue'!A1", "Constants - Ag residue")</f>
        <v>Constants - Ag residue</v>
      </c>
      <c r="D52" s="20" t="s">
        <v>1879</v>
      </c>
      <c r="E52" s="20">
        <v>4.41</v>
      </c>
      <c r="F52" s="20">
        <v>0.4</v>
      </c>
      <c r="G52" s="20">
        <v>1.4999999999999999E-2</v>
      </c>
      <c r="H52" s="20">
        <v>1.2E-2</v>
      </c>
      <c r="I52" s="20">
        <v>0.8</v>
      </c>
      <c r="L52" s="8"/>
    </row>
    <row r="53" spans="1:12" ht="20.100000000000001" customHeight="1" x14ac:dyDescent="0.2">
      <c r="A53" s="5" t="str">
        <f>HYPERLINK("#'Constants - Common Livestock'!A1", "Constants - Common Livestock")</f>
        <v>Constants - Common Livestock</v>
      </c>
      <c r="D53" s="20" t="s">
        <v>1880</v>
      </c>
      <c r="E53" s="20">
        <v>8.34</v>
      </c>
      <c r="F53" s="20">
        <v>0.8</v>
      </c>
      <c r="G53" s="20">
        <v>2.5000000000000001E-2</v>
      </c>
      <c r="H53" s="20">
        <v>1.6E-2</v>
      </c>
      <c r="I53" s="20">
        <v>0.8</v>
      </c>
      <c r="L53" s="8"/>
    </row>
    <row r="54" spans="1:12" ht="20.100000000000001" customHeight="1" x14ac:dyDescent="0.2">
      <c r="A54" s="5" t="str">
        <f>HYPERLINK("#'Constants - Electricity'!A1", "Constants - Electricity")</f>
        <v>Constants - Electricity</v>
      </c>
      <c r="D54" s="20" t="s">
        <v>1881</v>
      </c>
      <c r="E54" s="20">
        <v>8.6199999999999992</v>
      </c>
      <c r="F54" s="20">
        <v>0.4</v>
      </c>
      <c r="G54" s="20">
        <v>2.7E-2</v>
      </c>
      <c r="H54" s="20">
        <v>1.9E-2</v>
      </c>
      <c r="I54" s="20">
        <v>0.8</v>
      </c>
    </row>
    <row r="55" spans="1:12" ht="20.100000000000001" customHeight="1" x14ac:dyDescent="0.2">
      <c r="A55" s="5" t="str">
        <f>HYPERLINK("#'Constants - Fertiliser'!A1", "Constants - Fertiliser")</f>
        <v>Constants - Fertiliser</v>
      </c>
      <c r="D55" s="20" t="s">
        <v>1882</v>
      </c>
      <c r="E55" s="20">
        <v>5.62</v>
      </c>
      <c r="F55" s="20">
        <v>0.4</v>
      </c>
      <c r="G55" s="20">
        <v>2.7E-2</v>
      </c>
      <c r="H55" s="20">
        <v>2.1999999999999999E-2</v>
      </c>
      <c r="I55" s="20">
        <v>0.8</v>
      </c>
    </row>
    <row r="56" spans="1:12" ht="20.100000000000001" customHeight="1" x14ac:dyDescent="0.2">
      <c r="A56" s="5" t="str">
        <f>HYPERLINK("#'Constants - Fuel'!A1", "Constants - Fuel")</f>
        <v>Constants - Fuel</v>
      </c>
      <c r="D56" s="20" t="s">
        <v>1883</v>
      </c>
      <c r="E56" s="20">
        <v>8.35</v>
      </c>
      <c r="F56" s="20">
        <v>0.8</v>
      </c>
      <c r="G56" s="20">
        <v>1.4999999999999999E-2</v>
      </c>
      <c r="H56" s="20">
        <v>1.2E-2</v>
      </c>
      <c r="I56" s="20">
        <v>0.8</v>
      </c>
    </row>
    <row r="57" spans="1:12" ht="20.100000000000001" customHeight="1" x14ac:dyDescent="0.2">
      <c r="A57" s="5" t="str">
        <f>HYPERLINK("#'Constants - Scope 3'!A1", "Constants - Scope 3")</f>
        <v>Constants - Scope 3</v>
      </c>
      <c r="H57" s="8"/>
    </row>
    <row r="58" spans="1:12" ht="20.100000000000001" customHeight="1" x14ac:dyDescent="0.2">
      <c r="A58" s="5" t="str">
        <f>HYPERLINK("#'Constants - Solid Waste'!A1", "Constants - Solid Waste")</f>
        <v>Constants - Solid Waste</v>
      </c>
    </row>
    <row r="59" spans="1:12" ht="20.100000000000001" customHeight="1" x14ac:dyDescent="0.2">
      <c r="A59" s="5" t="str">
        <f>HYPERLINK("#'Constants - Common'!A1", "Constants - Common")</f>
        <v>Constants - Common</v>
      </c>
      <c r="D59" s="2" t="s">
        <v>1884</v>
      </c>
    </row>
    <row r="60" spans="1:12" ht="20.100000000000001" customHeight="1" x14ac:dyDescent="0.2">
      <c r="A60" s="5" t="str">
        <f>HYPERLINK("#'Acknowledgements'!A1", "Acknowledgements")</f>
        <v>Acknowledgements</v>
      </c>
      <c r="D60" s="17" t="s">
        <v>1885</v>
      </c>
    </row>
    <row r="62" spans="1:12" ht="20.100000000000001" customHeight="1" x14ac:dyDescent="0.2">
      <c r="D62" s="20" t="s">
        <v>982</v>
      </c>
      <c r="E62" s="20" t="s">
        <v>983</v>
      </c>
      <c r="F62" s="20" t="s">
        <v>984</v>
      </c>
    </row>
    <row r="63" spans="1:12" ht="20.100000000000001" customHeight="1" x14ac:dyDescent="0.2">
      <c r="D63" s="20" t="s">
        <v>837</v>
      </c>
      <c r="E63" s="20">
        <v>3.5000000000000001E-3</v>
      </c>
      <c r="F63" s="20" t="s">
        <v>1886</v>
      </c>
      <c r="K63" s="8"/>
      <c r="L63" s="8"/>
    </row>
    <row r="64" spans="1:12" ht="20.100000000000001" customHeight="1" x14ac:dyDescent="0.2">
      <c r="D64" s="1" t="s">
        <v>838</v>
      </c>
      <c r="E64" s="20">
        <v>7.6E-3</v>
      </c>
      <c r="F64" s="20" t="s">
        <v>1887</v>
      </c>
      <c r="K64" s="8"/>
      <c r="L64" s="8"/>
    </row>
    <row r="65" spans="4:12" ht="20.100000000000001" customHeight="1" x14ac:dyDescent="0.2">
      <c r="D65" s="1" t="s">
        <v>1888</v>
      </c>
      <c r="E65" s="20">
        <v>0.21</v>
      </c>
      <c r="F65" s="20" t="s">
        <v>1889</v>
      </c>
      <c r="K65" s="8"/>
      <c r="L65" s="8"/>
    </row>
    <row r="66" spans="4:12" ht="20.100000000000001" customHeight="1" x14ac:dyDescent="0.2">
      <c r="D66" s="1" t="s">
        <v>1890</v>
      </c>
      <c r="E66" s="20">
        <v>7.8E-2</v>
      </c>
      <c r="F66" s="20" t="s">
        <v>1891</v>
      </c>
      <c r="K66" s="8"/>
      <c r="L66" s="8"/>
    </row>
    <row r="67" spans="4:12" ht="20.100000000000001" customHeight="1" x14ac:dyDescent="0.2">
      <c r="D67" s="1" t="s">
        <v>1892</v>
      </c>
      <c r="E67" s="20">
        <v>9.1000000000000004E-3</v>
      </c>
      <c r="F67" s="20" t="s">
        <v>1893</v>
      </c>
      <c r="K67" s="8"/>
      <c r="L67" s="8"/>
    </row>
    <row r="68" spans="4:12" ht="20.100000000000001" customHeight="1" x14ac:dyDescent="0.2">
      <c r="K68" s="8"/>
      <c r="L68" s="8"/>
    </row>
    <row r="69" spans="4:12" ht="20.100000000000001" customHeight="1" x14ac:dyDescent="0.2">
      <c r="K69" s="8"/>
      <c r="L69" s="8"/>
    </row>
    <row r="70" spans="4:12" ht="20.100000000000001" customHeight="1" x14ac:dyDescent="0.2">
      <c r="D70" s="2" t="s">
        <v>1894</v>
      </c>
      <c r="E70" s="8"/>
      <c r="F70" s="8"/>
      <c r="G70" s="8"/>
      <c r="K70" s="8"/>
      <c r="L70" s="8"/>
    </row>
    <row r="71" spans="4:12" ht="20.100000000000001" customHeight="1" x14ac:dyDescent="0.2">
      <c r="D71" s="17" t="s">
        <v>1895</v>
      </c>
      <c r="E71" s="8"/>
      <c r="F71" s="8"/>
      <c r="G71" s="8"/>
      <c r="K71" s="8"/>
      <c r="L71" s="8"/>
    </row>
    <row r="72" spans="4:12" ht="20.100000000000001" customHeight="1" x14ac:dyDescent="0.2">
      <c r="D72" s="8"/>
      <c r="E72" s="8"/>
      <c r="F72" s="8"/>
      <c r="G72" s="8"/>
      <c r="K72" s="8"/>
      <c r="L72" s="8"/>
    </row>
    <row r="73" spans="4:12" ht="20.100000000000001" customHeight="1" x14ac:dyDescent="0.2">
      <c r="D73" t="s">
        <v>985</v>
      </c>
      <c r="E73" t="s">
        <v>105</v>
      </c>
      <c r="F73" t="s">
        <v>986</v>
      </c>
      <c r="G73" s="8"/>
      <c r="K73" s="8"/>
      <c r="L73" s="8"/>
    </row>
    <row r="74" spans="4:12" ht="20.100000000000001" customHeight="1" x14ac:dyDescent="0.2">
      <c r="D74" t="s">
        <v>1860</v>
      </c>
      <c r="E74" t="s">
        <v>1896</v>
      </c>
      <c r="F74">
        <v>0.06</v>
      </c>
      <c r="G74" s="8"/>
      <c r="K74" s="8"/>
      <c r="L74" s="8"/>
    </row>
    <row r="75" spans="4:12" ht="20.100000000000001" customHeight="1" x14ac:dyDescent="0.2">
      <c r="D75" s="8" t="s">
        <v>1865</v>
      </c>
      <c r="E75" t="s">
        <v>1896</v>
      </c>
      <c r="F75">
        <v>1</v>
      </c>
      <c r="G75" s="8"/>
      <c r="H75" s="8"/>
      <c r="K75" s="8"/>
      <c r="L75" s="8"/>
    </row>
    <row r="76" spans="4:12" ht="20.100000000000001" customHeight="1" x14ac:dyDescent="0.2">
      <c r="D76" s="8" t="s">
        <v>667</v>
      </c>
      <c r="E76" t="s">
        <v>1896</v>
      </c>
      <c r="F76">
        <v>0</v>
      </c>
      <c r="G76" s="8"/>
      <c r="H76" s="8"/>
      <c r="K76" s="8"/>
      <c r="L76" s="8"/>
    </row>
    <row r="77" spans="4:12" ht="20.100000000000001" customHeight="1" x14ac:dyDescent="0.2">
      <c r="D77" s="8" t="s">
        <v>1868</v>
      </c>
      <c r="E77" t="s">
        <v>1896</v>
      </c>
      <c r="F77">
        <v>0</v>
      </c>
      <c r="G77" s="8"/>
      <c r="H77" s="8"/>
      <c r="I77" s="8"/>
      <c r="J77" s="8"/>
      <c r="K77" s="8"/>
      <c r="L77" s="8"/>
    </row>
    <row r="78" spans="4:12" ht="20.100000000000001" customHeight="1" x14ac:dyDescent="0.2">
      <c r="D78" s="8" t="s">
        <v>1870</v>
      </c>
      <c r="E78" t="s">
        <v>1896</v>
      </c>
      <c r="F78">
        <v>0.8</v>
      </c>
      <c r="G78" s="8"/>
      <c r="H78" s="8"/>
      <c r="I78" s="8"/>
      <c r="J78" s="8"/>
      <c r="K78" s="8"/>
      <c r="L78" s="8"/>
    </row>
    <row r="79" spans="4:12" ht="20.100000000000001" customHeight="1" x14ac:dyDescent="0.2">
      <c r="D79" s="8" t="s">
        <v>1897</v>
      </c>
      <c r="E79" t="s">
        <v>520</v>
      </c>
      <c r="F79">
        <v>0</v>
      </c>
      <c r="G79" s="8"/>
      <c r="H79" s="8"/>
      <c r="I79" s="8"/>
      <c r="J79" s="8"/>
      <c r="K79" s="8"/>
      <c r="L79" s="8"/>
    </row>
    <row r="80" spans="4:12" ht="20.100000000000001" customHeight="1" x14ac:dyDescent="0.2">
      <c r="D80" s="8" t="s">
        <v>1897</v>
      </c>
      <c r="E80" t="s">
        <v>533</v>
      </c>
      <c r="F80">
        <v>0.03</v>
      </c>
      <c r="G80" s="8"/>
      <c r="H80" s="8"/>
      <c r="I80" s="8"/>
      <c r="J80" s="8"/>
      <c r="K80" s="8"/>
      <c r="L80" s="8"/>
    </row>
    <row r="81" spans="4:12" ht="20.100000000000001" customHeight="1" x14ac:dyDescent="0.2">
      <c r="D81" s="8" t="s">
        <v>1897</v>
      </c>
      <c r="E81" t="s">
        <v>525</v>
      </c>
      <c r="F81">
        <v>0</v>
      </c>
      <c r="G81" s="8"/>
      <c r="H81" s="8"/>
      <c r="I81" s="8"/>
      <c r="J81" s="8"/>
      <c r="K81" s="8"/>
      <c r="L81" s="8"/>
    </row>
    <row r="82" spans="4:12" ht="20.100000000000001" customHeight="1" x14ac:dyDescent="0.2">
      <c r="D82" s="8" t="s">
        <v>1898</v>
      </c>
      <c r="E82" t="s">
        <v>520</v>
      </c>
      <c r="F82">
        <v>0.05</v>
      </c>
      <c r="G82" s="8"/>
      <c r="H82" s="8"/>
      <c r="I82" s="8"/>
      <c r="J82" s="8"/>
      <c r="K82" s="8"/>
      <c r="L82" s="8"/>
    </row>
    <row r="83" spans="4:12" ht="20.100000000000001" customHeight="1" x14ac:dyDescent="0.2">
      <c r="D83" s="8" t="s">
        <v>1898</v>
      </c>
      <c r="E83" t="s">
        <v>523</v>
      </c>
      <c r="F83">
        <v>7.0000000000000007E-2</v>
      </c>
      <c r="G83" s="8"/>
      <c r="H83" s="8"/>
      <c r="I83" s="8"/>
      <c r="J83" s="8"/>
      <c r="K83" s="8"/>
      <c r="L83" s="8"/>
    </row>
    <row r="84" spans="4:12" ht="20.100000000000001" customHeight="1" x14ac:dyDescent="0.2">
      <c r="D84" s="8" t="s">
        <v>1898</v>
      </c>
      <c r="E84" t="s">
        <v>533</v>
      </c>
      <c r="F84">
        <v>0.04</v>
      </c>
      <c r="G84" s="8"/>
      <c r="H84" s="8"/>
      <c r="I84" s="8"/>
      <c r="J84" s="8"/>
      <c r="K84" s="8"/>
      <c r="L84" s="8"/>
    </row>
    <row r="85" spans="4:12" ht="20.100000000000001" customHeight="1" x14ac:dyDescent="0.2">
      <c r="D85" s="8" t="s">
        <v>1898</v>
      </c>
      <c r="E85" t="s">
        <v>521</v>
      </c>
      <c r="F85">
        <v>0.09</v>
      </c>
      <c r="G85" s="8"/>
      <c r="H85" s="8"/>
      <c r="I85" s="8"/>
      <c r="J85" s="8"/>
      <c r="K85" s="8"/>
      <c r="L85" s="8"/>
    </row>
    <row r="86" spans="4:12" ht="20.100000000000001" customHeight="1" x14ac:dyDescent="0.2">
      <c r="D86" s="8" t="s">
        <v>1898</v>
      </c>
      <c r="E86" t="s">
        <v>525</v>
      </c>
      <c r="F86">
        <v>0.11</v>
      </c>
      <c r="G86" s="8"/>
      <c r="H86" s="8"/>
      <c r="I86" s="8"/>
      <c r="J86" s="8"/>
      <c r="K86" s="8"/>
      <c r="L86" s="8"/>
    </row>
    <row r="87" spans="4:12" ht="20.100000000000001" customHeight="1" x14ac:dyDescent="0.2">
      <c r="D87" s="8" t="s">
        <v>1898</v>
      </c>
      <c r="E87" t="s">
        <v>522</v>
      </c>
      <c r="F87">
        <v>0.16</v>
      </c>
      <c r="G87" s="8"/>
      <c r="H87" s="8"/>
      <c r="I87" s="8"/>
      <c r="J87" s="8"/>
      <c r="K87" s="8"/>
      <c r="L87" s="8"/>
    </row>
    <row r="88" spans="4:12" ht="20.100000000000001" customHeight="1" x14ac:dyDescent="0.2">
      <c r="D88" s="8" t="s">
        <v>1898</v>
      </c>
      <c r="E88" t="s">
        <v>529</v>
      </c>
      <c r="F88">
        <v>0.01</v>
      </c>
      <c r="G88" s="8"/>
      <c r="H88" s="8"/>
      <c r="I88" s="8"/>
      <c r="J88" s="8"/>
      <c r="K88" s="8"/>
      <c r="L88" s="8"/>
    </row>
    <row r="89" spans="4:12" ht="20.100000000000001" customHeight="1" x14ac:dyDescent="0.2">
      <c r="D89" s="8" t="s">
        <v>1898</v>
      </c>
      <c r="E89" t="s">
        <v>519</v>
      </c>
      <c r="F89">
        <v>0</v>
      </c>
      <c r="G89" s="8"/>
      <c r="H89" s="8"/>
      <c r="I89" s="8"/>
      <c r="J89" s="8"/>
      <c r="K89" s="8"/>
      <c r="L89" s="8"/>
    </row>
    <row r="90" spans="4:12" ht="20.100000000000001" customHeight="1" x14ac:dyDescent="0.2">
      <c r="D90" s="8"/>
      <c r="E90" s="8"/>
      <c r="F90" s="8"/>
      <c r="G90" s="8"/>
      <c r="H90" s="8"/>
      <c r="I90" s="8"/>
      <c r="J90" s="8"/>
      <c r="K90" s="8"/>
      <c r="L90" s="8"/>
    </row>
    <row r="91" spans="4:12" ht="20.100000000000001" customHeight="1" x14ac:dyDescent="0.2">
      <c r="D91" s="26" t="str" cm="1">
        <f t="array" ref="D91">"⚠️" &amp; Agresidue_SourceData.CropFractionRemoved_Variation()</f>
        <v>⚠️VARIATION OF SOURCE DATA: Split 'All other crop types' into individual crop types for each state. Listed all states for Sugar Cane, with 'N/A' for states where it is not grown.</v>
      </c>
      <c r="E91" s="8"/>
      <c r="F91" s="8"/>
      <c r="G91" s="8"/>
      <c r="H91" s="8"/>
      <c r="I91" s="8"/>
      <c r="J91" s="8"/>
      <c r="K91" s="8"/>
      <c r="L91" s="8"/>
    </row>
    <row r="92" spans="4:12" ht="20.100000000000001" customHeight="1" x14ac:dyDescent="0.2">
      <c r="D92" t="s">
        <v>985</v>
      </c>
      <c r="E92" t="s">
        <v>105</v>
      </c>
      <c r="F92" t="s">
        <v>986</v>
      </c>
      <c r="G92" s="8"/>
      <c r="H92" s="8"/>
      <c r="I92" s="8"/>
      <c r="J92" s="8"/>
      <c r="K92" s="8"/>
      <c r="L92" s="8"/>
    </row>
    <row r="93" spans="4:12" ht="20.100000000000001" customHeight="1" x14ac:dyDescent="0.2">
      <c r="D93" t="s">
        <v>1860</v>
      </c>
      <c r="E93" t="s">
        <v>520</v>
      </c>
      <c r="F93">
        <v>0.06</v>
      </c>
      <c r="G93" s="8"/>
      <c r="H93" s="8"/>
      <c r="I93" s="8"/>
      <c r="J93" s="8"/>
      <c r="K93" s="8"/>
      <c r="L93" s="8"/>
    </row>
    <row r="94" spans="4:12" ht="20.100000000000001" customHeight="1" x14ac:dyDescent="0.2">
      <c r="D94" s="8" t="s">
        <v>1860</v>
      </c>
      <c r="E94" t="s">
        <v>523</v>
      </c>
      <c r="F94">
        <v>0.06</v>
      </c>
      <c r="G94" s="8"/>
      <c r="H94" s="8"/>
      <c r="I94" s="8"/>
      <c r="J94" s="8"/>
      <c r="K94" s="8"/>
      <c r="L94" s="8"/>
    </row>
    <row r="95" spans="4:12" ht="20.100000000000001" customHeight="1" x14ac:dyDescent="0.2">
      <c r="D95" s="8" t="s">
        <v>1860</v>
      </c>
      <c r="E95" t="s">
        <v>533</v>
      </c>
      <c r="F95">
        <v>0.06</v>
      </c>
      <c r="G95" s="8"/>
      <c r="H95" s="8"/>
      <c r="I95" s="8"/>
      <c r="J95" s="8"/>
      <c r="K95" s="8"/>
      <c r="L95" s="8"/>
    </row>
    <row r="96" spans="4:12" ht="20.100000000000001" customHeight="1" x14ac:dyDescent="0.2">
      <c r="D96" s="8" t="s">
        <v>1860</v>
      </c>
      <c r="E96" t="s">
        <v>521</v>
      </c>
      <c r="F96">
        <v>0.06</v>
      </c>
      <c r="G96" s="8"/>
      <c r="H96" s="8"/>
      <c r="I96" s="8"/>
      <c r="J96" s="8"/>
      <c r="K96" s="8"/>
      <c r="L96" s="8"/>
    </row>
    <row r="97" spans="4:12" ht="20.100000000000001" customHeight="1" x14ac:dyDescent="0.2">
      <c r="D97" s="8" t="s">
        <v>1860</v>
      </c>
      <c r="E97" t="s">
        <v>525</v>
      </c>
      <c r="F97">
        <v>0.06</v>
      </c>
      <c r="G97" s="8"/>
      <c r="H97" s="8"/>
      <c r="I97" s="8"/>
      <c r="J97" s="8"/>
      <c r="K97" s="8"/>
      <c r="L97" s="8"/>
    </row>
    <row r="98" spans="4:12" ht="20.100000000000001" customHeight="1" x14ac:dyDescent="0.2">
      <c r="D98" s="8" t="s">
        <v>1860</v>
      </c>
      <c r="E98" t="s">
        <v>522</v>
      </c>
      <c r="F98">
        <v>0.06</v>
      </c>
      <c r="G98" s="8"/>
      <c r="H98" s="8"/>
      <c r="I98" s="8"/>
      <c r="J98" s="8"/>
      <c r="K98" s="8"/>
      <c r="L98" s="8"/>
    </row>
    <row r="99" spans="4:12" ht="20.100000000000001" customHeight="1" x14ac:dyDescent="0.2">
      <c r="D99" s="8" t="s">
        <v>1860</v>
      </c>
      <c r="E99" t="s">
        <v>529</v>
      </c>
      <c r="F99">
        <v>0.06</v>
      </c>
      <c r="G99" s="8"/>
      <c r="H99" s="8"/>
      <c r="I99" s="8"/>
      <c r="J99" s="8"/>
      <c r="K99" s="8"/>
      <c r="L99" s="8"/>
    </row>
    <row r="100" spans="4:12" ht="20.100000000000001" customHeight="1" x14ac:dyDescent="0.2">
      <c r="D100" s="8" t="s">
        <v>1860</v>
      </c>
      <c r="E100" t="s">
        <v>519</v>
      </c>
      <c r="F100">
        <v>0.06</v>
      </c>
      <c r="G100" s="8"/>
      <c r="H100" s="8"/>
      <c r="I100" s="8"/>
      <c r="J100" s="8"/>
      <c r="K100" s="8"/>
      <c r="L100" s="8"/>
    </row>
    <row r="101" spans="4:12" ht="20.100000000000001" customHeight="1" x14ac:dyDescent="0.2">
      <c r="D101" s="8" t="s">
        <v>1865</v>
      </c>
      <c r="E101" t="s">
        <v>520</v>
      </c>
      <c r="F101">
        <v>1</v>
      </c>
      <c r="G101" s="8"/>
      <c r="H101" s="8"/>
      <c r="I101" s="8"/>
      <c r="J101" s="8"/>
      <c r="K101" s="8"/>
      <c r="L101" s="8"/>
    </row>
    <row r="102" spans="4:12" ht="20.100000000000001" customHeight="1" x14ac:dyDescent="0.2">
      <c r="D102" s="8" t="s">
        <v>1865</v>
      </c>
      <c r="E102" t="s">
        <v>523</v>
      </c>
      <c r="F102">
        <v>1</v>
      </c>
      <c r="G102" s="8"/>
      <c r="H102" s="8"/>
      <c r="I102" s="8"/>
      <c r="J102" s="8"/>
      <c r="K102" s="8"/>
      <c r="L102" s="8"/>
    </row>
    <row r="103" spans="4:12" ht="20.100000000000001" customHeight="1" x14ac:dyDescent="0.2">
      <c r="D103" s="8" t="s">
        <v>1865</v>
      </c>
      <c r="E103" t="s">
        <v>533</v>
      </c>
      <c r="F103">
        <v>1</v>
      </c>
      <c r="G103" s="8"/>
      <c r="H103" s="8"/>
      <c r="I103" s="8"/>
      <c r="J103" s="8"/>
      <c r="K103" s="8"/>
      <c r="L103" s="8"/>
    </row>
    <row r="104" spans="4:12" ht="20.100000000000001" customHeight="1" x14ac:dyDescent="0.2">
      <c r="D104" s="8" t="s">
        <v>1865</v>
      </c>
      <c r="E104" t="s">
        <v>521</v>
      </c>
      <c r="F104">
        <v>1</v>
      </c>
      <c r="G104" s="8"/>
      <c r="H104" s="8"/>
      <c r="I104" s="8"/>
      <c r="J104" s="8"/>
      <c r="K104" s="8"/>
      <c r="L104" s="8"/>
    </row>
    <row r="105" spans="4:12" ht="20.100000000000001" customHeight="1" x14ac:dyDescent="0.2">
      <c r="D105" s="8" t="s">
        <v>1865</v>
      </c>
      <c r="E105" t="s">
        <v>525</v>
      </c>
      <c r="F105">
        <v>1</v>
      </c>
      <c r="G105" s="8"/>
      <c r="H105" s="8"/>
      <c r="I105" s="8"/>
      <c r="J105" s="8"/>
      <c r="K105" s="8"/>
      <c r="L105" s="8"/>
    </row>
    <row r="106" spans="4:12" ht="20.100000000000001" customHeight="1" x14ac:dyDescent="0.2">
      <c r="D106" s="8" t="s">
        <v>1865</v>
      </c>
      <c r="E106" t="s">
        <v>522</v>
      </c>
      <c r="F106">
        <v>1</v>
      </c>
      <c r="G106" s="8"/>
      <c r="H106" s="8"/>
      <c r="I106" s="8"/>
      <c r="J106" s="8"/>
      <c r="K106" s="8"/>
      <c r="L106" s="8"/>
    </row>
    <row r="107" spans="4:12" ht="20.100000000000001" customHeight="1" x14ac:dyDescent="0.2">
      <c r="D107" s="8" t="s">
        <v>1865</v>
      </c>
      <c r="E107" t="s">
        <v>529</v>
      </c>
      <c r="F107">
        <v>1</v>
      </c>
      <c r="G107" s="8"/>
      <c r="H107" s="8"/>
      <c r="I107" s="8"/>
      <c r="J107" s="8"/>
      <c r="K107" s="8"/>
      <c r="L107" s="8"/>
    </row>
    <row r="108" spans="4:12" ht="20.100000000000001" customHeight="1" x14ac:dyDescent="0.2">
      <c r="D108" s="8" t="s">
        <v>1865</v>
      </c>
      <c r="E108" t="s">
        <v>519</v>
      </c>
      <c r="F108">
        <v>1</v>
      </c>
      <c r="G108" s="8"/>
      <c r="H108" s="8"/>
      <c r="I108" s="8"/>
      <c r="J108" s="8"/>
      <c r="K108" s="8"/>
      <c r="L108" s="8"/>
    </row>
    <row r="109" spans="4:12" ht="20.100000000000001" customHeight="1" x14ac:dyDescent="0.2">
      <c r="D109" s="8" t="s">
        <v>667</v>
      </c>
      <c r="E109" t="s">
        <v>520</v>
      </c>
      <c r="F109">
        <v>0</v>
      </c>
      <c r="G109" s="8"/>
      <c r="H109" s="8"/>
      <c r="I109" s="8"/>
      <c r="J109" s="8"/>
      <c r="K109" s="8"/>
      <c r="L109" s="8"/>
    </row>
    <row r="110" spans="4:12" ht="20.100000000000001" customHeight="1" x14ac:dyDescent="0.2">
      <c r="D110" s="8" t="s">
        <v>667</v>
      </c>
      <c r="E110" t="s">
        <v>523</v>
      </c>
      <c r="F110">
        <v>0</v>
      </c>
      <c r="G110" s="8"/>
      <c r="H110" s="8"/>
      <c r="I110" s="8"/>
      <c r="J110" s="8"/>
      <c r="K110" s="8"/>
      <c r="L110" s="8"/>
    </row>
    <row r="111" spans="4:12" ht="20.100000000000001" customHeight="1" x14ac:dyDescent="0.2">
      <c r="D111" s="8" t="s">
        <v>667</v>
      </c>
      <c r="E111" t="s">
        <v>533</v>
      </c>
      <c r="F111">
        <v>0</v>
      </c>
      <c r="G111" s="8"/>
      <c r="H111" s="8"/>
      <c r="I111" s="8"/>
      <c r="J111" s="8"/>
      <c r="K111" s="8"/>
      <c r="L111" s="8"/>
    </row>
    <row r="112" spans="4:12" ht="20.100000000000001" customHeight="1" x14ac:dyDescent="0.2">
      <c r="D112" s="8" t="s">
        <v>667</v>
      </c>
      <c r="E112" t="s">
        <v>521</v>
      </c>
      <c r="F112">
        <v>0</v>
      </c>
      <c r="G112" s="8"/>
      <c r="H112" s="8"/>
      <c r="I112" s="8"/>
      <c r="J112" s="8"/>
      <c r="K112" s="8"/>
      <c r="L112" s="8"/>
    </row>
    <row r="113" spans="4:12" ht="20.100000000000001" customHeight="1" x14ac:dyDescent="0.2">
      <c r="D113" s="8" t="s">
        <v>667</v>
      </c>
      <c r="E113" t="s">
        <v>525</v>
      </c>
      <c r="F113">
        <v>0</v>
      </c>
      <c r="G113" s="8"/>
      <c r="H113" s="8"/>
      <c r="I113" s="8"/>
      <c r="J113" s="8"/>
      <c r="K113" s="8"/>
      <c r="L113" s="8"/>
    </row>
    <row r="114" spans="4:12" ht="20.100000000000001" customHeight="1" x14ac:dyDescent="0.2">
      <c r="D114" s="8" t="s">
        <v>667</v>
      </c>
      <c r="E114" t="s">
        <v>522</v>
      </c>
      <c r="F114">
        <v>0</v>
      </c>
      <c r="G114" s="8"/>
      <c r="H114" s="8"/>
      <c r="I114" s="8"/>
      <c r="J114" s="8"/>
      <c r="K114" s="8"/>
      <c r="L114" s="8"/>
    </row>
    <row r="115" spans="4:12" ht="20.100000000000001" customHeight="1" x14ac:dyDescent="0.2">
      <c r="D115" s="8" t="s">
        <v>667</v>
      </c>
      <c r="E115" t="s">
        <v>529</v>
      </c>
      <c r="F115">
        <v>0</v>
      </c>
      <c r="G115" s="8"/>
      <c r="H115" s="8"/>
      <c r="I115" s="8"/>
      <c r="J115" s="8"/>
      <c r="K115" s="8"/>
      <c r="L115" s="8"/>
    </row>
    <row r="116" spans="4:12" ht="20.100000000000001" customHeight="1" x14ac:dyDescent="0.2">
      <c r="D116" s="8" t="s">
        <v>667</v>
      </c>
      <c r="E116" t="s">
        <v>519</v>
      </c>
      <c r="F116">
        <v>0</v>
      </c>
      <c r="G116" s="8"/>
      <c r="H116" s="8"/>
      <c r="I116" s="8"/>
      <c r="J116" s="8"/>
      <c r="K116" s="8"/>
      <c r="L116" s="8"/>
    </row>
    <row r="117" spans="4:12" ht="20.100000000000001" customHeight="1" x14ac:dyDescent="0.2">
      <c r="D117" s="8" t="s">
        <v>1868</v>
      </c>
      <c r="E117" t="s">
        <v>520</v>
      </c>
      <c r="F117">
        <v>0</v>
      </c>
      <c r="G117" s="8"/>
      <c r="H117" s="8"/>
      <c r="I117" s="8"/>
      <c r="J117" s="8"/>
      <c r="K117" s="8"/>
      <c r="L117" s="8"/>
    </row>
    <row r="118" spans="4:12" ht="20.100000000000001" customHeight="1" x14ac:dyDescent="0.2">
      <c r="D118" s="8" t="s">
        <v>1868</v>
      </c>
      <c r="E118" t="s">
        <v>523</v>
      </c>
      <c r="F118">
        <v>0</v>
      </c>
      <c r="G118" s="8"/>
      <c r="H118" s="8"/>
      <c r="I118" s="8"/>
      <c r="J118" s="8"/>
      <c r="K118" s="8"/>
      <c r="L118" s="8"/>
    </row>
    <row r="119" spans="4:12" ht="20.100000000000001" customHeight="1" x14ac:dyDescent="0.2">
      <c r="D119" s="8" t="s">
        <v>1868</v>
      </c>
      <c r="E119" t="s">
        <v>533</v>
      </c>
      <c r="F119">
        <v>0</v>
      </c>
      <c r="G119" s="8"/>
      <c r="H119" s="8"/>
      <c r="I119" s="8"/>
      <c r="J119" s="8"/>
      <c r="K119" s="8"/>
      <c r="L119" s="8"/>
    </row>
    <row r="120" spans="4:12" ht="20.100000000000001" customHeight="1" x14ac:dyDescent="0.2">
      <c r="D120" s="8" t="s">
        <v>1868</v>
      </c>
      <c r="E120" t="s">
        <v>521</v>
      </c>
      <c r="F120">
        <v>0</v>
      </c>
      <c r="G120" s="8"/>
      <c r="H120" s="8"/>
      <c r="I120" s="8"/>
      <c r="J120" s="8"/>
      <c r="K120" s="8"/>
      <c r="L120" s="8"/>
    </row>
    <row r="121" spans="4:12" ht="20.100000000000001" customHeight="1" x14ac:dyDescent="0.2">
      <c r="D121" s="8" t="s">
        <v>1868</v>
      </c>
      <c r="E121" t="s">
        <v>525</v>
      </c>
      <c r="F121">
        <v>0</v>
      </c>
      <c r="G121" s="8"/>
      <c r="H121" s="8"/>
      <c r="I121" s="8"/>
      <c r="J121" s="8"/>
      <c r="K121" s="8"/>
      <c r="L121" s="8"/>
    </row>
    <row r="122" spans="4:12" ht="20.100000000000001" customHeight="1" x14ac:dyDescent="0.2">
      <c r="D122" s="8" t="s">
        <v>1868</v>
      </c>
      <c r="E122" t="s">
        <v>522</v>
      </c>
      <c r="F122">
        <v>0</v>
      </c>
      <c r="G122" s="8"/>
      <c r="H122" s="8"/>
      <c r="I122" s="8"/>
      <c r="J122" s="8"/>
      <c r="K122" s="8"/>
      <c r="L122" s="8"/>
    </row>
    <row r="123" spans="4:12" ht="20.100000000000001" customHeight="1" x14ac:dyDescent="0.2">
      <c r="D123" s="8" t="s">
        <v>1868</v>
      </c>
      <c r="E123" t="s">
        <v>529</v>
      </c>
      <c r="F123">
        <v>0</v>
      </c>
      <c r="G123" s="8"/>
      <c r="H123" s="8"/>
      <c r="I123" s="8"/>
      <c r="J123" s="8"/>
      <c r="K123" s="8"/>
      <c r="L123" s="8"/>
    </row>
    <row r="124" spans="4:12" ht="20.100000000000001" customHeight="1" x14ac:dyDescent="0.2">
      <c r="D124" s="8" t="s">
        <v>1868</v>
      </c>
      <c r="E124" t="s">
        <v>519</v>
      </c>
      <c r="F124">
        <v>0</v>
      </c>
      <c r="G124" s="8"/>
      <c r="H124" s="8"/>
      <c r="I124" s="8"/>
      <c r="J124" s="8"/>
      <c r="K124" s="8"/>
      <c r="L124" s="8"/>
    </row>
    <row r="125" spans="4:12" ht="20.100000000000001" customHeight="1" x14ac:dyDescent="0.2">
      <c r="D125" s="8" t="s">
        <v>1870</v>
      </c>
      <c r="E125" t="s">
        <v>520</v>
      </c>
      <c r="F125">
        <v>0.8</v>
      </c>
      <c r="G125" s="8"/>
      <c r="H125" s="8"/>
      <c r="I125" s="8"/>
      <c r="J125" s="8"/>
      <c r="K125" s="8"/>
      <c r="L125" s="8"/>
    </row>
    <row r="126" spans="4:12" ht="20.100000000000001" customHeight="1" x14ac:dyDescent="0.2">
      <c r="D126" s="8" t="s">
        <v>1870</v>
      </c>
      <c r="E126" t="s">
        <v>523</v>
      </c>
      <c r="F126">
        <v>0.8</v>
      </c>
      <c r="G126" s="8"/>
      <c r="H126" s="8"/>
      <c r="I126" s="8"/>
      <c r="J126" s="8"/>
      <c r="K126" s="8"/>
      <c r="L126" s="8"/>
    </row>
    <row r="127" spans="4:12" ht="20.100000000000001" customHeight="1" x14ac:dyDescent="0.2">
      <c r="D127" s="8" t="s">
        <v>1870</v>
      </c>
      <c r="E127" t="s">
        <v>533</v>
      </c>
      <c r="F127">
        <v>0.8</v>
      </c>
      <c r="G127" s="8"/>
      <c r="H127" s="8"/>
      <c r="I127" s="8"/>
      <c r="J127" s="8"/>
      <c r="K127" s="8"/>
      <c r="L127" s="8"/>
    </row>
    <row r="128" spans="4:12" ht="20.100000000000001" customHeight="1" x14ac:dyDescent="0.2">
      <c r="D128" s="8" t="s">
        <v>1870</v>
      </c>
      <c r="E128" t="s">
        <v>521</v>
      </c>
      <c r="F128">
        <v>0.8</v>
      </c>
      <c r="G128" s="8"/>
      <c r="H128" s="8"/>
      <c r="I128" s="8"/>
      <c r="J128" s="8"/>
      <c r="K128" s="8"/>
      <c r="L128" s="8"/>
    </row>
    <row r="129" spans="4:12" ht="20.100000000000001" customHeight="1" x14ac:dyDescent="0.2">
      <c r="D129" s="8" t="s">
        <v>1870</v>
      </c>
      <c r="E129" t="s">
        <v>525</v>
      </c>
      <c r="F129">
        <v>0.8</v>
      </c>
      <c r="G129" s="8"/>
      <c r="H129" s="8"/>
      <c r="I129" s="8"/>
      <c r="J129" s="8"/>
      <c r="K129" s="8"/>
      <c r="L129" s="8"/>
    </row>
    <row r="130" spans="4:12" ht="20.100000000000001" customHeight="1" x14ac:dyDescent="0.2">
      <c r="D130" s="8" t="s">
        <v>1870</v>
      </c>
      <c r="E130" t="s">
        <v>522</v>
      </c>
      <c r="F130">
        <v>0.8</v>
      </c>
      <c r="G130" s="8"/>
      <c r="H130" s="8"/>
      <c r="I130" s="8"/>
      <c r="J130" s="8"/>
      <c r="K130" s="8"/>
      <c r="L130" s="8"/>
    </row>
    <row r="131" spans="4:12" ht="20.100000000000001" customHeight="1" x14ac:dyDescent="0.2">
      <c r="D131" s="8" t="s">
        <v>1870</v>
      </c>
      <c r="E131" t="s">
        <v>529</v>
      </c>
      <c r="F131">
        <v>0.8</v>
      </c>
      <c r="G131" s="8"/>
      <c r="H131" s="8"/>
      <c r="I131" s="8"/>
      <c r="J131" s="8"/>
      <c r="K131" s="8"/>
      <c r="L131" s="8"/>
    </row>
    <row r="132" spans="4:12" ht="20.100000000000001" customHeight="1" x14ac:dyDescent="0.2">
      <c r="D132" s="8" t="s">
        <v>1870</v>
      </c>
      <c r="E132" t="s">
        <v>519</v>
      </c>
      <c r="F132">
        <v>0.8</v>
      </c>
      <c r="G132" s="8"/>
      <c r="H132" s="8"/>
      <c r="I132" s="8"/>
      <c r="J132" s="8"/>
      <c r="K132" s="8"/>
      <c r="L132" s="8"/>
    </row>
    <row r="133" spans="4:12" ht="20.100000000000001" customHeight="1" x14ac:dyDescent="0.2">
      <c r="D133" s="8" t="s">
        <v>1897</v>
      </c>
      <c r="E133" t="s">
        <v>520</v>
      </c>
      <c r="F133">
        <v>0</v>
      </c>
      <c r="G133" s="8"/>
      <c r="H133" s="8"/>
      <c r="I133" s="8"/>
      <c r="J133" s="8"/>
      <c r="K133" s="8"/>
      <c r="L133" s="8"/>
    </row>
    <row r="134" spans="4:12" ht="20.100000000000001" customHeight="1" x14ac:dyDescent="0.2">
      <c r="D134" s="8" t="s">
        <v>1897</v>
      </c>
      <c r="E134" t="s">
        <v>523</v>
      </c>
      <c r="F134" t="s">
        <v>130</v>
      </c>
      <c r="G134" s="8"/>
      <c r="H134" s="8"/>
      <c r="I134" s="8"/>
      <c r="J134" s="8"/>
      <c r="K134" s="8"/>
      <c r="L134" s="8"/>
    </row>
    <row r="135" spans="4:12" ht="20.100000000000001" customHeight="1" x14ac:dyDescent="0.2">
      <c r="D135" s="8" t="s">
        <v>1897</v>
      </c>
      <c r="E135" t="s">
        <v>533</v>
      </c>
      <c r="F135">
        <v>0.03</v>
      </c>
      <c r="G135" s="8"/>
      <c r="H135" s="8"/>
      <c r="I135" s="8"/>
      <c r="J135" s="8"/>
      <c r="K135" s="8"/>
      <c r="L135" s="8"/>
    </row>
    <row r="136" spans="4:12" ht="20.100000000000001" customHeight="1" x14ac:dyDescent="0.2">
      <c r="D136" s="8" t="s">
        <v>1897</v>
      </c>
      <c r="E136" t="s">
        <v>521</v>
      </c>
      <c r="F136" t="s">
        <v>130</v>
      </c>
      <c r="G136" s="8"/>
      <c r="H136" s="8"/>
      <c r="I136" s="8"/>
      <c r="J136" s="8"/>
      <c r="K136" s="8"/>
      <c r="L136" s="8"/>
    </row>
    <row r="137" spans="4:12" ht="20.100000000000001" customHeight="1" x14ac:dyDescent="0.2">
      <c r="D137" s="8" t="s">
        <v>1897</v>
      </c>
      <c r="E137" t="s">
        <v>525</v>
      </c>
      <c r="F137">
        <v>0</v>
      </c>
      <c r="G137" s="8"/>
      <c r="H137" s="8"/>
      <c r="I137" s="8"/>
      <c r="J137" s="8"/>
      <c r="K137" s="8"/>
      <c r="L137" s="8"/>
    </row>
    <row r="138" spans="4:12" ht="20.100000000000001" customHeight="1" x14ac:dyDescent="0.2">
      <c r="D138" s="8" t="s">
        <v>1897</v>
      </c>
      <c r="E138" t="s">
        <v>522</v>
      </c>
      <c r="F138" t="s">
        <v>130</v>
      </c>
      <c r="G138" s="8"/>
      <c r="H138" s="8"/>
      <c r="I138" s="8"/>
      <c r="J138" s="8"/>
      <c r="K138" s="8"/>
      <c r="L138" s="8"/>
    </row>
    <row r="139" spans="4:12" ht="20.100000000000001" customHeight="1" x14ac:dyDescent="0.2">
      <c r="D139" s="8" t="s">
        <v>1897</v>
      </c>
      <c r="E139" t="s">
        <v>529</v>
      </c>
      <c r="F139" t="s">
        <v>130</v>
      </c>
      <c r="G139" s="8"/>
      <c r="H139" s="8"/>
      <c r="I139" s="8"/>
      <c r="J139" s="8"/>
      <c r="K139" s="8"/>
      <c r="L139" s="8"/>
    </row>
    <row r="140" spans="4:12" ht="20.100000000000001" customHeight="1" x14ac:dyDescent="0.2">
      <c r="D140" s="8" t="s">
        <v>1897</v>
      </c>
      <c r="E140" t="s">
        <v>519</v>
      </c>
      <c r="F140" t="s">
        <v>130</v>
      </c>
      <c r="G140" s="8"/>
      <c r="H140" s="8"/>
      <c r="I140" s="8"/>
      <c r="J140" s="8"/>
      <c r="K140" s="8"/>
      <c r="L140" s="8"/>
    </row>
    <row r="141" spans="4:12" ht="20.100000000000001" customHeight="1" x14ac:dyDescent="0.2">
      <c r="D141" s="8" t="s">
        <v>1857</v>
      </c>
      <c r="E141" t="s">
        <v>520</v>
      </c>
      <c r="F141">
        <v>0.05</v>
      </c>
      <c r="G141" s="8"/>
      <c r="H141" s="8"/>
      <c r="I141" s="8"/>
      <c r="J141" s="8"/>
      <c r="K141" s="8"/>
      <c r="L141" s="8"/>
    </row>
    <row r="142" spans="4:12" ht="20.100000000000001" customHeight="1" x14ac:dyDescent="0.2">
      <c r="D142" s="8" t="s">
        <v>1857</v>
      </c>
      <c r="E142" t="s">
        <v>523</v>
      </c>
      <c r="F142">
        <v>7.0000000000000007E-2</v>
      </c>
      <c r="G142" s="8"/>
      <c r="H142" s="8"/>
      <c r="I142" s="8"/>
      <c r="J142" s="8"/>
      <c r="K142" s="8"/>
      <c r="L142" s="8"/>
    </row>
    <row r="143" spans="4:12" ht="20.100000000000001" customHeight="1" x14ac:dyDescent="0.2">
      <c r="D143" s="8" t="s">
        <v>1857</v>
      </c>
      <c r="E143" t="s">
        <v>533</v>
      </c>
      <c r="F143">
        <v>0.04</v>
      </c>
      <c r="G143" s="8"/>
      <c r="H143" s="8"/>
      <c r="I143" s="8"/>
      <c r="J143" s="8"/>
      <c r="K143" s="8"/>
      <c r="L143" s="8"/>
    </row>
    <row r="144" spans="4:12" ht="20.100000000000001" customHeight="1" x14ac:dyDescent="0.2">
      <c r="D144" s="8" t="s">
        <v>1857</v>
      </c>
      <c r="E144" t="s">
        <v>521</v>
      </c>
      <c r="F144">
        <v>0.09</v>
      </c>
      <c r="G144" s="8"/>
      <c r="H144" s="8"/>
      <c r="I144" s="8"/>
      <c r="J144" s="8"/>
      <c r="K144" s="8"/>
      <c r="L144" s="8"/>
    </row>
    <row r="145" spans="4:12" ht="20.100000000000001" customHeight="1" x14ac:dyDescent="0.2">
      <c r="D145" s="8" t="s">
        <v>1857</v>
      </c>
      <c r="E145" t="s">
        <v>525</v>
      </c>
      <c r="F145">
        <v>0.11</v>
      </c>
      <c r="G145" s="8"/>
      <c r="H145" s="8"/>
      <c r="I145" s="8"/>
      <c r="J145" s="8"/>
      <c r="K145" s="8"/>
      <c r="L145" s="8"/>
    </row>
    <row r="146" spans="4:12" ht="20.100000000000001" customHeight="1" x14ac:dyDescent="0.2">
      <c r="D146" s="8" t="s">
        <v>1857</v>
      </c>
      <c r="E146" t="s">
        <v>522</v>
      </c>
      <c r="F146">
        <v>0.16</v>
      </c>
      <c r="G146" s="8"/>
      <c r="H146" s="8"/>
      <c r="I146" s="8"/>
      <c r="J146" s="8"/>
      <c r="K146" s="8"/>
      <c r="L146" s="8"/>
    </row>
    <row r="147" spans="4:12" ht="20.100000000000001" customHeight="1" x14ac:dyDescent="0.2">
      <c r="D147" s="8" t="s">
        <v>1857</v>
      </c>
      <c r="E147" t="s">
        <v>529</v>
      </c>
      <c r="F147">
        <v>0.01</v>
      </c>
      <c r="G147" s="8"/>
      <c r="H147" s="8"/>
      <c r="I147" s="8"/>
      <c r="J147" s="8"/>
      <c r="K147" s="8"/>
      <c r="L147" s="8"/>
    </row>
    <row r="148" spans="4:12" ht="20.100000000000001" customHeight="1" x14ac:dyDescent="0.2">
      <c r="D148" s="8" t="s">
        <v>1857</v>
      </c>
      <c r="E148" t="s">
        <v>519</v>
      </c>
      <c r="F148">
        <v>0</v>
      </c>
      <c r="G148" s="8"/>
      <c r="H148" s="8"/>
      <c r="I148" s="8"/>
      <c r="J148" s="8"/>
      <c r="K148" s="8"/>
      <c r="L148" s="8"/>
    </row>
    <row r="149" spans="4:12" ht="20.100000000000001" customHeight="1" x14ac:dyDescent="0.2">
      <c r="D149" s="8" t="s">
        <v>1858</v>
      </c>
      <c r="E149" t="s">
        <v>520</v>
      </c>
      <c r="F149">
        <v>0.05</v>
      </c>
      <c r="G149" s="8"/>
      <c r="H149" s="8"/>
      <c r="I149" s="8"/>
      <c r="J149" s="8"/>
      <c r="K149" s="8"/>
      <c r="L149" s="8"/>
    </row>
    <row r="150" spans="4:12" ht="20.100000000000001" customHeight="1" x14ac:dyDescent="0.2">
      <c r="D150" s="8" t="s">
        <v>1858</v>
      </c>
      <c r="E150" t="s">
        <v>523</v>
      </c>
      <c r="F150">
        <v>7.0000000000000007E-2</v>
      </c>
      <c r="G150" s="8"/>
      <c r="H150" s="8"/>
      <c r="I150" s="8"/>
      <c r="J150" s="8"/>
      <c r="K150" s="8"/>
      <c r="L150" s="8"/>
    </row>
    <row r="151" spans="4:12" ht="20.100000000000001" customHeight="1" x14ac:dyDescent="0.2">
      <c r="D151" s="8" t="s">
        <v>1858</v>
      </c>
      <c r="E151" t="s">
        <v>533</v>
      </c>
      <c r="F151">
        <v>0.04</v>
      </c>
      <c r="G151" s="8"/>
      <c r="H151" s="8"/>
      <c r="I151" s="8"/>
      <c r="J151" s="8"/>
      <c r="K151" s="8"/>
      <c r="L151" s="8"/>
    </row>
    <row r="152" spans="4:12" ht="20.100000000000001" customHeight="1" x14ac:dyDescent="0.2">
      <c r="D152" s="8" t="s">
        <v>1858</v>
      </c>
      <c r="E152" t="s">
        <v>521</v>
      </c>
      <c r="F152">
        <v>0.09</v>
      </c>
      <c r="G152" s="8"/>
      <c r="H152" s="8"/>
      <c r="I152" s="8"/>
      <c r="J152" s="8"/>
      <c r="K152" s="8"/>
      <c r="L152" s="8"/>
    </row>
    <row r="153" spans="4:12" ht="20.100000000000001" customHeight="1" x14ac:dyDescent="0.2">
      <c r="D153" s="8" t="s">
        <v>1858</v>
      </c>
      <c r="E153" t="s">
        <v>525</v>
      </c>
      <c r="F153">
        <v>0.11</v>
      </c>
      <c r="G153" s="8"/>
      <c r="H153" s="8"/>
      <c r="I153" s="8"/>
      <c r="J153" s="8"/>
      <c r="K153" s="8"/>
      <c r="L153" s="8"/>
    </row>
    <row r="154" spans="4:12" ht="20.100000000000001" customHeight="1" x14ac:dyDescent="0.2">
      <c r="D154" s="8" t="s">
        <v>1858</v>
      </c>
      <c r="E154" t="s">
        <v>522</v>
      </c>
      <c r="F154">
        <v>0.16</v>
      </c>
      <c r="G154" s="8"/>
      <c r="H154" s="8"/>
      <c r="I154" s="8"/>
      <c r="J154" s="8"/>
      <c r="K154" s="8"/>
      <c r="L154" s="8"/>
    </row>
    <row r="155" spans="4:12" ht="20.100000000000001" customHeight="1" x14ac:dyDescent="0.2">
      <c r="D155" s="8" t="s">
        <v>1858</v>
      </c>
      <c r="E155" t="s">
        <v>529</v>
      </c>
      <c r="F155">
        <v>0.01</v>
      </c>
      <c r="G155" s="8"/>
      <c r="H155" s="8"/>
      <c r="I155" s="8"/>
      <c r="J155" s="8"/>
      <c r="K155" s="8"/>
      <c r="L155" s="8"/>
    </row>
    <row r="156" spans="4:12" ht="20.100000000000001" customHeight="1" x14ac:dyDescent="0.2">
      <c r="D156" s="8" t="s">
        <v>1858</v>
      </c>
      <c r="E156" t="s">
        <v>519</v>
      </c>
      <c r="F156">
        <v>0</v>
      </c>
      <c r="G156" s="8"/>
      <c r="H156" s="8"/>
      <c r="I156" s="8"/>
      <c r="J156" s="8"/>
      <c r="K156" s="8"/>
      <c r="L156" s="8"/>
    </row>
    <row r="157" spans="4:12" ht="20.100000000000001" customHeight="1" x14ac:dyDescent="0.2">
      <c r="D157" s="8" t="s">
        <v>735</v>
      </c>
      <c r="E157" t="s">
        <v>520</v>
      </c>
      <c r="F157">
        <v>0.05</v>
      </c>
      <c r="G157" s="8"/>
      <c r="H157" s="8"/>
      <c r="I157" s="8"/>
      <c r="J157" s="8"/>
      <c r="K157" s="8"/>
      <c r="L157" s="8"/>
    </row>
    <row r="158" spans="4:12" ht="20.100000000000001" customHeight="1" x14ac:dyDescent="0.2">
      <c r="D158" s="8" t="s">
        <v>735</v>
      </c>
      <c r="E158" t="s">
        <v>523</v>
      </c>
      <c r="F158">
        <v>7.0000000000000007E-2</v>
      </c>
      <c r="G158" s="8"/>
      <c r="H158" s="8"/>
      <c r="I158" s="8"/>
      <c r="J158" s="8"/>
      <c r="K158" s="8"/>
      <c r="L158" s="8"/>
    </row>
    <row r="159" spans="4:12" ht="20.100000000000001" customHeight="1" x14ac:dyDescent="0.2">
      <c r="D159" s="8" t="s">
        <v>735</v>
      </c>
      <c r="E159" t="s">
        <v>533</v>
      </c>
      <c r="F159">
        <v>0.04</v>
      </c>
      <c r="G159" s="8"/>
      <c r="H159" s="8"/>
      <c r="I159" s="8"/>
      <c r="J159" s="8"/>
      <c r="K159" s="8"/>
      <c r="L159" s="8"/>
    </row>
    <row r="160" spans="4:12" ht="20.100000000000001" customHeight="1" x14ac:dyDescent="0.2">
      <c r="D160" s="8" t="s">
        <v>735</v>
      </c>
      <c r="E160" t="s">
        <v>521</v>
      </c>
      <c r="F160">
        <v>0.09</v>
      </c>
      <c r="G160" s="8"/>
      <c r="H160" s="8"/>
      <c r="I160" s="8"/>
      <c r="J160" s="8"/>
      <c r="K160" s="8"/>
      <c r="L160" s="8"/>
    </row>
    <row r="161" spans="4:12" ht="20.100000000000001" customHeight="1" x14ac:dyDescent="0.2">
      <c r="D161" s="8" t="s">
        <v>735</v>
      </c>
      <c r="E161" t="s">
        <v>525</v>
      </c>
      <c r="F161">
        <v>0.11</v>
      </c>
      <c r="G161" s="8"/>
      <c r="H161" s="8"/>
      <c r="I161" s="8"/>
      <c r="J161" s="8"/>
      <c r="K161" s="8"/>
      <c r="L161" s="8"/>
    </row>
    <row r="162" spans="4:12" ht="20.100000000000001" customHeight="1" x14ac:dyDescent="0.2">
      <c r="D162" s="8" t="s">
        <v>735</v>
      </c>
      <c r="E162" t="s">
        <v>522</v>
      </c>
      <c r="F162">
        <v>0.16</v>
      </c>
      <c r="G162" s="8"/>
      <c r="H162" s="8"/>
      <c r="I162" s="8"/>
      <c r="J162" s="8"/>
      <c r="K162" s="8"/>
      <c r="L162" s="8"/>
    </row>
    <row r="163" spans="4:12" ht="20.100000000000001" customHeight="1" x14ac:dyDescent="0.2">
      <c r="D163" s="8" t="s">
        <v>735</v>
      </c>
      <c r="E163" t="s">
        <v>529</v>
      </c>
      <c r="F163">
        <v>0.01</v>
      </c>
      <c r="G163" s="8"/>
      <c r="H163" s="8"/>
      <c r="I163" s="8"/>
      <c r="J163" s="8"/>
      <c r="K163" s="8"/>
      <c r="L163" s="8"/>
    </row>
    <row r="164" spans="4:12" ht="20.100000000000001" customHeight="1" x14ac:dyDescent="0.2">
      <c r="D164" s="8" t="s">
        <v>735</v>
      </c>
      <c r="E164" t="s">
        <v>519</v>
      </c>
      <c r="F164">
        <v>0</v>
      </c>
      <c r="G164" s="8"/>
      <c r="H164" s="8"/>
      <c r="I164" s="8"/>
      <c r="J164" s="8"/>
      <c r="K164" s="8"/>
      <c r="L164" s="8"/>
    </row>
    <row r="165" spans="4:12" ht="20.100000000000001" customHeight="1" x14ac:dyDescent="0.2">
      <c r="D165" s="8" t="s">
        <v>1859</v>
      </c>
      <c r="E165" t="s">
        <v>520</v>
      </c>
      <c r="F165">
        <v>0.05</v>
      </c>
      <c r="G165" s="8"/>
      <c r="H165" s="8"/>
      <c r="I165" s="8"/>
      <c r="J165" s="8"/>
      <c r="K165" s="8"/>
      <c r="L165" s="8"/>
    </row>
    <row r="166" spans="4:12" ht="20.100000000000001" customHeight="1" x14ac:dyDescent="0.2">
      <c r="D166" s="8" t="s">
        <v>1859</v>
      </c>
      <c r="E166" t="s">
        <v>523</v>
      </c>
      <c r="F166">
        <v>7.0000000000000007E-2</v>
      </c>
      <c r="G166" s="8"/>
      <c r="H166" s="8"/>
      <c r="I166" s="8"/>
      <c r="J166" s="8"/>
      <c r="K166" s="8"/>
      <c r="L166" s="8"/>
    </row>
    <row r="167" spans="4:12" ht="20.100000000000001" customHeight="1" x14ac:dyDescent="0.2">
      <c r="D167" s="8" t="s">
        <v>1859</v>
      </c>
      <c r="E167" t="s">
        <v>533</v>
      </c>
      <c r="F167">
        <v>0.04</v>
      </c>
      <c r="G167" s="8"/>
      <c r="H167" s="8"/>
      <c r="I167" s="8"/>
      <c r="J167" s="8"/>
      <c r="K167" s="8"/>
      <c r="L167" s="8"/>
    </row>
    <row r="168" spans="4:12" ht="20.100000000000001" customHeight="1" x14ac:dyDescent="0.2">
      <c r="D168" s="8" t="s">
        <v>1859</v>
      </c>
      <c r="E168" t="s">
        <v>521</v>
      </c>
      <c r="F168">
        <v>0.09</v>
      </c>
      <c r="G168" s="8"/>
      <c r="H168" s="8"/>
      <c r="I168" s="8"/>
      <c r="J168" s="8"/>
      <c r="K168" s="8"/>
      <c r="L168" s="8"/>
    </row>
    <row r="169" spans="4:12" ht="20.100000000000001" customHeight="1" x14ac:dyDescent="0.2">
      <c r="D169" s="8" t="s">
        <v>1859</v>
      </c>
      <c r="E169" t="s">
        <v>525</v>
      </c>
      <c r="F169">
        <v>0.11</v>
      </c>
      <c r="G169" s="8"/>
      <c r="H169" s="8"/>
      <c r="I169" s="8"/>
      <c r="J169" s="8"/>
      <c r="K169" s="8"/>
      <c r="L169" s="8"/>
    </row>
    <row r="170" spans="4:12" ht="20.100000000000001" customHeight="1" x14ac:dyDescent="0.2">
      <c r="D170" s="8" t="s">
        <v>1859</v>
      </c>
      <c r="E170" t="s">
        <v>522</v>
      </c>
      <c r="F170">
        <v>0.16</v>
      </c>
      <c r="G170" s="8"/>
      <c r="H170" s="8"/>
      <c r="I170" s="8"/>
      <c r="J170" s="8"/>
      <c r="K170" s="8"/>
      <c r="L170" s="8"/>
    </row>
    <row r="171" spans="4:12" ht="20.100000000000001" customHeight="1" x14ac:dyDescent="0.2">
      <c r="D171" s="8" t="s">
        <v>1859</v>
      </c>
      <c r="E171" t="s">
        <v>529</v>
      </c>
      <c r="F171">
        <v>0.01</v>
      </c>
      <c r="G171" s="8"/>
      <c r="H171" s="8"/>
      <c r="I171" s="8"/>
      <c r="J171" s="8"/>
      <c r="K171" s="8"/>
      <c r="L171" s="8"/>
    </row>
    <row r="172" spans="4:12" ht="20.100000000000001" customHeight="1" x14ac:dyDescent="0.2">
      <c r="D172" s="8" t="s">
        <v>1859</v>
      </c>
      <c r="E172" t="s">
        <v>519</v>
      </c>
      <c r="F172">
        <v>0</v>
      </c>
      <c r="G172" s="8"/>
      <c r="H172" s="8"/>
      <c r="I172" s="8"/>
      <c r="J172" s="8"/>
      <c r="K172" s="8"/>
      <c r="L172" s="8"/>
    </row>
    <row r="173" spans="4:12" ht="20.100000000000001" customHeight="1" x14ac:dyDescent="0.2">
      <c r="D173" s="8" t="s">
        <v>1861</v>
      </c>
      <c r="E173" t="s">
        <v>520</v>
      </c>
      <c r="F173">
        <v>0.05</v>
      </c>
      <c r="G173" s="8"/>
      <c r="H173" s="8"/>
      <c r="I173" s="8"/>
      <c r="J173" s="8"/>
      <c r="K173" s="8"/>
      <c r="L173" s="8"/>
    </row>
    <row r="174" spans="4:12" ht="20.100000000000001" customHeight="1" x14ac:dyDescent="0.2">
      <c r="D174" s="8" t="s">
        <v>1861</v>
      </c>
      <c r="E174" t="s">
        <v>523</v>
      </c>
      <c r="F174">
        <v>7.0000000000000007E-2</v>
      </c>
      <c r="G174" s="8"/>
      <c r="H174" s="8"/>
      <c r="I174" s="8"/>
      <c r="J174" s="8"/>
      <c r="K174" s="8"/>
      <c r="L174" s="8"/>
    </row>
    <row r="175" spans="4:12" ht="20.100000000000001" customHeight="1" x14ac:dyDescent="0.2">
      <c r="D175" s="8" t="s">
        <v>1861</v>
      </c>
      <c r="E175" t="s">
        <v>533</v>
      </c>
      <c r="F175">
        <v>0.04</v>
      </c>
      <c r="G175" s="8"/>
      <c r="H175" s="8"/>
      <c r="I175" s="8"/>
      <c r="J175" s="8"/>
      <c r="K175" s="8"/>
      <c r="L175" s="8"/>
    </row>
    <row r="176" spans="4:12" ht="20.100000000000001" customHeight="1" x14ac:dyDescent="0.2">
      <c r="D176" s="8" t="s">
        <v>1861</v>
      </c>
      <c r="E176" t="s">
        <v>521</v>
      </c>
      <c r="F176">
        <v>0.09</v>
      </c>
      <c r="G176" s="8"/>
      <c r="H176" s="8"/>
      <c r="I176" s="8"/>
      <c r="J176" s="8"/>
      <c r="K176" s="8"/>
      <c r="L176" s="8"/>
    </row>
    <row r="177" spans="4:12" ht="20.100000000000001" customHeight="1" x14ac:dyDescent="0.2">
      <c r="D177" s="8" t="s">
        <v>1861</v>
      </c>
      <c r="E177" t="s">
        <v>525</v>
      </c>
      <c r="F177">
        <v>0.11</v>
      </c>
      <c r="G177" s="8"/>
      <c r="H177" s="8"/>
      <c r="I177" s="8"/>
      <c r="J177" s="8"/>
      <c r="K177" s="8"/>
      <c r="L177" s="8"/>
    </row>
    <row r="178" spans="4:12" ht="20.100000000000001" customHeight="1" x14ac:dyDescent="0.2">
      <c r="D178" s="8" t="s">
        <v>1861</v>
      </c>
      <c r="E178" t="s">
        <v>522</v>
      </c>
      <c r="F178">
        <v>0.16</v>
      </c>
      <c r="G178" s="8"/>
      <c r="H178" s="8"/>
      <c r="I178" s="8"/>
      <c r="J178" s="8"/>
      <c r="K178" s="8"/>
      <c r="L178" s="8"/>
    </row>
    <row r="179" spans="4:12" ht="20.100000000000001" customHeight="1" x14ac:dyDescent="0.2">
      <c r="D179" s="8" t="s">
        <v>1861</v>
      </c>
      <c r="E179" t="s">
        <v>529</v>
      </c>
      <c r="F179">
        <v>0.01</v>
      </c>
      <c r="G179" s="8"/>
      <c r="H179" s="8"/>
      <c r="I179" s="8"/>
      <c r="J179" s="8"/>
      <c r="K179" s="8"/>
      <c r="L179" s="8"/>
    </row>
    <row r="180" spans="4:12" ht="20.100000000000001" customHeight="1" x14ac:dyDescent="0.2">
      <c r="D180" s="8" t="s">
        <v>1861</v>
      </c>
      <c r="E180" t="s">
        <v>519</v>
      </c>
      <c r="F180">
        <v>0</v>
      </c>
      <c r="G180" s="8"/>
      <c r="H180" s="8"/>
      <c r="I180" s="8"/>
      <c r="J180" s="8"/>
      <c r="K180" s="8"/>
      <c r="L180" s="8"/>
    </row>
    <row r="181" spans="4:12" ht="20.100000000000001" customHeight="1" x14ac:dyDescent="0.2">
      <c r="D181" s="8" t="s">
        <v>1862</v>
      </c>
      <c r="E181" t="s">
        <v>520</v>
      </c>
      <c r="F181">
        <v>0.05</v>
      </c>
      <c r="G181" s="8"/>
      <c r="H181" s="8"/>
      <c r="I181" s="8"/>
      <c r="J181" s="8"/>
      <c r="K181" s="8"/>
      <c r="L181" s="8"/>
    </row>
    <row r="182" spans="4:12" ht="20.100000000000001" customHeight="1" x14ac:dyDescent="0.2">
      <c r="D182" s="8" t="s">
        <v>1862</v>
      </c>
      <c r="E182" t="s">
        <v>523</v>
      </c>
      <c r="F182">
        <v>7.0000000000000007E-2</v>
      </c>
      <c r="G182" s="8"/>
      <c r="H182" s="8"/>
      <c r="I182" s="8"/>
      <c r="J182" s="8"/>
      <c r="K182" s="8"/>
      <c r="L182" s="8"/>
    </row>
    <row r="183" spans="4:12" ht="20.100000000000001" customHeight="1" x14ac:dyDescent="0.2">
      <c r="D183" s="8" t="s">
        <v>1862</v>
      </c>
      <c r="E183" t="s">
        <v>533</v>
      </c>
      <c r="F183">
        <v>0.04</v>
      </c>
      <c r="G183" s="8"/>
      <c r="H183" s="8"/>
      <c r="I183" s="8"/>
      <c r="J183" s="8"/>
      <c r="K183" s="8"/>
      <c r="L183" s="8"/>
    </row>
    <row r="184" spans="4:12" ht="20.100000000000001" customHeight="1" x14ac:dyDescent="0.2">
      <c r="D184" s="8" t="s">
        <v>1862</v>
      </c>
      <c r="E184" t="s">
        <v>521</v>
      </c>
      <c r="F184">
        <v>0.09</v>
      </c>
      <c r="G184" s="8"/>
      <c r="H184" s="8"/>
      <c r="I184" s="8"/>
      <c r="J184" s="8"/>
      <c r="K184" s="8"/>
      <c r="L184" s="8"/>
    </row>
    <row r="185" spans="4:12" ht="20.100000000000001" customHeight="1" x14ac:dyDescent="0.2">
      <c r="D185" s="8" t="s">
        <v>1862</v>
      </c>
      <c r="E185" t="s">
        <v>525</v>
      </c>
      <c r="F185">
        <v>0.11</v>
      </c>
      <c r="G185" s="8"/>
      <c r="H185" s="8"/>
      <c r="I185" s="8"/>
      <c r="J185" s="8"/>
      <c r="K185" s="8"/>
      <c r="L185" s="8"/>
    </row>
    <row r="186" spans="4:12" ht="20.100000000000001" customHeight="1" x14ac:dyDescent="0.2">
      <c r="D186" s="8" t="s">
        <v>1862</v>
      </c>
      <c r="E186" t="s">
        <v>522</v>
      </c>
      <c r="F186">
        <v>0.16</v>
      </c>
      <c r="G186" s="8"/>
      <c r="H186" s="8"/>
      <c r="I186" s="8"/>
      <c r="J186" s="8"/>
      <c r="K186" s="8"/>
      <c r="L186" s="8"/>
    </row>
    <row r="187" spans="4:12" ht="20.100000000000001" customHeight="1" x14ac:dyDescent="0.2">
      <c r="D187" s="8" t="s">
        <v>1862</v>
      </c>
      <c r="E187" t="s">
        <v>529</v>
      </c>
      <c r="F187">
        <v>0.01</v>
      </c>
      <c r="G187" s="8"/>
      <c r="H187" s="8"/>
      <c r="I187" s="8"/>
      <c r="J187" s="8"/>
      <c r="K187" s="8"/>
      <c r="L187" s="8"/>
    </row>
    <row r="188" spans="4:12" ht="20.100000000000001" customHeight="1" x14ac:dyDescent="0.2">
      <c r="D188" s="8" t="s">
        <v>1862</v>
      </c>
      <c r="E188" t="s">
        <v>519</v>
      </c>
      <c r="F188">
        <v>0</v>
      </c>
      <c r="G188" s="8"/>
      <c r="H188" s="8"/>
      <c r="I188" s="8"/>
      <c r="J188" s="8"/>
      <c r="K188" s="8"/>
      <c r="L188" s="8"/>
    </row>
    <row r="189" spans="4:12" ht="20.100000000000001" customHeight="1" x14ac:dyDescent="0.2">
      <c r="D189" s="8" t="s">
        <v>1863</v>
      </c>
      <c r="E189" t="s">
        <v>520</v>
      </c>
      <c r="F189">
        <v>0.05</v>
      </c>
      <c r="G189" s="8"/>
      <c r="H189" s="8"/>
      <c r="I189" s="8"/>
      <c r="J189" s="8"/>
      <c r="K189" s="8"/>
      <c r="L189" s="8"/>
    </row>
    <row r="190" spans="4:12" ht="20.100000000000001" customHeight="1" x14ac:dyDescent="0.2">
      <c r="D190" s="8" t="s">
        <v>1863</v>
      </c>
      <c r="E190" t="s">
        <v>523</v>
      </c>
      <c r="F190">
        <v>7.0000000000000007E-2</v>
      </c>
      <c r="G190" s="8"/>
      <c r="H190" s="8"/>
      <c r="I190" s="8"/>
      <c r="J190" s="8"/>
      <c r="K190" s="8"/>
      <c r="L190" s="8"/>
    </row>
    <row r="191" spans="4:12" ht="20.100000000000001" customHeight="1" x14ac:dyDescent="0.2">
      <c r="D191" s="8" t="s">
        <v>1863</v>
      </c>
      <c r="E191" t="s">
        <v>533</v>
      </c>
      <c r="F191">
        <v>0.04</v>
      </c>
      <c r="G191" s="8"/>
      <c r="H191" s="8"/>
      <c r="I191" s="8"/>
      <c r="J191" s="8"/>
      <c r="K191" s="8"/>
      <c r="L191" s="8"/>
    </row>
    <row r="192" spans="4:12" ht="20.100000000000001" customHeight="1" x14ac:dyDescent="0.2">
      <c r="D192" s="8" t="s">
        <v>1863</v>
      </c>
      <c r="E192" t="s">
        <v>521</v>
      </c>
      <c r="F192">
        <v>0.09</v>
      </c>
      <c r="G192" s="8"/>
      <c r="H192" s="8"/>
      <c r="I192" s="8"/>
      <c r="J192" s="8"/>
      <c r="K192" s="8"/>
      <c r="L192" s="8"/>
    </row>
    <row r="193" spans="4:12" ht="20.100000000000001" customHeight="1" x14ac:dyDescent="0.2">
      <c r="D193" s="8" t="s">
        <v>1863</v>
      </c>
      <c r="E193" t="s">
        <v>525</v>
      </c>
      <c r="F193">
        <v>0.11</v>
      </c>
      <c r="G193" s="8"/>
      <c r="H193" s="8"/>
      <c r="I193" s="8"/>
      <c r="J193" s="8"/>
      <c r="K193" s="8"/>
      <c r="L193" s="8"/>
    </row>
    <row r="194" spans="4:12" ht="20.100000000000001" customHeight="1" x14ac:dyDescent="0.2">
      <c r="D194" s="8" t="s">
        <v>1863</v>
      </c>
      <c r="E194" t="s">
        <v>522</v>
      </c>
      <c r="F194">
        <v>0.16</v>
      </c>
      <c r="G194" s="8"/>
      <c r="H194" s="8"/>
      <c r="I194" s="8"/>
      <c r="J194" s="8"/>
      <c r="K194" s="8"/>
      <c r="L194" s="8"/>
    </row>
    <row r="195" spans="4:12" ht="20.100000000000001" customHeight="1" x14ac:dyDescent="0.2">
      <c r="D195" s="8" t="s">
        <v>1863</v>
      </c>
      <c r="E195" t="s">
        <v>529</v>
      </c>
      <c r="F195">
        <v>0.01</v>
      </c>
      <c r="G195" s="8"/>
      <c r="H195" s="8"/>
      <c r="I195" s="8"/>
      <c r="J195" s="8"/>
      <c r="K195" s="8"/>
      <c r="L195" s="8"/>
    </row>
    <row r="196" spans="4:12" ht="20.100000000000001" customHeight="1" x14ac:dyDescent="0.2">
      <c r="D196" s="8" t="s">
        <v>1863</v>
      </c>
      <c r="E196" t="s">
        <v>519</v>
      </c>
      <c r="F196">
        <v>0</v>
      </c>
      <c r="G196" s="8"/>
      <c r="H196" s="8"/>
      <c r="I196" s="8"/>
      <c r="J196" s="8"/>
      <c r="K196" s="8"/>
      <c r="L196" s="8"/>
    </row>
    <row r="197" spans="4:12" ht="20.100000000000001" customHeight="1" x14ac:dyDescent="0.2">
      <c r="D197" s="8" t="s">
        <v>1864</v>
      </c>
      <c r="E197" t="s">
        <v>520</v>
      </c>
      <c r="F197">
        <v>0.05</v>
      </c>
      <c r="G197" s="8"/>
      <c r="H197" s="8"/>
      <c r="I197" s="8"/>
      <c r="J197" s="8"/>
      <c r="K197" s="8"/>
      <c r="L197" s="8"/>
    </row>
    <row r="198" spans="4:12" ht="20.100000000000001" customHeight="1" x14ac:dyDescent="0.2">
      <c r="D198" s="8" t="s">
        <v>1864</v>
      </c>
      <c r="E198" t="s">
        <v>523</v>
      </c>
      <c r="F198">
        <v>7.0000000000000007E-2</v>
      </c>
      <c r="G198" s="8"/>
      <c r="H198" s="8"/>
      <c r="I198" s="8"/>
      <c r="J198" s="8"/>
      <c r="K198" s="8"/>
      <c r="L198" s="8"/>
    </row>
    <row r="199" spans="4:12" ht="20.100000000000001" customHeight="1" x14ac:dyDescent="0.2">
      <c r="D199" s="8" t="s">
        <v>1864</v>
      </c>
      <c r="E199" t="s">
        <v>533</v>
      </c>
      <c r="F199">
        <v>0.04</v>
      </c>
      <c r="G199" s="8"/>
      <c r="H199" s="8"/>
      <c r="I199" s="8"/>
      <c r="J199" s="8"/>
      <c r="K199" s="8"/>
      <c r="L199" s="8"/>
    </row>
    <row r="200" spans="4:12" ht="20.100000000000001" customHeight="1" x14ac:dyDescent="0.2">
      <c r="D200" s="8" t="s">
        <v>1864</v>
      </c>
      <c r="E200" t="s">
        <v>521</v>
      </c>
      <c r="F200">
        <v>0.09</v>
      </c>
      <c r="G200" s="8"/>
      <c r="H200" s="8"/>
      <c r="I200" s="8"/>
      <c r="J200" s="8"/>
      <c r="K200" s="8"/>
      <c r="L200" s="8"/>
    </row>
    <row r="201" spans="4:12" ht="20.100000000000001" customHeight="1" x14ac:dyDescent="0.2">
      <c r="D201" s="8" t="s">
        <v>1864</v>
      </c>
      <c r="E201" t="s">
        <v>525</v>
      </c>
      <c r="F201">
        <v>0.11</v>
      </c>
      <c r="G201" s="8"/>
      <c r="H201" s="8"/>
      <c r="I201" s="8"/>
      <c r="J201" s="8"/>
      <c r="K201" s="8"/>
      <c r="L201" s="8"/>
    </row>
    <row r="202" spans="4:12" ht="20.100000000000001" customHeight="1" x14ac:dyDescent="0.2">
      <c r="D202" s="8" t="s">
        <v>1864</v>
      </c>
      <c r="E202" t="s">
        <v>522</v>
      </c>
      <c r="F202">
        <v>0.16</v>
      </c>
      <c r="G202" s="8"/>
      <c r="H202" s="8"/>
      <c r="I202" s="8"/>
      <c r="J202" s="8"/>
      <c r="K202" s="8"/>
      <c r="L202" s="8"/>
    </row>
    <row r="203" spans="4:12" ht="20.100000000000001" customHeight="1" x14ac:dyDescent="0.2">
      <c r="D203" s="8" t="s">
        <v>1864</v>
      </c>
      <c r="E203" t="s">
        <v>529</v>
      </c>
      <c r="F203">
        <v>0.01</v>
      </c>
      <c r="G203" s="8"/>
      <c r="H203" s="8"/>
      <c r="I203" s="8"/>
      <c r="J203" s="8"/>
      <c r="K203" s="8"/>
      <c r="L203" s="8"/>
    </row>
    <row r="204" spans="4:12" ht="20.100000000000001" customHeight="1" x14ac:dyDescent="0.2">
      <c r="D204" s="8" t="s">
        <v>1864</v>
      </c>
      <c r="E204" t="s">
        <v>519</v>
      </c>
      <c r="F204">
        <v>0</v>
      </c>
      <c r="G204" s="8"/>
      <c r="H204" s="8"/>
      <c r="I204" s="8"/>
      <c r="J204" s="8"/>
      <c r="K204" s="8"/>
      <c r="L204" s="8"/>
    </row>
    <row r="205" spans="4:12" ht="20.100000000000001" customHeight="1" x14ac:dyDescent="0.2">
      <c r="D205" s="8" t="s">
        <v>1866</v>
      </c>
      <c r="E205" t="s">
        <v>520</v>
      </c>
      <c r="F205">
        <v>0.05</v>
      </c>
      <c r="G205" s="8"/>
      <c r="H205" s="8"/>
      <c r="I205" s="8"/>
      <c r="J205" s="8"/>
      <c r="K205" s="8"/>
      <c r="L205" s="8"/>
    </row>
    <row r="206" spans="4:12" ht="20.100000000000001" customHeight="1" x14ac:dyDescent="0.2">
      <c r="D206" s="8" t="s">
        <v>1866</v>
      </c>
      <c r="E206" t="s">
        <v>523</v>
      </c>
      <c r="F206">
        <v>7.0000000000000007E-2</v>
      </c>
      <c r="G206" s="8"/>
      <c r="H206" s="8"/>
      <c r="I206" s="8"/>
      <c r="J206" s="8"/>
      <c r="K206" s="8"/>
      <c r="L206" s="8"/>
    </row>
    <row r="207" spans="4:12" ht="20.100000000000001" customHeight="1" x14ac:dyDescent="0.2">
      <c r="D207" s="8" t="s">
        <v>1866</v>
      </c>
      <c r="E207" t="s">
        <v>533</v>
      </c>
      <c r="F207">
        <v>0.04</v>
      </c>
      <c r="G207" s="8"/>
      <c r="H207" s="8"/>
      <c r="I207" s="8"/>
      <c r="J207" s="8"/>
      <c r="K207" s="8"/>
      <c r="L207" s="8"/>
    </row>
    <row r="208" spans="4:12" ht="20.100000000000001" customHeight="1" x14ac:dyDescent="0.2">
      <c r="D208" s="8" t="s">
        <v>1866</v>
      </c>
      <c r="E208" t="s">
        <v>521</v>
      </c>
      <c r="F208">
        <v>0.09</v>
      </c>
      <c r="G208" s="8"/>
      <c r="H208" s="8"/>
      <c r="I208" s="8"/>
      <c r="J208" s="8"/>
      <c r="K208" s="8"/>
      <c r="L208" s="8"/>
    </row>
    <row r="209" spans="4:12" ht="20.100000000000001" customHeight="1" x14ac:dyDescent="0.2">
      <c r="D209" s="8" t="s">
        <v>1866</v>
      </c>
      <c r="E209" t="s">
        <v>525</v>
      </c>
      <c r="F209">
        <v>0.11</v>
      </c>
      <c r="G209" s="8"/>
      <c r="H209" s="8"/>
      <c r="I209" s="8"/>
      <c r="J209" s="8"/>
      <c r="K209" s="8"/>
      <c r="L209" s="8"/>
    </row>
    <row r="210" spans="4:12" ht="20.100000000000001" customHeight="1" x14ac:dyDescent="0.2">
      <c r="D210" s="8" t="s">
        <v>1866</v>
      </c>
      <c r="E210" t="s">
        <v>522</v>
      </c>
      <c r="F210">
        <v>0.16</v>
      </c>
      <c r="G210" s="8"/>
      <c r="H210" s="8"/>
      <c r="I210" s="8"/>
      <c r="J210" s="8"/>
      <c r="K210" s="8"/>
      <c r="L210" s="8"/>
    </row>
    <row r="211" spans="4:12" ht="20.100000000000001" customHeight="1" x14ac:dyDescent="0.2">
      <c r="D211" s="8" t="s">
        <v>1866</v>
      </c>
      <c r="E211" t="s">
        <v>529</v>
      </c>
      <c r="F211">
        <v>0.01</v>
      </c>
      <c r="G211" s="8"/>
      <c r="H211" s="8"/>
      <c r="I211" s="8"/>
      <c r="J211" s="8"/>
      <c r="K211" s="8"/>
      <c r="L211" s="8"/>
    </row>
    <row r="212" spans="4:12" ht="20.100000000000001" customHeight="1" x14ac:dyDescent="0.2">
      <c r="D212" s="8" t="s">
        <v>1866</v>
      </c>
      <c r="E212" t="s">
        <v>519</v>
      </c>
      <c r="F212">
        <v>0</v>
      </c>
      <c r="G212" s="8"/>
      <c r="H212" s="8"/>
      <c r="I212" s="8"/>
      <c r="J212" s="8"/>
      <c r="K212" s="8"/>
      <c r="L212" s="8"/>
    </row>
    <row r="213" spans="4:12" ht="20.100000000000001" customHeight="1" x14ac:dyDescent="0.2">
      <c r="D213" s="8" t="s">
        <v>1869</v>
      </c>
      <c r="E213" t="s">
        <v>520</v>
      </c>
      <c r="F213">
        <v>0.05</v>
      </c>
      <c r="G213" s="8"/>
      <c r="H213" s="8"/>
      <c r="I213" s="8"/>
      <c r="J213" s="8"/>
      <c r="K213" s="8"/>
      <c r="L213" s="8"/>
    </row>
    <row r="214" spans="4:12" ht="20.100000000000001" customHeight="1" x14ac:dyDescent="0.2">
      <c r="D214" s="8" t="s">
        <v>1869</v>
      </c>
      <c r="E214" t="s">
        <v>523</v>
      </c>
      <c r="F214">
        <v>7.0000000000000007E-2</v>
      </c>
      <c r="G214" s="8"/>
      <c r="H214" s="8"/>
      <c r="I214" s="8"/>
      <c r="J214" s="8"/>
    </row>
    <row r="215" spans="4:12" ht="20.100000000000001" customHeight="1" x14ac:dyDescent="0.2">
      <c r="D215" s="8" t="s">
        <v>1869</v>
      </c>
      <c r="E215" t="s">
        <v>533</v>
      </c>
      <c r="F215">
        <v>0.04</v>
      </c>
      <c r="G215" s="8"/>
      <c r="H215" s="8"/>
      <c r="I215" s="8"/>
      <c r="J215" s="8"/>
    </row>
    <row r="216" spans="4:12" ht="20.100000000000001" customHeight="1" x14ac:dyDescent="0.2">
      <c r="D216" s="8" t="s">
        <v>1869</v>
      </c>
      <c r="E216" t="s">
        <v>521</v>
      </c>
      <c r="F216">
        <v>0.09</v>
      </c>
      <c r="G216" s="8"/>
      <c r="H216" s="8"/>
      <c r="I216" s="8"/>
      <c r="J216" s="8"/>
    </row>
    <row r="217" spans="4:12" ht="20.100000000000001" customHeight="1" x14ac:dyDescent="0.2">
      <c r="D217" s="8" t="s">
        <v>1869</v>
      </c>
      <c r="E217" t="s">
        <v>525</v>
      </c>
      <c r="F217">
        <v>0.11</v>
      </c>
      <c r="G217" s="8"/>
      <c r="H217" s="8"/>
      <c r="I217" s="8"/>
      <c r="J217" s="8"/>
    </row>
    <row r="218" spans="4:12" ht="20.100000000000001" customHeight="1" x14ac:dyDescent="0.2">
      <c r="D218" s="8" t="s">
        <v>1869</v>
      </c>
      <c r="E218" t="s">
        <v>522</v>
      </c>
      <c r="F218">
        <v>0.16</v>
      </c>
      <c r="G218" s="8"/>
      <c r="H218" s="8"/>
      <c r="I218" s="8"/>
      <c r="J218" s="8"/>
    </row>
    <row r="219" spans="4:12" ht="20.100000000000001" customHeight="1" x14ac:dyDescent="0.2">
      <c r="D219" s="8" t="s">
        <v>1869</v>
      </c>
      <c r="E219" t="s">
        <v>529</v>
      </c>
      <c r="F219">
        <v>0.01</v>
      </c>
      <c r="G219" s="8"/>
      <c r="H219" s="8"/>
      <c r="I219" s="8"/>
      <c r="J219" s="8"/>
    </row>
    <row r="220" spans="4:12" ht="20.100000000000001" customHeight="1" x14ac:dyDescent="0.2">
      <c r="D220" s="8" t="s">
        <v>1869</v>
      </c>
      <c r="E220" t="s">
        <v>519</v>
      </c>
      <c r="F220">
        <v>0</v>
      </c>
      <c r="G220" s="8"/>
      <c r="H220" s="8"/>
      <c r="I220" s="8"/>
      <c r="J220" s="8"/>
    </row>
    <row r="221" spans="4:12" ht="20.100000000000001" customHeight="1" x14ac:dyDescent="0.2">
      <c r="D221" s="8" t="s">
        <v>1871</v>
      </c>
      <c r="E221" t="s">
        <v>520</v>
      </c>
      <c r="F221">
        <v>0.05</v>
      </c>
      <c r="G221" s="8"/>
      <c r="H221" s="8"/>
      <c r="I221" s="8"/>
      <c r="J221" s="8"/>
    </row>
    <row r="222" spans="4:12" ht="20.100000000000001" customHeight="1" x14ac:dyDescent="0.2">
      <c r="D222" s="8" t="s">
        <v>1871</v>
      </c>
      <c r="E222" t="s">
        <v>523</v>
      </c>
      <c r="F222">
        <v>7.0000000000000007E-2</v>
      </c>
      <c r="G222" s="8"/>
      <c r="H222" s="8"/>
      <c r="I222" s="8"/>
      <c r="J222" s="8"/>
    </row>
    <row r="223" spans="4:12" ht="20.100000000000001" customHeight="1" x14ac:dyDescent="0.2">
      <c r="D223" s="8" t="s">
        <v>1871</v>
      </c>
      <c r="E223" t="s">
        <v>533</v>
      </c>
      <c r="F223">
        <v>0.04</v>
      </c>
      <c r="G223" s="8"/>
      <c r="H223" s="8"/>
      <c r="I223" s="8"/>
      <c r="J223" s="8"/>
    </row>
    <row r="224" spans="4:12" ht="20.100000000000001" customHeight="1" x14ac:dyDescent="0.2">
      <c r="D224" s="8" t="s">
        <v>1871</v>
      </c>
      <c r="E224" t="s">
        <v>521</v>
      </c>
      <c r="F224">
        <v>0.09</v>
      </c>
      <c r="G224" s="8"/>
      <c r="H224" s="8"/>
      <c r="I224" s="8"/>
      <c r="J224" s="8"/>
    </row>
    <row r="225" spans="4:10" ht="20.100000000000001" customHeight="1" x14ac:dyDescent="0.2">
      <c r="D225" s="8" t="s">
        <v>1871</v>
      </c>
      <c r="E225" t="s">
        <v>525</v>
      </c>
      <c r="F225">
        <v>0.11</v>
      </c>
      <c r="G225" s="8"/>
      <c r="H225" s="8"/>
      <c r="I225" s="8"/>
      <c r="J225" s="8"/>
    </row>
    <row r="226" spans="4:10" ht="20.100000000000001" customHeight="1" x14ac:dyDescent="0.2">
      <c r="D226" s="8" t="s">
        <v>1871</v>
      </c>
      <c r="E226" t="s">
        <v>522</v>
      </c>
      <c r="F226">
        <v>0.16</v>
      </c>
      <c r="G226" s="8"/>
      <c r="H226" s="8"/>
      <c r="I226" s="8"/>
      <c r="J226" s="8"/>
    </row>
    <row r="227" spans="4:10" ht="20.100000000000001" customHeight="1" x14ac:dyDescent="0.2">
      <c r="D227" s="8" t="s">
        <v>1871</v>
      </c>
      <c r="E227" t="s">
        <v>529</v>
      </c>
      <c r="F227">
        <v>0.01</v>
      </c>
      <c r="G227" s="8"/>
      <c r="H227" s="8"/>
      <c r="I227" s="8"/>
      <c r="J227" s="8"/>
    </row>
    <row r="228" spans="4:10" ht="20.100000000000001" customHeight="1" x14ac:dyDescent="0.2">
      <c r="D228" s="8" t="s">
        <v>1871</v>
      </c>
      <c r="E228" t="s">
        <v>519</v>
      </c>
      <c r="F228">
        <v>0</v>
      </c>
      <c r="G228" s="8"/>
      <c r="H228" s="8"/>
    </row>
    <row r="229" spans="4:10" ht="20.100000000000001" customHeight="1" x14ac:dyDescent="0.2">
      <c r="D229" s="8" t="s">
        <v>1872</v>
      </c>
      <c r="E229" t="s">
        <v>520</v>
      </c>
      <c r="F229">
        <v>0.05</v>
      </c>
      <c r="G229" s="8"/>
    </row>
    <row r="230" spans="4:10" ht="20.100000000000001" customHeight="1" x14ac:dyDescent="0.2">
      <c r="D230" s="8" t="s">
        <v>1872</v>
      </c>
      <c r="E230" t="s">
        <v>523</v>
      </c>
      <c r="F230">
        <v>7.0000000000000007E-2</v>
      </c>
      <c r="G230" s="8"/>
    </row>
    <row r="231" spans="4:10" ht="20.100000000000001" customHeight="1" x14ac:dyDescent="0.2">
      <c r="D231" s="8" t="s">
        <v>1872</v>
      </c>
      <c r="E231" t="s">
        <v>533</v>
      </c>
      <c r="F231">
        <v>0.04</v>
      </c>
      <c r="G231" s="8"/>
    </row>
    <row r="232" spans="4:10" ht="20.100000000000001" customHeight="1" x14ac:dyDescent="0.2">
      <c r="D232" s="8" t="s">
        <v>1872</v>
      </c>
      <c r="E232" t="s">
        <v>521</v>
      </c>
      <c r="F232">
        <v>0.09</v>
      </c>
      <c r="G232" s="8"/>
    </row>
    <row r="233" spans="4:10" ht="20.100000000000001" customHeight="1" x14ac:dyDescent="0.2">
      <c r="D233" s="8" t="s">
        <v>1872</v>
      </c>
      <c r="E233" t="s">
        <v>525</v>
      </c>
      <c r="F233">
        <v>0.11</v>
      </c>
      <c r="G233" s="8"/>
    </row>
    <row r="234" spans="4:10" ht="20.100000000000001" customHeight="1" x14ac:dyDescent="0.2">
      <c r="D234" s="8" t="s">
        <v>1872</v>
      </c>
      <c r="E234" t="s">
        <v>522</v>
      </c>
      <c r="F234">
        <v>0.16</v>
      </c>
      <c r="G234" s="8"/>
    </row>
    <row r="235" spans="4:10" ht="20.100000000000001" customHeight="1" x14ac:dyDescent="0.2">
      <c r="D235" s="8" t="s">
        <v>1872</v>
      </c>
      <c r="E235" t="s">
        <v>529</v>
      </c>
      <c r="F235">
        <v>0.01</v>
      </c>
      <c r="G235" s="8"/>
    </row>
  </sheetData>
  <pageMargins left="0.7" right="0.7" top="0.75" bottom="0.75" header="0.3" footer="0.3"/>
  <pageSetup paperSize="9" orientation="portrait" r:id="rId1"/>
  <tableParts count="8">
    <tablePart r:id="rId2"/>
    <tablePart r:id="rId3"/>
    <tablePart r:id="rId4"/>
    <tablePart r:id="rId5"/>
    <tablePart r:id="rId6"/>
    <tablePart r:id="rId7"/>
    <tablePart r:id="rId8"/>
    <tablePart r:id="rId9"/>
  </tableParts>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94AD02-BDDF-4E59-B403-378476009C5B}">
  <sheetPr>
    <tabColor theme="2" tint="-0.499984740745262"/>
  </sheetPr>
  <dimension ref="A1:M65"/>
  <sheetViews>
    <sheetView showGridLines="0" zoomScaleNormal="100" workbookViewId="0">
      <pane xSplit="1" topLeftCell="B1" activePane="topRight" state="frozen"/>
      <selection pane="topRight" activeCell="A59" sqref="A59"/>
    </sheetView>
  </sheetViews>
  <sheetFormatPr defaultRowHeight="20.100000000000001" customHeight="1" x14ac:dyDescent="0.2"/>
  <cols>
    <col min="1" max="1" width="36.7109375" customWidth="1"/>
    <col min="2" max="2" width="4.7109375" customWidth="1"/>
    <col min="3" max="3" width="4.7109375" style="1" customWidth="1"/>
    <col min="4" max="8" width="30.7109375" style="1" customWidth="1"/>
    <col min="9" max="9" width="30.85546875" style="1" customWidth="1"/>
    <col min="10" max="13" width="30.7109375" style="1" customWidth="1"/>
    <col min="14" max="16" width="30.7109375" customWidth="1"/>
  </cols>
  <sheetData>
    <row r="1" spans="1:13" ht="30" customHeight="1" x14ac:dyDescent="0.35">
      <c r="A1" s="10" t="e" vm="1">
        <v>#VALUE!</v>
      </c>
      <c r="C1" s="21" t="s">
        <v>1198</v>
      </c>
      <c r="D1" s="21"/>
      <c r="E1" s="21"/>
      <c r="F1" s="21"/>
      <c r="G1" s="21"/>
      <c r="H1" s="21"/>
      <c r="I1" s="21"/>
      <c r="J1" s="21"/>
      <c r="K1" s="21"/>
      <c r="L1" s="21"/>
      <c r="M1" s="21"/>
    </row>
    <row r="2" spans="1:13" ht="20.100000000000001" customHeight="1" x14ac:dyDescent="0.2">
      <c r="C2" s="3"/>
      <c r="D2" s="3"/>
      <c r="E2" s="3"/>
      <c r="F2" s="3"/>
      <c r="G2" s="3"/>
      <c r="H2" s="3"/>
      <c r="I2" s="3"/>
      <c r="J2" s="3"/>
      <c r="K2" s="3"/>
      <c r="L2" s="3"/>
      <c r="M2" s="3"/>
    </row>
    <row r="3" spans="1:13" ht="20.100000000000001" customHeight="1" x14ac:dyDescent="0.2">
      <c r="A3" s="5" t="str">
        <f>HYPERLINK("#'Home'!A1", "Home")</f>
        <v>Home</v>
      </c>
      <c r="C3" s="23"/>
      <c r="D3" s="23"/>
      <c r="E3" s="23"/>
      <c r="F3" s="23"/>
      <c r="G3" s="23"/>
      <c r="H3" s="23"/>
      <c r="I3" s="23"/>
      <c r="J3" s="23"/>
      <c r="K3" s="23"/>
      <c r="L3" s="23"/>
      <c r="M3" s="23"/>
    </row>
    <row r="4" spans="1:13" ht="20.100000000000001" customHeight="1" x14ac:dyDescent="0.2">
      <c r="A4" s="5" t="str">
        <f>HYPERLINK("#'Results - Activity period'!A1", "Results - Activity period")</f>
        <v>Results - Activity period</v>
      </c>
    </row>
    <row r="5" spans="1:13" ht="20.100000000000001" customHeight="1" x14ac:dyDescent="0.2">
      <c r="A5" s="5" t="str">
        <f>HYPERLINK("#'Results - Product EI'!A1", "Results - Product Emissions Intensity")</f>
        <v>Results - Product Emissions Intensity</v>
      </c>
    </row>
    <row r="6" spans="1:13" ht="20.100000000000001" customHeight="1" x14ac:dyDescent="0.2">
      <c r="D6" s="2" t="s">
        <v>1899</v>
      </c>
      <c r="E6" s="25"/>
      <c r="F6" s="25"/>
      <c r="G6" s="25"/>
      <c r="H6" s="25"/>
    </row>
    <row r="7" spans="1:13" ht="20.100000000000001" customHeight="1" x14ac:dyDescent="0.2">
      <c r="D7" s="25" t="s">
        <v>410</v>
      </c>
      <c r="E7" s="25"/>
      <c r="F7" s="25"/>
      <c r="G7" s="25"/>
      <c r="H7" s="25"/>
    </row>
    <row r="8" spans="1:13" ht="20.100000000000001" customHeight="1" x14ac:dyDescent="0.2">
      <c r="A8" s="7" t="s">
        <v>0</v>
      </c>
      <c r="D8" s="17" t="s">
        <v>1900</v>
      </c>
      <c r="E8" s="25"/>
      <c r="F8" s="25"/>
      <c r="G8" s="25"/>
      <c r="H8" s="25"/>
    </row>
    <row r="9" spans="1:13" ht="20.100000000000001" customHeight="1" x14ac:dyDescent="0.2">
      <c r="A9" s="5" t="str">
        <f>HYPERLINK("#'Input - Enterprise'!A1", "Enterprise")</f>
        <v>Enterprise</v>
      </c>
      <c r="D9" s="27" t="s">
        <v>1199</v>
      </c>
      <c r="E9" s="20" t="s">
        <v>351</v>
      </c>
      <c r="F9" s="20" t="s">
        <v>1200</v>
      </c>
      <c r="G9" s="25"/>
    </row>
    <row r="10" spans="1:13" ht="20.100000000000001" customHeight="1" x14ac:dyDescent="0.2">
      <c r="A10" s="5" t="str">
        <f>HYPERLINK("#'Input - Site'!A1", "Site")</f>
        <v>Site</v>
      </c>
      <c r="D10" s="27">
        <v>1</v>
      </c>
      <c r="E10" s="27" t="s">
        <v>79</v>
      </c>
      <c r="F10" s="27" t="s">
        <v>1901</v>
      </c>
      <c r="G10" s="25"/>
    </row>
    <row r="11" spans="1:13" ht="20.100000000000001" customHeight="1" x14ac:dyDescent="0.2">
      <c r="A11" s="5" t="str">
        <f>HYPERLINK("#'Input - Pasture Beef'!A1", "Pasture Beef")</f>
        <v>Pasture Beef</v>
      </c>
      <c r="D11" s="27">
        <v>2</v>
      </c>
      <c r="E11" s="27" t="s">
        <v>81</v>
      </c>
      <c r="F11" s="27" t="s">
        <v>1902</v>
      </c>
      <c r="G11" s="25"/>
    </row>
    <row r="12" spans="1:13" ht="20.100000000000001" customHeight="1" x14ac:dyDescent="0.2">
      <c r="A12" s="5" t="str">
        <f>HYPERLINK("#'Input - Livestock sales'!A1", "Livestock sales")</f>
        <v>Livestock sales</v>
      </c>
      <c r="D12" s="20">
        <v>3</v>
      </c>
      <c r="E12" s="20" t="s">
        <v>82</v>
      </c>
      <c r="F12" s="20" t="s">
        <v>1903</v>
      </c>
      <c r="G12" s="25"/>
    </row>
    <row r="13" spans="1:13" ht="20.100000000000001" customHeight="1" x14ac:dyDescent="0.2">
      <c r="A13" s="5" t="str">
        <f>HYPERLINK("#'Input - Beef cattle purchases'!A1", "Beef cattle purchases")</f>
        <v>Beef cattle purchases</v>
      </c>
      <c r="D13" s="20" t="s">
        <v>1904</v>
      </c>
      <c r="E13" s="20" t="s">
        <v>1905</v>
      </c>
      <c r="F13" s="20" t="s">
        <v>1906</v>
      </c>
      <c r="G13" s="25"/>
    </row>
    <row r="14" spans="1:13" ht="20.100000000000001" customHeight="1" x14ac:dyDescent="0.2">
      <c r="A14" s="5" t="str">
        <f>HYPERLINK("#'Input - Pasture'!A1", "Pasture")</f>
        <v>Pasture</v>
      </c>
      <c r="D14" s="20" t="s">
        <v>1907</v>
      </c>
      <c r="E14" s="20" t="s">
        <v>1908</v>
      </c>
      <c r="F14" s="20" t="s">
        <v>1909</v>
      </c>
      <c r="G14" s="25"/>
    </row>
    <row r="15" spans="1:13" ht="20.100000000000001" customHeight="1" x14ac:dyDescent="0.2">
      <c r="A15" s="5" t="str">
        <f>HYPERLINK("#'Input - Fert Prod System'!A1", "Fert Prod System")</f>
        <v>Fert Prod System</v>
      </c>
      <c r="D15" s="20">
        <v>4</v>
      </c>
      <c r="E15" s="20" t="s">
        <v>84</v>
      </c>
      <c r="F15" s="20" t="s">
        <v>1910</v>
      </c>
      <c r="G15" s="25"/>
    </row>
    <row r="16" spans="1:13" ht="20.100000000000001" customHeight="1" x14ac:dyDescent="0.2">
      <c r="A16" s="5" t="str">
        <f>HYPERLINK("#'Input - Fertiliser'!A1", "Fertiliser")</f>
        <v>Fertiliser</v>
      </c>
      <c r="D16" s="20">
        <v>5</v>
      </c>
      <c r="E16" s="20" t="s">
        <v>1911</v>
      </c>
      <c r="F16" s="20" t="s">
        <v>1912</v>
      </c>
      <c r="G16" s="25"/>
    </row>
    <row r="17" spans="1:8" ht="20.100000000000001" customHeight="1" x14ac:dyDescent="0.2">
      <c r="A17" s="5" t="str">
        <f>HYPERLINK("#'Input - Fuel'!A1", "Fuel")</f>
        <v>Fuel</v>
      </c>
      <c r="D17" s="20">
        <v>6</v>
      </c>
      <c r="E17" s="20" t="s">
        <v>83</v>
      </c>
      <c r="F17" s="20" t="s">
        <v>1913</v>
      </c>
      <c r="G17" s="25"/>
    </row>
    <row r="18" spans="1:8" ht="20.100000000000001" customHeight="1" x14ac:dyDescent="0.2">
      <c r="A18" s="5" t="str">
        <f>HYPERLINK("#'Input - Electricity'!A1", "Electricity")</f>
        <v>Electricity</v>
      </c>
      <c r="D18" s="20">
        <v>7</v>
      </c>
      <c r="E18" s="20" t="s">
        <v>80</v>
      </c>
      <c r="F18" s="20" t="s">
        <v>1914</v>
      </c>
      <c r="G18" s="25"/>
    </row>
    <row r="19" spans="1:8" ht="20.100000000000001" customHeight="1" x14ac:dyDescent="0.2">
      <c r="A19" s="5" t="str">
        <f>HYPERLINK("#'Input - Common farm inputs'!A1", "Common farm inputs")</f>
        <v>Common farm inputs</v>
      </c>
      <c r="D19" s="20">
        <v>8</v>
      </c>
      <c r="E19" s="20" t="s">
        <v>86</v>
      </c>
      <c r="F19" s="20" t="s">
        <v>1915</v>
      </c>
      <c r="G19" s="25"/>
    </row>
    <row r="20" spans="1:8" ht="20.100000000000001" customHeight="1" x14ac:dyDescent="0.2">
      <c r="A20" s="5" t="str">
        <f>HYPERLINK("#'Input - Crop pasture farm input'!A1", "Crop pasture farm input")</f>
        <v>Crop pasture farm input</v>
      </c>
      <c r="D20" s="20">
        <v>9</v>
      </c>
      <c r="E20" s="20" t="s">
        <v>85</v>
      </c>
      <c r="F20" s="20" t="s">
        <v>1916</v>
      </c>
      <c r="G20" s="25"/>
    </row>
    <row r="21" spans="1:8" ht="20.100000000000001" customHeight="1" x14ac:dyDescent="0.2">
      <c r="A21" s="5" t="str">
        <f>HYPERLINK("#'Input - Livestock farm Inputs'!A1", "Livestock farm Inputs")</f>
        <v>Livestock farm Inputs</v>
      </c>
      <c r="D21" s="20">
        <v>10</v>
      </c>
      <c r="E21" s="20" t="s">
        <v>87</v>
      </c>
      <c r="F21" s="20" t="s">
        <v>1917</v>
      </c>
      <c r="G21" s="25"/>
    </row>
    <row r="22" spans="1:8" ht="20.100000000000001" customHeight="1" x14ac:dyDescent="0.2">
      <c r="A22" s="5" t="str">
        <f>HYPERLINK("#'Input - Freight'!A1", "Freight")</f>
        <v>Freight</v>
      </c>
      <c r="D22" s="20">
        <v>11</v>
      </c>
      <c r="E22" s="20" t="s">
        <v>88</v>
      </c>
      <c r="F22" s="20" t="s">
        <v>1918</v>
      </c>
      <c r="G22" s="25"/>
    </row>
    <row r="23" spans="1:8" ht="20.100000000000001" customHeight="1" x14ac:dyDescent="0.2">
      <c r="A23" s="5" t="str">
        <f>HYPERLINK("#'Input - Solid waste'!A1", "Solid waste")</f>
        <v>Solid waste</v>
      </c>
      <c r="D23" s="20" t="s">
        <v>1919</v>
      </c>
      <c r="E23" s="20" t="s">
        <v>1920</v>
      </c>
      <c r="F23" s="20" t="s">
        <v>1921</v>
      </c>
      <c r="G23" s="25"/>
    </row>
    <row r="24" spans="1:8" ht="20.100000000000001" customHeight="1" x14ac:dyDescent="0.2">
      <c r="A24" s="5" t="str">
        <f>HYPERLINK("#'Input - Manure sent off-site'!A1", "Manure sent off-site")</f>
        <v>Manure sent off-site</v>
      </c>
      <c r="D24" s="20" t="s">
        <v>1922</v>
      </c>
      <c r="E24" s="20" t="s">
        <v>1923</v>
      </c>
      <c r="F24" s="20" t="s">
        <v>1924</v>
      </c>
      <c r="G24" s="25"/>
    </row>
    <row r="25" spans="1:8" ht="20.100000000000001" customHeight="1" x14ac:dyDescent="0.2">
      <c r="A25" s="5" t="str">
        <f>HYPERLINK("#'Input - Data quality'!A1", "Data quality")</f>
        <v>Data quality</v>
      </c>
      <c r="D25" s="20">
        <v>12</v>
      </c>
      <c r="E25" s="20" t="s">
        <v>89</v>
      </c>
      <c r="F25" s="20" t="s">
        <v>1925</v>
      </c>
      <c r="G25" s="25"/>
    </row>
    <row r="26" spans="1:8" ht="20.100000000000001" customHeight="1" x14ac:dyDescent="0.2">
      <c r="D26" s="20">
        <v>13</v>
      </c>
      <c r="E26" s="20" t="s">
        <v>90</v>
      </c>
      <c r="F26" s="20" t="s">
        <v>1926</v>
      </c>
      <c r="G26" s="25"/>
    </row>
    <row r="27" spans="1:8" ht="20.100000000000001" customHeight="1" x14ac:dyDescent="0.2">
      <c r="D27" s="20">
        <v>14</v>
      </c>
      <c r="E27" s="20" t="s">
        <v>91</v>
      </c>
      <c r="F27" s="20" t="s">
        <v>1927</v>
      </c>
      <c r="G27" s="25"/>
    </row>
    <row r="28" spans="1:8" ht="20.100000000000001" customHeight="1" x14ac:dyDescent="0.2">
      <c r="A28" s="6" t="s">
        <v>2</v>
      </c>
      <c r="G28" s="25"/>
      <c r="H28" s="25"/>
    </row>
    <row r="29" spans="1:8" ht="20.100000000000001" customHeight="1" x14ac:dyDescent="0.2">
      <c r="A29" s="5" t="str">
        <f>HYPERLINK("#'3.2.1.1-2 Enteric Methane'!A1", "3.2.1.1-2 Enteric Methane")</f>
        <v>3.2.1.1-2 Enteric Methane</v>
      </c>
      <c r="D29" s="2" t="s">
        <v>1928</v>
      </c>
    </row>
    <row r="30" spans="1:8" ht="20.100000000000001" customHeight="1" x14ac:dyDescent="0.2">
      <c r="A30" s="5" t="str">
        <f>HYPERLINK("#'4.2.1.1-2 Methane'!A1", "4.2.1.1-2 Manure methane")</f>
        <v>4.2.1.1-2 Manure methane</v>
      </c>
      <c r="D30" s="17" t="s">
        <v>1929</v>
      </c>
    </row>
    <row r="31" spans="1:8" ht="20.100000000000001" customHeight="1" x14ac:dyDescent="0.2">
      <c r="A31" s="5" t="str">
        <f>HYPERLINK("#'4.2.1.3-4 Soil direct N20'!A1", "4.2.1.3-4 Soil direct N2O")</f>
        <v>4.2.1.3-4 Soil direct N2O</v>
      </c>
      <c r="D31" s="20" t="s">
        <v>139</v>
      </c>
      <c r="E31" s="20" t="s">
        <v>1201</v>
      </c>
      <c r="F31" s="1" t="s">
        <v>1202</v>
      </c>
    </row>
    <row r="32" spans="1:8" ht="20.100000000000001" customHeight="1" x14ac:dyDescent="0.2">
      <c r="A32" s="5" t="str">
        <f>HYPERLINK("#'4.2.1.5-6 Soil Atmos Dep'!A1", "4.2.1.5-6 Soil atm. deposition")</f>
        <v>4.2.1.5-6 Soil atm. deposition</v>
      </c>
      <c r="D32" s="20" t="s">
        <v>1825</v>
      </c>
      <c r="E32" s="20" t="s">
        <v>537</v>
      </c>
    </row>
    <row r="33" spans="1:6" ht="20.100000000000001" customHeight="1" x14ac:dyDescent="0.2">
      <c r="A33" s="5" t="str">
        <f>HYPERLINK("#'4.2.1.7-8 Soil leach runoff'!A1", "4.2.1.7-8 Soil leach &amp; runoff")</f>
        <v>4.2.1.7-8 Soil leach &amp; runoff</v>
      </c>
      <c r="D33" s="1" t="s">
        <v>1828</v>
      </c>
      <c r="E33" s="20" t="s">
        <v>520</v>
      </c>
    </row>
    <row r="34" spans="1:6" ht="20.100000000000001" customHeight="1" x14ac:dyDescent="0.2">
      <c r="A34" s="5" t="str">
        <f>HYPERLINK("#'5.1.1.1-2 Inorganic fert N2O'!A1", "5.1.1.1-2 Inorganic fert N2O")</f>
        <v>5.1.1.1-2 Inorganic fert N2O</v>
      </c>
      <c r="D34" s="1" t="s">
        <v>1829</v>
      </c>
      <c r="E34" s="20" t="s">
        <v>529</v>
      </c>
    </row>
    <row r="35" spans="1:6" ht="20.100000000000001" customHeight="1" x14ac:dyDescent="0.2">
      <c r="A35" s="5" t="str">
        <f>HYPERLINK("#'5.1.1.3-4 Inorganic fert CO2'!A1", "5.1.1.3-4 Inorganic fert CO2")</f>
        <v>5.1.1.3-4 Inorganic fert CO2</v>
      </c>
      <c r="E35" s="20" t="s">
        <v>533</v>
      </c>
    </row>
    <row r="36" spans="1:6" ht="20.100000000000001" customHeight="1" x14ac:dyDescent="0.2">
      <c r="A36" s="5" t="str">
        <f>HYPERLINK("#'5.2.1.1-2 Organic Fert N2O'!A1", "5.2.1.1-2 Organic fert N2O")</f>
        <v>5.2.1.1-2 Organic fert N2O</v>
      </c>
      <c r="E36" s="20" t="s">
        <v>521</v>
      </c>
    </row>
    <row r="37" spans="1:6" ht="20.100000000000001" customHeight="1" x14ac:dyDescent="0.2">
      <c r="A37" s="5" t="str">
        <f>HYPERLINK("#'5.3.1.1-2 Lime CO2'!A1", "5.3.1.1-2 Lime CO2")</f>
        <v>5.3.1.1-2 Lime CO2</v>
      </c>
      <c r="E37" s="20" t="s">
        <v>522</v>
      </c>
    </row>
    <row r="38" spans="1:6" ht="20.100000000000001" customHeight="1" x14ac:dyDescent="0.2">
      <c r="A38" s="5" t="str">
        <f>HYPERLINK("#'5.4.1.1-4 Atmos deposition'!A1", "5.4.1.1-4 Atmos. deposition")</f>
        <v>5.4.1.1-4 Atmos. deposition</v>
      </c>
      <c r="E38" s="20" t="s">
        <v>523</v>
      </c>
    </row>
    <row r="39" spans="1:6" ht="20.100000000000001" customHeight="1" x14ac:dyDescent="0.2">
      <c r="A39" s="5" t="str">
        <f>HYPERLINK("#'5.5.1.1-2 Leaching and runoff'!A1", "5.5.1.1-2 Leaching &amp; runoff")</f>
        <v>5.5.1.1-2 Leaching &amp; runoff</v>
      </c>
      <c r="E39" s="20" t="s">
        <v>525</v>
      </c>
    </row>
    <row r="40" spans="1:6" ht="20.100000000000001" customHeight="1" x14ac:dyDescent="0.2">
      <c r="A40" s="5" t="str">
        <f>HYPERLINK("#'6.2.1.1-2 Pasture residue N2O'!A1", "6.2.1.1-2 Pasture residue N2O")</f>
        <v>6.2.1.1-2 Pasture residue N2O</v>
      </c>
    </row>
    <row r="41" spans="1:6" ht="20.100000000000001" customHeight="1" x14ac:dyDescent="0.2">
      <c r="A41" s="5" t="str">
        <f>HYPERLINK("#'6.3.1.1-2 Leach runoff pasture'!A1", "6.3.1.1-2 Leach &amp; runoff (pasture)")</f>
        <v>6.3.1.1-2 Leach &amp; runoff (pasture)</v>
      </c>
      <c r="D41" s="2" t="s">
        <v>1930</v>
      </c>
    </row>
    <row r="42" spans="1:6" ht="20.100000000000001" customHeight="1" x14ac:dyDescent="0.2">
      <c r="A42" s="5" t="str">
        <f>HYPERLINK("#'8.1.1.1-2 Transport fuel'!A1", "8.1.1.1-2 Transport fuel")</f>
        <v>8.1.1.1-2 Transport fuel</v>
      </c>
      <c r="D42" s="17" t="s">
        <v>1929</v>
      </c>
    </row>
    <row r="43" spans="1:6" ht="20.100000000000001" customHeight="1" x14ac:dyDescent="0.2">
      <c r="A43" s="5" t="str">
        <f>HYPERLINK("#'8.2.1.1-2 Stationary fuel'!A1", "8.2.1.1-2 Stationary fuel")</f>
        <v>8.2.1.1-2 Stationary fuel</v>
      </c>
      <c r="D43" s="20" t="s">
        <v>139</v>
      </c>
      <c r="E43" s="20" t="s">
        <v>1201</v>
      </c>
      <c r="F43" s="1" t="s">
        <v>1203</v>
      </c>
    </row>
    <row r="44" spans="1:6" ht="20.100000000000001" customHeight="1" x14ac:dyDescent="0.2">
      <c r="A44" s="5" t="str">
        <f>HYPERLINK("#'10.1.1-2 Solid waste treatment'!A1", "10.1.1.1-2 Solid waste")</f>
        <v>10.1.1.1-2 Solid waste</v>
      </c>
      <c r="D44" s="20" t="s">
        <v>1833</v>
      </c>
      <c r="E44" s="20" t="s">
        <v>537</v>
      </c>
    </row>
    <row r="45" spans="1:6" ht="20.100000000000001" customHeight="1" x14ac:dyDescent="0.2">
      <c r="A45" s="5" t="str">
        <f>HYPERLINK("#'14.1.1-2 Purchased electricity'!A1", "14.1.1-2 Purchased electricity")</f>
        <v>14.1.1-2 Purchased electricity</v>
      </c>
      <c r="D45" s="20" t="s">
        <v>1834</v>
      </c>
      <c r="E45" s="20" t="s">
        <v>520</v>
      </c>
    </row>
    <row r="46" spans="1:6" ht="20.100000000000001" customHeight="1" x14ac:dyDescent="0.2">
      <c r="A46" s="5" t="str">
        <f>HYPERLINK("#'15 Scope 3'!A1", "15 Scope 3")</f>
        <v>15 Scope 3</v>
      </c>
      <c r="D46" s="20"/>
      <c r="E46" s="20" t="s">
        <v>533</v>
      </c>
    </row>
    <row r="47" spans="1:6" ht="20.100000000000001" customHeight="1" x14ac:dyDescent="0.2">
      <c r="A47" s="5" t="str">
        <f>HYPERLINK("#'Calcs - Manure sent off-site'!A1", "Calcs - Manure sent off-site")</f>
        <v>Calcs - Manure sent off-site</v>
      </c>
      <c r="D47" s="20"/>
      <c r="E47" s="20" t="s">
        <v>521</v>
      </c>
    </row>
    <row r="48" spans="1:6" ht="20.100000000000001" customHeight="1" x14ac:dyDescent="0.2">
      <c r="D48" s="20"/>
      <c r="E48" s="20" t="s">
        <v>522</v>
      </c>
    </row>
    <row r="49" spans="1:6" ht="20.100000000000001" customHeight="1" x14ac:dyDescent="0.2">
      <c r="D49" s="20"/>
      <c r="E49" s="20" t="s">
        <v>523</v>
      </c>
    </row>
    <row r="50" spans="1:6" ht="20.100000000000001" customHeight="1" x14ac:dyDescent="0.2">
      <c r="A50" s="85" t="s">
        <v>1</v>
      </c>
      <c r="D50" s="20"/>
      <c r="E50" s="20" t="s">
        <v>525</v>
      </c>
    </row>
    <row r="51" spans="1:6" ht="20.100000000000001" customHeight="1" x14ac:dyDescent="0.2">
      <c r="A51" s="5" t="str">
        <f>HYPERLINK("#'Constants - Pasture Beef'!A1", "Constants - Pasture Beef")</f>
        <v>Constants - Pasture Beef</v>
      </c>
    </row>
    <row r="52" spans="1:6" ht="20.100000000000001" customHeight="1" x14ac:dyDescent="0.2">
      <c r="A52" s="5" t="str">
        <f>HYPERLINK("#'Constants - Ag Residue'!A1", "Constants - Ag residue")</f>
        <v>Constants - Ag residue</v>
      </c>
      <c r="D52" s="2" t="s">
        <v>1931</v>
      </c>
    </row>
    <row r="53" spans="1:6" ht="20.100000000000001" customHeight="1" x14ac:dyDescent="0.2">
      <c r="A53" s="86" t="str">
        <f>HYPERLINK("#'Constants - Common Livestock'!A1", "Constants - Common Livestock")</f>
        <v>Constants - Common Livestock</v>
      </c>
      <c r="D53" s="17" t="s">
        <v>1929</v>
      </c>
    </row>
    <row r="54" spans="1:6" ht="20.100000000000001" customHeight="1" x14ac:dyDescent="0.2">
      <c r="A54" s="5" t="str">
        <f>HYPERLINK("#'Constants - Electricity'!A1", "Constants - Electricity")</f>
        <v>Constants - Electricity</v>
      </c>
      <c r="D54" s="20" t="s">
        <v>139</v>
      </c>
      <c r="E54" s="20" t="s">
        <v>1201</v>
      </c>
      <c r="F54" s="1" t="s">
        <v>1204</v>
      </c>
    </row>
    <row r="55" spans="1:6" ht="20.100000000000001" customHeight="1" x14ac:dyDescent="0.2">
      <c r="A55" s="5" t="str">
        <f>HYPERLINK("#'Constants - Fertiliser'!A1", "Constants - Fertiliser")</f>
        <v>Constants - Fertiliser</v>
      </c>
      <c r="D55" s="20" t="s">
        <v>1830</v>
      </c>
      <c r="E55" s="20" t="s">
        <v>537</v>
      </c>
    </row>
    <row r="56" spans="1:6" ht="20.100000000000001" customHeight="1" x14ac:dyDescent="0.2">
      <c r="A56" s="5" t="str">
        <f>HYPERLINK("#'Constants - Fuel'!A1", "Constants - Fuel")</f>
        <v>Constants - Fuel</v>
      </c>
    </row>
    <row r="57" spans="1:6" ht="20.100000000000001" customHeight="1" x14ac:dyDescent="0.2">
      <c r="A57" s="5" t="str">
        <f>HYPERLINK("#'Constants - Scope 3'!A1", "Constants - Scope 3")</f>
        <v>Constants - Scope 3</v>
      </c>
      <c r="D57" s="2" t="s">
        <v>1932</v>
      </c>
    </row>
    <row r="58" spans="1:6" ht="20.100000000000001" customHeight="1" x14ac:dyDescent="0.2">
      <c r="A58" s="5" t="str">
        <f>HYPERLINK("#'Constants - Solid Waste'!A1", "Constants - Solid Waste")</f>
        <v>Constants - Solid Waste</v>
      </c>
      <c r="D58" s="17" t="s">
        <v>1929</v>
      </c>
    </row>
    <row r="59" spans="1:6" ht="20.100000000000001" customHeight="1" x14ac:dyDescent="0.2">
      <c r="A59" s="5" t="str">
        <f>HYPERLINK("#'Constants - Common'!A1", "Constants - Common")</f>
        <v>Constants - Common</v>
      </c>
      <c r="D59" s="20" t="s">
        <v>139</v>
      </c>
      <c r="E59" s="20" t="s">
        <v>1201</v>
      </c>
      <c r="F59" s="1" t="s">
        <v>1205</v>
      </c>
    </row>
    <row r="60" spans="1:6" ht="20.100000000000001" customHeight="1" x14ac:dyDescent="0.2">
      <c r="A60" s="5" t="str">
        <f>HYPERLINK("#'Acknowledgements'!A1", "Acknowledgements")</f>
        <v>Acknowledgements</v>
      </c>
      <c r="D60" s="20" t="s">
        <v>1831</v>
      </c>
      <c r="E60" s="20" t="s">
        <v>523</v>
      </c>
    </row>
    <row r="62" spans="1:6" ht="20.100000000000001" customHeight="1" x14ac:dyDescent="0.2">
      <c r="D62" s="2" t="s">
        <v>1933</v>
      </c>
    </row>
    <row r="63" spans="1:6" ht="20.100000000000001" customHeight="1" x14ac:dyDescent="0.2">
      <c r="D63" s="17" t="s">
        <v>1929</v>
      </c>
    </row>
    <row r="64" spans="1:6" ht="20.100000000000001" customHeight="1" x14ac:dyDescent="0.2">
      <c r="D64" s="20" t="s">
        <v>139</v>
      </c>
      <c r="E64" s="20" t="s">
        <v>1201</v>
      </c>
      <c r="F64" s="1" t="s">
        <v>1206</v>
      </c>
    </row>
    <row r="65" spans="4:5" ht="20.100000000000001" customHeight="1" x14ac:dyDescent="0.2">
      <c r="D65" s="20" t="s">
        <v>1084</v>
      </c>
      <c r="E65" s="20" t="s">
        <v>537</v>
      </c>
    </row>
  </sheetData>
  <pageMargins left="0.7" right="0.7" top="0.75" bottom="0.75" header="0.3" footer="0.3"/>
  <pageSetup paperSize="9" orientation="portrait" r:id="rId1"/>
  <tableParts count="6">
    <tablePart r:id="rId2"/>
    <tablePart r:id="rId3"/>
    <tablePart r:id="rId4"/>
    <tablePart r:id="rId5"/>
    <tablePart r:id="rId6"/>
    <tablePart r:id="rId7"/>
  </tableParts>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4D541C-66F9-4903-A9F1-9D4D58EB88E3}">
  <sheetPr>
    <tabColor theme="2" tint="-0.499984740745262"/>
  </sheetPr>
  <dimension ref="A1:AI60"/>
  <sheetViews>
    <sheetView showGridLines="0" zoomScaleNormal="100" workbookViewId="0">
      <pane xSplit="1" topLeftCell="B1" activePane="topRight" state="frozen"/>
      <selection pane="topRight" activeCell="A59" sqref="A59"/>
    </sheetView>
  </sheetViews>
  <sheetFormatPr defaultRowHeight="20.100000000000001" customHeight="1" x14ac:dyDescent="0.2"/>
  <cols>
    <col min="1" max="1" width="36.7109375" customWidth="1"/>
    <col min="2" max="2" width="4.7109375" customWidth="1"/>
    <col min="3" max="3" width="4.7109375" style="1" customWidth="1"/>
    <col min="4" max="4" width="39.140625" style="1" customWidth="1"/>
    <col min="5" max="5" width="30.7109375" style="1" customWidth="1"/>
    <col min="6" max="6" width="29.5703125" style="1" customWidth="1"/>
    <col min="7" max="8" width="43.42578125" style="1" customWidth="1"/>
    <col min="9" max="9" width="43.5703125" style="1" customWidth="1"/>
    <col min="10" max="10" width="37.5703125" style="1" customWidth="1"/>
    <col min="11" max="11" width="33.5703125" style="1" customWidth="1"/>
    <col min="12" max="31" width="20.7109375" style="1" customWidth="1"/>
    <col min="32" max="32" width="4.7109375" style="1" customWidth="1"/>
  </cols>
  <sheetData>
    <row r="1" spans="1:35" s="21" customFormat="1" ht="30" customHeight="1" x14ac:dyDescent="0.35">
      <c r="A1" s="10" t="e" vm="1">
        <v>#VALUE!</v>
      </c>
      <c r="C1" s="21" t="s">
        <v>788</v>
      </c>
      <c r="AG1"/>
      <c r="AH1"/>
      <c r="AI1"/>
    </row>
    <row r="2" spans="1:35" s="3" customFormat="1" ht="20.100000000000001" customHeight="1" x14ac:dyDescent="0.2">
      <c r="A2"/>
      <c r="AG2"/>
      <c r="AH2"/>
      <c r="AI2"/>
    </row>
    <row r="3" spans="1:35" ht="20.100000000000001" customHeight="1" x14ac:dyDescent="0.2">
      <c r="A3" s="5" t="str">
        <f>HYPERLINK("#'Home'!A1", "Home")</f>
        <v>Home</v>
      </c>
      <c r="C3" s="23"/>
      <c r="D3" s="23"/>
      <c r="E3" s="23"/>
      <c r="F3" s="23"/>
      <c r="G3" s="23"/>
      <c r="H3" s="23"/>
      <c r="I3" s="23"/>
      <c r="J3" s="23"/>
      <c r="K3" s="23"/>
      <c r="L3" s="23"/>
      <c r="M3" s="23"/>
      <c r="N3" s="23"/>
      <c r="O3" s="23"/>
      <c r="P3" s="23"/>
      <c r="Q3" s="23"/>
      <c r="R3" s="23"/>
      <c r="S3" s="23"/>
      <c r="T3" s="23"/>
      <c r="U3" s="23"/>
      <c r="V3" s="23"/>
      <c r="W3" s="23"/>
      <c r="X3" s="23"/>
      <c r="Y3" s="23"/>
      <c r="Z3" s="23"/>
      <c r="AA3" s="23"/>
      <c r="AB3" s="23"/>
      <c r="AC3" s="23"/>
      <c r="AD3" s="23"/>
      <c r="AE3" s="23"/>
      <c r="AF3" s="23"/>
    </row>
    <row r="4" spans="1:35" ht="20.100000000000001" customHeight="1" x14ac:dyDescent="0.2">
      <c r="A4" s="5" t="str">
        <f>HYPERLINK("#'Results - Activity period'!A1", "Results - Activity period")</f>
        <v>Results - Activity period</v>
      </c>
    </row>
    <row r="5" spans="1:35" ht="20.100000000000001" customHeight="1" x14ac:dyDescent="0.2">
      <c r="A5" s="5" t="str">
        <f>HYPERLINK("#'Results - Product EI'!A1", "Results - Product Emissions Intensity")</f>
        <v>Results - Product Emissions Intensity</v>
      </c>
      <c r="D5" s="2" t="s">
        <v>1934</v>
      </c>
    </row>
    <row r="6" spans="1:35" ht="20.100000000000001" customHeight="1" x14ac:dyDescent="0.2">
      <c r="D6" s="17" t="s">
        <v>1935</v>
      </c>
      <c r="E6" s="8"/>
      <c r="F6" s="8"/>
    </row>
    <row r="7" spans="1:35" ht="20.100000000000001" customHeight="1" x14ac:dyDescent="0.2">
      <c r="D7" s="26" t="str" cm="1">
        <f t="array" ref="D7">"⚠️" &amp; Electricity_SourceData.Electricity_Scope2Scope3LocationBased_Variation()</f>
        <v>⚠️VARIATION OF SOURCE DATA: NSW and ACT split into separate rows.</v>
      </c>
      <c r="E7" s="8"/>
      <c r="F7" s="8"/>
    </row>
    <row r="8" spans="1:35" ht="20.100000000000001" customHeight="1" x14ac:dyDescent="0.2">
      <c r="A8" s="7" t="s">
        <v>0</v>
      </c>
      <c r="D8" s="8"/>
      <c r="E8" s="8"/>
      <c r="F8" s="8"/>
    </row>
    <row r="9" spans="1:35" ht="20.100000000000001" customHeight="1" x14ac:dyDescent="0.2">
      <c r="A9" s="5" t="str">
        <f>HYPERLINK("#'Input - Enterprise'!A1", "Enterprise")</f>
        <v>Enterprise</v>
      </c>
      <c r="D9" s="186" t="s">
        <v>789</v>
      </c>
      <c r="E9" s="186" t="s">
        <v>790</v>
      </c>
      <c r="F9" s="186" t="s">
        <v>791</v>
      </c>
    </row>
    <row r="10" spans="1:35" ht="20.100000000000001" customHeight="1" x14ac:dyDescent="0.2">
      <c r="A10" s="5" t="str">
        <f>HYPERLINK("#'Input - Site'!A1", "Site")</f>
        <v>Site</v>
      </c>
      <c r="D10" t="s">
        <v>1936</v>
      </c>
      <c r="E10">
        <v>0.64</v>
      </c>
      <c r="F10">
        <v>0.03</v>
      </c>
    </row>
    <row r="11" spans="1:35" ht="20.100000000000001" customHeight="1" x14ac:dyDescent="0.2">
      <c r="A11" s="5" t="str">
        <f>HYPERLINK("#'Input - Pasture Beef'!A1", "Pasture Beef")</f>
        <v>Pasture Beef</v>
      </c>
      <c r="D11" t="s">
        <v>519</v>
      </c>
      <c r="E11">
        <v>0.64</v>
      </c>
      <c r="F11">
        <v>0.03</v>
      </c>
    </row>
    <row r="12" spans="1:35" ht="20.100000000000001" customHeight="1" x14ac:dyDescent="0.2">
      <c r="A12" s="5" t="str">
        <f>HYPERLINK("#'Input - Livestock sales'!A1", "Livestock sales")</f>
        <v>Livestock sales</v>
      </c>
      <c r="D12" t="s">
        <v>1783</v>
      </c>
      <c r="E12">
        <v>0.78</v>
      </c>
      <c r="F12">
        <v>0.09</v>
      </c>
    </row>
    <row r="13" spans="1:35" ht="20.100000000000001" customHeight="1" x14ac:dyDescent="0.2">
      <c r="A13" s="5" t="str">
        <f>HYPERLINK("#'Input - Beef cattle purchases'!A1", "Beef cattle purchases")</f>
        <v>Beef cattle purchases</v>
      </c>
      <c r="D13" t="s">
        <v>1789</v>
      </c>
      <c r="E13">
        <v>0.67</v>
      </c>
      <c r="F13">
        <v>0.09</v>
      </c>
    </row>
    <row r="14" spans="1:35" ht="20.100000000000001" customHeight="1" x14ac:dyDescent="0.2">
      <c r="A14" s="5" t="str">
        <f>HYPERLINK("#'Input - Pasture'!A1", "Pasture")</f>
        <v>Pasture</v>
      </c>
      <c r="D14" t="s">
        <v>1781</v>
      </c>
      <c r="E14">
        <v>0.22</v>
      </c>
      <c r="F14">
        <v>0.04</v>
      </c>
    </row>
    <row r="15" spans="1:35" ht="20.100000000000001" customHeight="1" x14ac:dyDescent="0.2">
      <c r="A15" s="5" t="str">
        <f>HYPERLINK("#'Input - Fert Prod System'!A1", "Fert Prod System")</f>
        <v>Fert Prod System</v>
      </c>
      <c r="D15" t="s">
        <v>1937</v>
      </c>
      <c r="E15">
        <v>0.5</v>
      </c>
      <c r="F15">
        <v>0.06</v>
      </c>
    </row>
    <row r="16" spans="1:35" ht="20.100000000000001" customHeight="1" x14ac:dyDescent="0.2">
      <c r="A16" s="5" t="str">
        <f>HYPERLINK("#'Input - Fertiliser'!A1", "Fertiliser")</f>
        <v>Fertiliser</v>
      </c>
      <c r="D16" t="s">
        <v>1938</v>
      </c>
      <c r="E16">
        <v>0.56000000000000005</v>
      </c>
      <c r="F16">
        <v>0.09</v>
      </c>
    </row>
    <row r="17" spans="1:8" ht="20.100000000000001" customHeight="1" x14ac:dyDescent="0.2">
      <c r="A17" s="5" t="str">
        <f>HYPERLINK("#'Input - Fuel'!A1", "Fuel")</f>
        <v>Fuel</v>
      </c>
      <c r="D17" t="s">
        <v>1782</v>
      </c>
      <c r="E17">
        <v>0.2</v>
      </c>
      <c r="F17">
        <v>0.03</v>
      </c>
    </row>
    <row r="18" spans="1:8" ht="20.100000000000001" customHeight="1" x14ac:dyDescent="0.2">
      <c r="A18" s="5" t="str">
        <f>HYPERLINK("#'Input - Electricity'!A1", "Electricity")</f>
        <v>Electricity</v>
      </c>
      <c r="D18" t="s">
        <v>1939</v>
      </c>
      <c r="E18">
        <v>0.56000000000000005</v>
      </c>
      <c r="F18">
        <v>0.09</v>
      </c>
    </row>
    <row r="19" spans="1:8" ht="20.100000000000001" customHeight="1" x14ac:dyDescent="0.2">
      <c r="A19" s="5" t="str">
        <f>HYPERLINK("#'Input - Common farm inputs'!A1", "Common farm inputs")</f>
        <v>Common farm inputs</v>
      </c>
      <c r="D19" t="s">
        <v>1940</v>
      </c>
      <c r="E19">
        <v>0.62</v>
      </c>
      <c r="F19">
        <v>7.0000000000000007E-2</v>
      </c>
    </row>
    <row r="20" spans="1:8" ht="20.100000000000001" customHeight="1" x14ac:dyDescent="0.2">
      <c r="A20" s="5" t="str">
        <f>HYPERLINK("#'Input - Crop pasture farm input'!A1", "Crop pasture farm input")</f>
        <v>Crop pasture farm input</v>
      </c>
    </row>
    <row r="21" spans="1:8" ht="20.100000000000001" customHeight="1" x14ac:dyDescent="0.2">
      <c r="A21" s="5" t="str">
        <f>HYPERLINK("#'Input - Livestock farm Inputs'!A1", "Livestock farm Inputs")</f>
        <v>Livestock farm Inputs</v>
      </c>
      <c r="D21" s="2" t="s">
        <v>1941</v>
      </c>
    </row>
    <row r="22" spans="1:8" ht="20.100000000000001" customHeight="1" x14ac:dyDescent="0.2">
      <c r="A22" s="5" t="str">
        <f>HYPERLINK("#'Input - Freight'!A1", "Freight")</f>
        <v>Freight</v>
      </c>
      <c r="D22" s="17" t="s">
        <v>1942</v>
      </c>
    </row>
    <row r="23" spans="1:8" ht="20.100000000000001" customHeight="1" x14ac:dyDescent="0.2">
      <c r="A23" s="5" t="str">
        <f>HYPERLINK("#'Input - Solid waste'!A1", "Solid waste")</f>
        <v>Solid waste</v>
      </c>
    </row>
    <row r="24" spans="1:8" ht="20.100000000000001" customHeight="1" x14ac:dyDescent="0.2">
      <c r="A24" s="5" t="str">
        <f>HYPERLINK("#'Input - Manure sent off-site'!A1", "Manure sent off-site")</f>
        <v>Manure sent off-site</v>
      </c>
      <c r="D24" s="177" t="s">
        <v>789</v>
      </c>
      <c r="E24" s="177" t="s">
        <v>792</v>
      </c>
      <c r="F24" s="177" t="s">
        <v>793</v>
      </c>
      <c r="G24" s="177" t="s">
        <v>794</v>
      </c>
      <c r="H24" s="177" t="s">
        <v>795</v>
      </c>
    </row>
    <row r="25" spans="1:8" ht="20.100000000000001" customHeight="1" x14ac:dyDescent="0.2">
      <c r="A25" s="5" t="str">
        <f>HYPERLINK("#'Input - Data quality'!A1", "Data quality")</f>
        <v>Data quality</v>
      </c>
      <c r="D25" t="s">
        <v>1940</v>
      </c>
      <c r="E25">
        <v>0.81</v>
      </c>
      <c r="F25">
        <v>226</v>
      </c>
      <c r="G25">
        <v>0.1</v>
      </c>
      <c r="H25">
        <v>29</v>
      </c>
    </row>
    <row r="28" spans="1:8" ht="20.100000000000001" customHeight="1" x14ac:dyDescent="0.2">
      <c r="A28" s="6" t="s">
        <v>2</v>
      </c>
    </row>
    <row r="29" spans="1:8" ht="20.100000000000001" customHeight="1" x14ac:dyDescent="0.2">
      <c r="A29" s="5" t="str">
        <f>HYPERLINK("#'3.2.1.1-2 Enteric Methane'!A1", "3.2.1.1-2 Enteric Methane")</f>
        <v>3.2.1.1-2 Enteric Methane</v>
      </c>
    </row>
    <row r="30" spans="1:8" ht="20.100000000000001" customHeight="1" x14ac:dyDescent="0.2">
      <c r="A30" s="5" t="str">
        <f>HYPERLINK("#'4.2.1.1-2 Methane'!A1", "4.2.1.1-2 Manure methane")</f>
        <v>4.2.1.1-2 Manure methane</v>
      </c>
    </row>
    <row r="31" spans="1:8" ht="20.100000000000001" customHeight="1" x14ac:dyDescent="0.2">
      <c r="A31" s="5" t="str">
        <f>HYPERLINK("#'4.2.1.3-4 Soil direct N20'!A1", "4.2.1.3-4 Soil direct N2O")</f>
        <v>4.2.1.3-4 Soil direct N2O</v>
      </c>
    </row>
    <row r="32" spans="1:8" ht="20.100000000000001" customHeight="1" x14ac:dyDescent="0.2">
      <c r="A32" s="5" t="str">
        <f>HYPERLINK("#'4.2.1.5-6 Soil Atmos Dep'!A1", "4.2.1.5-6 Soil atm. deposition")</f>
        <v>4.2.1.5-6 Soil atm. deposition</v>
      </c>
    </row>
    <row r="33" spans="1:1" ht="20.100000000000001" customHeight="1" x14ac:dyDescent="0.2">
      <c r="A33" s="5" t="str">
        <f>HYPERLINK("#'4.2.1.7-8 Soil leach runoff'!A1", "4.2.1.7-8 Soil leach &amp; runoff")</f>
        <v>4.2.1.7-8 Soil leach &amp; runoff</v>
      </c>
    </row>
    <row r="34" spans="1:1" ht="20.100000000000001" customHeight="1" x14ac:dyDescent="0.2">
      <c r="A34" s="5" t="str">
        <f>HYPERLINK("#'5.1.1.1-2 Inorganic fert N2O'!A1", "5.1.1.1-2 Inorganic fert N2O")</f>
        <v>5.1.1.1-2 Inorganic fert N2O</v>
      </c>
    </row>
    <row r="35" spans="1:1" ht="20.100000000000001" customHeight="1" x14ac:dyDescent="0.2">
      <c r="A35" s="5" t="str">
        <f>HYPERLINK("#'5.1.1.3-4 Inorganic fert CO2'!A1", "5.1.1.3-4 Inorganic fert CO2")</f>
        <v>5.1.1.3-4 Inorganic fert CO2</v>
      </c>
    </row>
    <row r="36" spans="1:1" ht="20.100000000000001" customHeight="1" x14ac:dyDescent="0.2">
      <c r="A36" s="5" t="str">
        <f>HYPERLINK("#'5.2.1.1-2 Organic Fert N2O'!A1", "5.2.1.1-2 Organic fert N2O")</f>
        <v>5.2.1.1-2 Organic fert N2O</v>
      </c>
    </row>
    <row r="37" spans="1:1" ht="20.100000000000001" customHeight="1" x14ac:dyDescent="0.2">
      <c r="A37" s="5" t="str">
        <f>HYPERLINK("#'5.3.1.1-2 Lime CO2'!A1", "5.3.1.1-2 Lime CO2")</f>
        <v>5.3.1.1-2 Lime CO2</v>
      </c>
    </row>
    <row r="38" spans="1:1" ht="20.100000000000001" customHeight="1" x14ac:dyDescent="0.2">
      <c r="A38" s="5" t="str">
        <f>HYPERLINK("#'5.4.1.1-4 Atmos deposition'!A1", "5.4.1.1-4 Atmos. deposition")</f>
        <v>5.4.1.1-4 Atmos. deposition</v>
      </c>
    </row>
    <row r="39" spans="1:1" ht="20.100000000000001" customHeight="1" x14ac:dyDescent="0.2">
      <c r="A39" s="5" t="str">
        <f>HYPERLINK("#'5.5.1.1-2 Leaching and runoff'!A1", "5.5.1.1-2 Leaching &amp; runoff")</f>
        <v>5.5.1.1-2 Leaching &amp; runoff</v>
      </c>
    </row>
    <row r="40" spans="1:1" ht="20.100000000000001" customHeight="1" x14ac:dyDescent="0.2">
      <c r="A40" s="5" t="str">
        <f>HYPERLINK("#'6.2.1.1-2 Pasture residue N2O'!A1", "6.2.1.1-2 Pasture residue N2O")</f>
        <v>6.2.1.1-2 Pasture residue N2O</v>
      </c>
    </row>
    <row r="41" spans="1:1" ht="20.100000000000001" customHeight="1" x14ac:dyDescent="0.2">
      <c r="A41" s="5" t="str">
        <f>HYPERLINK("#'6.3.1.1-2 Leach runoff pasture'!A1", "6.3.1.1-2 Leach &amp; runoff (pasture)")</f>
        <v>6.3.1.1-2 Leach &amp; runoff (pasture)</v>
      </c>
    </row>
    <row r="42" spans="1:1" ht="20.100000000000001" customHeight="1" x14ac:dyDescent="0.2">
      <c r="A42" s="5" t="str">
        <f>HYPERLINK("#'8.1.1.1-2 Transport fuel'!A1", "8.1.1.1-2 Transport fuel")</f>
        <v>8.1.1.1-2 Transport fuel</v>
      </c>
    </row>
    <row r="43" spans="1:1" ht="20.100000000000001" customHeight="1" x14ac:dyDescent="0.2">
      <c r="A43" s="5" t="str">
        <f>HYPERLINK("#'8.2.1.1-2 Stationary fuel'!A1", "8.2.1.1-2 Stationary fuel")</f>
        <v>8.2.1.1-2 Stationary fuel</v>
      </c>
    </row>
    <row r="44" spans="1:1" ht="20.100000000000001" customHeight="1" x14ac:dyDescent="0.2">
      <c r="A44" s="5" t="str">
        <f>HYPERLINK("#'10.1.1-2 Solid waste treatment'!A1", "10.1.1.1-2 Solid waste")</f>
        <v>10.1.1.1-2 Solid waste</v>
      </c>
    </row>
    <row r="45" spans="1:1" ht="20.100000000000001" customHeight="1" x14ac:dyDescent="0.2">
      <c r="A45" s="5" t="str">
        <f>HYPERLINK("#'14.1.1-2 Purchased electricity'!A1", "14.1.1-2 Purchased electricity")</f>
        <v>14.1.1-2 Purchased electricity</v>
      </c>
    </row>
    <row r="46" spans="1:1" ht="20.100000000000001" customHeight="1" x14ac:dyDescent="0.2">
      <c r="A46" s="5" t="str">
        <f>HYPERLINK("#'15 Scope 3'!A1", "15 Scope 3")</f>
        <v>15 Scope 3</v>
      </c>
    </row>
    <row r="47" spans="1:1" ht="20.100000000000001" customHeight="1" x14ac:dyDescent="0.2">
      <c r="A47" s="5" t="str">
        <f>HYPERLINK("#'Calcs - Manure sent off-site'!A1", "Calcs - Manure sent off-site")</f>
        <v>Calcs - Manure sent off-site</v>
      </c>
    </row>
    <row r="50" spans="1:1" ht="20.100000000000001" customHeight="1" x14ac:dyDescent="0.2">
      <c r="A50" s="85" t="s">
        <v>1</v>
      </c>
    </row>
    <row r="51" spans="1:1" ht="20.100000000000001" customHeight="1" x14ac:dyDescent="0.2">
      <c r="A51" s="5" t="str">
        <f>HYPERLINK("#'Constants - Pasture Beef'!A1", "Constants - Pasture Beef")</f>
        <v>Constants - Pasture Beef</v>
      </c>
    </row>
    <row r="52" spans="1:1" ht="20.100000000000001" customHeight="1" x14ac:dyDescent="0.2">
      <c r="A52" s="5" t="str">
        <f>HYPERLINK("#'Constants - Ag Residue'!A1", "Constants - Ag residue")</f>
        <v>Constants - Ag residue</v>
      </c>
    </row>
    <row r="53" spans="1:1" ht="20.100000000000001" customHeight="1" x14ac:dyDescent="0.2">
      <c r="A53" s="5" t="str">
        <f>HYPERLINK("#'Constants - Common Livestock'!A1", "Constants - Common Livestock")</f>
        <v>Constants - Common Livestock</v>
      </c>
    </row>
    <row r="54" spans="1:1" ht="20.100000000000001" customHeight="1" x14ac:dyDescent="0.2">
      <c r="A54" s="86" t="str">
        <f>HYPERLINK("#'Constants - Electricity'!A1", "Constants - Electricity")</f>
        <v>Constants - Electricity</v>
      </c>
    </row>
    <row r="55" spans="1:1" ht="20.100000000000001" customHeight="1" x14ac:dyDescent="0.2">
      <c r="A55" s="5" t="str">
        <f>HYPERLINK("#'Constants - Fertiliser'!A1", "Constants - Fertiliser")</f>
        <v>Constants - Fertiliser</v>
      </c>
    </row>
    <row r="56" spans="1:1" ht="20.100000000000001" customHeight="1" x14ac:dyDescent="0.2">
      <c r="A56" s="5" t="str">
        <f>HYPERLINK("#'Constants - Fuel'!A1", "Constants - Fuel")</f>
        <v>Constants - Fuel</v>
      </c>
    </row>
    <row r="57" spans="1:1" ht="20.100000000000001" customHeight="1" x14ac:dyDescent="0.2">
      <c r="A57" s="5" t="str">
        <f>HYPERLINK("#'Constants - Scope 3'!A1", "Constants - Scope 3")</f>
        <v>Constants - Scope 3</v>
      </c>
    </row>
    <row r="58" spans="1:1" ht="20.100000000000001" customHeight="1" x14ac:dyDescent="0.2">
      <c r="A58" s="5" t="str">
        <f>HYPERLINK("#'Constants - Solid Waste'!A1", "Constants - Solid Waste")</f>
        <v>Constants - Solid Waste</v>
      </c>
    </row>
    <row r="59" spans="1:1" ht="20.100000000000001" customHeight="1" x14ac:dyDescent="0.2">
      <c r="A59" s="5" t="str">
        <f>HYPERLINK("#'Constants - Common'!A1", "Constants - Common")</f>
        <v>Constants - Common</v>
      </c>
    </row>
    <row r="60" spans="1:1" ht="20.100000000000001" customHeight="1" x14ac:dyDescent="0.2">
      <c r="A60" s="5" t="str">
        <f>HYPERLINK("#'Acknowledgements'!A1", "Acknowledgements")</f>
        <v>Acknowledgements</v>
      </c>
    </row>
  </sheetData>
  <pageMargins left="0.7" right="0.7" top="0.75" bottom="0.75" header="0.3" footer="0.3"/>
  <tableParts count="2">
    <tablePart r:id="rId1"/>
    <tablePart r:id="rId2"/>
  </tableParts>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7C5939-9EAF-4AB3-9AFA-13EEA9EE4908}">
  <dimension ref="A1:AM223"/>
  <sheetViews>
    <sheetView showGridLines="0" zoomScaleNormal="100" workbookViewId="0">
      <pane xSplit="1" topLeftCell="B1" activePane="topRight" state="frozen"/>
      <selection pane="topRight" activeCell="A59" sqref="A59"/>
    </sheetView>
  </sheetViews>
  <sheetFormatPr defaultRowHeight="20.100000000000001" customHeight="1" x14ac:dyDescent="0.2"/>
  <cols>
    <col min="1" max="1" width="36.7109375" customWidth="1"/>
    <col min="2" max="2" width="4.7109375" customWidth="1"/>
    <col min="3" max="3" width="4.7109375" style="1" customWidth="1"/>
    <col min="4" max="9" width="20.7109375" style="1" customWidth="1"/>
    <col min="10" max="10" width="26.28515625" style="1" customWidth="1"/>
    <col min="11" max="34" width="20.7109375" style="1" customWidth="1"/>
    <col min="35" max="36" width="9.140625" style="1"/>
  </cols>
  <sheetData>
    <row r="1" spans="1:36" s="21" customFormat="1" ht="30" customHeight="1" x14ac:dyDescent="0.35">
      <c r="A1" s="10" t="e" vm="1">
        <v>#VALUE!</v>
      </c>
      <c r="C1" s="21" t="s">
        <v>723</v>
      </c>
      <c r="AF1" s="1"/>
      <c r="AG1" s="1"/>
      <c r="AH1" s="1"/>
      <c r="AI1" s="1"/>
      <c r="AJ1" s="1"/>
    </row>
    <row r="2" spans="1:36" s="3" customFormat="1" ht="20.100000000000001" customHeight="1" x14ac:dyDescent="0.2">
      <c r="A2"/>
      <c r="AF2" s="1"/>
      <c r="AG2" s="1"/>
      <c r="AH2" s="1"/>
      <c r="AI2" s="1"/>
      <c r="AJ2" s="1"/>
    </row>
    <row r="3" spans="1:36" ht="20.100000000000001" customHeight="1" x14ac:dyDescent="0.2">
      <c r="A3" s="5" t="str">
        <f>HYPERLINK("#'Home'!A1", "Home")</f>
        <v>Home</v>
      </c>
      <c r="C3" s="23"/>
      <c r="D3" s="23"/>
      <c r="E3" s="23"/>
      <c r="F3" s="23"/>
      <c r="G3" s="23"/>
      <c r="H3" s="23"/>
      <c r="I3" s="23"/>
      <c r="J3" s="23"/>
      <c r="K3" s="23"/>
      <c r="L3" s="23"/>
      <c r="M3" s="23"/>
      <c r="N3" s="23"/>
      <c r="O3" s="23"/>
      <c r="P3" s="23"/>
      <c r="Q3" s="23"/>
      <c r="R3" s="23"/>
      <c r="S3" s="23"/>
      <c r="T3" s="23"/>
      <c r="U3" s="23"/>
      <c r="V3" s="23"/>
      <c r="W3" s="23"/>
      <c r="X3" s="23"/>
      <c r="Y3" s="23"/>
      <c r="Z3" s="23"/>
      <c r="AA3" s="23"/>
      <c r="AB3" s="23"/>
      <c r="AC3" s="23"/>
      <c r="AD3" s="23"/>
      <c r="AE3" s="23"/>
    </row>
    <row r="4" spans="1:36" ht="20.100000000000001" customHeight="1" x14ac:dyDescent="0.2">
      <c r="A4" s="5" t="str">
        <f>HYPERLINK("#'Results - Activity period'!A1", "Results - Activity period")</f>
        <v>Results - Activity period</v>
      </c>
    </row>
    <row r="5" spans="1:36" ht="20.100000000000001" customHeight="1" x14ac:dyDescent="0.2">
      <c r="A5" s="5" t="str">
        <f>HYPERLINK("#'Results - Product EI'!A1", "Results - Product Emissions Intensity")</f>
        <v>Results - Product Emissions Intensity</v>
      </c>
      <c r="D5" s="2" t="s">
        <v>1943</v>
      </c>
      <c r="E5" s="168"/>
      <c r="F5" s="168"/>
      <c r="G5" s="168"/>
      <c r="H5" s="168"/>
      <c r="I5" s="168"/>
      <c r="J5" s="168"/>
    </row>
    <row r="6" spans="1:36" ht="20.100000000000001" customHeight="1" x14ac:dyDescent="0.2">
      <c r="D6" s="17" t="s">
        <v>1944</v>
      </c>
    </row>
    <row r="7" spans="1:36" ht="20.100000000000001" customHeight="1" x14ac:dyDescent="0.2">
      <c r="D7" s="26" t="s">
        <v>1945</v>
      </c>
    </row>
    <row r="8" spans="1:36" ht="20.100000000000001" customHeight="1" x14ac:dyDescent="0.2">
      <c r="A8" s="7" t="s">
        <v>0</v>
      </c>
      <c r="D8" s="26" t="s">
        <v>1946</v>
      </c>
    </row>
    <row r="9" spans="1:36" ht="20.100000000000001" customHeight="1" x14ac:dyDescent="0.2">
      <c r="A9" s="5" t="str">
        <f>HYPERLINK("#'Input - Enterprise'!A1", "Enterprise")</f>
        <v>Enterprise</v>
      </c>
      <c r="D9" s="26" t="s">
        <v>1947</v>
      </c>
    </row>
    <row r="10" spans="1:36" ht="20.100000000000001" customHeight="1" x14ac:dyDescent="0.2">
      <c r="A10" s="5" t="str">
        <f>HYPERLINK("#'Input - Site'!A1", "Site")</f>
        <v>Site</v>
      </c>
      <c r="D10" s="26" t="s">
        <v>1948</v>
      </c>
    </row>
    <row r="11" spans="1:36" ht="20.100000000000001" customHeight="1" x14ac:dyDescent="0.2">
      <c r="A11" s="5" t="str">
        <f>HYPERLINK("#'Input - Pasture Beef'!A1", "Pasture Beef")</f>
        <v>Pasture Beef</v>
      </c>
      <c r="D11" s="26" t="s">
        <v>1949</v>
      </c>
    </row>
    <row r="12" spans="1:36" ht="20.100000000000001" customHeight="1" x14ac:dyDescent="0.2">
      <c r="A12" s="5" t="str">
        <f>HYPERLINK("#'Input - Livestock sales'!A1", "Livestock sales")</f>
        <v>Livestock sales</v>
      </c>
      <c r="D12" s="26" t="s">
        <v>1950</v>
      </c>
    </row>
    <row r="13" spans="1:36" ht="20.100000000000001" customHeight="1" x14ac:dyDescent="0.2">
      <c r="A13" s="5" t="str">
        <f>HYPERLINK("#'Input - Beef cattle purchases'!A1", "Beef cattle purchases")</f>
        <v>Beef cattle purchases</v>
      </c>
      <c r="D13" s="26" t="s">
        <v>1951</v>
      </c>
    </row>
    <row r="14" spans="1:36" ht="20.100000000000001" customHeight="1" x14ac:dyDescent="0.2">
      <c r="A14" s="5" t="str">
        <f>HYPERLINK("#'Input - Pasture'!A1", "Pasture")</f>
        <v>Pasture</v>
      </c>
      <c r="D14" s="26" t="s">
        <v>1952</v>
      </c>
    </row>
    <row r="15" spans="1:36" ht="20.100000000000001" customHeight="1" x14ac:dyDescent="0.2">
      <c r="A15" s="5" t="str">
        <f>HYPERLINK("#'Input - Fert Prod System'!A1", "Fert Prod System")</f>
        <v>Fert Prod System</v>
      </c>
      <c r="D15" s="26" t="s">
        <v>1953</v>
      </c>
    </row>
    <row r="16" spans="1:36" ht="20.100000000000001" customHeight="1" x14ac:dyDescent="0.2">
      <c r="A16" s="5" t="str">
        <f>HYPERLINK("#'Input - Fertiliser'!A1", "Fertiliser")</f>
        <v>Fertiliser</v>
      </c>
      <c r="D16" s="26" t="s">
        <v>1954</v>
      </c>
    </row>
    <row r="17" spans="1:22" ht="20.100000000000001" customHeight="1" x14ac:dyDescent="0.2">
      <c r="A17" s="5" t="str">
        <f>HYPERLINK("#'Input - Fuel'!A1", "Fuel")</f>
        <v>Fuel</v>
      </c>
      <c r="D17" s="26" t="s">
        <v>1955</v>
      </c>
      <c r="K17" s="2" t="s">
        <v>1957</v>
      </c>
      <c r="Q17" s="2" t="s">
        <v>1959</v>
      </c>
      <c r="V17" s="2" t="s">
        <v>1961</v>
      </c>
    </row>
    <row r="18" spans="1:22" ht="20.100000000000001" customHeight="1" x14ac:dyDescent="0.2">
      <c r="A18" s="5" t="str">
        <f>HYPERLINK("#'Input - Electricity'!A1", "Electricity")</f>
        <v>Electricity</v>
      </c>
      <c r="D18" s="26" t="s">
        <v>1956</v>
      </c>
      <c r="K18" s="17" t="s">
        <v>1958</v>
      </c>
      <c r="Q18" s="17" t="s">
        <v>1960</v>
      </c>
      <c r="V18" s="17" t="s">
        <v>1929</v>
      </c>
    </row>
    <row r="19" spans="1:22" ht="20.100000000000001" customHeight="1" x14ac:dyDescent="0.2">
      <c r="A19" s="5" t="str">
        <f>HYPERLINK("#'Input - Common farm inputs'!A1", "Common farm inputs")</f>
        <v>Common farm inputs</v>
      </c>
      <c r="D19" t="s">
        <v>644</v>
      </c>
      <c r="E19" t="s">
        <v>724</v>
      </c>
      <c r="F19" t="s">
        <v>725</v>
      </c>
      <c r="G19" t="s">
        <v>699</v>
      </c>
      <c r="H19" t="s">
        <v>726</v>
      </c>
      <c r="I19" t="s">
        <v>727</v>
      </c>
      <c r="K19" s="20" t="s">
        <v>644</v>
      </c>
      <c r="L19" s="20" t="s">
        <v>724</v>
      </c>
      <c r="Q19" s="20" t="s">
        <v>644</v>
      </c>
      <c r="R19" s="20" t="s">
        <v>724</v>
      </c>
      <c r="V19" s="20" t="s">
        <v>727</v>
      </c>
    </row>
    <row r="20" spans="1:22" ht="20.100000000000001" customHeight="1" x14ac:dyDescent="0.2">
      <c r="A20" s="5" t="str">
        <f>HYPERLINK("#'Input - Crop pasture farm input'!A1", "Crop pasture farm input")</f>
        <v>Crop pasture farm input</v>
      </c>
      <c r="D20" s="177" t="s">
        <v>1962</v>
      </c>
      <c r="E20" s="177">
        <v>0.1</v>
      </c>
      <c r="F20" s="177">
        <v>0</v>
      </c>
      <c r="G20" s="177" t="s">
        <v>1963</v>
      </c>
      <c r="H20" s="177" t="s">
        <v>1962</v>
      </c>
      <c r="I20" s="177" t="s">
        <v>1197</v>
      </c>
      <c r="K20" s="20" t="s">
        <v>1962</v>
      </c>
      <c r="L20" s="20">
        <v>0.1</v>
      </c>
      <c r="Q20" s="20" t="s">
        <v>1962</v>
      </c>
      <c r="R20" s="20">
        <v>0</v>
      </c>
      <c r="V20" s="20" t="s">
        <v>1995</v>
      </c>
    </row>
    <row r="21" spans="1:22" ht="20.100000000000001" customHeight="1" x14ac:dyDescent="0.2">
      <c r="A21" s="5" t="str">
        <f>HYPERLINK("#'Input - Livestock farm Inputs'!A1", "Livestock farm Inputs")</f>
        <v>Livestock farm Inputs</v>
      </c>
      <c r="D21" s="177" t="s">
        <v>1964</v>
      </c>
      <c r="E21" s="177">
        <v>0.18</v>
      </c>
      <c r="F21" s="177">
        <v>0</v>
      </c>
      <c r="G21" s="177" t="s">
        <v>1963</v>
      </c>
      <c r="H21" s="177" t="s">
        <v>1964</v>
      </c>
      <c r="I21" s="177" t="s">
        <v>1197</v>
      </c>
      <c r="K21" s="20" t="s">
        <v>1964</v>
      </c>
      <c r="L21" s="20">
        <v>0.18</v>
      </c>
      <c r="Q21" s="20" t="s">
        <v>1964</v>
      </c>
      <c r="R21" s="20">
        <v>0</v>
      </c>
      <c r="V21" s="20" t="s">
        <v>1996</v>
      </c>
    </row>
    <row r="22" spans="1:22" ht="20.100000000000001" customHeight="1" x14ac:dyDescent="0.2">
      <c r="A22" s="5" t="str">
        <f>HYPERLINK("#'Input - Freight'!A1", "Freight")</f>
        <v>Freight</v>
      </c>
      <c r="D22" s="177" t="s">
        <v>1965</v>
      </c>
      <c r="E22" s="177">
        <v>0.46</v>
      </c>
      <c r="F22" s="177">
        <v>1</v>
      </c>
      <c r="G22" s="177" t="s">
        <v>1966</v>
      </c>
      <c r="H22" s="177" t="s">
        <v>1965</v>
      </c>
      <c r="I22" s="177" t="s">
        <v>1197</v>
      </c>
      <c r="K22" s="20" t="s">
        <v>1965</v>
      </c>
      <c r="L22" s="20">
        <v>0.46</v>
      </c>
      <c r="Q22" s="20" t="s">
        <v>1965</v>
      </c>
      <c r="R22" s="20">
        <v>1</v>
      </c>
      <c r="V22" s="20" t="s">
        <v>1997</v>
      </c>
    </row>
    <row r="23" spans="1:22" ht="20.100000000000001" customHeight="1" x14ac:dyDescent="0.2">
      <c r="A23" s="5" t="str">
        <f>HYPERLINK("#'Input - Solid waste'!A1", "Solid waste")</f>
        <v>Solid waste</v>
      </c>
      <c r="D23" s="177" t="s">
        <v>1967</v>
      </c>
      <c r="E23" s="177">
        <v>0.21</v>
      </c>
      <c r="F23" s="177">
        <v>0</v>
      </c>
      <c r="G23" s="177" t="s">
        <v>1963</v>
      </c>
      <c r="H23" s="177" t="s">
        <v>1967</v>
      </c>
      <c r="I23" s="177" t="s">
        <v>1197</v>
      </c>
      <c r="K23" s="20" t="s">
        <v>1967</v>
      </c>
      <c r="L23" s="20">
        <v>0.21</v>
      </c>
      <c r="Q23" s="20" t="s">
        <v>1967</v>
      </c>
      <c r="R23" s="20">
        <v>0</v>
      </c>
      <c r="V23" s="20" t="s">
        <v>1998</v>
      </c>
    </row>
    <row r="24" spans="1:22" ht="20.100000000000001" customHeight="1" x14ac:dyDescent="0.2">
      <c r="A24" s="5" t="str">
        <f>HYPERLINK("#'Input - Manure sent off-site'!A1", "Manure sent off-site")</f>
        <v>Manure sent off-site</v>
      </c>
      <c r="D24" s="177" t="s">
        <v>1968</v>
      </c>
      <c r="E24" s="177">
        <v>0.32</v>
      </c>
      <c r="F24" s="177">
        <v>0.35</v>
      </c>
      <c r="G24" s="177" t="s">
        <v>1966</v>
      </c>
      <c r="H24" s="177" t="s">
        <v>1968</v>
      </c>
      <c r="I24" s="177" t="s">
        <v>1197</v>
      </c>
      <c r="K24" s="20" t="s">
        <v>1968</v>
      </c>
      <c r="L24" s="20">
        <v>0.32</v>
      </c>
      <c r="Q24" s="20" t="s">
        <v>1968</v>
      </c>
      <c r="R24" s="20">
        <v>0.35</v>
      </c>
    </row>
    <row r="25" spans="1:22" ht="20.100000000000001" customHeight="1" x14ac:dyDescent="0.2">
      <c r="A25" s="5" t="str">
        <f>HYPERLINK("#'Input - Data quality'!A1", "Data quality")</f>
        <v>Data quality</v>
      </c>
      <c r="D25" s="177" t="s">
        <v>1969</v>
      </c>
      <c r="E25" s="177">
        <v>0.33700000000000002</v>
      </c>
      <c r="F25" s="177">
        <v>0</v>
      </c>
      <c r="G25" s="177" t="s">
        <v>1970</v>
      </c>
      <c r="H25" s="177" t="s">
        <v>1969</v>
      </c>
      <c r="I25" s="177" t="s">
        <v>1197</v>
      </c>
      <c r="K25" s="20" t="s">
        <v>1969</v>
      </c>
      <c r="L25" s="20">
        <v>0.33700000000000002</v>
      </c>
      <c r="Q25" s="20" t="s">
        <v>1969</v>
      </c>
      <c r="R25" s="20">
        <v>0</v>
      </c>
    </row>
    <row r="26" spans="1:22" ht="20.100000000000001" customHeight="1" x14ac:dyDescent="0.2">
      <c r="D26" s="177" t="s">
        <v>1971</v>
      </c>
      <c r="E26" s="177">
        <v>0.27</v>
      </c>
      <c r="F26" s="177">
        <v>0</v>
      </c>
      <c r="G26" s="177" t="s">
        <v>1970</v>
      </c>
      <c r="H26" s="177" t="s">
        <v>1971</v>
      </c>
      <c r="I26" s="177" t="s">
        <v>1197</v>
      </c>
      <c r="K26" s="20" t="s">
        <v>1971</v>
      </c>
      <c r="L26" s="20">
        <v>0.27</v>
      </c>
      <c r="Q26" s="20" t="s">
        <v>1971</v>
      </c>
      <c r="R26" s="20">
        <v>0</v>
      </c>
    </row>
    <row r="27" spans="1:22" ht="20.100000000000001" customHeight="1" x14ac:dyDescent="0.2">
      <c r="D27" s="177" t="s">
        <v>1972</v>
      </c>
      <c r="E27" s="177">
        <v>1</v>
      </c>
      <c r="F27" s="177">
        <v>0</v>
      </c>
      <c r="G27" s="177" t="s">
        <v>1963</v>
      </c>
      <c r="H27" s="177" t="s">
        <v>1972</v>
      </c>
      <c r="I27" s="177" t="s">
        <v>1973</v>
      </c>
      <c r="K27" s="20" t="s">
        <v>1993</v>
      </c>
      <c r="L27" s="20">
        <v>0.21</v>
      </c>
      <c r="Q27" s="20" t="s">
        <v>1993</v>
      </c>
      <c r="R27" s="20">
        <v>0</v>
      </c>
    </row>
    <row r="28" spans="1:22" ht="20.100000000000001" customHeight="1" x14ac:dyDescent="0.2">
      <c r="A28" s="6" t="s">
        <v>2</v>
      </c>
      <c r="D28" s="177" t="s">
        <v>1974</v>
      </c>
      <c r="E28" s="177">
        <v>1</v>
      </c>
      <c r="F28" s="177">
        <v>0</v>
      </c>
      <c r="G28" s="177" t="s">
        <v>1975</v>
      </c>
      <c r="H28" s="177" t="s">
        <v>1976</v>
      </c>
      <c r="I28" s="177" t="s">
        <v>1973</v>
      </c>
      <c r="K28" s="20" t="s">
        <v>1994</v>
      </c>
      <c r="L28" s="20">
        <v>0.155</v>
      </c>
      <c r="Q28" s="20" t="s">
        <v>1994</v>
      </c>
      <c r="R28" s="20">
        <v>0</v>
      </c>
    </row>
    <row r="29" spans="1:22" ht="20.100000000000001" customHeight="1" x14ac:dyDescent="0.2">
      <c r="A29" s="5" t="str">
        <f>HYPERLINK("#'3.2.1.1-2 Enteric Methane'!A1", "3.2.1.1-2 Enteric Methane")</f>
        <v>3.2.1.1-2 Enteric Methane</v>
      </c>
      <c r="D29" s="177" t="s">
        <v>1977</v>
      </c>
      <c r="E29" s="177">
        <v>1</v>
      </c>
      <c r="F29" s="177">
        <v>0</v>
      </c>
      <c r="G29" s="177" t="s">
        <v>1966</v>
      </c>
      <c r="H29" s="177" t="s">
        <v>1978</v>
      </c>
      <c r="I29" s="177" t="s">
        <v>1973</v>
      </c>
    </row>
    <row r="30" spans="1:22" ht="20.100000000000001" customHeight="1" x14ac:dyDescent="0.2">
      <c r="A30" s="5" t="str">
        <f>HYPERLINK("#'4.2.1.1-2 Methane'!A1", "4.2.1.1-2 Manure methane")</f>
        <v>4.2.1.1-2 Manure methane</v>
      </c>
      <c r="D30" s="177" t="s">
        <v>1979</v>
      </c>
      <c r="E30" s="177">
        <v>0</v>
      </c>
      <c r="F30" s="177">
        <v>0</v>
      </c>
      <c r="G30" s="177" t="s">
        <v>1980</v>
      </c>
      <c r="H30" s="177" t="s">
        <v>1981</v>
      </c>
      <c r="I30" s="177" t="s">
        <v>1973</v>
      </c>
    </row>
    <row r="31" spans="1:22" ht="20.100000000000001" customHeight="1" x14ac:dyDescent="0.2">
      <c r="A31" s="5" t="str">
        <f>HYPERLINK("#'4.2.1.3-4 Soil direct N20'!A1", "4.2.1.3-4 Soil direct N2O")</f>
        <v>4.2.1.3-4 Soil direct N2O</v>
      </c>
      <c r="D31" s="177" t="s">
        <v>1982</v>
      </c>
      <c r="E31" s="177">
        <v>0</v>
      </c>
      <c r="F31" s="177">
        <v>0</v>
      </c>
      <c r="G31" s="177" t="s">
        <v>1980</v>
      </c>
      <c r="H31" s="177" t="s">
        <v>1983</v>
      </c>
      <c r="I31" s="177" t="s">
        <v>1973</v>
      </c>
    </row>
    <row r="32" spans="1:22" ht="20.100000000000001" customHeight="1" x14ac:dyDescent="0.2">
      <c r="A32" s="5" t="str">
        <f>HYPERLINK("#'4.2.1.5-6 Soil Atmos Dep'!A1", "4.2.1.5-6 Soil atm. deposition")</f>
        <v>4.2.1.5-6 Soil atm. deposition</v>
      </c>
      <c r="D32" s="177" t="s">
        <v>1984</v>
      </c>
      <c r="E32" s="177">
        <v>0</v>
      </c>
      <c r="F32" s="177">
        <v>0</v>
      </c>
      <c r="G32" s="177" t="s">
        <v>1980</v>
      </c>
      <c r="H32" s="177" t="s">
        <v>1985</v>
      </c>
      <c r="I32" s="177" t="s">
        <v>1973</v>
      </c>
    </row>
    <row r="33" spans="1:10" ht="20.100000000000001" customHeight="1" x14ac:dyDescent="0.2">
      <c r="A33" s="5" t="str">
        <f>HYPERLINK("#'4.2.1.7-8 Soil leach runoff'!A1", "4.2.1.7-8 Soil leach &amp; runoff")</f>
        <v>4.2.1.7-8 Soil leach &amp; runoff</v>
      </c>
      <c r="D33" s="177" t="s">
        <v>1986</v>
      </c>
      <c r="E33" s="177">
        <v>0</v>
      </c>
      <c r="F33" s="177">
        <v>0</v>
      </c>
      <c r="G33" s="177" t="s">
        <v>1980</v>
      </c>
      <c r="H33" s="177" t="s">
        <v>1987</v>
      </c>
      <c r="I33" s="177" t="s">
        <v>1973</v>
      </c>
    </row>
    <row r="34" spans="1:10" ht="20.100000000000001" customHeight="1" x14ac:dyDescent="0.2">
      <c r="A34" s="5" t="str">
        <f>HYPERLINK("#'5.1.1.1-2 Inorganic fert N2O'!A1", "5.1.1.1-2 Inorganic fert N2O")</f>
        <v>5.1.1.1-2 Inorganic fert N2O</v>
      </c>
      <c r="D34" s="177" t="s">
        <v>1988</v>
      </c>
      <c r="E34" s="177">
        <v>0</v>
      </c>
      <c r="F34" s="177">
        <v>0</v>
      </c>
      <c r="G34" s="177" t="s">
        <v>1980</v>
      </c>
      <c r="H34" s="177" t="s">
        <v>1988</v>
      </c>
      <c r="I34" s="177" t="s">
        <v>1973</v>
      </c>
    </row>
    <row r="35" spans="1:10" ht="20.100000000000001" customHeight="1" x14ac:dyDescent="0.2">
      <c r="A35" s="5" t="str">
        <f>HYPERLINK("#'5.1.1.3-4 Inorganic fert CO2'!A1", "5.1.1.3-4 Inorganic fert CO2")</f>
        <v>5.1.1.3-4 Inorganic fert CO2</v>
      </c>
      <c r="D35" s="177" t="s">
        <v>1989</v>
      </c>
      <c r="E35" s="177">
        <v>0</v>
      </c>
      <c r="F35" s="177">
        <v>0</v>
      </c>
      <c r="G35" s="177" t="s">
        <v>1980</v>
      </c>
      <c r="H35" s="177" t="s">
        <v>1989</v>
      </c>
      <c r="I35" s="177" t="s">
        <v>1973</v>
      </c>
    </row>
    <row r="36" spans="1:10" ht="20.100000000000001" customHeight="1" x14ac:dyDescent="0.2">
      <c r="A36" s="5" t="str">
        <f>HYPERLINK("#'5.2.1.1-2 Organic Fert N2O'!A1", "5.2.1.1-2 Organic fert N2O")</f>
        <v>5.2.1.1-2 Organic fert N2O</v>
      </c>
      <c r="D36" s="177" t="s">
        <v>1990</v>
      </c>
      <c r="E36" s="177">
        <v>0</v>
      </c>
      <c r="F36" s="177">
        <v>0</v>
      </c>
      <c r="G36" s="177" t="s">
        <v>1980</v>
      </c>
      <c r="H36" s="177" t="s">
        <v>1990</v>
      </c>
      <c r="I36" s="177" t="s">
        <v>1973</v>
      </c>
    </row>
    <row r="37" spans="1:10" ht="20.100000000000001" customHeight="1" x14ac:dyDescent="0.2">
      <c r="A37" s="5" t="str">
        <f>HYPERLINK("#'5.3.1.1-2 Lime CO2'!A1", "5.3.1.1-2 Lime CO2")</f>
        <v>5.3.1.1-2 Lime CO2</v>
      </c>
      <c r="D37" s="177" t="s">
        <v>1991</v>
      </c>
      <c r="E37" s="177">
        <v>0.82350000000000001</v>
      </c>
      <c r="F37" s="177">
        <v>0</v>
      </c>
      <c r="G37" s="177" t="s">
        <v>1963</v>
      </c>
      <c r="H37" s="177" t="s">
        <v>1991</v>
      </c>
      <c r="I37" s="177" t="s">
        <v>1973</v>
      </c>
    </row>
    <row r="38" spans="1:10" ht="20.100000000000001" customHeight="1" x14ac:dyDescent="0.2">
      <c r="A38" s="5" t="str">
        <f>HYPERLINK("#'5.4.1.1-4 Atmos deposition'!A1", "5.4.1.1-4 Atmos. deposition")</f>
        <v>5.4.1.1-4 Atmos. deposition</v>
      </c>
      <c r="D38" s="20" t="s">
        <v>1992</v>
      </c>
      <c r="E38" s="20">
        <v>0.155</v>
      </c>
      <c r="F38" s="20">
        <v>0</v>
      </c>
      <c r="G38" s="20" t="s">
        <v>1975</v>
      </c>
      <c r="H38" s="20" t="s">
        <v>1992</v>
      </c>
      <c r="I38" s="20" t="s">
        <v>1197</v>
      </c>
    </row>
    <row r="39" spans="1:10" ht="20.100000000000001" customHeight="1" x14ac:dyDescent="0.2">
      <c r="A39" s="5" t="str">
        <f>HYPERLINK("#'5.5.1.1-2 Leaching and runoff'!A1", "5.5.1.1-2 Leaching &amp; runoff")</f>
        <v>5.5.1.1-2 Leaching &amp; runoff</v>
      </c>
    </row>
    <row r="40" spans="1:10" ht="20.100000000000001" customHeight="1" x14ac:dyDescent="0.2">
      <c r="A40" s="5" t="str">
        <f>HYPERLINK("#'6.2.1.1-2 Pasture residue N2O'!A1", "6.2.1.1-2 Pasture residue N2O")</f>
        <v>6.2.1.1-2 Pasture residue N2O</v>
      </c>
      <c r="D40" s="2" t="s">
        <v>728</v>
      </c>
      <c r="F40" s="2" t="s">
        <v>729</v>
      </c>
      <c r="H40" s="2" t="s">
        <v>484</v>
      </c>
      <c r="J40" s="2" t="s">
        <v>730</v>
      </c>
    </row>
    <row r="41" spans="1:10" ht="20.100000000000001" customHeight="1" x14ac:dyDescent="0.2">
      <c r="A41" s="5" t="str">
        <f>HYPERLINK("#'6.3.1.1-2 Leach runoff pasture'!A1", "6.3.1.1-2 Leach &amp; runoff (pasture)")</f>
        <v>6.3.1.1-2 Leach &amp; runoff (pasture)</v>
      </c>
      <c r="D41" s="20" t="s">
        <v>171</v>
      </c>
      <c r="F41" s="20" t="s">
        <v>171</v>
      </c>
      <c r="H41" s="20" t="s">
        <v>72</v>
      </c>
      <c r="J41" s="20" t="s">
        <v>731</v>
      </c>
    </row>
    <row r="42" spans="1:10" ht="20.100000000000001" customHeight="1" x14ac:dyDescent="0.2">
      <c r="A42" s="5" t="str">
        <f>HYPERLINK("#'8.1.1.1-2 Transport fuel'!A1", "8.1.1.1-2 Transport fuel")</f>
        <v>8.1.1.1-2 Transport fuel</v>
      </c>
      <c r="D42" s="20" t="s">
        <v>174</v>
      </c>
      <c r="F42" s="20" t="s">
        <v>174</v>
      </c>
      <c r="H42" s="20" t="s">
        <v>490</v>
      </c>
      <c r="J42" s="20" t="s">
        <v>732</v>
      </c>
    </row>
    <row r="43" spans="1:10" ht="20.100000000000001" customHeight="1" x14ac:dyDescent="0.2">
      <c r="A43" s="5" t="str">
        <f>HYPERLINK("#'8.2.1.1-2 Stationary fuel'!A1", "8.2.1.1-2 Stationary fuel")</f>
        <v>8.2.1.1-2 Stationary fuel</v>
      </c>
      <c r="D43" s="1" t="s">
        <v>733</v>
      </c>
      <c r="F43" s="1" t="s">
        <v>734</v>
      </c>
      <c r="H43" s="20" t="s">
        <v>494</v>
      </c>
      <c r="J43" s="1" t="s">
        <v>627</v>
      </c>
    </row>
    <row r="44" spans="1:10" ht="20.100000000000001" customHeight="1" x14ac:dyDescent="0.2">
      <c r="A44" s="5" t="str">
        <f>HYPERLINK("#'10.1.1-2 Solid waste treatment'!A1", "10.1.1.1-2 Solid waste")</f>
        <v>10.1.1.1-2 Solid waste</v>
      </c>
      <c r="F44" s="1" t="s">
        <v>735</v>
      </c>
      <c r="H44" s="1" t="s">
        <v>355</v>
      </c>
      <c r="J44" s="1" t="s">
        <v>736</v>
      </c>
    </row>
    <row r="45" spans="1:10" ht="20.100000000000001" customHeight="1" x14ac:dyDescent="0.2">
      <c r="A45" s="5" t="str">
        <f>HYPERLINK("#'14.1.1-2 Purchased electricity'!A1", "14.1.1-2 Purchased electricity")</f>
        <v>14.1.1-2 Purchased electricity</v>
      </c>
      <c r="F45" s="1" t="s">
        <v>667</v>
      </c>
      <c r="H45" s="1" t="s">
        <v>502</v>
      </c>
      <c r="J45" s="1" t="s">
        <v>626</v>
      </c>
    </row>
    <row r="46" spans="1:10" ht="20.100000000000001" customHeight="1" x14ac:dyDescent="0.2">
      <c r="A46" s="5" t="str">
        <f>HYPERLINK("#'15 Scope 3'!A1", "15 Scope 3")</f>
        <v>15 Scope 3</v>
      </c>
      <c r="H46" s="1" t="s">
        <v>504</v>
      </c>
      <c r="J46" s="1" t="s">
        <v>628</v>
      </c>
    </row>
    <row r="47" spans="1:10" ht="20.100000000000001" customHeight="1" x14ac:dyDescent="0.2">
      <c r="A47" s="5" t="str">
        <f>HYPERLINK("#'Calcs - Manure sent off-site'!A1", "Calcs - Manure sent off-site")</f>
        <v>Calcs - Manure sent off-site</v>
      </c>
    </row>
    <row r="48" spans="1:10" ht="20.100000000000001" customHeight="1" x14ac:dyDescent="0.2">
      <c r="D48" s="2" t="s">
        <v>1999</v>
      </c>
      <c r="G48" s="168"/>
    </row>
    <row r="49" spans="1:8" ht="20.100000000000001" customHeight="1" x14ac:dyDescent="0.2">
      <c r="D49" s="17" t="s">
        <v>2000</v>
      </c>
      <c r="G49" s="168"/>
    </row>
    <row r="50" spans="1:8" ht="20.100000000000001" customHeight="1" x14ac:dyDescent="0.2">
      <c r="A50" s="85" t="s">
        <v>1</v>
      </c>
      <c r="D50" s="20" t="s">
        <v>644</v>
      </c>
      <c r="E50" s="20" t="s">
        <v>737</v>
      </c>
      <c r="G50" s="168"/>
    </row>
    <row r="51" spans="1:8" ht="20.100000000000001" customHeight="1" x14ac:dyDescent="0.2">
      <c r="A51" s="5" t="str">
        <f>HYPERLINK("#'Constants - Pasture Beef'!A1", "Constants - Pasture Beef")</f>
        <v>Constants - Pasture Beef</v>
      </c>
      <c r="D51" s="20" t="s">
        <v>1966</v>
      </c>
      <c r="E51" s="20">
        <v>0.15</v>
      </c>
      <c r="G51" s="168"/>
    </row>
    <row r="52" spans="1:8" ht="20.100000000000001" customHeight="1" x14ac:dyDescent="0.2">
      <c r="A52" s="5" t="str">
        <f>HYPERLINK("#'Constants - Ag Residue'!A1", "Constants - Ag residue")</f>
        <v>Constants - Ag residue</v>
      </c>
      <c r="D52" s="1" t="s">
        <v>1963</v>
      </c>
      <c r="E52" s="20">
        <v>0.08</v>
      </c>
      <c r="G52" s="168"/>
    </row>
    <row r="53" spans="1:8" ht="20.100000000000001" customHeight="1" x14ac:dyDescent="0.2">
      <c r="A53" s="5" t="str">
        <f>HYPERLINK("#'Constants - Common Livestock'!A1", "Constants - Common Livestock")</f>
        <v>Constants - Common Livestock</v>
      </c>
      <c r="D53" s="1" t="s">
        <v>1975</v>
      </c>
      <c r="E53" s="20">
        <v>0.01</v>
      </c>
      <c r="G53" s="168"/>
    </row>
    <row r="54" spans="1:8" ht="20.100000000000001" customHeight="1" x14ac:dyDescent="0.2">
      <c r="A54" s="5" t="str">
        <f>HYPERLINK("#'Constants - Electricity'!A1", "Constants - Electricity")</f>
        <v>Constants - Electricity</v>
      </c>
      <c r="D54" s="1" t="s">
        <v>1970</v>
      </c>
      <c r="E54" s="20">
        <v>0.05</v>
      </c>
      <c r="G54" s="168"/>
      <c r="H54" s="168"/>
    </row>
    <row r="55" spans="1:8" ht="20.100000000000001" customHeight="1" x14ac:dyDescent="0.2">
      <c r="A55" s="86" t="str">
        <f>HYPERLINK("#'Constants - Fertiliser'!A1", "Constants - Fertiliser")</f>
        <v>Constants - Fertiliser</v>
      </c>
      <c r="D55" s="1" t="s">
        <v>1980</v>
      </c>
      <c r="E55" s="20">
        <v>0.11</v>
      </c>
      <c r="G55" s="168"/>
      <c r="H55" s="168"/>
    </row>
    <row r="56" spans="1:8" ht="20.100000000000001" customHeight="1" x14ac:dyDescent="0.2">
      <c r="A56" s="5" t="str">
        <f>HYPERLINK("#'Constants - Fuel'!A1", "Constants - Fuel")</f>
        <v>Constants - Fuel</v>
      </c>
    </row>
    <row r="57" spans="1:8" ht="20.100000000000001" customHeight="1" x14ac:dyDescent="0.2">
      <c r="A57" s="5" t="str">
        <f>HYPERLINK("#'Constants - Scope 3'!A1", "Constants - Scope 3")</f>
        <v>Constants - Scope 3</v>
      </c>
    </row>
    <row r="58" spans="1:8" ht="20.100000000000001" customHeight="1" x14ac:dyDescent="0.2">
      <c r="A58" s="5" t="str">
        <f>HYPERLINK("#'Constants - Solid Waste'!A1", "Constants - Solid Waste")</f>
        <v>Constants - Solid Waste</v>
      </c>
      <c r="D58" s="2" t="s">
        <v>2001</v>
      </c>
    </row>
    <row r="59" spans="1:8" ht="20.100000000000001" customHeight="1" x14ac:dyDescent="0.2">
      <c r="A59" s="5" t="str">
        <f>HYPERLINK("#'Constants - Common'!A1", "Constants - Common")</f>
        <v>Constants - Common</v>
      </c>
      <c r="D59" s="17" t="s">
        <v>2002</v>
      </c>
    </row>
    <row r="60" spans="1:8" ht="20.100000000000001" customHeight="1" x14ac:dyDescent="0.2">
      <c r="A60" s="5" t="str">
        <f>HYPERLINK("#'Acknowledgements'!A1", "Acknowledgements")</f>
        <v>Acknowledgements</v>
      </c>
      <c r="D60" s="77" t="s">
        <v>2003</v>
      </c>
      <c r="E60" s="1">
        <v>0.2</v>
      </c>
      <c r="F60" s="9" t="s">
        <v>1427</v>
      </c>
    </row>
    <row r="63" spans="1:8" ht="20.100000000000001" customHeight="1" x14ac:dyDescent="0.2">
      <c r="D63" s="2" t="s">
        <v>2004</v>
      </c>
    </row>
    <row r="64" spans="1:8" ht="20.100000000000001" customHeight="1" x14ac:dyDescent="0.2">
      <c r="D64" s="17" t="s">
        <v>2005</v>
      </c>
    </row>
    <row r="65" spans="4:6" ht="20.100000000000001" customHeight="1" x14ac:dyDescent="0.2">
      <c r="D65" s="20" t="s">
        <v>688</v>
      </c>
      <c r="E65" s="20" t="s">
        <v>738</v>
      </c>
      <c r="F65" s="20" t="s">
        <v>664</v>
      </c>
    </row>
    <row r="66" spans="4:6" ht="20.100000000000001" customHeight="1" x14ac:dyDescent="0.2">
      <c r="D66" s="20" t="s">
        <v>2006</v>
      </c>
      <c r="E66" s="20">
        <v>0.9</v>
      </c>
      <c r="F66" s="20">
        <v>0.12</v>
      </c>
    </row>
    <row r="67" spans="4:6" ht="20.100000000000001" customHeight="1" x14ac:dyDescent="0.2">
      <c r="D67" s="1" t="s">
        <v>2007</v>
      </c>
      <c r="E67" s="20">
        <v>0.95</v>
      </c>
      <c r="F67" s="20">
        <v>0.13</v>
      </c>
    </row>
    <row r="68" spans="4:6" ht="20.100000000000001" customHeight="1" x14ac:dyDescent="0.2">
      <c r="D68" s="1" t="s">
        <v>2008</v>
      </c>
      <c r="E68" s="20">
        <v>0</v>
      </c>
      <c r="F68" s="20">
        <v>0</v>
      </c>
    </row>
    <row r="71" spans="4:6" ht="20.100000000000001" customHeight="1" x14ac:dyDescent="0.2">
      <c r="D71" s="2" t="s">
        <v>2009</v>
      </c>
    </row>
    <row r="72" spans="4:6" ht="20.100000000000001" customHeight="1" x14ac:dyDescent="0.2">
      <c r="D72" s="17" t="s">
        <v>2010</v>
      </c>
    </row>
    <row r="73" spans="4:6" ht="20.100000000000001" customHeight="1" x14ac:dyDescent="0.2">
      <c r="D73" s="77" t="s">
        <v>1339</v>
      </c>
      <c r="E73" s="1">
        <v>0.21</v>
      </c>
      <c r="F73" s="9" t="s">
        <v>1464</v>
      </c>
    </row>
    <row r="76" spans="4:6" ht="20.100000000000001" customHeight="1" x14ac:dyDescent="0.2">
      <c r="D76" s="2" t="s">
        <v>2011</v>
      </c>
    </row>
    <row r="77" spans="4:6" ht="20.100000000000001" customHeight="1" x14ac:dyDescent="0.2">
      <c r="D77" s="17" t="s">
        <v>2012</v>
      </c>
    </row>
    <row r="78" spans="4:6" ht="20.100000000000001" customHeight="1" x14ac:dyDescent="0.2">
      <c r="D78" s="77" t="s">
        <v>1362</v>
      </c>
      <c r="E78" s="1">
        <v>0.24</v>
      </c>
      <c r="F78" s="9" t="s">
        <v>346</v>
      </c>
    </row>
    <row r="81" spans="4:39" ht="20.100000000000001" customHeight="1" x14ac:dyDescent="0.2">
      <c r="D81" s="2" t="s">
        <v>2013</v>
      </c>
    </row>
    <row r="82" spans="4:39" ht="20.100000000000001" customHeight="1" x14ac:dyDescent="0.2">
      <c r="D82" s="17" t="s">
        <v>2012</v>
      </c>
    </row>
    <row r="83" spans="4:39" ht="20.100000000000001" customHeight="1" x14ac:dyDescent="0.2">
      <c r="D83" s="77" t="s">
        <v>2014</v>
      </c>
      <c r="E83" s="1">
        <v>1.0999999999999999E-2</v>
      </c>
      <c r="F83" s="9" t="s">
        <v>2015</v>
      </c>
    </row>
    <row r="87" spans="4:39" ht="20.100000000000001" customHeight="1" x14ac:dyDescent="0.2">
      <c r="D87" s="2" t="s">
        <v>739</v>
      </c>
      <c r="E87" s="168"/>
      <c r="F87" s="168"/>
      <c r="G87" s="168"/>
      <c r="H87" s="168"/>
      <c r="I87" s="168"/>
      <c r="J87" s="168"/>
      <c r="K87" s="168"/>
      <c r="L87" s="168"/>
      <c r="N87" s="168"/>
      <c r="O87" s="168"/>
      <c r="P87" s="168"/>
      <c r="Q87" s="168"/>
      <c r="R87" s="168"/>
      <c r="S87" s="168"/>
      <c r="T87" s="168"/>
      <c r="U87" s="168"/>
    </row>
    <row r="88" spans="4:39" ht="20.100000000000001" customHeight="1" x14ac:dyDescent="0.2">
      <c r="D88" s="168"/>
    </row>
    <row r="89" spans="4:39" ht="20.100000000000001" customHeight="1" x14ac:dyDescent="0.2">
      <c r="D89" s="178" t="s">
        <v>740</v>
      </c>
      <c r="E89" s="20" t="s">
        <v>139</v>
      </c>
      <c r="F89" s="20" t="s">
        <v>121</v>
      </c>
      <c r="G89" s="131" t="s">
        <v>587</v>
      </c>
      <c r="H89" s="131" t="s">
        <v>741</v>
      </c>
      <c r="I89" s="131" t="s">
        <v>604</v>
      </c>
      <c r="J89" s="131" t="s">
        <v>605</v>
      </c>
      <c r="K89" s="131" t="s">
        <v>742</v>
      </c>
      <c r="L89" s="131" t="s">
        <v>743</v>
      </c>
      <c r="M89" s="131" t="s">
        <v>744</v>
      </c>
      <c r="N89" s="131" t="s">
        <v>745</v>
      </c>
      <c r="O89" s="131" t="s">
        <v>589</v>
      </c>
      <c r="P89" s="131" t="s">
        <v>590</v>
      </c>
      <c r="Q89" s="20" t="s">
        <v>591</v>
      </c>
      <c r="R89" s="20" t="s">
        <v>592</v>
      </c>
      <c r="S89" s="20" t="s">
        <v>593</v>
      </c>
      <c r="T89" s="20" t="s">
        <v>594</v>
      </c>
      <c r="U89" s="131" t="s">
        <v>595</v>
      </c>
      <c r="V89" s="131" t="s">
        <v>596</v>
      </c>
      <c r="W89" s="20" t="s">
        <v>597</v>
      </c>
      <c r="X89" s="131" t="s">
        <v>598</v>
      </c>
      <c r="Y89" s="131" t="s">
        <v>599</v>
      </c>
      <c r="Z89" s="131" t="s">
        <v>600</v>
      </c>
      <c r="AA89" s="131" t="s">
        <v>746</v>
      </c>
      <c r="AB89" s="131" t="s">
        <v>747</v>
      </c>
      <c r="AC89" s="20" t="s">
        <v>748</v>
      </c>
      <c r="AD89" s="20" t="s">
        <v>749</v>
      </c>
      <c r="AE89" s="20" t="s">
        <v>750</v>
      </c>
      <c r="AF89" s="20" t="s">
        <v>751</v>
      </c>
      <c r="AG89" s="20" t="s">
        <v>752</v>
      </c>
      <c r="AH89" s="20" t="s">
        <v>753</v>
      </c>
      <c r="AK89" s="1"/>
      <c r="AL89" s="1"/>
      <c r="AM89" s="1"/>
    </row>
    <row r="90" spans="4:39" ht="20.100000000000001" customHeight="1" x14ac:dyDescent="0.2">
      <c r="D90" s="177" t="s">
        <v>2016</v>
      </c>
      <c r="E90" s="177" t="s">
        <v>2017</v>
      </c>
      <c r="F90" s="177" t="s">
        <v>875</v>
      </c>
      <c r="G90" s="177">
        <v>1.26</v>
      </c>
      <c r="H90" s="177"/>
      <c r="I90" s="177"/>
      <c r="J90" s="177"/>
      <c r="K90" s="177">
        <v>2.6</v>
      </c>
      <c r="L90" s="177">
        <v>4</v>
      </c>
      <c r="M90" s="177">
        <v>22.5</v>
      </c>
      <c r="N90" s="177"/>
      <c r="O90" s="177" t="s">
        <v>1982</v>
      </c>
      <c r="P90" s="177">
        <v>0.22500000000000001</v>
      </c>
      <c r="Q90" s="177" t="s">
        <v>1979</v>
      </c>
      <c r="R90" s="177">
        <v>0.04</v>
      </c>
      <c r="S90" s="177" t="s">
        <v>1977</v>
      </c>
      <c r="T90" s="177">
        <v>2.5999999999999999E-2</v>
      </c>
      <c r="U90" s="177"/>
      <c r="V90" s="177"/>
      <c r="W90" s="177"/>
      <c r="X90" s="177"/>
      <c r="Y90" s="177"/>
      <c r="Z90" s="177"/>
      <c r="AA90" s="177"/>
      <c r="AB90" s="177"/>
      <c r="AC90" s="177"/>
      <c r="AD90" s="177"/>
      <c r="AE90" s="177"/>
      <c r="AF90" s="177"/>
      <c r="AG90" s="177"/>
      <c r="AH90" s="177"/>
      <c r="AK90" s="1"/>
      <c r="AL90" s="1"/>
      <c r="AM90" s="1"/>
    </row>
    <row r="91" spans="4:39" ht="20.100000000000001" customHeight="1" x14ac:dyDescent="0.2">
      <c r="D91" s="177" t="s">
        <v>2016</v>
      </c>
      <c r="E91" s="177" t="s">
        <v>2018</v>
      </c>
      <c r="F91" s="177" t="s">
        <v>875</v>
      </c>
      <c r="G91" s="177">
        <v>1.26</v>
      </c>
      <c r="H91" s="177"/>
      <c r="I91" s="177"/>
      <c r="J91" s="177"/>
      <c r="K91" s="177">
        <v>9.6</v>
      </c>
      <c r="L91" s="177">
        <v>5</v>
      </c>
      <c r="M91" s="177">
        <v>10.5</v>
      </c>
      <c r="N91" s="177"/>
      <c r="O91" s="177" t="s">
        <v>1982</v>
      </c>
      <c r="P91" s="177">
        <v>0.105</v>
      </c>
      <c r="Q91" s="177" t="s">
        <v>1977</v>
      </c>
      <c r="R91" s="177">
        <v>9.6000000000000002E-2</v>
      </c>
      <c r="S91" s="177" t="s">
        <v>1979</v>
      </c>
      <c r="T91" s="177">
        <v>0.05</v>
      </c>
      <c r="U91" s="177"/>
      <c r="V91" s="177"/>
      <c r="W91" s="177"/>
      <c r="X91" s="177"/>
      <c r="Y91" s="177"/>
      <c r="Z91" s="177"/>
      <c r="AA91" s="177"/>
      <c r="AB91" s="177"/>
      <c r="AC91" s="177"/>
      <c r="AD91" s="177"/>
      <c r="AE91" s="177"/>
      <c r="AF91" s="177"/>
      <c r="AG91" s="177"/>
      <c r="AH91" s="177"/>
      <c r="AK91" s="1"/>
      <c r="AL91" s="1"/>
      <c r="AM91" s="1"/>
    </row>
    <row r="92" spans="4:39" ht="20.100000000000001" customHeight="1" x14ac:dyDescent="0.2">
      <c r="D92" s="177" t="s">
        <v>2016</v>
      </c>
      <c r="E92" s="177" t="s">
        <v>2019</v>
      </c>
      <c r="F92" s="177" t="s">
        <v>875</v>
      </c>
      <c r="G92" s="177">
        <v>1.24</v>
      </c>
      <c r="H92" s="177"/>
      <c r="I92" s="177"/>
      <c r="J92" s="177"/>
      <c r="K92" s="177">
        <v>22.3</v>
      </c>
      <c r="L92" s="177"/>
      <c r="M92" s="177"/>
      <c r="N92" s="177"/>
      <c r="O92" s="177" t="s">
        <v>1972</v>
      </c>
      <c r="P92" s="177">
        <v>0.223</v>
      </c>
      <c r="Q92" s="177"/>
      <c r="R92" s="177"/>
      <c r="S92" s="177"/>
      <c r="T92" s="177"/>
      <c r="U92" s="177"/>
      <c r="V92" s="177"/>
      <c r="W92" s="177"/>
      <c r="X92" s="177"/>
      <c r="Y92" s="177"/>
      <c r="Z92" s="177"/>
      <c r="AA92" s="177"/>
      <c r="AB92" s="177"/>
      <c r="AC92" s="177"/>
      <c r="AD92" s="177"/>
      <c r="AE92" s="177"/>
      <c r="AF92" s="177"/>
      <c r="AG92" s="177"/>
      <c r="AH92" s="177"/>
      <c r="AK92" s="1"/>
      <c r="AL92" s="1"/>
      <c r="AM92" s="1"/>
    </row>
    <row r="93" spans="4:39" ht="20.100000000000001" customHeight="1" x14ac:dyDescent="0.2">
      <c r="D93" s="177" t="s">
        <v>2016</v>
      </c>
      <c r="E93" s="177" t="s">
        <v>2020</v>
      </c>
      <c r="F93" s="177" t="s">
        <v>875</v>
      </c>
      <c r="G93" s="177">
        <v>1.5</v>
      </c>
      <c r="H93" s="177"/>
      <c r="I93" s="177"/>
      <c r="J93" s="177"/>
      <c r="K93" s="177">
        <v>13.2</v>
      </c>
      <c r="L93" s="177"/>
      <c r="M93" s="177"/>
      <c r="N93" s="177"/>
      <c r="O93" s="177" t="s">
        <v>2021</v>
      </c>
      <c r="P93" s="177">
        <v>0.16200000000000001</v>
      </c>
      <c r="Q93" s="177" t="s">
        <v>1974</v>
      </c>
      <c r="R93" s="177">
        <v>0.13200000000000001</v>
      </c>
      <c r="S93" s="177"/>
      <c r="T93" s="177"/>
      <c r="U93" s="177"/>
      <c r="V93" s="177"/>
      <c r="W93" s="177"/>
      <c r="X93" s="177"/>
      <c r="Y93" s="177"/>
      <c r="Z93" s="177"/>
      <c r="AA93" s="177"/>
      <c r="AB93" s="177"/>
      <c r="AC93" s="177"/>
      <c r="AD93" s="177"/>
      <c r="AE93" s="177"/>
      <c r="AF93" s="177"/>
      <c r="AG93" s="177"/>
      <c r="AH93" s="177"/>
      <c r="AK93" s="1"/>
      <c r="AL93" s="1"/>
      <c r="AM93" s="1"/>
    </row>
    <row r="94" spans="4:39" ht="20.100000000000001" customHeight="1" x14ac:dyDescent="0.2">
      <c r="D94" s="177" t="s">
        <v>2016</v>
      </c>
      <c r="E94" s="177" t="s">
        <v>2022</v>
      </c>
      <c r="F94" s="177" t="s">
        <v>875</v>
      </c>
      <c r="G94" s="177">
        <v>1.5</v>
      </c>
      <c r="H94" s="177"/>
      <c r="I94" s="177"/>
      <c r="J94" s="177"/>
      <c r="K94" s="177">
        <v>13.2</v>
      </c>
      <c r="L94" s="177"/>
      <c r="M94" s="177"/>
      <c r="N94" s="177"/>
      <c r="O94" s="177" t="s">
        <v>2021</v>
      </c>
      <c r="P94" s="177">
        <v>0.187</v>
      </c>
      <c r="Q94" s="177" t="s">
        <v>1974</v>
      </c>
      <c r="R94" s="177">
        <v>0.13200000000000001</v>
      </c>
      <c r="S94" s="177"/>
      <c r="T94" s="177"/>
      <c r="U94" s="177"/>
      <c r="V94" s="177"/>
      <c r="W94" s="177"/>
      <c r="X94" s="177"/>
      <c r="Y94" s="177"/>
      <c r="Z94" s="177"/>
      <c r="AA94" s="177"/>
      <c r="AB94" s="177"/>
      <c r="AC94" s="177"/>
      <c r="AD94" s="177"/>
      <c r="AE94" s="177"/>
      <c r="AF94" s="177"/>
      <c r="AG94" s="177"/>
      <c r="AH94" s="177"/>
      <c r="AK94" s="1"/>
      <c r="AL94" s="1"/>
      <c r="AM94" s="1"/>
    </row>
    <row r="95" spans="4:39" ht="20.100000000000001" customHeight="1" x14ac:dyDescent="0.2">
      <c r="D95" s="177" t="s">
        <v>2016</v>
      </c>
      <c r="E95" s="177" t="s">
        <v>2023</v>
      </c>
      <c r="F95" s="177" t="s">
        <v>875</v>
      </c>
      <c r="G95" s="177">
        <v>1.5</v>
      </c>
      <c r="H95" s="177"/>
      <c r="I95" s="177"/>
      <c r="J95" s="177"/>
      <c r="K95" s="177">
        <v>13.2</v>
      </c>
      <c r="L95" s="177"/>
      <c r="M95" s="177"/>
      <c r="N95" s="177"/>
      <c r="O95" s="177" t="s">
        <v>2021</v>
      </c>
      <c r="P95" s="177">
        <v>0.183</v>
      </c>
      <c r="Q95" s="177" t="s">
        <v>1974</v>
      </c>
      <c r="R95" s="177">
        <v>0.13200000000000001</v>
      </c>
      <c r="S95" s="177"/>
      <c r="T95" s="177"/>
      <c r="U95" s="177"/>
      <c r="V95" s="177"/>
      <c r="W95" s="177"/>
      <c r="X95" s="177"/>
      <c r="Y95" s="177"/>
      <c r="Z95" s="177"/>
      <c r="AA95" s="177"/>
      <c r="AB95" s="177"/>
      <c r="AC95" s="177"/>
      <c r="AD95" s="177"/>
      <c r="AE95" s="177"/>
      <c r="AF95" s="177"/>
      <c r="AG95" s="177"/>
      <c r="AH95" s="177"/>
      <c r="AK95" s="1"/>
      <c r="AL95" s="1"/>
      <c r="AM95" s="1"/>
    </row>
    <row r="96" spans="4:39" ht="20.100000000000001" customHeight="1" x14ac:dyDescent="0.2">
      <c r="D96" s="177" t="s">
        <v>2016</v>
      </c>
      <c r="E96" s="177" t="s">
        <v>2024</v>
      </c>
      <c r="F96" s="177" t="s">
        <v>875</v>
      </c>
      <c r="G96" s="177">
        <v>1.25</v>
      </c>
      <c r="H96" s="177"/>
      <c r="I96" s="177"/>
      <c r="J96" s="177"/>
      <c r="K96" s="177">
        <v>10.3</v>
      </c>
      <c r="L96" s="177">
        <v>10</v>
      </c>
      <c r="M96" s="177">
        <v>3.4</v>
      </c>
      <c r="N96" s="177"/>
      <c r="O96" s="177" t="s">
        <v>1977</v>
      </c>
      <c r="P96" s="177">
        <v>0.10299999999999999</v>
      </c>
      <c r="Q96" s="177" t="s">
        <v>1979</v>
      </c>
      <c r="R96" s="177">
        <v>0.1</v>
      </c>
      <c r="S96" s="177" t="s">
        <v>1982</v>
      </c>
      <c r="T96" s="177">
        <v>3.4000000000000002E-2</v>
      </c>
      <c r="U96" s="177"/>
      <c r="V96" s="177"/>
      <c r="W96" s="177"/>
      <c r="X96" s="177"/>
      <c r="Y96" s="177"/>
      <c r="Z96" s="177"/>
      <c r="AA96" s="177"/>
      <c r="AB96" s="177"/>
      <c r="AC96" s="177"/>
      <c r="AD96" s="177"/>
      <c r="AE96" s="177"/>
      <c r="AF96" s="177"/>
      <c r="AG96" s="177"/>
      <c r="AH96" s="177"/>
      <c r="AK96" s="1"/>
      <c r="AL96" s="1"/>
      <c r="AM96" s="1"/>
    </row>
    <row r="97" spans="4:39" ht="20.100000000000001" customHeight="1" x14ac:dyDescent="0.2">
      <c r="D97" s="177" t="s">
        <v>2016</v>
      </c>
      <c r="E97" s="177" t="s">
        <v>2025</v>
      </c>
      <c r="F97" s="177" t="s">
        <v>875</v>
      </c>
      <c r="G97" s="177">
        <v>1.43</v>
      </c>
      <c r="H97" s="177"/>
      <c r="I97" s="177"/>
      <c r="J97" s="177"/>
      <c r="K97" s="177">
        <v>2.5</v>
      </c>
      <c r="L97" s="177">
        <v>3.8</v>
      </c>
      <c r="M97" s="177">
        <v>22.5</v>
      </c>
      <c r="N97" s="177"/>
      <c r="O97" s="177" t="s">
        <v>1982</v>
      </c>
      <c r="P97" s="177">
        <v>0.22500000000000001</v>
      </c>
      <c r="Q97" s="177" t="s">
        <v>1979</v>
      </c>
      <c r="R97" s="177">
        <v>3.7999999999999999E-2</v>
      </c>
      <c r="S97" s="177" t="s">
        <v>1977</v>
      </c>
      <c r="T97" s="177">
        <v>2.5000000000000001E-2</v>
      </c>
      <c r="U97" s="177"/>
      <c r="V97" s="177"/>
      <c r="W97" s="177"/>
      <c r="X97" s="177"/>
      <c r="Y97" s="177"/>
      <c r="Z97" s="177"/>
      <c r="AA97" s="177"/>
      <c r="AB97" s="177"/>
      <c r="AC97" s="177"/>
      <c r="AD97" s="177"/>
      <c r="AE97" s="177"/>
      <c r="AF97" s="177"/>
      <c r="AG97" s="177"/>
      <c r="AH97" s="177"/>
      <c r="AK97" s="1"/>
      <c r="AL97" s="1"/>
      <c r="AM97" s="1"/>
    </row>
    <row r="98" spans="4:39" ht="20.100000000000001" customHeight="1" x14ac:dyDescent="0.2">
      <c r="D98" s="177" t="s">
        <v>2016</v>
      </c>
      <c r="E98" s="177" t="s">
        <v>2026</v>
      </c>
      <c r="F98" s="177" t="s">
        <v>875</v>
      </c>
      <c r="G98" s="177">
        <v>1.29</v>
      </c>
      <c r="H98" s="177"/>
      <c r="I98" s="177"/>
      <c r="J98" s="177"/>
      <c r="K98" s="177">
        <v>10.5</v>
      </c>
      <c r="L98" s="177">
        <v>9.4</v>
      </c>
      <c r="M98" s="177">
        <v>4</v>
      </c>
      <c r="N98" s="177">
        <v>3</v>
      </c>
      <c r="O98" s="177" t="s">
        <v>1977</v>
      </c>
      <c r="P98" s="177">
        <v>0.105</v>
      </c>
      <c r="Q98" s="177" t="s">
        <v>1979</v>
      </c>
      <c r="R98" s="177">
        <v>9.4E-2</v>
      </c>
      <c r="S98" s="177" t="s">
        <v>1982</v>
      </c>
      <c r="T98" s="177">
        <v>0.04</v>
      </c>
      <c r="U98" s="177" t="s">
        <v>1984</v>
      </c>
      <c r="V98" s="177">
        <v>0.03</v>
      </c>
      <c r="W98" s="177"/>
      <c r="X98" s="177"/>
      <c r="Y98" s="177"/>
      <c r="Z98" s="177"/>
      <c r="AA98" s="177"/>
      <c r="AB98" s="177"/>
      <c r="AC98" s="177"/>
      <c r="AD98" s="177"/>
      <c r="AE98" s="177"/>
      <c r="AF98" s="177"/>
      <c r="AG98" s="177"/>
      <c r="AH98" s="177"/>
      <c r="AK98" s="1"/>
      <c r="AL98" s="1"/>
      <c r="AM98" s="1"/>
    </row>
    <row r="99" spans="4:39" ht="20.100000000000001" customHeight="1" x14ac:dyDescent="0.2">
      <c r="D99" s="177" t="s">
        <v>2016</v>
      </c>
      <c r="E99" s="177" t="s">
        <v>2027</v>
      </c>
      <c r="F99" s="177" t="s">
        <v>875</v>
      </c>
      <c r="G99" s="177">
        <v>1.32</v>
      </c>
      <c r="H99" s="177"/>
      <c r="I99" s="177"/>
      <c r="J99" s="177"/>
      <c r="K99" s="177">
        <v>9.5</v>
      </c>
      <c r="L99" s="177">
        <v>4.7</v>
      </c>
      <c r="M99" s="177">
        <v>10.8</v>
      </c>
      <c r="N99" s="177">
        <v>8.1</v>
      </c>
      <c r="O99" s="177" t="s">
        <v>1982</v>
      </c>
      <c r="P99" s="177">
        <v>0.108</v>
      </c>
      <c r="Q99" s="177" t="s">
        <v>1977</v>
      </c>
      <c r="R99" s="177">
        <v>9.5000000000000001E-2</v>
      </c>
      <c r="S99" s="177" t="s">
        <v>1984</v>
      </c>
      <c r="T99" s="177">
        <v>8.1000000000000003E-2</v>
      </c>
      <c r="U99" s="177" t="s">
        <v>1979</v>
      </c>
      <c r="V99" s="177">
        <v>4.7E-2</v>
      </c>
      <c r="W99" s="177"/>
      <c r="X99" s="177"/>
      <c r="Y99" s="177"/>
      <c r="Z99" s="177"/>
      <c r="AA99" s="177"/>
      <c r="AB99" s="177"/>
      <c r="AC99" s="177"/>
      <c r="AD99" s="177"/>
      <c r="AE99" s="177"/>
      <c r="AF99" s="177"/>
      <c r="AG99" s="177"/>
      <c r="AH99" s="177"/>
      <c r="AK99" s="1"/>
      <c r="AL99" s="1"/>
      <c r="AM99" s="1"/>
    </row>
    <row r="100" spans="4:39" ht="20.100000000000001" customHeight="1" x14ac:dyDescent="0.2">
      <c r="D100" s="177" t="s">
        <v>2016</v>
      </c>
      <c r="E100" s="177" t="s">
        <v>2028</v>
      </c>
      <c r="F100" s="177" t="s">
        <v>636</v>
      </c>
      <c r="G100" s="177">
        <v>1</v>
      </c>
      <c r="H100" s="177"/>
      <c r="I100" s="177"/>
      <c r="J100" s="177"/>
      <c r="K100" s="177">
        <v>24</v>
      </c>
      <c r="L100" s="177">
        <v>5.2</v>
      </c>
      <c r="M100" s="177">
        <v>8</v>
      </c>
      <c r="N100" s="177">
        <v>5.3</v>
      </c>
      <c r="O100" s="177" t="s">
        <v>1965</v>
      </c>
      <c r="P100" s="177">
        <v>0.52173899999999995</v>
      </c>
      <c r="Q100" s="177" t="s">
        <v>1982</v>
      </c>
      <c r="R100" s="177">
        <v>0.08</v>
      </c>
      <c r="S100" s="177" t="s">
        <v>1984</v>
      </c>
      <c r="T100" s="177">
        <v>5.2999999999999999E-2</v>
      </c>
      <c r="U100" s="177" t="s">
        <v>1979</v>
      </c>
      <c r="V100" s="177">
        <v>5.1999999999999998E-2</v>
      </c>
      <c r="W100" s="177" t="s">
        <v>2029</v>
      </c>
      <c r="X100" s="177">
        <v>1.2999999999999999E-2</v>
      </c>
      <c r="Y100" s="177" t="s">
        <v>2030</v>
      </c>
      <c r="Z100" s="177">
        <v>2E-3</v>
      </c>
      <c r="AA100" s="177" t="s">
        <v>2031</v>
      </c>
      <c r="AB100" s="177">
        <v>3.5000000000000001E-3</v>
      </c>
      <c r="AC100" s="177" t="s">
        <v>2032</v>
      </c>
      <c r="AD100" s="177">
        <v>1.2999999999999999E-3</v>
      </c>
      <c r="AE100" s="177" t="s">
        <v>2033</v>
      </c>
      <c r="AF100" s="177">
        <v>6.9999999999999999E-4</v>
      </c>
      <c r="AG100" s="177" t="s">
        <v>2034</v>
      </c>
      <c r="AH100" s="177">
        <v>6.9999999999999999E-4</v>
      </c>
      <c r="AK100" s="1"/>
      <c r="AL100" s="1"/>
      <c r="AM100" s="1"/>
    </row>
    <row r="101" spans="4:39" ht="20.100000000000001" customHeight="1" x14ac:dyDescent="0.2">
      <c r="D101" s="177" t="s">
        <v>2016</v>
      </c>
      <c r="E101" s="177" t="s">
        <v>2035</v>
      </c>
      <c r="F101" s="177" t="s">
        <v>636</v>
      </c>
      <c r="G101" s="177">
        <v>1</v>
      </c>
      <c r="H101" s="177"/>
      <c r="I101" s="177"/>
      <c r="J101" s="177"/>
      <c r="K101" s="177">
        <v>17</v>
      </c>
      <c r="L101" s="177">
        <v>0.04</v>
      </c>
      <c r="M101" s="177">
        <v>11.6</v>
      </c>
      <c r="N101" s="177">
        <v>0.5</v>
      </c>
      <c r="O101" s="177" t="s">
        <v>1988</v>
      </c>
      <c r="P101" s="177">
        <v>0.23200000000000001</v>
      </c>
      <c r="Q101" s="177" t="s">
        <v>1977</v>
      </c>
      <c r="R101" s="177">
        <v>0.17</v>
      </c>
      <c r="S101" s="177" t="s">
        <v>1984</v>
      </c>
      <c r="T101" s="177">
        <v>5.0000000000000001E-3</v>
      </c>
      <c r="U101" s="177" t="s">
        <v>2029</v>
      </c>
      <c r="V101" s="177">
        <v>2.3999999999999998E-3</v>
      </c>
      <c r="W101" s="177" t="s">
        <v>1979</v>
      </c>
      <c r="X101" s="177">
        <v>4.0000000000000002E-4</v>
      </c>
      <c r="Y101" s="177"/>
      <c r="Z101" s="177"/>
      <c r="AA101" s="177"/>
      <c r="AB101" s="177"/>
      <c r="AC101" s="177"/>
      <c r="AD101" s="177"/>
      <c r="AE101" s="177"/>
      <c r="AF101" s="177"/>
      <c r="AG101" s="177"/>
      <c r="AH101" s="177"/>
      <c r="AK101" s="1"/>
      <c r="AL101" s="1"/>
      <c r="AM101" s="1"/>
    </row>
    <row r="102" spans="4:39" ht="20.100000000000001" customHeight="1" x14ac:dyDescent="0.2">
      <c r="D102" s="177" t="s">
        <v>2016</v>
      </c>
      <c r="E102" s="177" t="s">
        <v>2036</v>
      </c>
      <c r="F102" s="177" t="s">
        <v>875</v>
      </c>
      <c r="G102" s="177">
        <v>1.45</v>
      </c>
      <c r="H102" s="177"/>
      <c r="I102" s="177"/>
      <c r="J102" s="177"/>
      <c r="K102" s="177"/>
      <c r="L102" s="177"/>
      <c r="M102" s="177"/>
      <c r="N102" s="177"/>
      <c r="O102" s="177" t="s">
        <v>2021</v>
      </c>
      <c r="P102" s="177">
        <v>0.107</v>
      </c>
      <c r="Q102" s="177"/>
      <c r="R102" s="177"/>
      <c r="S102" s="177"/>
      <c r="T102" s="177"/>
      <c r="U102" s="177"/>
      <c r="V102" s="177"/>
      <c r="W102" s="177"/>
      <c r="X102" s="177"/>
      <c r="Y102" s="177"/>
      <c r="Z102" s="177"/>
      <c r="AA102" s="177"/>
      <c r="AB102" s="177"/>
      <c r="AC102" s="177"/>
      <c r="AD102" s="177"/>
      <c r="AE102" s="177"/>
      <c r="AF102" s="177"/>
      <c r="AG102" s="177"/>
      <c r="AH102" s="177"/>
      <c r="AK102" s="1"/>
      <c r="AL102" s="1"/>
      <c r="AM102" s="1"/>
    </row>
    <row r="103" spans="4:39" ht="20.100000000000001" customHeight="1" x14ac:dyDescent="0.2">
      <c r="D103" s="177" t="s">
        <v>2016</v>
      </c>
      <c r="E103" s="177" t="s">
        <v>2037</v>
      </c>
      <c r="F103" s="177" t="s">
        <v>636</v>
      </c>
      <c r="G103" s="177">
        <v>1</v>
      </c>
      <c r="H103" s="177"/>
      <c r="I103" s="177"/>
      <c r="J103" s="177"/>
      <c r="K103" s="177">
        <v>15</v>
      </c>
      <c r="L103" s="177">
        <v>6.5</v>
      </c>
      <c r="M103" s="177">
        <v>12.5</v>
      </c>
      <c r="N103" s="177">
        <v>6</v>
      </c>
      <c r="O103" s="177" t="s">
        <v>1972</v>
      </c>
      <c r="P103" s="177">
        <v>7.4999999999999997E-2</v>
      </c>
      <c r="Q103" s="177" t="s">
        <v>1974</v>
      </c>
      <c r="R103" s="177">
        <v>7.4999999999999997E-2</v>
      </c>
      <c r="S103" s="177" t="s">
        <v>1982</v>
      </c>
      <c r="T103" s="177">
        <v>0.125</v>
      </c>
      <c r="U103" s="177" t="s">
        <v>1979</v>
      </c>
      <c r="V103" s="177">
        <v>6.5000000000000002E-2</v>
      </c>
      <c r="W103" s="177" t="s">
        <v>1984</v>
      </c>
      <c r="X103" s="177">
        <v>0.06</v>
      </c>
      <c r="Y103" s="177"/>
      <c r="Z103" s="177"/>
      <c r="AA103" s="177"/>
      <c r="AB103" s="177"/>
      <c r="AC103" s="177"/>
      <c r="AD103" s="177"/>
      <c r="AE103" s="177"/>
      <c r="AF103" s="177"/>
      <c r="AG103" s="177"/>
      <c r="AH103" s="177"/>
      <c r="AK103" s="1"/>
      <c r="AL103" s="1"/>
      <c r="AM103" s="1"/>
    </row>
    <row r="104" spans="4:39" ht="20.100000000000001" customHeight="1" x14ac:dyDescent="0.2">
      <c r="D104" s="177" t="s">
        <v>2016</v>
      </c>
      <c r="E104" s="177" t="s">
        <v>2038</v>
      </c>
      <c r="F104" s="177" t="s">
        <v>875</v>
      </c>
      <c r="G104" s="177">
        <v>1.2150000000000001</v>
      </c>
      <c r="H104" s="177"/>
      <c r="I104" s="177"/>
      <c r="J104" s="177"/>
      <c r="K104" s="177">
        <v>12</v>
      </c>
      <c r="L104" s="177"/>
      <c r="M104" s="177">
        <v>10</v>
      </c>
      <c r="N104" s="177"/>
      <c r="O104" s="177" t="s">
        <v>1965</v>
      </c>
      <c r="P104" s="177">
        <v>0.19565199999999999</v>
      </c>
      <c r="Q104" s="177" t="s">
        <v>1982</v>
      </c>
      <c r="R104" s="177">
        <v>0.1</v>
      </c>
      <c r="S104" s="177" t="s">
        <v>1977</v>
      </c>
      <c r="T104" s="177">
        <v>0.03</v>
      </c>
      <c r="U104" s="177" t="s">
        <v>2034</v>
      </c>
      <c r="V104" s="177">
        <v>5.0000000000000001E-3</v>
      </c>
      <c r="W104" s="177"/>
      <c r="X104" s="177"/>
      <c r="Y104" s="177"/>
      <c r="Z104" s="177"/>
      <c r="AA104" s="177"/>
      <c r="AB104" s="177"/>
      <c r="AC104" s="177"/>
      <c r="AD104" s="177"/>
      <c r="AE104" s="177"/>
      <c r="AF104" s="177"/>
      <c r="AG104" s="177"/>
      <c r="AH104" s="177"/>
      <c r="AK104" s="1"/>
      <c r="AL104" s="1"/>
      <c r="AM104" s="1"/>
    </row>
    <row r="105" spans="4:39" ht="20.100000000000001" customHeight="1" x14ac:dyDescent="0.2">
      <c r="D105" s="177" t="s">
        <v>2016</v>
      </c>
      <c r="E105" s="177" t="s">
        <v>2039</v>
      </c>
      <c r="F105" s="177" t="s">
        <v>636</v>
      </c>
      <c r="G105" s="177">
        <v>1</v>
      </c>
      <c r="H105" s="177"/>
      <c r="I105" s="177"/>
      <c r="J105" s="177"/>
      <c r="K105" s="177">
        <v>21.66</v>
      </c>
      <c r="L105" s="177"/>
      <c r="M105" s="177"/>
      <c r="N105" s="177">
        <v>13.2</v>
      </c>
      <c r="O105" s="177" t="s">
        <v>1967</v>
      </c>
      <c r="P105" s="177">
        <v>0.55000000000000004</v>
      </c>
      <c r="Q105" s="177" t="s">
        <v>1969</v>
      </c>
      <c r="R105" s="177">
        <v>0.3</v>
      </c>
      <c r="S105" s="177"/>
      <c r="T105" s="177"/>
      <c r="U105" s="177"/>
      <c r="V105" s="177"/>
      <c r="W105" s="177"/>
      <c r="X105" s="177"/>
      <c r="Y105" s="177"/>
      <c r="Z105" s="177"/>
      <c r="AA105" s="177"/>
      <c r="AB105" s="177"/>
      <c r="AC105" s="177"/>
      <c r="AD105" s="177"/>
      <c r="AE105" s="177"/>
      <c r="AF105" s="177"/>
      <c r="AG105" s="177"/>
      <c r="AH105" s="177"/>
      <c r="AK105" s="1"/>
      <c r="AL105" s="1"/>
      <c r="AM105" s="1"/>
    </row>
    <row r="106" spans="4:39" ht="20.100000000000001" customHeight="1" x14ac:dyDescent="0.2">
      <c r="D106" s="177" t="s">
        <v>2040</v>
      </c>
      <c r="E106" s="177" t="s">
        <v>2041</v>
      </c>
      <c r="F106" s="177" t="s">
        <v>875</v>
      </c>
      <c r="G106" s="177">
        <v>1.319</v>
      </c>
      <c r="H106" s="177"/>
      <c r="I106" s="177"/>
      <c r="J106" s="177"/>
      <c r="K106" s="177">
        <v>5</v>
      </c>
      <c r="L106" s="177">
        <v>15</v>
      </c>
      <c r="M106" s="177">
        <v>2.1</v>
      </c>
      <c r="N106" s="177"/>
      <c r="O106" s="177" t="s">
        <v>1979</v>
      </c>
      <c r="P106" s="177">
        <v>0.15</v>
      </c>
      <c r="Q106" s="177" t="s">
        <v>2021</v>
      </c>
      <c r="R106" s="177">
        <v>0.04</v>
      </c>
      <c r="S106" s="177" t="s">
        <v>1972</v>
      </c>
      <c r="T106" s="177">
        <v>2.9000000000000001E-2</v>
      </c>
      <c r="U106" s="177" t="s">
        <v>1974</v>
      </c>
      <c r="V106" s="177">
        <v>2.1000000000000001E-2</v>
      </c>
      <c r="W106" s="177" t="s">
        <v>1982</v>
      </c>
      <c r="X106" s="177">
        <v>2.1000000000000001E-2</v>
      </c>
      <c r="Y106" s="177" t="s">
        <v>2033</v>
      </c>
      <c r="Z106" s="177">
        <v>5.0000000000000001E-3</v>
      </c>
      <c r="AA106" s="177" t="s">
        <v>2030</v>
      </c>
      <c r="AB106" s="177">
        <v>4.0000000000000001E-3</v>
      </c>
      <c r="AC106" s="177" t="s">
        <v>2031</v>
      </c>
      <c r="AD106" s="177">
        <v>4.0000000000000001E-3</v>
      </c>
      <c r="AE106" s="177" t="s">
        <v>2029</v>
      </c>
      <c r="AF106" s="177">
        <v>2E-3</v>
      </c>
      <c r="AG106" s="177"/>
      <c r="AH106" s="177"/>
      <c r="AK106" s="1"/>
      <c r="AL106" s="1"/>
      <c r="AM106" s="1"/>
    </row>
    <row r="107" spans="4:39" ht="20.100000000000001" customHeight="1" x14ac:dyDescent="0.2">
      <c r="D107" s="177" t="s">
        <v>2042</v>
      </c>
      <c r="E107" s="177" t="s">
        <v>2043</v>
      </c>
      <c r="F107" s="177" t="s">
        <v>636</v>
      </c>
      <c r="G107" s="177">
        <v>1</v>
      </c>
      <c r="H107" s="177"/>
      <c r="I107" s="177"/>
      <c r="J107" s="177" t="s">
        <v>1997</v>
      </c>
      <c r="K107" s="177">
        <v>17.7</v>
      </c>
      <c r="L107" s="177"/>
      <c r="M107" s="177"/>
      <c r="N107" s="177"/>
      <c r="O107" s="177" t="s">
        <v>1972</v>
      </c>
      <c r="P107" s="177">
        <v>0.17699999999999999</v>
      </c>
      <c r="Q107" s="177"/>
      <c r="R107" s="177"/>
      <c r="S107" s="177"/>
      <c r="T107" s="177"/>
      <c r="U107" s="177"/>
      <c r="V107" s="177"/>
      <c r="W107" s="177"/>
      <c r="X107" s="177"/>
      <c r="Y107" s="177"/>
      <c r="Z107" s="177"/>
      <c r="AA107" s="177"/>
      <c r="AB107" s="177"/>
      <c r="AC107" s="177"/>
      <c r="AD107" s="177"/>
      <c r="AE107" s="177"/>
      <c r="AF107" s="177"/>
      <c r="AG107" s="177"/>
      <c r="AH107" s="177"/>
      <c r="AK107" s="1"/>
      <c r="AL107" s="1"/>
      <c r="AM107" s="1"/>
    </row>
    <row r="108" spans="4:39" ht="20.100000000000001" customHeight="1" x14ac:dyDescent="0.2">
      <c r="D108" s="177" t="s">
        <v>2042</v>
      </c>
      <c r="E108" s="177" t="s">
        <v>1993</v>
      </c>
      <c r="F108" s="177" t="s">
        <v>636</v>
      </c>
      <c r="G108" s="177">
        <v>1</v>
      </c>
      <c r="H108" s="177"/>
      <c r="I108" s="177"/>
      <c r="J108" s="177" t="s">
        <v>1997</v>
      </c>
      <c r="K108" s="177">
        <v>21</v>
      </c>
      <c r="L108" s="177"/>
      <c r="M108" s="177"/>
      <c r="N108" s="177">
        <v>24</v>
      </c>
      <c r="O108" s="177" t="s">
        <v>1984</v>
      </c>
      <c r="P108" s="177">
        <v>0.24</v>
      </c>
      <c r="Q108" s="177" t="s">
        <v>1972</v>
      </c>
      <c r="R108" s="177">
        <v>0.21</v>
      </c>
      <c r="S108" s="177"/>
      <c r="T108" s="177"/>
      <c r="U108" s="177"/>
      <c r="V108" s="177"/>
      <c r="W108" s="177"/>
      <c r="X108" s="177"/>
      <c r="Y108" s="177"/>
      <c r="Z108" s="177"/>
      <c r="AA108" s="177"/>
      <c r="AB108" s="177"/>
      <c r="AC108" s="177"/>
      <c r="AD108" s="177"/>
      <c r="AE108" s="177"/>
      <c r="AF108" s="177"/>
      <c r="AG108" s="177"/>
      <c r="AH108" s="177"/>
      <c r="AK108" s="1"/>
      <c r="AL108" s="1"/>
      <c r="AM108" s="1"/>
    </row>
    <row r="109" spans="4:39" ht="20.100000000000001" customHeight="1" x14ac:dyDescent="0.2">
      <c r="D109" s="177" t="s">
        <v>2044</v>
      </c>
      <c r="E109" s="177" t="s">
        <v>2045</v>
      </c>
      <c r="F109" s="177" t="s">
        <v>636</v>
      </c>
      <c r="G109" s="177">
        <v>1</v>
      </c>
      <c r="H109" s="177"/>
      <c r="I109" s="177"/>
      <c r="J109" s="177"/>
      <c r="K109" s="177">
        <v>21</v>
      </c>
      <c r="L109" s="177"/>
      <c r="M109" s="177"/>
      <c r="N109" s="177">
        <v>24</v>
      </c>
      <c r="O109" s="177" t="s">
        <v>1967</v>
      </c>
      <c r="P109" s="177">
        <v>1</v>
      </c>
      <c r="Q109" s="177"/>
      <c r="R109" s="177"/>
      <c r="S109" s="177"/>
      <c r="T109" s="177"/>
      <c r="U109" s="177"/>
      <c r="V109" s="177"/>
      <c r="W109" s="177"/>
      <c r="X109" s="177"/>
      <c r="Y109" s="177"/>
      <c r="Z109" s="177"/>
      <c r="AA109" s="177"/>
      <c r="AB109" s="177"/>
      <c r="AC109" s="177"/>
      <c r="AD109" s="177"/>
      <c r="AE109" s="177"/>
      <c r="AF109" s="177"/>
      <c r="AG109" s="177"/>
      <c r="AH109" s="177"/>
      <c r="AK109" s="1"/>
      <c r="AL109" s="1"/>
      <c r="AM109" s="1"/>
    </row>
    <row r="110" spans="4:39" ht="20.100000000000001" customHeight="1" x14ac:dyDescent="0.2">
      <c r="D110" s="177" t="s">
        <v>2046</v>
      </c>
      <c r="E110" s="177" t="s">
        <v>2047</v>
      </c>
      <c r="F110" s="177" t="s">
        <v>636</v>
      </c>
      <c r="G110" s="177">
        <v>1</v>
      </c>
      <c r="H110" s="177"/>
      <c r="I110" s="177"/>
      <c r="J110" s="177"/>
      <c r="K110" s="177">
        <v>18</v>
      </c>
      <c r="L110" s="177">
        <v>20</v>
      </c>
      <c r="M110" s="177"/>
      <c r="N110" s="177"/>
      <c r="O110" s="177" t="s">
        <v>1964</v>
      </c>
      <c r="P110" s="177">
        <v>1</v>
      </c>
      <c r="Q110" s="177"/>
      <c r="R110" s="177"/>
      <c r="S110" s="177"/>
      <c r="T110" s="177"/>
      <c r="U110" s="177"/>
      <c r="V110" s="177"/>
      <c r="W110" s="177"/>
      <c r="X110" s="177"/>
      <c r="Y110" s="177"/>
      <c r="Z110" s="177"/>
      <c r="AA110" s="177"/>
      <c r="AB110" s="177"/>
      <c r="AC110" s="177"/>
      <c r="AD110" s="177"/>
      <c r="AE110" s="177"/>
      <c r="AF110" s="177"/>
      <c r="AG110" s="177"/>
      <c r="AH110" s="177"/>
      <c r="AK110" s="1"/>
      <c r="AL110" s="1"/>
      <c r="AM110" s="1"/>
    </row>
    <row r="111" spans="4:39" ht="20.100000000000001" customHeight="1" x14ac:dyDescent="0.2">
      <c r="D111" s="177" t="s">
        <v>2048</v>
      </c>
      <c r="E111" s="177" t="s">
        <v>2049</v>
      </c>
      <c r="F111" s="177" t="s">
        <v>636</v>
      </c>
      <c r="G111" s="177">
        <v>1</v>
      </c>
      <c r="H111" s="177"/>
      <c r="I111" s="177"/>
      <c r="J111" s="177"/>
      <c r="K111" s="177">
        <v>8</v>
      </c>
      <c r="L111" s="177">
        <v>14</v>
      </c>
      <c r="M111" s="177"/>
      <c r="N111" s="177">
        <v>27.6</v>
      </c>
      <c r="O111" s="177" t="s">
        <v>1984</v>
      </c>
      <c r="P111" s="177">
        <v>0.27600000000000002</v>
      </c>
      <c r="Q111" s="177" t="s">
        <v>1979</v>
      </c>
      <c r="R111" s="177">
        <v>0.14000000000000001</v>
      </c>
      <c r="S111" s="177" t="s">
        <v>1977</v>
      </c>
      <c r="T111" s="177">
        <v>0.08</v>
      </c>
      <c r="U111" s="177" t="s">
        <v>2050</v>
      </c>
      <c r="V111" s="177">
        <v>2.4E-2</v>
      </c>
      <c r="W111" s="177"/>
      <c r="X111" s="177"/>
      <c r="Y111" s="177"/>
      <c r="Z111" s="177"/>
      <c r="AA111" s="177"/>
      <c r="AB111" s="177"/>
      <c r="AC111" s="177"/>
      <c r="AD111" s="177"/>
      <c r="AE111" s="177"/>
      <c r="AF111" s="177"/>
      <c r="AG111" s="177"/>
      <c r="AH111" s="177"/>
      <c r="AK111" s="1"/>
      <c r="AL111" s="1"/>
      <c r="AM111" s="1"/>
    </row>
    <row r="112" spans="4:39" ht="20.100000000000001" customHeight="1" x14ac:dyDescent="0.2">
      <c r="D112" s="177" t="s">
        <v>2051</v>
      </c>
      <c r="E112" s="177" t="s">
        <v>2052</v>
      </c>
      <c r="F112" s="177" t="s">
        <v>636</v>
      </c>
      <c r="G112" s="177">
        <v>1</v>
      </c>
      <c r="H112" s="177"/>
      <c r="I112" s="177"/>
      <c r="J112" s="177"/>
      <c r="K112" s="177">
        <v>16.899999999999999</v>
      </c>
      <c r="L112" s="177">
        <v>18.2</v>
      </c>
      <c r="M112" s="177"/>
      <c r="N112" s="177">
        <v>8</v>
      </c>
      <c r="O112" s="177" t="s">
        <v>1979</v>
      </c>
      <c r="P112" s="177">
        <v>0.182</v>
      </c>
      <c r="Q112" s="177" t="s">
        <v>1977</v>
      </c>
      <c r="R112" s="177">
        <v>0.16900000000000001</v>
      </c>
      <c r="S112" s="177" t="s">
        <v>1984</v>
      </c>
      <c r="T112" s="177">
        <v>0.08</v>
      </c>
      <c r="U112" s="177" t="s">
        <v>2030</v>
      </c>
      <c r="V112" s="177">
        <v>2E-3</v>
      </c>
      <c r="W112" s="177" t="s">
        <v>2033</v>
      </c>
      <c r="X112" s="177">
        <v>1E-3</v>
      </c>
      <c r="Y112" s="177"/>
      <c r="Z112" s="177"/>
      <c r="AA112" s="177"/>
      <c r="AB112" s="177"/>
      <c r="AC112" s="177"/>
      <c r="AD112" s="177"/>
      <c r="AE112" s="177"/>
      <c r="AF112" s="177"/>
      <c r="AG112" s="177"/>
      <c r="AH112" s="177"/>
      <c r="AK112" s="1"/>
      <c r="AL112" s="1"/>
      <c r="AM112" s="1"/>
    </row>
    <row r="113" spans="4:39" ht="20.100000000000001" customHeight="1" x14ac:dyDescent="0.2">
      <c r="D113" s="177" t="s">
        <v>2048</v>
      </c>
      <c r="E113" s="177" t="s">
        <v>2053</v>
      </c>
      <c r="F113" s="177" t="s">
        <v>875</v>
      </c>
      <c r="G113" s="177">
        <v>1.32</v>
      </c>
      <c r="H113" s="177"/>
      <c r="I113" s="177"/>
      <c r="J113" s="177"/>
      <c r="K113" s="177">
        <v>42.5</v>
      </c>
      <c r="L113" s="177"/>
      <c r="M113" s="177"/>
      <c r="N113" s="177"/>
      <c r="O113" s="177" t="s">
        <v>1965</v>
      </c>
      <c r="P113" s="177">
        <v>0.467391</v>
      </c>
      <c r="Q113" s="177" t="s">
        <v>1974</v>
      </c>
      <c r="R113" s="177">
        <v>0.105</v>
      </c>
      <c r="S113" s="177" t="s">
        <v>1972</v>
      </c>
      <c r="T113" s="177">
        <v>0.105</v>
      </c>
      <c r="U113" s="177" t="s">
        <v>2054</v>
      </c>
      <c r="V113" s="177">
        <v>6.0000000000000001E-3</v>
      </c>
      <c r="W113" s="177"/>
      <c r="X113" s="177"/>
      <c r="Y113" s="177"/>
      <c r="Z113" s="177"/>
      <c r="AA113" s="177"/>
      <c r="AB113" s="177"/>
      <c r="AC113" s="177"/>
      <c r="AD113" s="177"/>
      <c r="AE113" s="177"/>
      <c r="AF113" s="177"/>
      <c r="AG113" s="177"/>
      <c r="AH113" s="177"/>
      <c r="AK113" s="1"/>
      <c r="AL113" s="1"/>
      <c r="AM113" s="1"/>
    </row>
    <row r="114" spans="4:39" ht="20.100000000000001" customHeight="1" x14ac:dyDescent="0.2">
      <c r="D114" s="177" t="s">
        <v>2042</v>
      </c>
      <c r="E114" s="177" t="s">
        <v>2055</v>
      </c>
      <c r="F114" s="177" t="s">
        <v>636</v>
      </c>
      <c r="G114" s="177">
        <v>1</v>
      </c>
      <c r="H114" s="177"/>
      <c r="I114" s="177"/>
      <c r="J114" s="177" t="s">
        <v>1997</v>
      </c>
      <c r="K114" s="177">
        <v>40.5</v>
      </c>
      <c r="L114" s="177"/>
      <c r="M114" s="177"/>
      <c r="N114" s="177"/>
      <c r="O114" s="177" t="s">
        <v>1972</v>
      </c>
      <c r="P114" s="177">
        <v>0.27</v>
      </c>
      <c r="Q114" s="177" t="s">
        <v>1974</v>
      </c>
      <c r="R114" s="177">
        <v>0.13500000000000001</v>
      </c>
      <c r="S114" s="177" t="s">
        <v>2021</v>
      </c>
      <c r="T114" s="177">
        <v>0.12</v>
      </c>
      <c r="U114" s="177"/>
      <c r="V114" s="177"/>
      <c r="W114" s="177"/>
      <c r="X114" s="177"/>
      <c r="Y114" s="177"/>
      <c r="Z114" s="177"/>
      <c r="AA114" s="177"/>
      <c r="AB114" s="177"/>
      <c r="AC114" s="177"/>
      <c r="AD114" s="177"/>
      <c r="AE114" s="177"/>
      <c r="AF114" s="177"/>
      <c r="AG114" s="177"/>
      <c r="AH114" s="177"/>
      <c r="AK114" s="1"/>
      <c r="AL114" s="1"/>
      <c r="AM114" s="1"/>
    </row>
    <row r="115" spans="4:39" ht="20.100000000000001" customHeight="1" x14ac:dyDescent="0.2">
      <c r="D115" s="177" t="s">
        <v>2040</v>
      </c>
      <c r="E115" s="177" t="s">
        <v>2056</v>
      </c>
      <c r="F115" s="177" t="s">
        <v>875</v>
      </c>
      <c r="G115" s="177">
        <v>1.1379999999999999</v>
      </c>
      <c r="H115" s="177"/>
      <c r="I115" s="177"/>
      <c r="J115" s="177"/>
      <c r="K115" s="177"/>
      <c r="L115" s="177"/>
      <c r="M115" s="177"/>
      <c r="N115" s="177"/>
      <c r="O115" s="177" t="s">
        <v>2021</v>
      </c>
      <c r="P115" s="177">
        <v>5.8999999999999997E-2</v>
      </c>
      <c r="Q115" s="177" t="s">
        <v>2033</v>
      </c>
      <c r="R115" s="177">
        <v>3.0000000000000001E-3</v>
      </c>
      <c r="S115" s="177" t="s">
        <v>2034</v>
      </c>
      <c r="T115" s="177">
        <v>1E-3</v>
      </c>
      <c r="U115" s="177"/>
      <c r="V115" s="177"/>
      <c r="W115" s="177"/>
      <c r="X115" s="177"/>
      <c r="Y115" s="177"/>
      <c r="Z115" s="177"/>
      <c r="AA115" s="177"/>
      <c r="AB115" s="177"/>
      <c r="AC115" s="177"/>
      <c r="AD115" s="177"/>
      <c r="AE115" s="177"/>
      <c r="AF115" s="177"/>
      <c r="AG115" s="177"/>
      <c r="AH115" s="177"/>
      <c r="AK115" s="1"/>
      <c r="AL115" s="1"/>
      <c r="AM115" s="1"/>
    </row>
    <row r="116" spans="4:39" ht="20.100000000000001" customHeight="1" x14ac:dyDescent="0.2">
      <c r="D116" s="177" t="s">
        <v>2048</v>
      </c>
      <c r="E116" s="177" t="s">
        <v>2057</v>
      </c>
      <c r="F116" s="177" t="s">
        <v>636</v>
      </c>
      <c r="G116" s="177">
        <v>1</v>
      </c>
      <c r="H116" s="177"/>
      <c r="I116" s="177"/>
      <c r="J116" s="177"/>
      <c r="K116" s="177">
        <v>13.5</v>
      </c>
      <c r="L116" s="177">
        <v>15</v>
      </c>
      <c r="M116" s="177">
        <v>6.25</v>
      </c>
      <c r="N116" s="177">
        <v>1.2</v>
      </c>
      <c r="O116" s="177" t="s">
        <v>1979</v>
      </c>
      <c r="P116" s="177">
        <v>0.15</v>
      </c>
      <c r="Q116" s="177" t="s">
        <v>1972</v>
      </c>
      <c r="R116" s="177">
        <v>0.13500000000000001</v>
      </c>
      <c r="S116" s="177" t="s">
        <v>1988</v>
      </c>
      <c r="T116" s="177">
        <v>0.125</v>
      </c>
      <c r="U116" s="177" t="s">
        <v>2050</v>
      </c>
      <c r="V116" s="177">
        <v>2.3E-2</v>
      </c>
      <c r="W116" s="177" t="s">
        <v>1984</v>
      </c>
      <c r="X116" s="177">
        <v>1.2E-2</v>
      </c>
      <c r="Y116" s="177"/>
      <c r="Z116" s="177"/>
      <c r="AA116" s="177"/>
      <c r="AB116" s="177"/>
      <c r="AC116" s="177"/>
      <c r="AD116" s="177"/>
      <c r="AE116" s="177"/>
      <c r="AF116" s="177"/>
      <c r="AG116" s="177"/>
      <c r="AH116" s="177"/>
      <c r="AK116" s="1"/>
      <c r="AL116" s="1"/>
      <c r="AM116" s="1"/>
    </row>
    <row r="117" spans="4:39" ht="20.100000000000001" customHeight="1" x14ac:dyDescent="0.2">
      <c r="D117" s="177" t="s">
        <v>2058</v>
      </c>
      <c r="E117" s="177" t="s">
        <v>2059</v>
      </c>
      <c r="F117" s="177" t="s">
        <v>875</v>
      </c>
      <c r="G117" s="177">
        <v>1.25</v>
      </c>
      <c r="H117" s="177"/>
      <c r="I117" s="177"/>
      <c r="J117" s="177"/>
      <c r="K117" s="177">
        <v>3</v>
      </c>
      <c r="L117" s="177"/>
      <c r="M117" s="177">
        <v>21</v>
      </c>
      <c r="N117" s="177"/>
      <c r="O117" s="177" t="s">
        <v>1982</v>
      </c>
      <c r="P117" s="177">
        <v>0.21</v>
      </c>
      <c r="Q117" s="177" t="s">
        <v>1977</v>
      </c>
      <c r="R117" s="177">
        <v>0.03</v>
      </c>
      <c r="S117" s="177"/>
      <c r="T117" s="177"/>
      <c r="U117" s="177"/>
      <c r="V117" s="177"/>
      <c r="W117" s="177"/>
      <c r="X117" s="177"/>
      <c r="Y117" s="177"/>
      <c r="Z117" s="177"/>
      <c r="AA117" s="177"/>
      <c r="AB117" s="177"/>
      <c r="AC117" s="177"/>
      <c r="AD117" s="177"/>
      <c r="AE117" s="177"/>
      <c r="AF117" s="177"/>
      <c r="AG117" s="177"/>
      <c r="AH117" s="177"/>
      <c r="AK117" s="1"/>
      <c r="AL117" s="1"/>
      <c r="AM117" s="1"/>
    </row>
    <row r="118" spans="4:39" ht="20.100000000000001" customHeight="1" x14ac:dyDescent="0.2">
      <c r="D118" s="177" t="s">
        <v>2058</v>
      </c>
      <c r="E118" s="177" t="s">
        <v>2060</v>
      </c>
      <c r="F118" s="177" t="s">
        <v>875</v>
      </c>
      <c r="G118" s="177">
        <v>1.2</v>
      </c>
      <c r="H118" s="177"/>
      <c r="I118" s="177"/>
      <c r="J118" s="177"/>
      <c r="K118" s="177">
        <v>5</v>
      </c>
      <c r="L118" s="177">
        <v>3</v>
      </c>
      <c r="M118" s="177">
        <v>8</v>
      </c>
      <c r="N118" s="177"/>
      <c r="O118" s="177" t="s">
        <v>1982</v>
      </c>
      <c r="P118" s="177">
        <v>0.08</v>
      </c>
      <c r="Q118" s="177" t="s">
        <v>1977</v>
      </c>
      <c r="R118" s="177">
        <v>0.05</v>
      </c>
      <c r="S118" s="177" t="s">
        <v>1979</v>
      </c>
      <c r="T118" s="177">
        <v>0.03</v>
      </c>
      <c r="U118" s="177"/>
      <c r="V118" s="177"/>
      <c r="W118" s="177"/>
      <c r="X118" s="177"/>
      <c r="Y118" s="177"/>
      <c r="Z118" s="177"/>
      <c r="AA118" s="177"/>
      <c r="AB118" s="177"/>
      <c r="AC118" s="177"/>
      <c r="AD118" s="177"/>
      <c r="AE118" s="177"/>
      <c r="AF118" s="177"/>
      <c r="AG118" s="177"/>
      <c r="AH118" s="177"/>
      <c r="AK118" s="1"/>
      <c r="AL118" s="1"/>
      <c r="AM118" s="1"/>
    </row>
    <row r="119" spans="4:39" ht="20.100000000000001" customHeight="1" x14ac:dyDescent="0.2">
      <c r="D119" s="177" t="s">
        <v>2048</v>
      </c>
      <c r="E119" s="177" t="s">
        <v>2061</v>
      </c>
      <c r="F119" s="177" t="s">
        <v>636</v>
      </c>
      <c r="G119" s="177">
        <v>1</v>
      </c>
      <c r="H119" s="177"/>
      <c r="I119" s="177"/>
      <c r="J119" s="177"/>
      <c r="K119" s="177">
        <v>21</v>
      </c>
      <c r="L119" s="177"/>
      <c r="M119" s="177"/>
      <c r="N119" s="177">
        <v>24</v>
      </c>
      <c r="O119" s="177" t="s">
        <v>1967</v>
      </c>
      <c r="P119" s="177">
        <v>1</v>
      </c>
      <c r="Q119" s="177"/>
      <c r="R119" s="177"/>
      <c r="S119" s="177"/>
      <c r="T119" s="177"/>
      <c r="U119" s="177"/>
      <c r="V119" s="177"/>
      <c r="W119" s="177"/>
      <c r="X119" s="177"/>
      <c r="Y119" s="177"/>
      <c r="Z119" s="177"/>
      <c r="AA119" s="177"/>
      <c r="AB119" s="177"/>
      <c r="AC119" s="177"/>
      <c r="AD119" s="177"/>
      <c r="AE119" s="177"/>
      <c r="AF119" s="177"/>
      <c r="AG119" s="177"/>
      <c r="AH119" s="177"/>
      <c r="AK119" s="1"/>
      <c r="AL119" s="1"/>
      <c r="AM119" s="1"/>
    </row>
    <row r="120" spans="4:39" ht="20.100000000000001" customHeight="1" x14ac:dyDescent="0.2">
      <c r="D120" s="177" t="s">
        <v>2016</v>
      </c>
      <c r="E120" s="177" t="s">
        <v>2062</v>
      </c>
      <c r="F120" s="177" t="s">
        <v>875</v>
      </c>
      <c r="G120" s="177">
        <v>1.5</v>
      </c>
      <c r="H120" s="177"/>
      <c r="I120" s="177"/>
      <c r="J120" s="177"/>
      <c r="K120" s="177">
        <v>9</v>
      </c>
      <c r="L120" s="177"/>
      <c r="M120" s="177"/>
      <c r="N120" s="177">
        <v>13.94</v>
      </c>
      <c r="O120" s="177" t="s">
        <v>1967</v>
      </c>
      <c r="P120" s="177">
        <v>0.58064499999999997</v>
      </c>
      <c r="Q120" s="177" t="s">
        <v>2029</v>
      </c>
      <c r="R120" s="177">
        <v>1.2E-2</v>
      </c>
      <c r="S120" s="177"/>
      <c r="T120" s="177"/>
      <c r="U120" s="177"/>
      <c r="V120" s="177"/>
      <c r="W120" s="177"/>
      <c r="X120" s="177"/>
      <c r="Y120" s="177"/>
      <c r="Z120" s="177"/>
      <c r="AA120" s="177"/>
      <c r="AB120" s="177"/>
      <c r="AC120" s="177"/>
      <c r="AD120" s="177"/>
      <c r="AE120" s="177"/>
      <c r="AF120" s="177"/>
      <c r="AG120" s="177"/>
      <c r="AH120" s="177"/>
      <c r="AK120" s="1"/>
      <c r="AL120" s="1"/>
      <c r="AM120" s="1"/>
    </row>
    <row r="121" spans="4:39" ht="20.100000000000001" customHeight="1" x14ac:dyDescent="0.2">
      <c r="D121" s="177" t="s">
        <v>2048</v>
      </c>
      <c r="E121" s="177" t="s">
        <v>2063</v>
      </c>
      <c r="F121" s="177" t="s">
        <v>636</v>
      </c>
      <c r="G121" s="177">
        <v>1</v>
      </c>
      <c r="H121" s="177"/>
      <c r="I121" s="177"/>
      <c r="J121" s="177"/>
      <c r="K121" s="177">
        <v>10</v>
      </c>
      <c r="L121" s="177">
        <v>17.5</v>
      </c>
      <c r="M121" s="177"/>
      <c r="N121" s="177">
        <v>12</v>
      </c>
      <c r="O121" s="177" t="s">
        <v>1979</v>
      </c>
      <c r="P121" s="177">
        <v>0.17499999999999999</v>
      </c>
      <c r="Q121" s="177" t="s">
        <v>1984</v>
      </c>
      <c r="R121" s="177">
        <v>0.12</v>
      </c>
      <c r="S121" s="177" t="s">
        <v>1972</v>
      </c>
      <c r="T121" s="177">
        <v>0.1</v>
      </c>
      <c r="U121" s="177" t="s">
        <v>2050</v>
      </c>
      <c r="V121" s="177">
        <v>0.03</v>
      </c>
      <c r="W121" s="177"/>
      <c r="X121" s="177"/>
      <c r="Y121" s="177"/>
      <c r="Z121" s="177"/>
      <c r="AA121" s="177"/>
      <c r="AB121" s="177"/>
      <c r="AC121" s="177"/>
      <c r="AD121" s="177"/>
      <c r="AE121" s="177"/>
      <c r="AF121" s="177"/>
      <c r="AG121" s="177"/>
      <c r="AH121" s="177"/>
      <c r="AK121" s="1"/>
      <c r="AL121" s="1"/>
      <c r="AM121" s="1"/>
    </row>
    <row r="122" spans="4:39" ht="20.100000000000001" customHeight="1" x14ac:dyDescent="0.2">
      <c r="D122" s="177" t="s">
        <v>2048</v>
      </c>
      <c r="E122" s="177" t="s">
        <v>2064</v>
      </c>
      <c r="F122" s="177" t="s">
        <v>636</v>
      </c>
      <c r="G122" s="177">
        <v>1</v>
      </c>
      <c r="H122" s="177"/>
      <c r="I122" s="177"/>
      <c r="J122" s="177"/>
      <c r="K122" s="177">
        <v>11</v>
      </c>
      <c r="L122" s="177">
        <v>21.8</v>
      </c>
      <c r="M122" s="177"/>
      <c r="N122" s="177">
        <v>4</v>
      </c>
      <c r="O122" s="177" t="s">
        <v>1979</v>
      </c>
      <c r="P122" s="177">
        <v>0.218</v>
      </c>
      <c r="Q122" s="177" t="s">
        <v>1977</v>
      </c>
      <c r="R122" s="177">
        <v>0.11</v>
      </c>
      <c r="S122" s="177" t="s">
        <v>1984</v>
      </c>
      <c r="T122" s="177">
        <v>0.04</v>
      </c>
      <c r="U122" s="177" t="s">
        <v>2050</v>
      </c>
      <c r="V122" s="177">
        <v>0.03</v>
      </c>
      <c r="W122" s="177" t="s">
        <v>2030</v>
      </c>
      <c r="X122" s="177">
        <v>0.01</v>
      </c>
      <c r="Y122" s="177"/>
      <c r="Z122" s="177"/>
      <c r="AA122" s="177"/>
      <c r="AB122" s="177"/>
      <c r="AC122" s="177"/>
      <c r="AD122" s="177"/>
      <c r="AE122" s="177"/>
      <c r="AF122" s="177"/>
      <c r="AG122" s="177"/>
      <c r="AH122" s="177"/>
      <c r="AK122" s="1"/>
      <c r="AL122" s="1"/>
      <c r="AM122" s="1"/>
    </row>
    <row r="123" spans="4:39" ht="20.100000000000001" customHeight="1" x14ac:dyDescent="0.2">
      <c r="D123" s="177" t="s">
        <v>2048</v>
      </c>
      <c r="E123" s="177" t="s">
        <v>2065</v>
      </c>
      <c r="F123" s="177" t="s">
        <v>636</v>
      </c>
      <c r="G123" s="177">
        <v>1</v>
      </c>
      <c r="H123" s="177"/>
      <c r="I123" s="177"/>
      <c r="J123" s="177"/>
      <c r="K123" s="177">
        <v>32.5</v>
      </c>
      <c r="L123" s="177">
        <v>5.4</v>
      </c>
      <c r="M123" s="177">
        <v>6.25</v>
      </c>
      <c r="N123" s="177"/>
      <c r="O123" s="177" t="s">
        <v>1965</v>
      </c>
      <c r="P123" s="177">
        <v>0.6</v>
      </c>
      <c r="Q123" s="177" t="s">
        <v>1972</v>
      </c>
      <c r="R123" s="177">
        <v>4.9000000000000002E-2</v>
      </c>
      <c r="S123" s="177" t="s">
        <v>1979</v>
      </c>
      <c r="T123" s="177">
        <v>5.3999999999999999E-2</v>
      </c>
      <c r="U123" s="177" t="s">
        <v>1988</v>
      </c>
      <c r="V123" s="177">
        <v>0.125</v>
      </c>
      <c r="W123" s="177"/>
      <c r="X123" s="177"/>
      <c r="Y123" s="177"/>
      <c r="Z123" s="177"/>
      <c r="AA123" s="177"/>
      <c r="AB123" s="177"/>
      <c r="AC123" s="177"/>
      <c r="AD123" s="177"/>
      <c r="AE123" s="177"/>
      <c r="AF123" s="177"/>
      <c r="AG123" s="177"/>
      <c r="AH123" s="177"/>
      <c r="AK123" s="1"/>
      <c r="AL123" s="1"/>
      <c r="AM123" s="1"/>
    </row>
    <row r="124" spans="4:39" ht="20.100000000000001" customHeight="1" x14ac:dyDescent="0.2">
      <c r="D124" s="177" t="s">
        <v>2044</v>
      </c>
      <c r="E124" s="177" t="s">
        <v>2066</v>
      </c>
      <c r="F124" s="177" t="s">
        <v>636</v>
      </c>
      <c r="G124" s="177">
        <v>1</v>
      </c>
      <c r="H124" s="177" t="s">
        <v>360</v>
      </c>
      <c r="I124" s="177"/>
      <c r="J124" s="177"/>
      <c r="K124" s="177">
        <v>45.54</v>
      </c>
      <c r="L124" s="177"/>
      <c r="M124" s="177"/>
      <c r="N124" s="177"/>
      <c r="O124" s="177" t="s">
        <v>1965</v>
      </c>
      <c r="P124" s="177">
        <v>0.99</v>
      </c>
      <c r="Q124" s="177"/>
      <c r="R124" s="177"/>
      <c r="S124" s="177"/>
      <c r="T124" s="177"/>
      <c r="U124" s="177"/>
      <c r="V124" s="177"/>
      <c r="W124" s="177"/>
      <c r="X124" s="177"/>
      <c r="Y124" s="177"/>
      <c r="Z124" s="177"/>
      <c r="AA124" s="177"/>
      <c r="AB124" s="177"/>
      <c r="AC124" s="177"/>
      <c r="AD124" s="177"/>
      <c r="AE124" s="177"/>
      <c r="AF124" s="177"/>
      <c r="AG124" s="177"/>
      <c r="AH124" s="177"/>
      <c r="AK124" s="1"/>
      <c r="AL124" s="1"/>
      <c r="AM124" s="1"/>
    </row>
    <row r="125" spans="4:39" ht="20.100000000000001" customHeight="1" x14ac:dyDescent="0.2">
      <c r="D125" s="177" t="s">
        <v>2016</v>
      </c>
      <c r="E125" s="177" t="s">
        <v>2067</v>
      </c>
      <c r="F125" s="177" t="s">
        <v>636</v>
      </c>
      <c r="G125" s="177">
        <v>1</v>
      </c>
      <c r="H125" s="177"/>
      <c r="I125" s="177"/>
      <c r="J125" s="177"/>
      <c r="K125" s="177">
        <v>14.87</v>
      </c>
      <c r="L125" s="177">
        <v>2.2000000000000002</v>
      </c>
      <c r="M125" s="177">
        <v>16.600000000000001</v>
      </c>
      <c r="N125" s="177">
        <v>8</v>
      </c>
      <c r="O125" s="177" t="s">
        <v>1969</v>
      </c>
      <c r="P125" s="177">
        <v>0.44117600000000001</v>
      </c>
      <c r="Q125" s="177" t="s">
        <v>1982</v>
      </c>
      <c r="R125" s="177">
        <v>0.16600000000000001</v>
      </c>
      <c r="S125" s="177" t="s">
        <v>1984</v>
      </c>
      <c r="T125" s="177">
        <v>0.08</v>
      </c>
      <c r="U125" s="177" t="s">
        <v>1979</v>
      </c>
      <c r="V125" s="177">
        <v>2.1999999999999999E-2</v>
      </c>
      <c r="W125" s="177" t="s">
        <v>2029</v>
      </c>
      <c r="X125" s="177">
        <v>1.2E-2</v>
      </c>
      <c r="Y125" s="177" t="s">
        <v>2034</v>
      </c>
      <c r="Z125" s="177">
        <v>2.0000000000000001E-4</v>
      </c>
      <c r="AA125" s="177" t="s">
        <v>2030</v>
      </c>
      <c r="AB125" s="177">
        <v>1E-4</v>
      </c>
      <c r="AC125" s="177"/>
      <c r="AD125" s="177"/>
      <c r="AE125" s="177"/>
      <c r="AF125" s="177"/>
      <c r="AG125" s="177"/>
      <c r="AH125" s="177"/>
      <c r="AK125" s="1"/>
      <c r="AL125" s="1"/>
      <c r="AM125" s="1"/>
    </row>
    <row r="126" spans="4:39" ht="20.100000000000001" customHeight="1" x14ac:dyDescent="0.2">
      <c r="D126" s="177" t="s">
        <v>2040</v>
      </c>
      <c r="E126" s="177" t="s">
        <v>2068</v>
      </c>
      <c r="F126" s="177" t="s">
        <v>875</v>
      </c>
      <c r="G126" s="177">
        <v>1.2989999999999999</v>
      </c>
      <c r="H126" s="177"/>
      <c r="I126" s="177"/>
      <c r="J126" s="177"/>
      <c r="K126" s="177">
        <v>38</v>
      </c>
      <c r="L126" s="177"/>
      <c r="M126" s="177"/>
      <c r="N126" s="177">
        <v>2</v>
      </c>
      <c r="O126" s="177" t="s">
        <v>1965</v>
      </c>
      <c r="P126" s="177">
        <v>0.46087</v>
      </c>
      <c r="Q126" s="177" t="s">
        <v>1972</v>
      </c>
      <c r="R126" s="177">
        <v>9.1999999999999998E-2</v>
      </c>
      <c r="S126" s="177" t="s">
        <v>1974</v>
      </c>
      <c r="T126" s="177">
        <v>7.5999999999999998E-2</v>
      </c>
      <c r="U126" s="177" t="s">
        <v>1984</v>
      </c>
      <c r="V126" s="177">
        <v>0.02</v>
      </c>
      <c r="W126" s="177"/>
      <c r="X126" s="177"/>
      <c r="Y126" s="177"/>
      <c r="Z126" s="177"/>
      <c r="AA126" s="177"/>
      <c r="AB126" s="177"/>
      <c r="AC126" s="177"/>
      <c r="AD126" s="177"/>
      <c r="AE126" s="177"/>
      <c r="AF126" s="177"/>
      <c r="AG126" s="177"/>
      <c r="AH126" s="177"/>
      <c r="AK126" s="1"/>
      <c r="AL126" s="1"/>
      <c r="AM126" s="1"/>
    </row>
    <row r="127" spans="4:39" ht="20.100000000000001" customHeight="1" x14ac:dyDescent="0.2">
      <c r="D127" s="177" t="s">
        <v>2046</v>
      </c>
      <c r="E127" s="177" t="s">
        <v>2069</v>
      </c>
      <c r="F127" s="177" t="s">
        <v>636</v>
      </c>
      <c r="G127" s="177">
        <v>1</v>
      </c>
      <c r="H127" s="177"/>
      <c r="I127" s="177"/>
      <c r="J127" s="177"/>
      <c r="K127" s="177"/>
      <c r="L127" s="177">
        <v>8.8000000000000007</v>
      </c>
      <c r="M127" s="177"/>
      <c r="N127" s="177">
        <v>11</v>
      </c>
      <c r="O127" s="177" t="s">
        <v>1990</v>
      </c>
      <c r="P127" s="177">
        <v>1</v>
      </c>
      <c r="Q127" s="177"/>
      <c r="R127" s="177"/>
      <c r="S127" s="177"/>
      <c r="T127" s="177"/>
      <c r="U127" s="177"/>
      <c r="V127" s="177"/>
      <c r="W127" s="177"/>
      <c r="X127" s="177"/>
      <c r="Y127" s="177"/>
      <c r="Z127" s="177"/>
      <c r="AA127" s="177"/>
      <c r="AB127" s="177"/>
      <c r="AC127" s="177"/>
      <c r="AD127" s="177"/>
      <c r="AE127" s="177"/>
      <c r="AF127" s="177"/>
      <c r="AG127" s="177"/>
      <c r="AH127" s="177"/>
      <c r="AK127" s="1"/>
      <c r="AL127" s="1"/>
      <c r="AM127" s="1"/>
    </row>
    <row r="128" spans="4:39" ht="20.100000000000001" customHeight="1" x14ac:dyDescent="0.2">
      <c r="D128" s="177" t="s">
        <v>2058</v>
      </c>
      <c r="E128" s="177" t="s">
        <v>2070</v>
      </c>
      <c r="F128" s="177" t="s">
        <v>875</v>
      </c>
      <c r="G128" s="177">
        <v>1.2</v>
      </c>
      <c r="H128" s="177"/>
      <c r="I128" s="177"/>
      <c r="J128" s="177"/>
      <c r="K128" s="177">
        <v>10</v>
      </c>
      <c r="L128" s="177">
        <v>1</v>
      </c>
      <c r="M128" s="177">
        <v>11</v>
      </c>
      <c r="N128" s="177"/>
      <c r="O128" s="177" t="s">
        <v>1982</v>
      </c>
      <c r="P128" s="177">
        <v>0.11</v>
      </c>
      <c r="Q128" s="177" t="s">
        <v>1977</v>
      </c>
      <c r="R128" s="177">
        <v>0.1</v>
      </c>
      <c r="S128" s="177" t="s">
        <v>1979</v>
      </c>
      <c r="T128" s="177">
        <v>0.01</v>
      </c>
      <c r="U128" s="177"/>
      <c r="V128" s="177"/>
      <c r="W128" s="177"/>
      <c r="X128" s="177"/>
      <c r="Y128" s="177"/>
      <c r="Z128" s="177"/>
      <c r="AA128" s="177"/>
      <c r="AB128" s="177"/>
      <c r="AC128" s="177"/>
      <c r="AD128" s="177"/>
      <c r="AE128" s="177"/>
      <c r="AF128" s="177"/>
      <c r="AG128" s="177"/>
      <c r="AH128" s="177"/>
      <c r="AK128" s="1"/>
      <c r="AL128" s="1"/>
      <c r="AM128" s="1"/>
    </row>
    <row r="129" spans="4:39" ht="20.100000000000001" customHeight="1" x14ac:dyDescent="0.2">
      <c r="D129" s="177" t="s">
        <v>2058</v>
      </c>
      <c r="E129" s="177" t="s">
        <v>2071</v>
      </c>
      <c r="F129" s="177" t="s">
        <v>875</v>
      </c>
      <c r="G129" s="177">
        <v>1.3</v>
      </c>
      <c r="H129" s="177"/>
      <c r="I129" s="177"/>
      <c r="J129" s="177"/>
      <c r="K129" s="177">
        <v>3</v>
      </c>
      <c r="L129" s="177"/>
      <c r="M129" s="177">
        <v>22</v>
      </c>
      <c r="N129" s="177"/>
      <c r="O129" s="177" t="s">
        <v>1982</v>
      </c>
      <c r="P129" s="177">
        <v>0.22</v>
      </c>
      <c r="Q129" s="177" t="s">
        <v>1977</v>
      </c>
      <c r="R129" s="177">
        <v>0.03</v>
      </c>
      <c r="S129" s="177"/>
      <c r="T129" s="177"/>
      <c r="U129" s="177"/>
      <c r="V129" s="177"/>
      <c r="W129" s="177"/>
      <c r="X129" s="177"/>
      <c r="Y129" s="177"/>
      <c r="Z129" s="177"/>
      <c r="AA129" s="177"/>
      <c r="AB129" s="177"/>
      <c r="AC129" s="177"/>
      <c r="AD129" s="177"/>
      <c r="AE129" s="177"/>
      <c r="AF129" s="177"/>
      <c r="AG129" s="177"/>
      <c r="AH129" s="177"/>
      <c r="AK129" s="1"/>
      <c r="AL129" s="1"/>
      <c r="AM129" s="1"/>
    </row>
    <row r="130" spans="4:39" ht="20.100000000000001" customHeight="1" x14ac:dyDescent="0.2">
      <c r="D130" s="177" t="s">
        <v>2072</v>
      </c>
      <c r="E130" s="177" t="s">
        <v>2073</v>
      </c>
      <c r="F130" s="177" t="s">
        <v>875</v>
      </c>
      <c r="G130" s="177">
        <v>1.1850000000000001</v>
      </c>
      <c r="H130" s="177"/>
      <c r="I130" s="177"/>
      <c r="J130" s="177"/>
      <c r="K130" s="177">
        <v>23.8</v>
      </c>
      <c r="L130" s="177"/>
      <c r="M130" s="177"/>
      <c r="N130" s="177"/>
      <c r="O130" s="177" t="s">
        <v>1965</v>
      </c>
      <c r="P130" s="177">
        <v>0.51739100000000005</v>
      </c>
      <c r="Q130" s="177"/>
      <c r="R130" s="177"/>
      <c r="S130" s="177"/>
      <c r="T130" s="177"/>
      <c r="U130" s="177"/>
      <c r="V130" s="177"/>
      <c r="W130" s="177"/>
      <c r="X130" s="177"/>
      <c r="Y130" s="177"/>
      <c r="Z130" s="177"/>
      <c r="AA130" s="177"/>
      <c r="AB130" s="177"/>
      <c r="AC130" s="177"/>
      <c r="AD130" s="177"/>
      <c r="AE130" s="177"/>
      <c r="AF130" s="177"/>
      <c r="AG130" s="177"/>
      <c r="AH130" s="177"/>
      <c r="AK130" s="1"/>
      <c r="AL130" s="1"/>
      <c r="AM130" s="1"/>
    </row>
    <row r="131" spans="4:39" ht="20.100000000000001" customHeight="1" x14ac:dyDescent="0.2">
      <c r="D131" s="177" t="s">
        <v>2040</v>
      </c>
      <c r="E131" s="177" t="s">
        <v>2074</v>
      </c>
      <c r="F131" s="177" t="s">
        <v>875</v>
      </c>
      <c r="G131" s="177">
        <v>1.2549999999999999</v>
      </c>
      <c r="H131" s="177"/>
      <c r="I131" s="177"/>
      <c r="J131" s="177"/>
      <c r="K131" s="177"/>
      <c r="L131" s="177"/>
      <c r="M131" s="177">
        <v>0.1</v>
      </c>
      <c r="N131" s="177">
        <v>4.4000000000000004</v>
      </c>
      <c r="O131" s="177" t="s">
        <v>1984</v>
      </c>
      <c r="P131" s="177">
        <v>4.3999999999999997E-2</v>
      </c>
      <c r="Q131" s="177" t="s">
        <v>2030</v>
      </c>
      <c r="R131" s="177">
        <v>2.1999999999999999E-2</v>
      </c>
      <c r="S131" s="177" t="s">
        <v>2032</v>
      </c>
      <c r="T131" s="177">
        <v>2.1999999999999999E-2</v>
      </c>
      <c r="U131" s="177" t="s">
        <v>2031</v>
      </c>
      <c r="V131" s="177">
        <v>1.6E-2</v>
      </c>
      <c r="W131" s="177" t="s">
        <v>2034</v>
      </c>
      <c r="X131" s="177">
        <v>8.0000000000000002E-3</v>
      </c>
      <c r="Y131" s="177" t="s">
        <v>2029</v>
      </c>
      <c r="Z131" s="177">
        <v>7.0000000000000001E-3</v>
      </c>
      <c r="AA131" s="177" t="s">
        <v>2075</v>
      </c>
      <c r="AB131" s="177">
        <v>5.0000000000000001E-3</v>
      </c>
      <c r="AC131" s="177" t="s">
        <v>2033</v>
      </c>
      <c r="AD131" s="177">
        <v>3.0000000000000001E-3</v>
      </c>
      <c r="AE131" s="177" t="s">
        <v>1982</v>
      </c>
      <c r="AF131" s="177">
        <v>1E-3</v>
      </c>
      <c r="AG131" s="177" t="s">
        <v>2076</v>
      </c>
      <c r="AH131" s="177">
        <v>2.9999999999999997E-4</v>
      </c>
      <c r="AK131" s="1"/>
      <c r="AL131" s="1"/>
      <c r="AM131" s="1"/>
    </row>
    <row r="132" spans="4:39" ht="20.100000000000001" customHeight="1" x14ac:dyDescent="0.2">
      <c r="D132" s="177" t="s">
        <v>2058</v>
      </c>
      <c r="E132" s="177" t="s">
        <v>2077</v>
      </c>
      <c r="F132" s="177" t="s">
        <v>875</v>
      </c>
      <c r="G132" s="177">
        <v>1.23</v>
      </c>
      <c r="H132" s="177"/>
      <c r="I132" s="177"/>
      <c r="J132" s="177"/>
      <c r="K132" s="177">
        <v>9.7100000000000009</v>
      </c>
      <c r="L132" s="177"/>
      <c r="M132" s="177">
        <v>3.25</v>
      </c>
      <c r="N132" s="177">
        <v>2.11</v>
      </c>
      <c r="O132" s="177" t="s">
        <v>1977</v>
      </c>
      <c r="P132" s="177">
        <v>9.7100000000000006E-2</v>
      </c>
      <c r="Q132" s="177" t="s">
        <v>1982</v>
      </c>
      <c r="R132" s="177">
        <v>3.2500000000000001E-2</v>
      </c>
      <c r="S132" s="177" t="s">
        <v>1984</v>
      </c>
      <c r="T132" s="177">
        <v>2.1100000000000001E-2</v>
      </c>
      <c r="U132" s="177" t="s">
        <v>2030</v>
      </c>
      <c r="V132" s="177">
        <v>1.4999999999999999E-2</v>
      </c>
      <c r="W132" s="177" t="s">
        <v>2032</v>
      </c>
      <c r="X132" s="177">
        <v>1.11E-2</v>
      </c>
      <c r="Y132" s="177" t="s">
        <v>2031</v>
      </c>
      <c r="Z132" s="177">
        <v>1.15E-2</v>
      </c>
      <c r="AA132" s="177" t="s">
        <v>2029</v>
      </c>
      <c r="AB132" s="177">
        <v>4.4999999999999997E-3</v>
      </c>
      <c r="AC132" s="177" t="s">
        <v>2034</v>
      </c>
      <c r="AD132" s="177">
        <v>2E-3</v>
      </c>
      <c r="AE132" s="177"/>
      <c r="AF132" s="177"/>
      <c r="AG132" s="177"/>
      <c r="AH132" s="177"/>
      <c r="AK132" s="1"/>
      <c r="AL132" s="1"/>
      <c r="AM132" s="1"/>
    </row>
    <row r="133" spans="4:39" ht="20.100000000000001" customHeight="1" x14ac:dyDescent="0.2">
      <c r="D133" s="177" t="s">
        <v>2016</v>
      </c>
      <c r="E133" s="177" t="s">
        <v>2078</v>
      </c>
      <c r="F133" s="177" t="s">
        <v>636</v>
      </c>
      <c r="G133" s="177">
        <v>1</v>
      </c>
      <c r="H133" s="177"/>
      <c r="I133" s="177"/>
      <c r="J133" s="177"/>
      <c r="K133" s="177">
        <v>10</v>
      </c>
      <c r="L133" s="177">
        <v>10.9</v>
      </c>
      <c r="M133" s="177">
        <v>10</v>
      </c>
      <c r="N133" s="177">
        <v>4.34</v>
      </c>
      <c r="O133" s="177" t="s">
        <v>1962</v>
      </c>
      <c r="P133" s="177">
        <v>0.4178</v>
      </c>
      <c r="Q133" s="177" t="s">
        <v>1969</v>
      </c>
      <c r="R133" s="177">
        <v>0.17280000000000001</v>
      </c>
      <c r="S133" s="177" t="s">
        <v>2079</v>
      </c>
      <c r="T133" s="177">
        <v>0.24096400000000001</v>
      </c>
      <c r="U133" s="177" t="s">
        <v>1989</v>
      </c>
      <c r="V133" s="177">
        <v>0.1</v>
      </c>
      <c r="W133" s="177" t="s">
        <v>2029</v>
      </c>
      <c r="X133" s="177">
        <v>1.2E-2</v>
      </c>
      <c r="Y133" s="177" t="s">
        <v>2030</v>
      </c>
      <c r="Z133" s="177">
        <v>3.5999999999999999E-3</v>
      </c>
      <c r="AA133" s="177" t="s">
        <v>2034</v>
      </c>
      <c r="AB133" s="177">
        <v>1E-3</v>
      </c>
      <c r="AC133" s="177" t="s">
        <v>2080</v>
      </c>
      <c r="AD133" s="177">
        <v>5.1900000000000002E-2</v>
      </c>
      <c r="AE133" s="177"/>
      <c r="AF133" s="177"/>
      <c r="AG133" s="177"/>
      <c r="AH133" s="177"/>
      <c r="AK133" s="1"/>
      <c r="AL133" s="1"/>
      <c r="AM133" s="1"/>
    </row>
    <row r="134" spans="4:39" ht="20.100000000000001" customHeight="1" x14ac:dyDescent="0.2">
      <c r="D134" s="177" t="s">
        <v>2046</v>
      </c>
      <c r="E134" s="177" t="s">
        <v>1967</v>
      </c>
      <c r="F134" s="177" t="s">
        <v>636</v>
      </c>
      <c r="G134" s="177">
        <v>1</v>
      </c>
      <c r="H134" s="177"/>
      <c r="I134" s="177"/>
      <c r="J134" s="177"/>
      <c r="K134" s="177">
        <v>21</v>
      </c>
      <c r="L134" s="177"/>
      <c r="M134" s="177"/>
      <c r="N134" s="177">
        <v>24</v>
      </c>
      <c r="O134" s="177" t="s">
        <v>1967</v>
      </c>
      <c r="P134" s="177">
        <v>1</v>
      </c>
      <c r="Q134" s="177"/>
      <c r="R134" s="177"/>
      <c r="S134" s="177"/>
      <c r="T134" s="177"/>
      <c r="U134" s="177"/>
      <c r="V134" s="177"/>
      <c r="W134" s="177"/>
      <c r="X134" s="177"/>
      <c r="Y134" s="177"/>
      <c r="Z134" s="177"/>
      <c r="AA134" s="177"/>
      <c r="AB134" s="177"/>
      <c r="AC134" s="177"/>
      <c r="AD134" s="177"/>
      <c r="AE134" s="177"/>
      <c r="AF134" s="177"/>
      <c r="AG134" s="177"/>
      <c r="AH134" s="177"/>
      <c r="AK134" s="1"/>
      <c r="AL134" s="1"/>
      <c r="AM134" s="1"/>
    </row>
    <row r="135" spans="4:39" ht="20.100000000000001" customHeight="1" x14ac:dyDescent="0.2">
      <c r="D135" s="177" t="s">
        <v>2046</v>
      </c>
      <c r="E135" s="177" t="s">
        <v>2081</v>
      </c>
      <c r="F135" s="177" t="s">
        <v>636</v>
      </c>
      <c r="G135" s="177">
        <v>1</v>
      </c>
      <c r="H135" s="177"/>
      <c r="I135" s="177"/>
      <c r="J135" s="177"/>
      <c r="K135" s="177">
        <v>10</v>
      </c>
      <c r="L135" s="177">
        <v>21.9</v>
      </c>
      <c r="M135" s="177"/>
      <c r="N135" s="177">
        <v>1.5</v>
      </c>
      <c r="O135" s="177" t="s">
        <v>1962</v>
      </c>
      <c r="P135" s="177">
        <v>1</v>
      </c>
      <c r="Q135" s="177"/>
      <c r="R135" s="177"/>
      <c r="S135" s="177"/>
      <c r="T135" s="177"/>
      <c r="U135" s="177"/>
      <c r="V135" s="177"/>
      <c r="W135" s="177"/>
      <c r="X135" s="177"/>
      <c r="Y135" s="177"/>
      <c r="Z135" s="177"/>
      <c r="AA135" s="177"/>
      <c r="AB135" s="177"/>
      <c r="AC135" s="177"/>
      <c r="AD135" s="177"/>
      <c r="AE135" s="177"/>
      <c r="AF135" s="177"/>
      <c r="AG135" s="177"/>
      <c r="AH135" s="177"/>
      <c r="AK135" s="1"/>
      <c r="AL135" s="1"/>
      <c r="AM135" s="1"/>
    </row>
    <row r="136" spans="4:39" ht="20.100000000000001" customHeight="1" x14ac:dyDescent="0.2">
      <c r="D136" s="177" t="s">
        <v>2046</v>
      </c>
      <c r="E136" s="177" t="s">
        <v>1965</v>
      </c>
      <c r="F136" s="177" t="s">
        <v>636</v>
      </c>
      <c r="G136" s="177">
        <v>1</v>
      </c>
      <c r="H136" s="177"/>
      <c r="I136" s="177"/>
      <c r="J136" s="177"/>
      <c r="K136" s="177">
        <v>46</v>
      </c>
      <c r="L136" s="177"/>
      <c r="M136" s="177"/>
      <c r="N136" s="177"/>
      <c r="O136" s="177" t="s">
        <v>1965</v>
      </c>
      <c r="P136" s="177">
        <v>1</v>
      </c>
      <c r="Q136" s="177"/>
      <c r="R136" s="177"/>
      <c r="S136" s="177"/>
      <c r="T136" s="177"/>
      <c r="U136" s="177"/>
      <c r="V136" s="177"/>
      <c r="W136" s="177"/>
      <c r="X136" s="177"/>
      <c r="Y136" s="177"/>
      <c r="Z136" s="177"/>
      <c r="AA136" s="177"/>
      <c r="AB136" s="177"/>
      <c r="AC136" s="177"/>
      <c r="AD136" s="177"/>
      <c r="AE136" s="177"/>
      <c r="AF136" s="177"/>
      <c r="AG136" s="177"/>
      <c r="AH136" s="177"/>
      <c r="AK136" s="1"/>
      <c r="AL136" s="1"/>
      <c r="AM136" s="1"/>
    </row>
    <row r="137" spans="4:39" ht="20.100000000000001" customHeight="1" x14ac:dyDescent="0.2">
      <c r="D137" s="177" t="s">
        <v>2082</v>
      </c>
      <c r="E137" s="177" t="s">
        <v>1988</v>
      </c>
      <c r="F137" s="177" t="s">
        <v>636</v>
      </c>
      <c r="G137" s="177">
        <v>1</v>
      </c>
      <c r="H137" s="177"/>
      <c r="I137" s="177"/>
      <c r="J137" s="177"/>
      <c r="K137" s="177"/>
      <c r="L137" s="177"/>
      <c r="M137" s="177">
        <v>50</v>
      </c>
      <c r="N137" s="177"/>
      <c r="O137" s="177" t="s">
        <v>1988</v>
      </c>
      <c r="P137" s="177">
        <v>1</v>
      </c>
      <c r="Q137" s="177"/>
      <c r="R137" s="177"/>
      <c r="S137" s="177"/>
      <c r="T137" s="177"/>
      <c r="U137" s="177"/>
      <c r="V137" s="177"/>
      <c r="W137" s="177"/>
      <c r="X137" s="177"/>
      <c r="Y137" s="177"/>
      <c r="Z137" s="177"/>
      <c r="AA137" s="177"/>
      <c r="AB137" s="177"/>
      <c r="AC137" s="177"/>
      <c r="AD137" s="177"/>
      <c r="AE137" s="177"/>
      <c r="AF137" s="177"/>
      <c r="AG137" s="177"/>
      <c r="AH137" s="177"/>
      <c r="AK137" s="1"/>
      <c r="AL137" s="1"/>
      <c r="AM137" s="1"/>
    </row>
    <row r="138" spans="4:39" ht="20.100000000000001" customHeight="1" x14ac:dyDescent="0.2">
      <c r="D138" s="177" t="s">
        <v>2042</v>
      </c>
      <c r="E138" s="177" t="s">
        <v>2083</v>
      </c>
      <c r="F138" s="177" t="s">
        <v>875</v>
      </c>
      <c r="G138" s="177">
        <v>1.32</v>
      </c>
      <c r="H138" s="177"/>
      <c r="I138" s="177" t="s">
        <v>1997</v>
      </c>
      <c r="J138" s="177" t="s">
        <v>1997</v>
      </c>
      <c r="K138" s="177">
        <v>32</v>
      </c>
      <c r="L138" s="177"/>
      <c r="M138" s="177"/>
      <c r="N138" s="177"/>
      <c r="O138" s="177" t="s">
        <v>1968</v>
      </c>
      <c r="P138" s="177">
        <v>1</v>
      </c>
      <c r="Q138" s="177"/>
      <c r="R138" s="177"/>
      <c r="S138" s="177"/>
      <c r="T138" s="177"/>
      <c r="U138" s="177"/>
      <c r="V138" s="177"/>
      <c r="W138" s="177"/>
      <c r="X138" s="177"/>
      <c r="Y138" s="177"/>
      <c r="Z138" s="177"/>
      <c r="AA138" s="177"/>
      <c r="AB138" s="177"/>
      <c r="AC138" s="177"/>
      <c r="AD138" s="177"/>
      <c r="AE138" s="177"/>
      <c r="AF138" s="177"/>
      <c r="AG138" s="177"/>
      <c r="AH138" s="177"/>
      <c r="AK138" s="1"/>
      <c r="AL138" s="1"/>
      <c r="AM138" s="1"/>
    </row>
    <row r="139" spans="4:39" ht="20.100000000000001" customHeight="1" x14ac:dyDescent="0.2">
      <c r="D139" s="177" t="s">
        <v>2042</v>
      </c>
      <c r="E139" s="177" t="s">
        <v>2084</v>
      </c>
      <c r="F139" s="177" t="s">
        <v>636</v>
      </c>
      <c r="G139" s="177">
        <v>1</v>
      </c>
      <c r="H139" s="177"/>
      <c r="I139" s="177" t="s">
        <v>1997</v>
      </c>
      <c r="J139" s="177"/>
      <c r="K139" s="177">
        <v>46</v>
      </c>
      <c r="L139" s="177"/>
      <c r="M139" s="177"/>
      <c r="N139" s="177"/>
      <c r="O139" s="177" t="s">
        <v>1965</v>
      </c>
      <c r="P139" s="177">
        <v>1</v>
      </c>
      <c r="Q139" s="177" t="s">
        <v>2085</v>
      </c>
      <c r="R139" s="177">
        <v>0</v>
      </c>
      <c r="S139" s="177"/>
      <c r="T139" s="177"/>
      <c r="U139" s="177"/>
      <c r="V139" s="177"/>
      <c r="W139" s="177"/>
      <c r="X139" s="177"/>
      <c r="Y139" s="177"/>
      <c r="Z139" s="177"/>
      <c r="AA139" s="177"/>
      <c r="AB139" s="177"/>
      <c r="AC139" s="177"/>
      <c r="AD139" s="177"/>
      <c r="AE139" s="177"/>
      <c r="AF139" s="177"/>
      <c r="AG139" s="177"/>
      <c r="AH139" s="177"/>
      <c r="AK139" s="1"/>
      <c r="AL139" s="1"/>
      <c r="AM139" s="1"/>
    </row>
    <row r="140" spans="4:39" ht="20.100000000000001" customHeight="1" x14ac:dyDescent="0.2">
      <c r="D140" s="177" t="s">
        <v>2086</v>
      </c>
      <c r="E140" s="177" t="s">
        <v>2087</v>
      </c>
      <c r="F140" s="177" t="s">
        <v>636</v>
      </c>
      <c r="G140" s="177">
        <v>1</v>
      </c>
      <c r="H140" s="177"/>
      <c r="I140" s="177"/>
      <c r="J140" s="177"/>
      <c r="K140" s="177">
        <v>15.5</v>
      </c>
      <c r="L140" s="177"/>
      <c r="M140" s="177"/>
      <c r="N140" s="177"/>
      <c r="O140" s="177" t="s">
        <v>1992</v>
      </c>
      <c r="P140" s="177">
        <v>1</v>
      </c>
      <c r="Q140" s="177"/>
      <c r="R140" s="177"/>
      <c r="S140" s="177"/>
      <c r="T140" s="177"/>
      <c r="U140" s="177"/>
      <c r="V140" s="177"/>
      <c r="W140" s="177"/>
      <c r="X140" s="177"/>
      <c r="Y140" s="177"/>
      <c r="Z140" s="177"/>
      <c r="AA140" s="177"/>
      <c r="AB140" s="177"/>
      <c r="AC140" s="177"/>
      <c r="AD140" s="177"/>
      <c r="AE140" s="177"/>
      <c r="AF140" s="177"/>
      <c r="AG140" s="177"/>
      <c r="AH140" s="177"/>
      <c r="AK140" s="1"/>
      <c r="AL140" s="1"/>
      <c r="AM140" s="1"/>
    </row>
    <row r="141" spans="4:39" ht="20.100000000000001" customHeight="1" x14ac:dyDescent="0.2">
      <c r="D141" s="177" t="s">
        <v>2086</v>
      </c>
      <c r="E141" s="177" t="s">
        <v>2088</v>
      </c>
      <c r="F141" s="177" t="s">
        <v>636</v>
      </c>
      <c r="G141" s="177">
        <v>1</v>
      </c>
      <c r="H141" s="177"/>
      <c r="I141" s="177"/>
      <c r="J141" s="177"/>
      <c r="K141" s="177">
        <v>15.4</v>
      </c>
      <c r="L141" s="177"/>
      <c r="M141" s="177"/>
      <c r="N141" s="177"/>
      <c r="O141" s="177" t="s">
        <v>1992</v>
      </c>
      <c r="P141" s="177">
        <v>0.99354799999999999</v>
      </c>
      <c r="Q141" s="177" t="s">
        <v>2034</v>
      </c>
      <c r="R141" s="177">
        <v>3.0000000000000001E-3</v>
      </c>
      <c r="S141" s="177"/>
      <c r="T141" s="177"/>
      <c r="U141" s="177"/>
      <c r="V141" s="177"/>
      <c r="W141" s="177"/>
      <c r="X141" s="177"/>
      <c r="Y141" s="177"/>
      <c r="Z141" s="177"/>
      <c r="AA141" s="177"/>
      <c r="AB141" s="177"/>
      <c r="AC141" s="177"/>
      <c r="AD141" s="177"/>
      <c r="AE141" s="177"/>
      <c r="AF141" s="177"/>
      <c r="AG141" s="177"/>
      <c r="AH141" s="177"/>
      <c r="AK141" s="1"/>
      <c r="AL141" s="1"/>
      <c r="AM141" s="1"/>
    </row>
    <row r="142" spans="4:39" ht="20.100000000000001" customHeight="1" x14ac:dyDescent="0.2">
      <c r="D142" s="177" t="s">
        <v>2086</v>
      </c>
      <c r="E142" s="177" t="s">
        <v>2089</v>
      </c>
      <c r="F142" s="177" t="s">
        <v>636</v>
      </c>
      <c r="G142" s="177">
        <v>1</v>
      </c>
      <c r="H142" s="177"/>
      <c r="I142" s="177"/>
      <c r="J142" s="177"/>
      <c r="K142" s="177">
        <v>12</v>
      </c>
      <c r="L142" s="177">
        <v>5</v>
      </c>
      <c r="M142" s="177">
        <v>15</v>
      </c>
      <c r="N142" s="177">
        <v>8</v>
      </c>
      <c r="O142" s="177" t="s">
        <v>1974</v>
      </c>
      <c r="P142" s="177">
        <v>0.05</v>
      </c>
      <c r="Q142" s="177" t="s">
        <v>1972</v>
      </c>
      <c r="R142" s="177">
        <v>7.0000000000000007E-2</v>
      </c>
      <c r="S142" s="177" t="s">
        <v>1979</v>
      </c>
      <c r="T142" s="177">
        <v>0.05</v>
      </c>
      <c r="U142" s="177" t="s">
        <v>1982</v>
      </c>
      <c r="V142" s="177">
        <v>0.15</v>
      </c>
      <c r="W142" s="177" t="s">
        <v>1984</v>
      </c>
      <c r="X142" s="177">
        <v>0.08</v>
      </c>
      <c r="Y142" s="177" t="s">
        <v>2029</v>
      </c>
      <c r="Z142" s="177">
        <v>1.6E-2</v>
      </c>
      <c r="AA142" s="177" t="s">
        <v>2030</v>
      </c>
      <c r="AB142" s="177">
        <v>2.0000000000000001E-4</v>
      </c>
      <c r="AC142" s="177" t="s">
        <v>2034</v>
      </c>
      <c r="AD142" s="177">
        <v>1.4999999999999999E-4</v>
      </c>
      <c r="AE142" s="177"/>
      <c r="AF142" s="177"/>
      <c r="AG142" s="177"/>
      <c r="AH142" s="177"/>
      <c r="AK142" s="1"/>
      <c r="AL142" s="1"/>
      <c r="AM142" s="1"/>
    </row>
    <row r="143" spans="4:39" ht="20.100000000000001" customHeight="1" x14ac:dyDescent="0.2">
      <c r="D143" s="177" t="s">
        <v>2086</v>
      </c>
      <c r="E143" s="177" t="s">
        <v>2090</v>
      </c>
      <c r="F143" s="177" t="s">
        <v>636</v>
      </c>
      <c r="G143" s="177">
        <v>1</v>
      </c>
      <c r="H143" s="177"/>
      <c r="I143" s="177"/>
      <c r="J143" s="177"/>
      <c r="K143" s="177">
        <v>9</v>
      </c>
      <c r="L143" s="177"/>
      <c r="M143" s="177">
        <v>30</v>
      </c>
      <c r="N143" s="177">
        <v>14</v>
      </c>
      <c r="O143" s="177" t="s">
        <v>1982</v>
      </c>
      <c r="P143" s="177">
        <v>0.3</v>
      </c>
      <c r="Q143" s="177" t="s">
        <v>1984</v>
      </c>
      <c r="R143" s="177">
        <v>0.14000000000000001</v>
      </c>
      <c r="S143" s="177" t="s">
        <v>1974</v>
      </c>
      <c r="T143" s="177">
        <v>4.4999999999999998E-2</v>
      </c>
      <c r="U143" s="177" t="s">
        <v>1972</v>
      </c>
      <c r="V143" s="177">
        <v>4.4999999999999998E-2</v>
      </c>
      <c r="W143" s="177"/>
      <c r="X143" s="177"/>
      <c r="Y143" s="177"/>
      <c r="Z143" s="177"/>
      <c r="AA143" s="177"/>
      <c r="AB143" s="177"/>
      <c r="AC143" s="177"/>
      <c r="AD143" s="177"/>
      <c r="AE143" s="177"/>
      <c r="AF143" s="177"/>
      <c r="AG143" s="177"/>
      <c r="AH143" s="177"/>
      <c r="AK143" s="1"/>
      <c r="AL143" s="1"/>
      <c r="AM143" s="1"/>
    </row>
    <row r="144" spans="4:39" ht="20.100000000000001" customHeight="1" x14ac:dyDescent="0.2">
      <c r="D144" s="177" t="s">
        <v>2086</v>
      </c>
      <c r="E144" s="177" t="s">
        <v>2091</v>
      </c>
      <c r="F144" s="177" t="s">
        <v>636</v>
      </c>
      <c r="G144" s="177">
        <v>1</v>
      </c>
      <c r="H144" s="177"/>
      <c r="I144" s="177"/>
      <c r="J144" s="177"/>
      <c r="K144" s="177">
        <v>13</v>
      </c>
      <c r="L144" s="177">
        <v>1.75</v>
      </c>
      <c r="M144" s="177">
        <v>21</v>
      </c>
      <c r="N144" s="177">
        <v>10.8</v>
      </c>
      <c r="O144" s="177" t="s">
        <v>1982</v>
      </c>
      <c r="P144" s="177">
        <v>0.21</v>
      </c>
      <c r="Q144" s="177" t="s">
        <v>1984</v>
      </c>
      <c r="R144" s="177">
        <v>0.108</v>
      </c>
      <c r="S144" s="177" t="s">
        <v>1972</v>
      </c>
      <c r="T144" s="177">
        <v>7.6999999999999999E-2</v>
      </c>
      <c r="U144" s="177" t="s">
        <v>1974</v>
      </c>
      <c r="V144" s="177">
        <v>5.2999999999999999E-2</v>
      </c>
      <c r="W144" s="177" t="s">
        <v>1979</v>
      </c>
      <c r="X144" s="177">
        <v>1.7500000000000002E-2</v>
      </c>
      <c r="Y144" s="177" t="s">
        <v>2029</v>
      </c>
      <c r="Z144" s="177">
        <v>4.0000000000000001E-3</v>
      </c>
      <c r="AA144" s="177" t="s">
        <v>2030</v>
      </c>
      <c r="AB144" s="177">
        <v>8.0000000000000004E-4</v>
      </c>
      <c r="AC144" s="177" t="s">
        <v>2034</v>
      </c>
      <c r="AD144" s="177">
        <v>8.0000000000000004E-4</v>
      </c>
      <c r="AE144" s="177"/>
      <c r="AF144" s="177"/>
      <c r="AG144" s="177"/>
      <c r="AH144" s="177"/>
      <c r="AK144" s="1"/>
      <c r="AL144" s="1"/>
      <c r="AM144" s="1"/>
    </row>
    <row r="145" spans="4:39" ht="20.100000000000001" customHeight="1" x14ac:dyDescent="0.2">
      <c r="D145" s="177" t="s">
        <v>2086</v>
      </c>
      <c r="E145" s="177" t="s">
        <v>2092</v>
      </c>
      <c r="F145" s="177" t="s">
        <v>636</v>
      </c>
      <c r="G145" s="177">
        <v>1</v>
      </c>
      <c r="H145" s="177"/>
      <c r="I145" s="177"/>
      <c r="J145" s="177"/>
      <c r="K145" s="177">
        <v>15</v>
      </c>
      <c r="L145" s="177">
        <v>6.5</v>
      </c>
      <c r="M145" s="177">
        <v>12.5</v>
      </c>
      <c r="N145" s="177">
        <v>7.2</v>
      </c>
      <c r="O145" s="177" t="s">
        <v>1974</v>
      </c>
      <c r="P145" s="177">
        <v>9.5000000000000001E-2</v>
      </c>
      <c r="Q145" s="177" t="s">
        <v>1982</v>
      </c>
      <c r="R145" s="177">
        <v>0.125</v>
      </c>
      <c r="S145" s="177" t="s">
        <v>1984</v>
      </c>
      <c r="T145" s="177">
        <v>7.1999999999999995E-2</v>
      </c>
      <c r="U145" s="177" t="s">
        <v>1979</v>
      </c>
      <c r="V145" s="177">
        <v>6.5000000000000002E-2</v>
      </c>
      <c r="W145" s="177" t="s">
        <v>1972</v>
      </c>
      <c r="X145" s="177">
        <v>5.5E-2</v>
      </c>
      <c r="Y145" s="177" t="s">
        <v>2029</v>
      </c>
      <c r="Z145" s="177">
        <v>6.6E-3</v>
      </c>
      <c r="AA145" s="177" t="s">
        <v>2034</v>
      </c>
      <c r="AB145" s="177">
        <v>1E-3</v>
      </c>
      <c r="AC145" s="177" t="s">
        <v>2030</v>
      </c>
      <c r="AD145" s="177">
        <v>5.9999999999999995E-4</v>
      </c>
      <c r="AE145" s="177"/>
      <c r="AF145" s="177"/>
      <c r="AG145" s="177"/>
      <c r="AH145" s="177"/>
      <c r="AK145" s="1"/>
      <c r="AL145" s="1"/>
      <c r="AM145" s="1"/>
    </row>
    <row r="146" spans="4:39" ht="20.100000000000001" customHeight="1" x14ac:dyDescent="0.2">
      <c r="D146" s="177" t="s">
        <v>2086</v>
      </c>
      <c r="E146" s="177" t="s">
        <v>2093</v>
      </c>
      <c r="F146" s="177" t="s">
        <v>636</v>
      </c>
      <c r="G146" s="177">
        <v>1</v>
      </c>
      <c r="H146" s="177"/>
      <c r="I146" s="177"/>
      <c r="J146" s="177"/>
      <c r="K146" s="177">
        <v>15.5</v>
      </c>
      <c r="L146" s="177"/>
      <c r="M146" s="177"/>
      <c r="N146" s="177"/>
      <c r="O146" s="177" t="s">
        <v>1992</v>
      </c>
      <c r="P146" s="177">
        <v>1</v>
      </c>
      <c r="Q146" s="177" t="s">
        <v>2034</v>
      </c>
      <c r="R146" s="177">
        <v>1E-3</v>
      </c>
      <c r="S146" s="177"/>
      <c r="T146" s="177"/>
      <c r="U146" s="177"/>
      <c r="V146" s="177"/>
      <c r="W146" s="177"/>
      <c r="X146" s="177"/>
      <c r="Y146" s="177"/>
      <c r="Z146" s="177"/>
      <c r="AA146" s="177"/>
      <c r="AB146" s="177"/>
      <c r="AC146" s="177"/>
      <c r="AD146" s="177"/>
      <c r="AE146" s="177"/>
      <c r="AF146" s="177"/>
      <c r="AG146" s="177"/>
      <c r="AH146" s="177"/>
      <c r="AK146" s="1"/>
      <c r="AL146" s="1"/>
      <c r="AM146" s="1"/>
    </row>
    <row r="147" spans="4:39" ht="20.100000000000001" customHeight="1" x14ac:dyDescent="0.2">
      <c r="D147" s="177" t="s">
        <v>2086</v>
      </c>
      <c r="E147" s="177" t="s">
        <v>2094</v>
      </c>
      <c r="F147" s="177" t="s">
        <v>636</v>
      </c>
      <c r="G147" s="177">
        <v>1</v>
      </c>
      <c r="H147" s="177"/>
      <c r="I147" s="177"/>
      <c r="J147" s="177"/>
      <c r="K147" s="177">
        <v>10</v>
      </c>
      <c r="L147" s="177">
        <v>21.9</v>
      </c>
      <c r="M147" s="177"/>
      <c r="N147" s="177"/>
      <c r="O147" s="177" t="s">
        <v>1962</v>
      </c>
      <c r="P147" s="177">
        <v>1</v>
      </c>
      <c r="Q147" s="177"/>
      <c r="R147" s="177"/>
      <c r="S147" s="177"/>
      <c r="T147" s="177"/>
      <c r="U147" s="177"/>
      <c r="V147" s="177"/>
      <c r="W147" s="177"/>
      <c r="X147" s="177"/>
      <c r="Y147" s="177"/>
      <c r="Z147" s="177"/>
      <c r="AA147" s="177"/>
      <c r="AB147" s="177"/>
      <c r="AC147" s="177"/>
      <c r="AD147" s="177"/>
      <c r="AE147" s="177"/>
      <c r="AF147" s="177"/>
      <c r="AG147" s="177"/>
      <c r="AH147" s="177"/>
      <c r="AK147" s="1"/>
      <c r="AL147" s="1"/>
      <c r="AM147" s="1"/>
    </row>
    <row r="148" spans="4:39" ht="20.100000000000001" customHeight="1" x14ac:dyDescent="0.2">
      <c r="D148" s="177" t="s">
        <v>2086</v>
      </c>
      <c r="E148" s="177" t="s">
        <v>2095</v>
      </c>
      <c r="F148" s="177" t="s">
        <v>636</v>
      </c>
      <c r="G148" s="177">
        <v>1</v>
      </c>
      <c r="H148" s="177"/>
      <c r="I148" s="177"/>
      <c r="J148" s="177"/>
      <c r="K148" s="177">
        <v>12</v>
      </c>
      <c r="L148" s="177">
        <v>5.2</v>
      </c>
      <c r="M148" s="177">
        <v>29.9</v>
      </c>
      <c r="N148" s="177">
        <v>1</v>
      </c>
      <c r="O148" s="177" t="s">
        <v>1982</v>
      </c>
      <c r="P148" s="177">
        <v>0.29899999999999999</v>
      </c>
      <c r="Q148" s="177" t="s">
        <v>1974</v>
      </c>
      <c r="R148" s="177">
        <v>0.10100000000000001</v>
      </c>
      <c r="S148" s="177" t="s">
        <v>1979</v>
      </c>
      <c r="T148" s="177">
        <v>5.1999999999999998E-2</v>
      </c>
      <c r="U148" s="177" t="s">
        <v>1972</v>
      </c>
      <c r="V148" s="177">
        <v>1.9E-2</v>
      </c>
      <c r="W148" s="177" t="s">
        <v>1984</v>
      </c>
      <c r="X148" s="177">
        <v>0.01</v>
      </c>
      <c r="Y148" s="177" t="s">
        <v>2029</v>
      </c>
      <c r="Z148" s="177">
        <v>6.0000000000000001E-3</v>
      </c>
      <c r="AA148" s="177" t="s">
        <v>2032</v>
      </c>
      <c r="AB148" s="177">
        <v>6.9999999999999999E-4</v>
      </c>
      <c r="AC148" s="177" t="s">
        <v>2031</v>
      </c>
      <c r="AD148" s="177">
        <v>4.0000000000000002E-4</v>
      </c>
      <c r="AE148" s="177" t="s">
        <v>2030</v>
      </c>
      <c r="AF148" s="177">
        <v>2.5000000000000001E-4</v>
      </c>
      <c r="AG148" s="177" t="s">
        <v>2034</v>
      </c>
      <c r="AH148" s="177">
        <v>2.5000000000000001E-4</v>
      </c>
      <c r="AK148" s="1"/>
      <c r="AL148" s="1"/>
      <c r="AM148" s="1"/>
    </row>
    <row r="149" spans="4:39" ht="20.100000000000001" customHeight="1" x14ac:dyDescent="0.2">
      <c r="D149" s="177" t="s">
        <v>2086</v>
      </c>
      <c r="E149" s="177" t="s">
        <v>2096</v>
      </c>
      <c r="F149" s="177" t="s">
        <v>636</v>
      </c>
      <c r="G149" s="177">
        <v>1</v>
      </c>
      <c r="H149" s="177"/>
      <c r="I149" s="177"/>
      <c r="J149" s="177"/>
      <c r="K149" s="177">
        <v>18</v>
      </c>
      <c r="L149" s="177">
        <v>7.9</v>
      </c>
      <c r="M149" s="177">
        <v>14.9</v>
      </c>
      <c r="N149" s="177">
        <v>2</v>
      </c>
      <c r="O149" s="177" t="s">
        <v>1982</v>
      </c>
      <c r="P149" s="177">
        <v>0.14899999999999999</v>
      </c>
      <c r="Q149" s="177" t="s">
        <v>1965</v>
      </c>
      <c r="R149" s="177">
        <v>0.21304300000000001</v>
      </c>
      <c r="S149" s="177" t="s">
        <v>1979</v>
      </c>
      <c r="T149" s="177">
        <v>7.9000000000000001E-2</v>
      </c>
      <c r="U149" s="177" t="s">
        <v>1974</v>
      </c>
      <c r="V149" s="177">
        <v>4.9000000000000002E-2</v>
      </c>
      <c r="W149" s="177" t="s">
        <v>1972</v>
      </c>
      <c r="X149" s="177">
        <v>3.3000000000000002E-2</v>
      </c>
      <c r="Y149" s="177" t="s">
        <v>1984</v>
      </c>
      <c r="Z149" s="177">
        <v>0.02</v>
      </c>
      <c r="AA149" s="177" t="s">
        <v>2029</v>
      </c>
      <c r="AB149" s="177">
        <v>1.7999999999999999E-2</v>
      </c>
      <c r="AC149" s="177" t="s">
        <v>2032</v>
      </c>
      <c r="AD149" s="177">
        <v>6.9999999999999999E-4</v>
      </c>
      <c r="AE149" s="177" t="s">
        <v>2031</v>
      </c>
      <c r="AF149" s="177">
        <v>4.0000000000000002E-4</v>
      </c>
      <c r="AG149" s="177" t="s">
        <v>2030</v>
      </c>
      <c r="AH149" s="177">
        <v>2.5000000000000001E-4</v>
      </c>
      <c r="AK149" s="1"/>
      <c r="AL149" s="1"/>
      <c r="AM149" s="1"/>
    </row>
    <row r="150" spans="4:39" ht="20.100000000000001" customHeight="1" x14ac:dyDescent="0.2">
      <c r="D150" s="177" t="s">
        <v>2086</v>
      </c>
      <c r="E150" s="177" t="s">
        <v>2097</v>
      </c>
      <c r="F150" s="177" t="s">
        <v>636</v>
      </c>
      <c r="G150" s="177">
        <v>1</v>
      </c>
      <c r="H150" s="177"/>
      <c r="I150" s="177"/>
      <c r="J150" s="177"/>
      <c r="K150" s="177">
        <v>21</v>
      </c>
      <c r="L150" s="177">
        <v>7.4</v>
      </c>
      <c r="M150" s="177">
        <v>2.5</v>
      </c>
      <c r="N150" s="177">
        <v>4</v>
      </c>
      <c r="O150" s="177" t="s">
        <v>1974</v>
      </c>
      <c r="P150" s="177">
        <v>0.105</v>
      </c>
      <c r="Q150" s="177" t="s">
        <v>1972</v>
      </c>
      <c r="R150" s="177">
        <v>0.105</v>
      </c>
      <c r="S150" s="177" t="s">
        <v>1979</v>
      </c>
      <c r="T150" s="177">
        <v>7.3999999999999996E-2</v>
      </c>
      <c r="U150" s="177" t="s">
        <v>1984</v>
      </c>
      <c r="V150" s="177">
        <v>0.04</v>
      </c>
      <c r="W150" s="177" t="s">
        <v>1982</v>
      </c>
      <c r="X150" s="177">
        <v>2.5000000000000001E-2</v>
      </c>
      <c r="Y150" s="177" t="s">
        <v>2029</v>
      </c>
      <c r="Z150" s="177">
        <v>4.0000000000000001E-3</v>
      </c>
      <c r="AA150" s="177" t="s">
        <v>2030</v>
      </c>
      <c r="AB150" s="177">
        <v>1.5E-3</v>
      </c>
      <c r="AC150" s="177"/>
      <c r="AD150" s="177"/>
      <c r="AE150" s="177"/>
      <c r="AF150" s="177"/>
      <c r="AG150" s="177"/>
      <c r="AH150" s="177"/>
      <c r="AK150" s="1"/>
      <c r="AL150" s="1"/>
      <c r="AM150" s="1"/>
    </row>
    <row r="151" spans="4:39" ht="20.100000000000001" customHeight="1" x14ac:dyDescent="0.2">
      <c r="D151" s="177" t="s">
        <v>2086</v>
      </c>
      <c r="E151" s="177" t="s">
        <v>2098</v>
      </c>
      <c r="F151" s="177" t="s">
        <v>636</v>
      </c>
      <c r="G151" s="177">
        <v>1</v>
      </c>
      <c r="H151" s="177"/>
      <c r="I151" s="177"/>
      <c r="J151" s="177"/>
      <c r="K151" s="177">
        <v>7.5</v>
      </c>
      <c r="L151" s="177"/>
      <c r="M151" s="177">
        <v>29.9</v>
      </c>
      <c r="N151" s="177">
        <v>4</v>
      </c>
      <c r="O151" s="177" t="s">
        <v>1982</v>
      </c>
      <c r="P151" s="177">
        <v>0.29899999999999999</v>
      </c>
      <c r="Q151" s="177" t="s">
        <v>1974</v>
      </c>
      <c r="R151" s="177">
        <v>5.1999999999999998E-2</v>
      </c>
      <c r="S151" s="177" t="s">
        <v>1984</v>
      </c>
      <c r="T151" s="177">
        <v>0.04</v>
      </c>
      <c r="U151" s="177" t="s">
        <v>2029</v>
      </c>
      <c r="V151" s="177">
        <v>2.7E-2</v>
      </c>
      <c r="W151" s="177" t="s">
        <v>1972</v>
      </c>
      <c r="X151" s="177">
        <v>2.3E-2</v>
      </c>
      <c r="Y151" s="177"/>
      <c r="Z151" s="177"/>
      <c r="AA151" s="177"/>
      <c r="AB151" s="177"/>
      <c r="AC151" s="177"/>
      <c r="AD151" s="177"/>
      <c r="AE151" s="177"/>
      <c r="AF151" s="177"/>
      <c r="AG151" s="177"/>
      <c r="AH151" s="177"/>
      <c r="AK151" s="1"/>
      <c r="AL151" s="1"/>
      <c r="AM151" s="1"/>
    </row>
    <row r="152" spans="4:39" ht="20.100000000000001" customHeight="1" x14ac:dyDescent="0.2">
      <c r="D152" s="177" t="s">
        <v>2016</v>
      </c>
      <c r="E152" s="177" t="s">
        <v>2099</v>
      </c>
      <c r="F152" s="177" t="s">
        <v>636</v>
      </c>
      <c r="G152" s="177">
        <v>1</v>
      </c>
      <c r="H152" s="177"/>
      <c r="I152" s="177"/>
      <c r="J152" s="177"/>
      <c r="K152" s="177">
        <v>10</v>
      </c>
      <c r="L152" s="177">
        <v>21.9</v>
      </c>
      <c r="M152" s="177"/>
      <c r="N152" s="177"/>
      <c r="O152" s="177" t="s">
        <v>1962</v>
      </c>
      <c r="P152" s="177">
        <v>1</v>
      </c>
      <c r="Q152" s="177"/>
      <c r="R152" s="177"/>
      <c r="S152" s="177"/>
      <c r="T152" s="177"/>
      <c r="U152" s="177"/>
      <c r="V152" s="177"/>
      <c r="W152" s="177"/>
      <c r="X152" s="177"/>
      <c r="Y152" s="177"/>
      <c r="Z152" s="177"/>
      <c r="AA152" s="177"/>
      <c r="AB152" s="177"/>
      <c r="AC152" s="177"/>
      <c r="AD152" s="177"/>
      <c r="AE152" s="177"/>
      <c r="AF152" s="177"/>
      <c r="AG152" s="177"/>
      <c r="AH152" s="177"/>
      <c r="AK152" s="1"/>
      <c r="AL152" s="1"/>
      <c r="AM152" s="1"/>
    </row>
    <row r="153" spans="4:39" ht="20.100000000000001" customHeight="1" x14ac:dyDescent="0.2">
      <c r="D153" s="177" t="s">
        <v>2016</v>
      </c>
      <c r="E153" s="177" t="s">
        <v>2100</v>
      </c>
      <c r="F153" s="177" t="s">
        <v>636</v>
      </c>
      <c r="G153" s="177">
        <v>1</v>
      </c>
      <c r="H153" s="177"/>
      <c r="I153" s="177"/>
      <c r="J153" s="177"/>
      <c r="K153" s="177">
        <v>21</v>
      </c>
      <c r="L153" s="177"/>
      <c r="M153" s="177"/>
      <c r="N153" s="177">
        <v>24</v>
      </c>
      <c r="O153" s="177" t="s">
        <v>1967</v>
      </c>
      <c r="P153" s="177">
        <v>1</v>
      </c>
      <c r="Q153" s="177"/>
      <c r="R153" s="177"/>
      <c r="S153" s="177"/>
      <c r="T153" s="177"/>
      <c r="U153" s="177"/>
      <c r="V153" s="177"/>
      <c r="W153" s="177"/>
      <c r="X153" s="177"/>
      <c r="Y153" s="177"/>
      <c r="Z153" s="177"/>
      <c r="AA153" s="177"/>
      <c r="AB153" s="177"/>
      <c r="AC153" s="177"/>
      <c r="AD153" s="177"/>
      <c r="AE153" s="177"/>
      <c r="AF153" s="177"/>
      <c r="AG153" s="177"/>
      <c r="AH153" s="177"/>
      <c r="AK153" s="1"/>
      <c r="AL153" s="1"/>
      <c r="AM153" s="1"/>
    </row>
    <row r="154" spans="4:39" ht="20.100000000000001" customHeight="1" x14ac:dyDescent="0.2">
      <c r="D154" s="177" t="s">
        <v>2016</v>
      </c>
      <c r="E154" s="177" t="s">
        <v>2101</v>
      </c>
      <c r="F154" s="177" t="s">
        <v>636</v>
      </c>
      <c r="G154" s="177">
        <v>1</v>
      </c>
      <c r="H154" s="177"/>
      <c r="I154" s="177"/>
      <c r="J154" s="177"/>
      <c r="K154" s="177">
        <v>12</v>
      </c>
      <c r="L154" s="177">
        <v>5</v>
      </c>
      <c r="M154" s="177">
        <v>14</v>
      </c>
      <c r="N154" s="177">
        <v>9.6999999999999993</v>
      </c>
      <c r="O154" s="177" t="s">
        <v>1982</v>
      </c>
      <c r="P154" s="177">
        <v>0.14000000000000001</v>
      </c>
      <c r="Q154" s="177" t="s">
        <v>1984</v>
      </c>
      <c r="R154" s="177">
        <v>9.7000000000000003E-2</v>
      </c>
      <c r="S154" s="177" t="s">
        <v>1974</v>
      </c>
      <c r="T154" s="177">
        <v>0.06</v>
      </c>
      <c r="U154" s="177" t="s">
        <v>1972</v>
      </c>
      <c r="V154" s="177">
        <v>0.06</v>
      </c>
      <c r="W154" s="177" t="s">
        <v>1979</v>
      </c>
      <c r="X154" s="177">
        <v>0.05</v>
      </c>
      <c r="Y154" s="177" t="s">
        <v>2021</v>
      </c>
      <c r="Z154" s="177">
        <v>3.1E-2</v>
      </c>
      <c r="AA154" s="177" t="s">
        <v>2029</v>
      </c>
      <c r="AB154" s="177">
        <v>1.2E-2</v>
      </c>
      <c r="AC154" s="177" t="s">
        <v>2030</v>
      </c>
      <c r="AD154" s="177">
        <v>1E-3</v>
      </c>
      <c r="AE154" s="177" t="s">
        <v>2034</v>
      </c>
      <c r="AF154" s="177">
        <v>2.0000000000000001E-4</v>
      </c>
      <c r="AG154" s="177"/>
      <c r="AH154" s="177"/>
      <c r="AK154" s="1"/>
    </row>
    <row r="155" spans="4:39" ht="20.100000000000001" customHeight="1" x14ac:dyDescent="0.2">
      <c r="D155" s="177" t="s">
        <v>2016</v>
      </c>
      <c r="E155" s="177" t="s">
        <v>2102</v>
      </c>
      <c r="F155" s="177" t="s">
        <v>636</v>
      </c>
      <c r="G155" s="177">
        <v>1</v>
      </c>
      <c r="H155" s="177"/>
      <c r="I155" s="177"/>
      <c r="J155" s="177"/>
      <c r="K155" s="177">
        <v>10</v>
      </c>
      <c r="L155" s="177">
        <v>11</v>
      </c>
      <c r="M155" s="177">
        <v>10</v>
      </c>
      <c r="N155" s="177">
        <v>6</v>
      </c>
      <c r="O155" s="177" t="s">
        <v>1979</v>
      </c>
      <c r="P155" s="177">
        <v>0.11</v>
      </c>
      <c r="Q155" s="177" t="s">
        <v>1982</v>
      </c>
      <c r="R155" s="177">
        <v>0.1</v>
      </c>
      <c r="S155" s="177" t="s">
        <v>1984</v>
      </c>
      <c r="T155" s="177">
        <v>0.06</v>
      </c>
      <c r="U155" s="177" t="s">
        <v>1974</v>
      </c>
      <c r="V155" s="177">
        <v>0.05</v>
      </c>
      <c r="W155" s="177" t="s">
        <v>1972</v>
      </c>
      <c r="X155" s="177">
        <v>0.05</v>
      </c>
      <c r="Y155" s="177" t="s">
        <v>2021</v>
      </c>
      <c r="Z155" s="177">
        <v>4.2999999999999997E-2</v>
      </c>
      <c r="AA155" s="177" t="s">
        <v>2029</v>
      </c>
      <c r="AB155" s="177">
        <v>1.2E-2</v>
      </c>
      <c r="AC155" s="177" t="s">
        <v>2030</v>
      </c>
      <c r="AD155" s="177">
        <v>3.5999999999999999E-3</v>
      </c>
      <c r="AE155" s="177" t="s">
        <v>2034</v>
      </c>
      <c r="AF155" s="177">
        <v>1E-3</v>
      </c>
      <c r="AG155" s="177"/>
      <c r="AH155" s="177"/>
      <c r="AK155" s="1"/>
    </row>
    <row r="156" spans="4:39" ht="20.100000000000001" customHeight="1" x14ac:dyDescent="0.2">
      <c r="D156" s="177" t="s">
        <v>2016</v>
      </c>
      <c r="E156" s="177" t="s">
        <v>2103</v>
      </c>
      <c r="F156" s="177" t="s">
        <v>636</v>
      </c>
      <c r="G156" s="177">
        <v>1</v>
      </c>
      <c r="H156" s="177"/>
      <c r="I156" s="177"/>
      <c r="J156" s="177"/>
      <c r="K156" s="177">
        <v>11</v>
      </c>
      <c r="L156" s="177">
        <v>2.6</v>
      </c>
      <c r="M156" s="177">
        <v>20.8</v>
      </c>
      <c r="N156" s="177">
        <v>4</v>
      </c>
      <c r="O156" s="177" t="s">
        <v>1974</v>
      </c>
      <c r="P156" s="177">
        <v>5.5E-2</v>
      </c>
      <c r="Q156" s="177" t="s">
        <v>1972</v>
      </c>
      <c r="R156" s="177">
        <v>5.5E-2</v>
      </c>
      <c r="S156" s="177" t="s">
        <v>1979</v>
      </c>
      <c r="T156" s="177">
        <v>2.5999999999999999E-2</v>
      </c>
      <c r="U156" s="177" t="s">
        <v>1982</v>
      </c>
      <c r="V156" s="177">
        <v>0.20799999999999999</v>
      </c>
      <c r="W156" s="177" t="s">
        <v>1984</v>
      </c>
      <c r="X156" s="177">
        <v>0.04</v>
      </c>
      <c r="Y156" s="177" t="s">
        <v>2029</v>
      </c>
      <c r="Z156" s="177">
        <v>2.4E-2</v>
      </c>
      <c r="AA156" s="177"/>
      <c r="AB156" s="177"/>
      <c r="AC156" s="177"/>
      <c r="AD156" s="177"/>
      <c r="AE156" s="177"/>
      <c r="AF156" s="177"/>
      <c r="AG156" s="177"/>
      <c r="AH156" s="177"/>
      <c r="AK156" s="1"/>
    </row>
    <row r="157" spans="4:39" ht="20.100000000000001" customHeight="1" x14ac:dyDescent="0.2">
      <c r="D157" s="177" t="s">
        <v>2016</v>
      </c>
      <c r="E157" s="177" t="s">
        <v>2104</v>
      </c>
      <c r="F157" s="177" t="s">
        <v>636</v>
      </c>
      <c r="G157" s="177">
        <v>1</v>
      </c>
      <c r="H157" s="177"/>
      <c r="I157" s="177"/>
      <c r="J157" s="177"/>
      <c r="K157" s="177">
        <v>12</v>
      </c>
      <c r="L157" s="177">
        <v>5.2</v>
      </c>
      <c r="M157" s="177">
        <v>14.1</v>
      </c>
      <c r="N157" s="177">
        <v>9.6</v>
      </c>
      <c r="O157" s="177" t="s">
        <v>1982</v>
      </c>
      <c r="P157" s="177">
        <v>0.14099999999999999</v>
      </c>
      <c r="Q157" s="177" t="s">
        <v>1984</v>
      </c>
      <c r="R157" s="177">
        <v>9.6000000000000002E-2</v>
      </c>
      <c r="S157" s="177" t="s">
        <v>1974</v>
      </c>
      <c r="T157" s="177">
        <v>0.06</v>
      </c>
      <c r="U157" s="177" t="s">
        <v>1972</v>
      </c>
      <c r="V157" s="177">
        <v>0.06</v>
      </c>
      <c r="W157" s="177" t="s">
        <v>1979</v>
      </c>
      <c r="X157" s="177">
        <v>5.1999999999999998E-2</v>
      </c>
      <c r="Y157" s="177" t="s">
        <v>2029</v>
      </c>
      <c r="Z157" s="177">
        <v>1.2E-2</v>
      </c>
      <c r="AA157" s="177" t="s">
        <v>2030</v>
      </c>
      <c r="AB157" s="177">
        <v>8.0000000000000004E-4</v>
      </c>
      <c r="AC157" s="177" t="s">
        <v>2032</v>
      </c>
      <c r="AD157" s="177">
        <v>6.9999999999999999E-4</v>
      </c>
      <c r="AE157" s="177" t="s">
        <v>2031</v>
      </c>
      <c r="AF157" s="177">
        <v>5.9999999999999995E-4</v>
      </c>
      <c r="AG157" s="177" t="s">
        <v>2034</v>
      </c>
      <c r="AH157" s="177">
        <v>2.0000000000000001E-4</v>
      </c>
      <c r="AK157" s="1"/>
    </row>
    <row r="158" spans="4:39" ht="20.100000000000001" customHeight="1" x14ac:dyDescent="0.2">
      <c r="D158" s="177" t="s">
        <v>2016</v>
      </c>
      <c r="E158" s="177" t="s">
        <v>2105</v>
      </c>
      <c r="F158" s="177" t="s">
        <v>636</v>
      </c>
      <c r="G158" s="177">
        <v>1</v>
      </c>
      <c r="H158" s="177"/>
      <c r="I158" s="177"/>
      <c r="J158" s="177"/>
      <c r="K158" s="177">
        <v>25</v>
      </c>
      <c r="L158" s="177"/>
      <c r="M158" s="177"/>
      <c r="N158" s="177">
        <v>12.8</v>
      </c>
      <c r="O158" s="177" t="s">
        <v>1967</v>
      </c>
      <c r="P158" s="177">
        <v>0.53333299999999995</v>
      </c>
      <c r="Q158" s="177" t="s">
        <v>1969</v>
      </c>
      <c r="R158" s="177">
        <v>0.40949600000000003</v>
      </c>
      <c r="S158" s="177" t="s">
        <v>2030</v>
      </c>
      <c r="T158" s="177">
        <v>1E-3</v>
      </c>
      <c r="U158" s="177" t="s">
        <v>2031</v>
      </c>
      <c r="V158" s="177">
        <v>1E-3</v>
      </c>
      <c r="W158" s="177" t="s">
        <v>2034</v>
      </c>
      <c r="X158" s="177">
        <v>1E-4</v>
      </c>
      <c r="Y158" s="177" t="s">
        <v>2076</v>
      </c>
      <c r="Z158" s="263">
        <v>1.0000000000000001E-5</v>
      </c>
      <c r="AA158" s="177"/>
      <c r="AB158" s="177"/>
      <c r="AC158" s="177"/>
      <c r="AD158" s="177"/>
      <c r="AE158" s="177"/>
      <c r="AF158" s="177"/>
      <c r="AG158" s="177"/>
      <c r="AH158" s="177"/>
      <c r="AK158" s="1"/>
    </row>
    <row r="159" spans="4:39" ht="20.100000000000001" customHeight="1" x14ac:dyDescent="0.2">
      <c r="D159" s="177" t="s">
        <v>2106</v>
      </c>
      <c r="E159" s="177" t="s">
        <v>2107</v>
      </c>
      <c r="F159" s="177" t="s">
        <v>636</v>
      </c>
      <c r="G159" s="177">
        <v>1</v>
      </c>
      <c r="H159" s="177"/>
      <c r="I159" s="177"/>
      <c r="J159" s="177"/>
      <c r="K159" s="177"/>
      <c r="L159" s="177">
        <v>8.8000000000000007</v>
      </c>
      <c r="M159" s="177"/>
      <c r="N159" s="177">
        <v>11</v>
      </c>
      <c r="O159" s="177" t="s">
        <v>1990</v>
      </c>
      <c r="P159" s="177">
        <v>1</v>
      </c>
      <c r="Q159" s="177"/>
      <c r="R159" s="177"/>
      <c r="S159" s="177"/>
      <c r="T159" s="177"/>
      <c r="U159" s="177"/>
      <c r="V159" s="177"/>
      <c r="W159" s="177"/>
      <c r="X159" s="177"/>
      <c r="Y159" s="177"/>
      <c r="Z159" s="177"/>
      <c r="AA159" s="177"/>
      <c r="AB159" s="177"/>
      <c r="AC159" s="177"/>
      <c r="AD159" s="177"/>
      <c r="AE159" s="177"/>
      <c r="AF159" s="177"/>
      <c r="AG159" s="177"/>
      <c r="AH159" s="177"/>
      <c r="AK159" s="1"/>
    </row>
    <row r="160" spans="4:39" ht="20.100000000000001" customHeight="1" x14ac:dyDescent="0.2">
      <c r="D160" s="177" t="s">
        <v>2046</v>
      </c>
      <c r="E160" s="177" t="s">
        <v>2108</v>
      </c>
      <c r="F160" s="177" t="s">
        <v>636</v>
      </c>
      <c r="G160" s="177">
        <v>1</v>
      </c>
      <c r="H160" s="177"/>
      <c r="I160" s="177"/>
      <c r="J160" s="177"/>
      <c r="K160" s="177">
        <v>10</v>
      </c>
      <c r="L160" s="177">
        <v>21.9</v>
      </c>
      <c r="M160" s="177">
        <v>0</v>
      </c>
      <c r="N160" s="177">
        <v>2</v>
      </c>
      <c r="O160" s="177" t="s">
        <v>1962</v>
      </c>
      <c r="P160" s="177">
        <v>1</v>
      </c>
      <c r="Q160" s="177" t="s">
        <v>2030</v>
      </c>
      <c r="R160" s="177">
        <v>0.01</v>
      </c>
      <c r="S160" s="177"/>
      <c r="T160" s="177"/>
      <c r="U160" s="177"/>
      <c r="V160" s="177"/>
      <c r="W160" s="177"/>
      <c r="X160" s="177"/>
      <c r="Y160" s="177"/>
      <c r="Z160" s="177"/>
      <c r="AA160" s="177"/>
      <c r="AB160" s="177"/>
      <c r="AC160" s="177"/>
      <c r="AD160" s="177"/>
      <c r="AE160" s="177"/>
      <c r="AF160" s="177"/>
      <c r="AG160" s="177"/>
      <c r="AH160" s="177"/>
      <c r="AK160" s="1"/>
    </row>
    <row r="161" spans="4:37" ht="20.100000000000001" customHeight="1" x14ac:dyDescent="0.2">
      <c r="D161" s="177" t="s">
        <v>2109</v>
      </c>
      <c r="E161" s="177" t="s">
        <v>2110</v>
      </c>
      <c r="F161" s="177" t="s">
        <v>636</v>
      </c>
      <c r="G161" s="177">
        <v>1</v>
      </c>
      <c r="H161" s="177"/>
      <c r="I161" s="177"/>
      <c r="J161" s="177"/>
      <c r="K161" s="177">
        <v>21</v>
      </c>
      <c r="L161" s="177">
        <v>0.86</v>
      </c>
      <c r="M161" s="177">
        <v>5.8</v>
      </c>
      <c r="N161" s="177">
        <v>4.2</v>
      </c>
      <c r="O161" s="177" t="s">
        <v>1977</v>
      </c>
      <c r="P161" s="177">
        <v>0.21</v>
      </c>
      <c r="Q161" s="177" t="s">
        <v>1982</v>
      </c>
      <c r="R161" s="177">
        <v>5.8000000000000003E-2</v>
      </c>
      <c r="S161" s="177" t="s">
        <v>1984</v>
      </c>
      <c r="T161" s="177">
        <v>4.2000000000000003E-2</v>
      </c>
      <c r="U161" s="177" t="s">
        <v>1979</v>
      </c>
      <c r="V161" s="177">
        <v>8.6E-3</v>
      </c>
      <c r="W161" s="177"/>
      <c r="X161" s="177"/>
      <c r="Y161" s="177"/>
      <c r="Z161" s="177"/>
      <c r="AA161" s="177"/>
      <c r="AB161" s="177"/>
      <c r="AC161" s="177"/>
      <c r="AD161" s="177"/>
      <c r="AE161" s="177"/>
      <c r="AF161" s="177"/>
      <c r="AG161" s="177"/>
      <c r="AH161" s="177"/>
      <c r="AK161" s="1"/>
    </row>
    <row r="162" spans="4:37" ht="20.100000000000001" customHeight="1" x14ac:dyDescent="0.2">
      <c r="D162" s="177" t="s">
        <v>2048</v>
      </c>
      <c r="E162" s="177" t="s">
        <v>2111</v>
      </c>
      <c r="F162" s="177" t="s">
        <v>636</v>
      </c>
      <c r="G162" s="177">
        <v>1</v>
      </c>
      <c r="H162" s="177"/>
      <c r="I162" s="177"/>
      <c r="J162" s="177"/>
      <c r="K162" s="177"/>
      <c r="L162" s="177">
        <v>8.8000000000000007</v>
      </c>
      <c r="M162" s="177"/>
      <c r="N162" s="177">
        <v>11</v>
      </c>
      <c r="O162" s="177" t="s">
        <v>1990</v>
      </c>
      <c r="P162" s="177">
        <v>1</v>
      </c>
      <c r="Q162" s="177"/>
      <c r="R162" s="177"/>
      <c r="S162" s="177"/>
      <c r="T162" s="177"/>
      <c r="U162" s="177"/>
      <c r="V162" s="177"/>
      <c r="W162" s="177"/>
      <c r="X162" s="177"/>
      <c r="Y162" s="177"/>
      <c r="Z162" s="177"/>
      <c r="AA162" s="177"/>
      <c r="AB162" s="177"/>
      <c r="AC162" s="177"/>
      <c r="AD162" s="177"/>
      <c r="AE162" s="177"/>
      <c r="AF162" s="177"/>
      <c r="AG162" s="177"/>
      <c r="AH162" s="177"/>
      <c r="AK162" s="1"/>
    </row>
    <row r="163" spans="4:37" ht="20.100000000000001" customHeight="1" x14ac:dyDescent="0.2">
      <c r="D163" s="177" t="s">
        <v>2112</v>
      </c>
      <c r="E163" s="177" t="s">
        <v>2113</v>
      </c>
      <c r="F163" s="177" t="s">
        <v>636</v>
      </c>
      <c r="G163" s="177">
        <v>1</v>
      </c>
      <c r="H163" s="177"/>
      <c r="I163" s="177"/>
      <c r="J163" s="177"/>
      <c r="K163" s="177">
        <v>82.35</v>
      </c>
      <c r="L163" s="177"/>
      <c r="M163" s="177"/>
      <c r="N163" s="177"/>
      <c r="O163" s="177" t="s">
        <v>1991</v>
      </c>
      <c r="P163" s="177">
        <v>1</v>
      </c>
      <c r="Q163" s="177"/>
      <c r="R163" s="177"/>
      <c r="S163" s="177"/>
      <c r="T163" s="177"/>
      <c r="U163" s="177"/>
      <c r="V163" s="177"/>
      <c r="W163" s="177"/>
      <c r="X163" s="177"/>
      <c r="Y163" s="177"/>
      <c r="Z163" s="177"/>
      <c r="AA163" s="177"/>
      <c r="AB163" s="177"/>
      <c r="AC163" s="177"/>
      <c r="AD163" s="177"/>
      <c r="AE163" s="177"/>
      <c r="AF163" s="177"/>
      <c r="AG163" s="177"/>
      <c r="AH163" s="177"/>
      <c r="AK163" s="1"/>
    </row>
    <row r="164" spans="4:37" ht="20.100000000000001" customHeight="1" x14ac:dyDescent="0.2">
      <c r="D164" s="177" t="s">
        <v>2048</v>
      </c>
      <c r="E164" s="177" t="s">
        <v>2114</v>
      </c>
      <c r="F164" s="177" t="s">
        <v>636</v>
      </c>
      <c r="G164" s="177">
        <v>1</v>
      </c>
      <c r="H164" s="177" t="s">
        <v>360</v>
      </c>
      <c r="I164" s="177"/>
      <c r="J164" s="177"/>
      <c r="K164" s="177">
        <v>46</v>
      </c>
      <c r="L164" s="177"/>
      <c r="M164" s="177"/>
      <c r="N164" s="177"/>
      <c r="O164" s="177" t="s">
        <v>1965</v>
      </c>
      <c r="P164" s="177">
        <v>1</v>
      </c>
      <c r="Q164" s="177"/>
      <c r="R164" s="177"/>
      <c r="S164" s="177"/>
      <c r="T164" s="177"/>
      <c r="U164" s="177"/>
      <c r="V164" s="177"/>
      <c r="W164" s="177"/>
      <c r="X164" s="177"/>
      <c r="Y164" s="177"/>
      <c r="Z164" s="177"/>
      <c r="AA164" s="177"/>
      <c r="AB164" s="177"/>
      <c r="AC164" s="177"/>
      <c r="AD164" s="177"/>
      <c r="AE164" s="177"/>
      <c r="AF164" s="177"/>
      <c r="AG164" s="177"/>
      <c r="AH164" s="177"/>
      <c r="AK164" s="1"/>
    </row>
    <row r="165" spans="4:37" ht="20.100000000000001" customHeight="1" x14ac:dyDescent="0.2">
      <c r="D165" s="177" t="s">
        <v>2115</v>
      </c>
      <c r="E165" s="177" t="s">
        <v>2116</v>
      </c>
      <c r="F165" s="177" t="s">
        <v>636</v>
      </c>
      <c r="G165" s="177">
        <v>1</v>
      </c>
      <c r="H165" s="177" t="s">
        <v>360</v>
      </c>
      <c r="I165" s="177"/>
      <c r="J165" s="177"/>
      <c r="K165" s="177">
        <v>45.54</v>
      </c>
      <c r="L165" s="177"/>
      <c r="M165" s="177"/>
      <c r="N165" s="177"/>
      <c r="O165" s="177" t="s">
        <v>1965</v>
      </c>
      <c r="P165" s="177">
        <v>0.99</v>
      </c>
      <c r="Q165" s="177" t="s">
        <v>2117</v>
      </c>
      <c r="R165" s="177">
        <v>0.01</v>
      </c>
      <c r="S165" s="177"/>
      <c r="T165" s="177"/>
      <c r="U165" s="177"/>
      <c r="V165" s="177"/>
      <c r="W165" s="177"/>
      <c r="X165" s="177"/>
      <c r="Y165" s="177"/>
      <c r="Z165" s="177"/>
      <c r="AA165" s="177"/>
      <c r="AB165" s="177"/>
      <c r="AC165" s="177"/>
      <c r="AD165" s="177"/>
      <c r="AE165" s="177"/>
      <c r="AF165" s="177"/>
      <c r="AG165" s="177"/>
      <c r="AH165" s="177"/>
      <c r="AK165" s="1"/>
    </row>
    <row r="166" spans="4:37" ht="20.100000000000001" customHeight="1" x14ac:dyDescent="0.2">
      <c r="D166" s="177" t="s">
        <v>2118</v>
      </c>
      <c r="E166" s="177" t="s">
        <v>2119</v>
      </c>
      <c r="F166" s="177" t="s">
        <v>636</v>
      </c>
      <c r="G166" s="177">
        <v>1</v>
      </c>
      <c r="H166" s="177"/>
      <c r="I166" s="177"/>
      <c r="J166" s="177"/>
      <c r="K166" s="177"/>
      <c r="L166" s="177"/>
      <c r="M166" s="177">
        <v>50</v>
      </c>
      <c r="N166" s="177"/>
      <c r="O166" s="177" t="s">
        <v>1988</v>
      </c>
      <c r="P166" s="177">
        <v>1</v>
      </c>
      <c r="Q166" s="177"/>
      <c r="R166" s="177"/>
      <c r="S166" s="177"/>
      <c r="T166" s="177"/>
      <c r="U166" s="177"/>
      <c r="V166" s="177"/>
      <c r="W166" s="177"/>
      <c r="X166" s="177"/>
      <c r="Y166" s="177"/>
      <c r="Z166" s="177"/>
      <c r="AA166" s="177"/>
      <c r="AB166" s="177"/>
      <c r="AC166" s="177"/>
      <c r="AD166" s="177"/>
      <c r="AE166" s="177"/>
      <c r="AF166" s="177"/>
      <c r="AG166" s="177"/>
      <c r="AH166" s="177"/>
      <c r="AK166" s="1"/>
    </row>
    <row r="167" spans="4:37" ht="20.100000000000001" customHeight="1" x14ac:dyDescent="0.2">
      <c r="D167" s="177" t="s">
        <v>2120</v>
      </c>
      <c r="E167" s="177" t="s">
        <v>2121</v>
      </c>
      <c r="F167" s="177" t="s">
        <v>636</v>
      </c>
      <c r="G167" s="177">
        <v>1</v>
      </c>
      <c r="H167" s="177"/>
      <c r="I167" s="177"/>
      <c r="J167" s="177"/>
      <c r="K167" s="177">
        <v>10</v>
      </c>
      <c r="L167" s="177">
        <v>21.9</v>
      </c>
      <c r="M167" s="177"/>
      <c r="N167" s="177"/>
      <c r="O167" s="177" t="s">
        <v>1962</v>
      </c>
      <c r="P167" s="177">
        <v>1</v>
      </c>
      <c r="Q167" s="177"/>
      <c r="R167" s="177"/>
      <c r="S167" s="177"/>
      <c r="T167" s="177"/>
      <c r="U167" s="177"/>
      <c r="V167" s="177"/>
      <c r="W167" s="177"/>
      <c r="X167" s="177"/>
      <c r="Y167" s="177"/>
      <c r="Z167" s="177"/>
      <c r="AA167" s="177"/>
      <c r="AB167" s="177"/>
      <c r="AC167" s="177"/>
      <c r="AD167" s="177"/>
      <c r="AE167" s="177"/>
      <c r="AF167" s="177"/>
      <c r="AG167" s="177"/>
      <c r="AH167" s="177"/>
      <c r="AK167" s="1"/>
    </row>
    <row r="168" spans="4:37" ht="20.100000000000001" customHeight="1" x14ac:dyDescent="0.2">
      <c r="D168" s="177" t="s">
        <v>2016</v>
      </c>
      <c r="E168" s="177" t="s">
        <v>2122</v>
      </c>
      <c r="F168" s="177" t="s">
        <v>636</v>
      </c>
      <c r="G168" s="177">
        <v>1</v>
      </c>
      <c r="H168" s="177"/>
      <c r="I168" s="177"/>
      <c r="J168" s="177"/>
      <c r="K168" s="177">
        <v>26</v>
      </c>
      <c r="L168" s="177"/>
      <c r="M168" s="177"/>
      <c r="N168" s="177">
        <v>13</v>
      </c>
      <c r="O168" s="177" t="s">
        <v>1967</v>
      </c>
      <c r="P168" s="177">
        <v>0.54166700000000001</v>
      </c>
      <c r="Q168" s="177" t="s">
        <v>1969</v>
      </c>
      <c r="R168" s="177">
        <v>0.43397599999999997</v>
      </c>
      <c r="S168" s="177"/>
      <c r="T168" s="177"/>
      <c r="U168" s="177"/>
      <c r="V168" s="177"/>
      <c r="W168" s="177"/>
      <c r="X168" s="177"/>
      <c r="Y168" s="177"/>
      <c r="Z168" s="177"/>
      <c r="AA168" s="177"/>
      <c r="AB168" s="177"/>
      <c r="AC168" s="177"/>
      <c r="AD168" s="177"/>
      <c r="AE168" s="177"/>
      <c r="AF168" s="177"/>
      <c r="AG168" s="177"/>
      <c r="AH168" s="177"/>
      <c r="AK168" s="1"/>
    </row>
    <row r="169" spans="4:37" ht="20.100000000000001" customHeight="1" x14ac:dyDescent="0.2">
      <c r="D169" s="177" t="s">
        <v>2123</v>
      </c>
      <c r="E169" s="177" t="s">
        <v>2124</v>
      </c>
      <c r="F169" s="177" t="s">
        <v>875</v>
      </c>
      <c r="G169" s="177">
        <v>1.2350000000000001</v>
      </c>
      <c r="H169" s="177"/>
      <c r="I169" s="177"/>
      <c r="J169" s="177"/>
      <c r="K169" s="177">
        <v>26.6</v>
      </c>
      <c r="L169" s="177"/>
      <c r="M169" s="177"/>
      <c r="N169" s="177">
        <v>6.7</v>
      </c>
      <c r="O169" s="177" t="s">
        <v>1965</v>
      </c>
      <c r="P169" s="177">
        <v>0.45081500000000002</v>
      </c>
      <c r="Q169" s="177" t="s">
        <v>1967</v>
      </c>
      <c r="R169" s="177">
        <v>0.279167</v>
      </c>
      <c r="S169" s="177"/>
      <c r="T169" s="177"/>
      <c r="U169" s="177"/>
      <c r="V169" s="177"/>
      <c r="W169" s="177"/>
      <c r="X169" s="177"/>
      <c r="Y169" s="177"/>
      <c r="Z169" s="177"/>
      <c r="AA169" s="177"/>
      <c r="AB169" s="177"/>
      <c r="AC169" s="177"/>
      <c r="AD169" s="177"/>
      <c r="AE169" s="177"/>
      <c r="AF169" s="177"/>
      <c r="AG169" s="177"/>
      <c r="AH169" s="177"/>
      <c r="AK169" s="1"/>
    </row>
    <row r="170" spans="4:37" ht="20.100000000000001" customHeight="1" x14ac:dyDescent="0.2">
      <c r="D170" s="177" t="s">
        <v>2123</v>
      </c>
      <c r="E170" s="177" t="s">
        <v>2125</v>
      </c>
      <c r="F170" s="177" t="s">
        <v>875</v>
      </c>
      <c r="G170" s="177">
        <v>1.28</v>
      </c>
      <c r="H170" s="177"/>
      <c r="I170" s="177"/>
      <c r="J170" s="177"/>
      <c r="K170" s="177">
        <v>0</v>
      </c>
      <c r="L170" s="177"/>
      <c r="M170" s="177"/>
      <c r="N170" s="177"/>
      <c r="O170" s="177" t="s">
        <v>1965</v>
      </c>
      <c r="P170" s="177">
        <v>0.65217400000000003</v>
      </c>
      <c r="Q170" s="177"/>
      <c r="R170" s="177"/>
      <c r="S170" s="177"/>
      <c r="T170" s="177"/>
      <c r="U170" s="177"/>
      <c r="V170" s="177"/>
      <c r="W170" s="177"/>
      <c r="X170" s="177"/>
      <c r="Y170" s="177"/>
      <c r="Z170" s="177"/>
      <c r="AA170" s="177"/>
      <c r="AB170" s="177"/>
      <c r="AC170" s="177"/>
      <c r="AD170" s="177"/>
      <c r="AE170" s="177"/>
      <c r="AF170" s="177"/>
      <c r="AG170" s="177"/>
      <c r="AH170" s="177"/>
      <c r="AK170" s="1"/>
    </row>
    <row r="171" spans="4:37" ht="20.100000000000001" customHeight="1" x14ac:dyDescent="0.2">
      <c r="D171" s="177" t="s">
        <v>2126</v>
      </c>
      <c r="E171" s="177" t="s">
        <v>2127</v>
      </c>
      <c r="F171" s="177" t="s">
        <v>636</v>
      </c>
      <c r="G171" s="177">
        <v>1</v>
      </c>
      <c r="H171" s="177"/>
      <c r="I171" s="177"/>
      <c r="J171" s="177"/>
      <c r="K171" s="177">
        <v>36</v>
      </c>
      <c r="L171" s="177"/>
      <c r="M171" s="177"/>
      <c r="N171" s="177">
        <v>9.6</v>
      </c>
      <c r="O171" s="177" t="s">
        <v>1977</v>
      </c>
      <c r="P171" s="177">
        <v>0.36</v>
      </c>
      <c r="Q171" s="177" t="s">
        <v>1984</v>
      </c>
      <c r="R171" s="177">
        <v>9.6000000000000002E-2</v>
      </c>
      <c r="S171" s="177"/>
      <c r="T171" s="177"/>
      <c r="U171" s="177"/>
      <c r="V171" s="177"/>
      <c r="W171" s="177"/>
      <c r="X171" s="177"/>
      <c r="Y171" s="177"/>
      <c r="Z171" s="177"/>
      <c r="AA171" s="177"/>
      <c r="AB171" s="177"/>
      <c r="AC171" s="177"/>
      <c r="AD171" s="177"/>
      <c r="AE171" s="177"/>
      <c r="AF171" s="177"/>
      <c r="AG171" s="177"/>
      <c r="AH171" s="177"/>
      <c r="AK171" s="1"/>
    </row>
    <row r="172" spans="4:37" ht="20.100000000000001" customHeight="1" x14ac:dyDescent="0.2">
      <c r="D172" s="177" t="s">
        <v>2042</v>
      </c>
      <c r="E172" s="177" t="s">
        <v>2128</v>
      </c>
      <c r="F172" s="177" t="s">
        <v>875</v>
      </c>
      <c r="G172" s="177">
        <v>1.3</v>
      </c>
      <c r="H172" s="177"/>
      <c r="I172" s="177"/>
      <c r="J172" s="177"/>
      <c r="K172" s="177">
        <v>20</v>
      </c>
      <c r="L172" s="177">
        <v>8.73</v>
      </c>
      <c r="M172" s="177">
        <v>16.600000000000001</v>
      </c>
      <c r="N172" s="177"/>
      <c r="O172" s="177" t="s">
        <v>1977</v>
      </c>
      <c r="P172" s="177">
        <v>0.2</v>
      </c>
      <c r="Q172" s="177" t="s">
        <v>1979</v>
      </c>
      <c r="R172" s="177">
        <v>8.7279999999999996E-2</v>
      </c>
      <c r="S172" s="177" t="s">
        <v>1982</v>
      </c>
      <c r="T172" s="177">
        <v>0.16602</v>
      </c>
      <c r="U172" s="177"/>
      <c r="V172" s="177"/>
      <c r="W172" s="177"/>
      <c r="X172" s="177"/>
      <c r="Y172" s="177"/>
      <c r="Z172" s="177"/>
      <c r="AA172" s="177"/>
      <c r="AB172" s="177"/>
      <c r="AC172" s="177"/>
      <c r="AD172" s="177"/>
      <c r="AE172" s="177"/>
      <c r="AF172" s="177"/>
      <c r="AG172" s="177"/>
      <c r="AH172" s="177"/>
      <c r="AK172" s="1"/>
    </row>
    <row r="173" spans="4:37" ht="20.100000000000001" customHeight="1" x14ac:dyDescent="0.2">
      <c r="D173" s="177" t="s">
        <v>2129</v>
      </c>
      <c r="E173" s="177" t="s">
        <v>2130</v>
      </c>
      <c r="F173" s="177" t="s">
        <v>636</v>
      </c>
      <c r="G173" s="177">
        <v>1</v>
      </c>
      <c r="H173" s="177"/>
      <c r="I173" s="177"/>
      <c r="J173" s="177"/>
      <c r="K173" s="177">
        <v>15</v>
      </c>
      <c r="L173" s="177"/>
      <c r="M173" s="177">
        <v>9.9600000000000009</v>
      </c>
      <c r="N173" s="177"/>
      <c r="O173" s="177" t="s">
        <v>1974</v>
      </c>
      <c r="P173" s="177">
        <v>8.4737000000000007E-2</v>
      </c>
      <c r="Q173" s="177" t="s">
        <v>1982</v>
      </c>
      <c r="R173" s="177">
        <v>9.9612000000000006E-2</v>
      </c>
      <c r="S173" s="177" t="s">
        <v>1992</v>
      </c>
      <c r="T173" s="177">
        <v>0.42105300000000001</v>
      </c>
      <c r="U173" s="177" t="s">
        <v>2029</v>
      </c>
      <c r="V173" s="177">
        <v>5.0000000000000001E-3</v>
      </c>
      <c r="W173" s="177" t="s">
        <v>2034</v>
      </c>
      <c r="X173" s="177">
        <v>2.0000000000000001E-4</v>
      </c>
      <c r="Y173" s="177"/>
      <c r="Z173" s="177"/>
      <c r="AA173" s="177"/>
      <c r="AB173" s="177"/>
      <c r="AC173" s="177"/>
      <c r="AD173" s="177"/>
      <c r="AE173" s="177"/>
      <c r="AF173" s="177"/>
      <c r="AG173" s="177"/>
      <c r="AH173" s="177"/>
      <c r="AK173" s="1"/>
    </row>
    <row r="174" spans="4:37" ht="20.100000000000001" customHeight="1" x14ac:dyDescent="0.2">
      <c r="D174" s="177" t="s">
        <v>2048</v>
      </c>
      <c r="E174" s="177" t="s">
        <v>2131</v>
      </c>
      <c r="F174" s="177" t="s">
        <v>636</v>
      </c>
      <c r="G174" s="177">
        <v>1</v>
      </c>
      <c r="H174" s="177"/>
      <c r="I174" s="177"/>
      <c r="J174" s="177"/>
      <c r="K174" s="177">
        <v>15.1</v>
      </c>
      <c r="L174" s="177">
        <v>4.4000000000000004</v>
      </c>
      <c r="M174" s="177">
        <v>11.5</v>
      </c>
      <c r="N174" s="177">
        <v>13.6</v>
      </c>
      <c r="O174" s="177" t="s">
        <v>1977</v>
      </c>
      <c r="P174" s="177">
        <v>0.151</v>
      </c>
      <c r="Q174" s="177" t="s">
        <v>1979</v>
      </c>
      <c r="R174" s="177">
        <v>4.3999999999999997E-2</v>
      </c>
      <c r="S174" s="177" t="s">
        <v>1982</v>
      </c>
      <c r="T174" s="177">
        <v>0.115</v>
      </c>
      <c r="U174" s="177" t="s">
        <v>1984</v>
      </c>
      <c r="V174" s="177">
        <v>0.13600000000000001</v>
      </c>
      <c r="W174" s="177"/>
      <c r="X174" s="177"/>
      <c r="Y174" s="177"/>
      <c r="Z174" s="177"/>
      <c r="AA174" s="177"/>
      <c r="AB174" s="177"/>
      <c r="AC174" s="177"/>
      <c r="AD174" s="177"/>
      <c r="AE174" s="177"/>
      <c r="AF174" s="177"/>
      <c r="AG174" s="177"/>
      <c r="AH174" s="177"/>
      <c r="AK174" s="1"/>
    </row>
    <row r="175" spans="4:37" ht="20.100000000000001" customHeight="1" x14ac:dyDescent="0.2">
      <c r="D175" s="177" t="s">
        <v>2048</v>
      </c>
      <c r="E175" s="177" t="s">
        <v>2132</v>
      </c>
      <c r="F175" s="177" t="s">
        <v>636</v>
      </c>
      <c r="G175" s="177">
        <v>1</v>
      </c>
      <c r="H175" s="177"/>
      <c r="I175" s="177"/>
      <c r="J175" s="177"/>
      <c r="K175" s="177">
        <v>14.6</v>
      </c>
      <c r="L175" s="177">
        <v>12.1</v>
      </c>
      <c r="M175" s="177"/>
      <c r="N175" s="177">
        <v>11.6</v>
      </c>
      <c r="O175" s="177" t="s">
        <v>1977</v>
      </c>
      <c r="P175" s="177">
        <v>0.14599999999999999</v>
      </c>
      <c r="Q175" s="177" t="s">
        <v>1979</v>
      </c>
      <c r="R175" s="177">
        <v>0.121</v>
      </c>
      <c r="S175" s="177" t="s">
        <v>1984</v>
      </c>
      <c r="T175" s="177">
        <v>0.11600000000000001</v>
      </c>
      <c r="U175" s="177"/>
      <c r="V175" s="177"/>
      <c r="W175" s="177"/>
      <c r="X175" s="177"/>
      <c r="Y175" s="177"/>
      <c r="Z175" s="177"/>
      <c r="AA175" s="177"/>
      <c r="AB175" s="177"/>
      <c r="AC175" s="177"/>
      <c r="AD175" s="177"/>
      <c r="AE175" s="177"/>
      <c r="AF175" s="177"/>
      <c r="AG175" s="177"/>
      <c r="AH175" s="177"/>
      <c r="AK175" s="1"/>
    </row>
    <row r="176" spans="4:37" ht="20.100000000000001" customHeight="1" x14ac:dyDescent="0.2">
      <c r="D176" s="177" t="s">
        <v>2048</v>
      </c>
      <c r="E176" s="177" t="s">
        <v>2133</v>
      </c>
      <c r="F176" s="177" t="s">
        <v>636</v>
      </c>
      <c r="G176" s="177">
        <v>1</v>
      </c>
      <c r="H176" s="177"/>
      <c r="I176" s="177"/>
      <c r="J176" s="177"/>
      <c r="K176" s="177">
        <v>19</v>
      </c>
      <c r="L176" s="177">
        <v>13</v>
      </c>
      <c r="M176" s="177">
        <v>0</v>
      </c>
      <c r="N176" s="177">
        <v>9</v>
      </c>
      <c r="O176" s="177" t="s">
        <v>1977</v>
      </c>
      <c r="P176" s="177">
        <v>0.19</v>
      </c>
      <c r="Q176" s="177" t="s">
        <v>1979</v>
      </c>
      <c r="R176" s="177">
        <v>0.13</v>
      </c>
      <c r="S176" s="177" t="s">
        <v>1984</v>
      </c>
      <c r="T176" s="177">
        <v>0.09</v>
      </c>
      <c r="U176" s="177"/>
      <c r="V176" s="177"/>
      <c r="W176" s="177"/>
      <c r="X176" s="177"/>
      <c r="Y176" s="177"/>
      <c r="Z176" s="177"/>
      <c r="AA176" s="177"/>
      <c r="AB176" s="177"/>
      <c r="AC176" s="177"/>
      <c r="AD176" s="177"/>
      <c r="AE176" s="177"/>
      <c r="AF176" s="177"/>
      <c r="AG176" s="177"/>
      <c r="AH176" s="177"/>
      <c r="AK176" s="1"/>
    </row>
    <row r="177" spans="4:37" ht="20.100000000000001" customHeight="1" x14ac:dyDescent="0.2">
      <c r="D177" s="177" t="s">
        <v>2048</v>
      </c>
      <c r="E177" s="177" t="s">
        <v>2134</v>
      </c>
      <c r="F177" s="177" t="s">
        <v>636</v>
      </c>
      <c r="G177" s="177">
        <v>1</v>
      </c>
      <c r="H177" s="177"/>
      <c r="I177" s="177"/>
      <c r="J177" s="177"/>
      <c r="K177" s="177">
        <v>23.8</v>
      </c>
      <c r="L177" s="177">
        <v>3.7</v>
      </c>
      <c r="M177" s="177">
        <v>13</v>
      </c>
      <c r="N177" s="177">
        <v>4.0999999999999996</v>
      </c>
      <c r="O177" s="177" t="s">
        <v>1977</v>
      </c>
      <c r="P177" s="177">
        <v>0.23799999999999999</v>
      </c>
      <c r="Q177" s="177" t="s">
        <v>1979</v>
      </c>
      <c r="R177" s="177">
        <v>3.6999999999999998E-2</v>
      </c>
      <c r="S177" s="177" t="s">
        <v>1982</v>
      </c>
      <c r="T177" s="177">
        <v>0.13</v>
      </c>
      <c r="U177" s="177" t="s">
        <v>1984</v>
      </c>
      <c r="V177" s="177">
        <v>4.1000000000000002E-2</v>
      </c>
      <c r="W177" s="177"/>
      <c r="X177" s="177"/>
      <c r="Y177" s="177"/>
      <c r="Z177" s="177"/>
      <c r="AA177" s="177"/>
      <c r="AB177" s="177"/>
      <c r="AC177" s="177"/>
      <c r="AD177" s="177"/>
      <c r="AE177" s="177"/>
      <c r="AF177" s="177"/>
      <c r="AG177" s="177"/>
      <c r="AH177" s="177"/>
      <c r="AK177" s="1"/>
    </row>
    <row r="178" spans="4:37" ht="20.100000000000001" customHeight="1" x14ac:dyDescent="0.2">
      <c r="D178" s="177" t="s">
        <v>2048</v>
      </c>
      <c r="E178" s="177" t="s">
        <v>2135</v>
      </c>
      <c r="F178" s="177" t="s">
        <v>636</v>
      </c>
      <c r="G178" s="177">
        <v>1</v>
      </c>
      <c r="H178" s="177"/>
      <c r="I178" s="177"/>
      <c r="J178" s="177"/>
      <c r="K178" s="177">
        <v>32.799999999999997</v>
      </c>
      <c r="L178" s="177"/>
      <c r="M178" s="177">
        <v>11</v>
      </c>
      <c r="N178" s="177">
        <v>2.9</v>
      </c>
      <c r="O178" s="177" t="s">
        <v>1965</v>
      </c>
      <c r="P178" s="177">
        <v>0.66086999999999996</v>
      </c>
      <c r="Q178" s="177" t="s">
        <v>1972</v>
      </c>
      <c r="R178" s="177">
        <v>2.4E-2</v>
      </c>
      <c r="S178" s="177" t="s">
        <v>1982</v>
      </c>
      <c r="T178" s="177">
        <v>0.11</v>
      </c>
      <c r="U178" s="177" t="s">
        <v>1984</v>
      </c>
      <c r="V178" s="177">
        <v>2.9000000000000001E-2</v>
      </c>
      <c r="W178" s="177"/>
      <c r="X178" s="177"/>
      <c r="Y178" s="177"/>
      <c r="Z178" s="177"/>
      <c r="AA178" s="177"/>
      <c r="AB178" s="177"/>
      <c r="AC178" s="177"/>
      <c r="AD178" s="177"/>
      <c r="AE178" s="177"/>
      <c r="AF178" s="177"/>
      <c r="AG178" s="177"/>
      <c r="AH178" s="177"/>
      <c r="AK178" s="1"/>
    </row>
    <row r="179" spans="4:37" ht="20.100000000000001" customHeight="1" x14ac:dyDescent="0.2">
      <c r="D179" s="177" t="s">
        <v>2048</v>
      </c>
      <c r="E179" s="177" t="s">
        <v>2136</v>
      </c>
      <c r="F179" s="177" t="s">
        <v>636</v>
      </c>
      <c r="G179" s="177">
        <v>1</v>
      </c>
      <c r="H179" s="177"/>
      <c r="I179" s="177"/>
      <c r="J179" s="177"/>
      <c r="K179" s="177">
        <v>11.7</v>
      </c>
      <c r="L179" s="177">
        <v>4.7</v>
      </c>
      <c r="M179" s="177">
        <v>23.9</v>
      </c>
      <c r="N179" s="177">
        <v>4.5999999999999996</v>
      </c>
      <c r="O179" s="177" t="s">
        <v>1977</v>
      </c>
      <c r="P179" s="177">
        <v>0.11700000000000001</v>
      </c>
      <c r="Q179" s="177" t="s">
        <v>1979</v>
      </c>
      <c r="R179" s="177">
        <v>4.7E-2</v>
      </c>
      <c r="S179" s="177" t="s">
        <v>1982</v>
      </c>
      <c r="T179" s="177">
        <v>0.23899999999999999</v>
      </c>
      <c r="U179" s="177" t="s">
        <v>1984</v>
      </c>
      <c r="V179" s="177">
        <v>4.5999999999999999E-2</v>
      </c>
      <c r="W179" s="177"/>
      <c r="X179" s="177"/>
      <c r="Y179" s="177"/>
      <c r="Z179" s="177"/>
      <c r="AA179" s="177"/>
      <c r="AB179" s="177"/>
      <c r="AC179" s="177"/>
      <c r="AD179" s="177"/>
      <c r="AE179" s="177"/>
      <c r="AF179" s="177"/>
      <c r="AG179" s="177"/>
      <c r="AH179" s="177"/>
      <c r="AK179" s="1"/>
    </row>
    <row r="180" spans="4:37" ht="20.100000000000001" customHeight="1" x14ac:dyDescent="0.2">
      <c r="D180" s="177" t="s">
        <v>2046</v>
      </c>
      <c r="E180" s="177" t="s">
        <v>2137</v>
      </c>
      <c r="F180" s="177" t="s">
        <v>636</v>
      </c>
      <c r="G180" s="177">
        <v>1</v>
      </c>
      <c r="H180" s="177"/>
      <c r="I180" s="177"/>
      <c r="J180" s="177"/>
      <c r="K180" s="177"/>
      <c r="L180" s="177">
        <v>4.4000000000000004</v>
      </c>
      <c r="M180" s="177">
        <v>25</v>
      </c>
      <c r="N180" s="177">
        <v>5.5</v>
      </c>
      <c r="O180" s="177" t="s">
        <v>1990</v>
      </c>
      <c r="P180" s="177">
        <v>0.5</v>
      </c>
      <c r="Q180" s="177" t="s">
        <v>1988</v>
      </c>
      <c r="R180" s="177">
        <v>0.5</v>
      </c>
      <c r="S180" s="177"/>
      <c r="T180" s="177"/>
      <c r="U180" s="177"/>
      <c r="V180" s="177"/>
      <c r="W180" s="177"/>
      <c r="X180" s="177"/>
      <c r="Y180" s="177"/>
      <c r="Z180" s="177"/>
      <c r="AA180" s="177"/>
      <c r="AB180" s="177"/>
      <c r="AC180" s="177"/>
      <c r="AD180" s="177"/>
      <c r="AE180" s="177"/>
      <c r="AF180" s="177"/>
      <c r="AG180" s="177"/>
      <c r="AH180" s="177"/>
    </row>
    <row r="181" spans="4:37" ht="20.100000000000001" customHeight="1" x14ac:dyDescent="0.2">
      <c r="D181" s="177" t="s">
        <v>2046</v>
      </c>
      <c r="E181" s="177" t="s">
        <v>2138</v>
      </c>
      <c r="F181" s="177" t="s">
        <v>636</v>
      </c>
      <c r="G181" s="177">
        <v>1</v>
      </c>
      <c r="H181" s="177"/>
      <c r="I181" s="177"/>
      <c r="J181" s="177"/>
      <c r="K181" s="177"/>
      <c r="L181" s="177">
        <v>5.84</v>
      </c>
      <c r="M181" s="177">
        <v>16.8</v>
      </c>
      <c r="N181" s="177">
        <v>7.29</v>
      </c>
      <c r="O181" s="177" t="s">
        <v>1990</v>
      </c>
      <c r="P181" s="177">
        <v>0.66315800000000003</v>
      </c>
      <c r="Q181" s="177" t="s">
        <v>1988</v>
      </c>
      <c r="R181" s="177">
        <v>0.33600000000000002</v>
      </c>
      <c r="S181" s="177"/>
      <c r="T181" s="177"/>
      <c r="U181" s="177"/>
      <c r="V181" s="177"/>
      <c r="W181" s="177"/>
      <c r="X181" s="177"/>
      <c r="Y181" s="177"/>
      <c r="Z181" s="177"/>
      <c r="AA181" s="177"/>
      <c r="AB181" s="177"/>
      <c r="AC181" s="177"/>
      <c r="AD181" s="177"/>
      <c r="AE181" s="177"/>
      <c r="AF181" s="177"/>
      <c r="AG181" s="177"/>
      <c r="AH181" s="177"/>
    </row>
    <row r="182" spans="4:37" ht="20.100000000000001" customHeight="1" x14ac:dyDescent="0.2">
      <c r="D182" s="177" t="s">
        <v>2046</v>
      </c>
      <c r="E182" s="177" t="s">
        <v>2139</v>
      </c>
      <c r="F182" s="177" t="s">
        <v>636</v>
      </c>
      <c r="G182" s="177">
        <v>1</v>
      </c>
      <c r="H182" s="177"/>
      <c r="I182" s="177"/>
      <c r="J182" s="177"/>
      <c r="K182" s="177"/>
      <c r="L182" s="177">
        <v>6.58</v>
      </c>
      <c r="M182" s="177">
        <v>12.5</v>
      </c>
      <c r="N182" s="177">
        <v>8.2200000000000006</v>
      </c>
      <c r="O182" s="177" t="s">
        <v>1990</v>
      </c>
      <c r="P182" s="177">
        <v>0.74736800000000003</v>
      </c>
      <c r="Q182" s="177" t="s">
        <v>1988</v>
      </c>
      <c r="R182" s="177">
        <v>0.25</v>
      </c>
      <c r="S182" s="177"/>
      <c r="T182" s="177"/>
      <c r="U182" s="177"/>
      <c r="V182" s="177"/>
      <c r="W182" s="177"/>
      <c r="X182" s="177"/>
      <c r="Y182" s="177"/>
      <c r="Z182" s="177"/>
      <c r="AA182" s="177"/>
      <c r="AB182" s="177"/>
      <c r="AC182" s="177"/>
      <c r="AD182" s="177"/>
      <c r="AE182" s="177"/>
      <c r="AF182" s="177"/>
      <c r="AG182" s="177"/>
      <c r="AH182" s="177"/>
    </row>
    <row r="183" spans="4:37" ht="20.100000000000001" customHeight="1" x14ac:dyDescent="0.2">
      <c r="D183" s="177" t="s">
        <v>2046</v>
      </c>
      <c r="E183" s="177" t="s">
        <v>2140</v>
      </c>
      <c r="F183" s="177" t="s">
        <v>636</v>
      </c>
      <c r="G183" s="177">
        <v>1</v>
      </c>
      <c r="H183" s="177"/>
      <c r="I183" s="177"/>
      <c r="J183" s="177"/>
      <c r="K183" s="177"/>
      <c r="L183" s="177">
        <v>7.04</v>
      </c>
      <c r="M183" s="177">
        <v>10</v>
      </c>
      <c r="N183" s="177">
        <v>8.8000000000000007</v>
      </c>
      <c r="O183" s="177" t="s">
        <v>1990</v>
      </c>
      <c r="P183" s="177">
        <v>0.8</v>
      </c>
      <c r="Q183" s="177" t="s">
        <v>1988</v>
      </c>
      <c r="R183" s="177">
        <v>0.2</v>
      </c>
      <c r="S183" s="177"/>
      <c r="T183" s="177"/>
      <c r="U183" s="177"/>
      <c r="V183" s="177"/>
      <c r="W183" s="177"/>
      <c r="X183" s="177"/>
      <c r="Y183" s="177"/>
      <c r="Z183" s="177"/>
      <c r="AA183" s="177"/>
      <c r="AB183" s="177"/>
      <c r="AC183" s="177"/>
      <c r="AD183" s="177"/>
      <c r="AE183" s="177"/>
      <c r="AF183" s="177"/>
      <c r="AG183" s="177"/>
      <c r="AH183" s="177"/>
    </row>
    <row r="184" spans="4:37" ht="20.100000000000001" customHeight="1" x14ac:dyDescent="0.2">
      <c r="D184" s="177" t="s">
        <v>2046</v>
      </c>
      <c r="E184" s="177" t="s">
        <v>2141</v>
      </c>
      <c r="F184" s="177" t="s">
        <v>636</v>
      </c>
      <c r="G184" s="177">
        <v>1</v>
      </c>
      <c r="H184" s="177"/>
      <c r="I184" s="177"/>
      <c r="J184" s="177"/>
      <c r="K184" s="177"/>
      <c r="L184" s="177">
        <v>7.32</v>
      </c>
      <c r="M184" s="177">
        <v>8.4</v>
      </c>
      <c r="N184" s="177">
        <v>9.15</v>
      </c>
      <c r="O184" s="177" t="s">
        <v>1990</v>
      </c>
      <c r="P184" s="177">
        <v>0.83157899999999996</v>
      </c>
      <c r="Q184" s="177" t="s">
        <v>1988</v>
      </c>
      <c r="R184" s="177">
        <v>0.16800000000000001</v>
      </c>
      <c r="S184" s="177"/>
      <c r="T184" s="177"/>
      <c r="U184" s="177"/>
      <c r="V184" s="177"/>
      <c r="W184" s="177"/>
      <c r="X184" s="177"/>
      <c r="Y184" s="177"/>
      <c r="Z184" s="177"/>
      <c r="AA184" s="177"/>
      <c r="AB184" s="177"/>
      <c r="AC184" s="177"/>
      <c r="AD184" s="177"/>
      <c r="AE184" s="177"/>
      <c r="AF184" s="177"/>
      <c r="AG184" s="177"/>
      <c r="AH184" s="177"/>
    </row>
    <row r="185" spans="4:37" ht="20.100000000000001" customHeight="1" x14ac:dyDescent="0.2">
      <c r="D185" s="177" t="s">
        <v>2142</v>
      </c>
      <c r="E185" s="177" t="s">
        <v>2143</v>
      </c>
      <c r="F185" s="177" t="s">
        <v>636</v>
      </c>
      <c r="G185" s="177">
        <v>1</v>
      </c>
      <c r="H185" s="177"/>
      <c r="I185" s="177"/>
      <c r="J185" s="177"/>
      <c r="K185" s="177">
        <v>23.9</v>
      </c>
      <c r="L185" s="177"/>
      <c r="M185" s="177"/>
      <c r="N185" s="177">
        <v>10.8</v>
      </c>
      <c r="O185" s="177" t="s">
        <v>1974</v>
      </c>
      <c r="P185" s="177">
        <v>7.3999999999999996E-2</v>
      </c>
      <c r="Q185" s="177" t="s">
        <v>1972</v>
      </c>
      <c r="R185" s="177">
        <v>0.16500000000000001</v>
      </c>
      <c r="S185" s="177" t="s">
        <v>1984</v>
      </c>
      <c r="T185" s="177">
        <v>0.108</v>
      </c>
      <c r="U185" s="177" t="s">
        <v>2021</v>
      </c>
      <c r="V185" s="177">
        <v>4.3999999999999997E-2</v>
      </c>
      <c r="W185" s="177"/>
      <c r="X185" s="177"/>
      <c r="Y185" s="177"/>
      <c r="Z185" s="177"/>
      <c r="AA185" s="177"/>
      <c r="AB185" s="177"/>
      <c r="AC185" s="177"/>
      <c r="AD185" s="177"/>
      <c r="AE185" s="177"/>
      <c r="AF185" s="177"/>
      <c r="AG185" s="177"/>
      <c r="AH185" s="177"/>
    </row>
    <row r="186" spans="4:37" ht="20.100000000000001" customHeight="1" x14ac:dyDescent="0.2">
      <c r="D186" s="177" t="s">
        <v>2142</v>
      </c>
      <c r="E186" s="177" t="s">
        <v>2144</v>
      </c>
      <c r="F186" s="177" t="s">
        <v>636</v>
      </c>
      <c r="G186" s="177">
        <v>1</v>
      </c>
      <c r="H186" s="177"/>
      <c r="I186" s="177"/>
      <c r="J186" s="177"/>
      <c r="K186" s="177">
        <v>17.899999999999999</v>
      </c>
      <c r="L186" s="177"/>
      <c r="M186" s="177">
        <v>15</v>
      </c>
      <c r="N186" s="177">
        <v>3.6</v>
      </c>
      <c r="O186" s="177" t="s">
        <v>1974</v>
      </c>
      <c r="P186" s="177">
        <v>5.5E-2</v>
      </c>
      <c r="Q186" s="177" t="s">
        <v>1972</v>
      </c>
      <c r="R186" s="177">
        <v>0.124</v>
      </c>
      <c r="S186" s="177" t="s">
        <v>1982</v>
      </c>
      <c r="T186" s="177">
        <v>0.15</v>
      </c>
      <c r="U186" s="177" t="s">
        <v>1984</v>
      </c>
      <c r="V186" s="177">
        <v>3.5999999999999997E-2</v>
      </c>
      <c r="W186" s="177" t="s">
        <v>2021</v>
      </c>
      <c r="X186" s="177">
        <v>4.3999999999999997E-2</v>
      </c>
      <c r="Y186" s="177"/>
      <c r="Z186" s="177"/>
      <c r="AA186" s="177"/>
      <c r="AB186" s="177"/>
      <c r="AC186" s="177"/>
      <c r="AD186" s="177"/>
      <c r="AE186" s="177"/>
      <c r="AF186" s="177"/>
      <c r="AG186" s="177"/>
      <c r="AH186" s="177"/>
    </row>
    <row r="187" spans="4:37" ht="20.100000000000001" customHeight="1" x14ac:dyDescent="0.2">
      <c r="D187" s="177" t="s">
        <v>2142</v>
      </c>
      <c r="E187" s="177" t="s">
        <v>2145</v>
      </c>
      <c r="F187" s="177" t="s">
        <v>636</v>
      </c>
      <c r="G187" s="177">
        <v>1</v>
      </c>
      <c r="H187" s="177"/>
      <c r="I187" s="177"/>
      <c r="J187" s="177"/>
      <c r="K187" s="177">
        <v>16.899999999999999</v>
      </c>
      <c r="L187" s="177"/>
      <c r="M187" s="177">
        <v>14.4</v>
      </c>
      <c r="N187" s="177">
        <v>8.6999999999999993</v>
      </c>
      <c r="O187" s="177" t="s">
        <v>1974</v>
      </c>
      <c r="P187" s="177">
        <v>5.1999999999999998E-2</v>
      </c>
      <c r="Q187" s="177" t="s">
        <v>1972</v>
      </c>
      <c r="R187" s="177">
        <v>0.11700000000000001</v>
      </c>
      <c r="S187" s="177" t="s">
        <v>1982</v>
      </c>
      <c r="T187" s="177">
        <v>0.14399999999999999</v>
      </c>
      <c r="U187" s="177" t="s">
        <v>1984</v>
      </c>
      <c r="V187" s="177">
        <v>8.6999999999999994E-2</v>
      </c>
      <c r="W187" s="177" t="s">
        <v>2021</v>
      </c>
      <c r="X187" s="177">
        <v>4.3999999999999997E-2</v>
      </c>
      <c r="Y187" s="177"/>
      <c r="Z187" s="177"/>
      <c r="AA187" s="177"/>
      <c r="AB187" s="177"/>
      <c r="AC187" s="177"/>
      <c r="AD187" s="177"/>
      <c r="AE187" s="177"/>
      <c r="AF187" s="177"/>
      <c r="AG187" s="177"/>
      <c r="AH187" s="177"/>
    </row>
    <row r="188" spans="4:37" ht="20.100000000000001" customHeight="1" x14ac:dyDescent="0.2">
      <c r="D188" s="177" t="s">
        <v>2142</v>
      </c>
      <c r="E188" s="177" t="s">
        <v>2146</v>
      </c>
      <c r="F188" s="177" t="s">
        <v>636</v>
      </c>
      <c r="G188" s="177">
        <v>1</v>
      </c>
      <c r="H188" s="177"/>
      <c r="I188" s="177"/>
      <c r="J188" s="177"/>
      <c r="K188" s="177">
        <v>18.8</v>
      </c>
      <c r="L188" s="177">
        <v>1</v>
      </c>
      <c r="M188" s="177">
        <v>12.5</v>
      </c>
      <c r="N188" s="177">
        <v>3.7</v>
      </c>
      <c r="O188" s="177" t="s">
        <v>1974</v>
      </c>
      <c r="P188" s="177">
        <v>5.8000000000000003E-2</v>
      </c>
      <c r="Q188" s="177" t="s">
        <v>1972</v>
      </c>
      <c r="R188" s="177">
        <v>0.13</v>
      </c>
      <c r="S188" s="177" t="s">
        <v>1979</v>
      </c>
      <c r="T188" s="177">
        <v>0.01</v>
      </c>
      <c r="U188" s="177" t="s">
        <v>1982</v>
      </c>
      <c r="V188" s="177">
        <v>0.125</v>
      </c>
      <c r="W188" s="177" t="s">
        <v>1984</v>
      </c>
      <c r="X188" s="177">
        <v>3.6999999999999998E-2</v>
      </c>
      <c r="Y188" s="177" t="s">
        <v>2021</v>
      </c>
      <c r="Z188" s="177">
        <v>4.3999999999999997E-2</v>
      </c>
      <c r="AA188" s="177"/>
      <c r="AB188" s="177"/>
      <c r="AC188" s="177"/>
      <c r="AD188" s="177"/>
      <c r="AE188" s="177"/>
      <c r="AF188" s="177"/>
      <c r="AG188" s="177"/>
      <c r="AH188" s="177"/>
    </row>
    <row r="189" spans="4:37" ht="20.100000000000001" customHeight="1" x14ac:dyDescent="0.2">
      <c r="D189" s="177" t="s">
        <v>2142</v>
      </c>
      <c r="E189" s="177" t="s">
        <v>2147</v>
      </c>
      <c r="F189" s="177" t="s">
        <v>636</v>
      </c>
      <c r="G189" s="177">
        <v>1</v>
      </c>
      <c r="H189" s="177"/>
      <c r="I189" s="177"/>
      <c r="J189" s="177"/>
      <c r="K189" s="177">
        <v>18.600000000000001</v>
      </c>
      <c r="L189" s="177">
        <v>3</v>
      </c>
      <c r="M189" s="177">
        <v>12.5</v>
      </c>
      <c r="N189" s="177">
        <v>1.4</v>
      </c>
      <c r="O189" s="177" t="s">
        <v>1974</v>
      </c>
      <c r="P189" s="177">
        <v>5.8000000000000003E-2</v>
      </c>
      <c r="Q189" s="177" t="s">
        <v>1972</v>
      </c>
      <c r="R189" s="177">
        <v>0.128</v>
      </c>
      <c r="S189" s="177" t="s">
        <v>1979</v>
      </c>
      <c r="T189" s="177">
        <v>0.03</v>
      </c>
      <c r="U189" s="177" t="s">
        <v>1982</v>
      </c>
      <c r="V189" s="177">
        <v>0.125</v>
      </c>
      <c r="W189" s="177" t="s">
        <v>1984</v>
      </c>
      <c r="X189" s="177">
        <v>1.4E-2</v>
      </c>
      <c r="Y189" s="177" t="s">
        <v>2021</v>
      </c>
      <c r="Z189" s="177">
        <v>4.3999999999999997E-2</v>
      </c>
      <c r="AA189" s="177"/>
      <c r="AB189" s="177"/>
      <c r="AC189" s="177"/>
      <c r="AD189" s="177"/>
      <c r="AE189" s="177"/>
      <c r="AF189" s="177"/>
      <c r="AG189" s="177"/>
      <c r="AH189" s="177"/>
    </row>
    <row r="190" spans="4:37" ht="20.100000000000001" customHeight="1" x14ac:dyDescent="0.2">
      <c r="D190" s="177" t="s">
        <v>2142</v>
      </c>
      <c r="E190" s="177" t="s">
        <v>2148</v>
      </c>
      <c r="F190" s="177" t="s">
        <v>636</v>
      </c>
      <c r="G190" s="177">
        <v>1</v>
      </c>
      <c r="H190" s="177"/>
      <c r="I190" s="177"/>
      <c r="J190" s="177"/>
      <c r="K190" s="177">
        <v>15.8</v>
      </c>
      <c r="L190" s="177"/>
      <c r="M190" s="177">
        <v>19</v>
      </c>
      <c r="N190" s="177">
        <v>3.2</v>
      </c>
      <c r="O190" s="177" t="s">
        <v>1974</v>
      </c>
      <c r="P190" s="177">
        <v>4.9000000000000002E-2</v>
      </c>
      <c r="Q190" s="177" t="s">
        <v>1972</v>
      </c>
      <c r="R190" s="177">
        <v>0.109</v>
      </c>
      <c r="S190" s="177" t="s">
        <v>1982</v>
      </c>
      <c r="T190" s="177">
        <v>0.19</v>
      </c>
      <c r="U190" s="177" t="s">
        <v>1984</v>
      </c>
      <c r="V190" s="177">
        <v>3.2000000000000001E-2</v>
      </c>
      <c r="W190" s="177" t="s">
        <v>2021</v>
      </c>
      <c r="X190" s="177">
        <v>3.9E-2</v>
      </c>
      <c r="Y190" s="177"/>
      <c r="Z190" s="177"/>
      <c r="AA190" s="177"/>
      <c r="AB190" s="177"/>
      <c r="AC190" s="177"/>
      <c r="AD190" s="177"/>
      <c r="AE190" s="177"/>
      <c r="AF190" s="177"/>
      <c r="AG190" s="177"/>
      <c r="AH190" s="177"/>
    </row>
    <row r="191" spans="4:37" ht="20.100000000000001" customHeight="1" x14ac:dyDescent="0.2">
      <c r="D191" s="177" t="s">
        <v>2048</v>
      </c>
      <c r="E191" s="177" t="s">
        <v>2149</v>
      </c>
      <c r="F191" s="177" t="s">
        <v>636</v>
      </c>
      <c r="G191" s="177">
        <v>1</v>
      </c>
      <c r="H191" s="177"/>
      <c r="I191" s="177"/>
      <c r="J191" s="177"/>
      <c r="K191" s="177">
        <v>25.9</v>
      </c>
      <c r="L191" s="177">
        <v>3.9</v>
      </c>
      <c r="M191" s="177">
        <v>15.9</v>
      </c>
      <c r="N191" s="177">
        <v>0.3</v>
      </c>
      <c r="O191" s="177" t="s">
        <v>1977</v>
      </c>
      <c r="P191" s="177">
        <v>0.25900000000000001</v>
      </c>
      <c r="Q191" s="177" t="s">
        <v>1979</v>
      </c>
      <c r="R191" s="177">
        <v>3.9E-2</v>
      </c>
      <c r="S191" s="177" t="s">
        <v>1982</v>
      </c>
      <c r="T191" s="177">
        <v>0.159</v>
      </c>
      <c r="U191" s="177" t="s">
        <v>1984</v>
      </c>
      <c r="V191" s="177">
        <v>3.0000000000000001E-3</v>
      </c>
      <c r="W191" s="177"/>
      <c r="X191" s="177"/>
      <c r="Y191" s="177"/>
      <c r="Z191" s="177"/>
      <c r="AA191" s="177"/>
      <c r="AB191" s="177"/>
      <c r="AC191" s="177"/>
      <c r="AD191" s="177"/>
      <c r="AE191" s="177"/>
      <c r="AF191" s="177"/>
      <c r="AG191" s="177"/>
      <c r="AH191" s="177"/>
    </row>
    <row r="192" spans="4:37" ht="20.100000000000001" customHeight="1" x14ac:dyDescent="0.2">
      <c r="D192" s="177" t="s">
        <v>2086</v>
      </c>
      <c r="E192" s="177" t="s">
        <v>2150</v>
      </c>
      <c r="F192" s="177" t="s">
        <v>636</v>
      </c>
      <c r="G192" s="177">
        <v>1</v>
      </c>
      <c r="H192" s="177"/>
      <c r="I192" s="177"/>
      <c r="J192" s="177"/>
      <c r="K192" s="177">
        <v>15.6</v>
      </c>
      <c r="L192" s="177">
        <v>6.37</v>
      </c>
      <c r="M192" s="177">
        <v>12.45</v>
      </c>
      <c r="N192" s="177">
        <v>2.6</v>
      </c>
      <c r="O192" s="177" t="s">
        <v>1974</v>
      </c>
      <c r="P192" s="177">
        <v>5.8000000000000003E-2</v>
      </c>
      <c r="Q192" s="177" t="s">
        <v>1972</v>
      </c>
      <c r="R192" s="177">
        <v>9.8000000000000004E-2</v>
      </c>
      <c r="S192" s="177" t="s">
        <v>1979</v>
      </c>
      <c r="T192" s="177">
        <v>6.3714000000000007E-2</v>
      </c>
      <c r="U192" s="177" t="s">
        <v>1982</v>
      </c>
      <c r="V192" s="177">
        <v>0.124515</v>
      </c>
      <c r="W192" s="177" t="s">
        <v>1984</v>
      </c>
      <c r="X192" s="177">
        <v>2.5999999999999999E-2</v>
      </c>
      <c r="Y192" s="177"/>
      <c r="Z192" s="177"/>
      <c r="AA192" s="177"/>
      <c r="AB192" s="177"/>
      <c r="AC192" s="177"/>
      <c r="AD192" s="177"/>
      <c r="AE192" s="177"/>
      <c r="AF192" s="177"/>
      <c r="AG192" s="177"/>
      <c r="AH192" s="177"/>
    </row>
    <row r="193" spans="4:34" ht="20.100000000000001" customHeight="1" x14ac:dyDescent="0.2">
      <c r="D193" s="177" t="s">
        <v>2151</v>
      </c>
      <c r="E193" s="177" t="s">
        <v>2152</v>
      </c>
      <c r="F193" s="177" t="s">
        <v>636</v>
      </c>
      <c r="G193" s="177">
        <v>1</v>
      </c>
      <c r="H193" s="177"/>
      <c r="I193" s="177"/>
      <c r="J193" s="177"/>
      <c r="K193" s="177">
        <v>11.15</v>
      </c>
      <c r="L193" s="177">
        <v>17.52</v>
      </c>
      <c r="M193" s="177"/>
      <c r="N193" s="177">
        <v>3.6</v>
      </c>
      <c r="O193" s="177" t="s">
        <v>1962</v>
      </c>
      <c r="P193" s="177">
        <v>0.8</v>
      </c>
      <c r="Q193" s="177" t="s">
        <v>1967</v>
      </c>
      <c r="R193" s="177">
        <v>0.15</v>
      </c>
      <c r="S193" s="177" t="s">
        <v>2033</v>
      </c>
      <c r="T193" s="177" t="s">
        <v>1156</v>
      </c>
      <c r="U193" s="177" t="s">
        <v>2076</v>
      </c>
      <c r="V193" s="177" t="s">
        <v>1156</v>
      </c>
      <c r="W193" s="177" t="s">
        <v>2030</v>
      </c>
      <c r="X193" s="177" t="s">
        <v>1156</v>
      </c>
      <c r="Y193" s="177"/>
      <c r="Z193" s="177"/>
      <c r="AA193" s="177"/>
      <c r="AB193" s="177"/>
      <c r="AC193" s="177"/>
      <c r="AD193" s="177"/>
      <c r="AE193" s="177"/>
      <c r="AF193" s="177"/>
      <c r="AG193" s="177"/>
      <c r="AH193" s="177"/>
    </row>
    <row r="194" spans="4:34" ht="20.100000000000001" customHeight="1" x14ac:dyDescent="0.2">
      <c r="D194" s="177" t="s">
        <v>2151</v>
      </c>
      <c r="E194" s="177" t="s">
        <v>2153</v>
      </c>
      <c r="F194" s="177" t="s">
        <v>636</v>
      </c>
      <c r="G194" s="177">
        <v>1</v>
      </c>
      <c r="H194" s="177"/>
      <c r="I194" s="177"/>
      <c r="J194" s="177"/>
      <c r="K194" s="177"/>
      <c r="L194" s="177">
        <v>5.5</v>
      </c>
      <c r="M194" s="177">
        <v>15</v>
      </c>
      <c r="N194" s="177">
        <v>6.88</v>
      </c>
      <c r="O194" s="177" t="s">
        <v>1990</v>
      </c>
      <c r="P194" s="177">
        <v>0.625</v>
      </c>
      <c r="Q194" s="177" t="s">
        <v>1988</v>
      </c>
      <c r="R194" s="177">
        <v>0.3</v>
      </c>
      <c r="S194" s="177"/>
      <c r="T194" s="177"/>
      <c r="U194" s="177"/>
      <c r="V194" s="177"/>
      <c r="W194" s="177"/>
      <c r="X194" s="177"/>
      <c r="Y194" s="177"/>
      <c r="Z194" s="177"/>
      <c r="AA194" s="177"/>
      <c r="AB194" s="177"/>
      <c r="AC194" s="177"/>
      <c r="AD194" s="177"/>
      <c r="AE194" s="177"/>
      <c r="AF194" s="177"/>
      <c r="AG194" s="177"/>
      <c r="AH194" s="177"/>
    </row>
    <row r="195" spans="4:34" ht="20.100000000000001" customHeight="1" x14ac:dyDescent="0.2">
      <c r="D195" s="177" t="s">
        <v>2154</v>
      </c>
      <c r="E195" s="177" t="s">
        <v>2155</v>
      </c>
      <c r="F195" s="177" t="s">
        <v>636</v>
      </c>
      <c r="G195" s="177">
        <v>1</v>
      </c>
      <c r="H195" s="177"/>
      <c r="I195" s="177"/>
      <c r="J195" s="177"/>
      <c r="K195" s="177">
        <v>27</v>
      </c>
      <c r="L195" s="177"/>
      <c r="M195" s="177"/>
      <c r="N195" s="177"/>
      <c r="O195" s="177" t="s">
        <v>1971</v>
      </c>
      <c r="P195" s="177">
        <v>1</v>
      </c>
      <c r="Q195" s="177"/>
      <c r="R195" s="177"/>
      <c r="S195" s="177"/>
      <c r="T195" s="177"/>
      <c r="U195" s="177"/>
      <c r="V195" s="177"/>
      <c r="W195" s="177"/>
      <c r="X195" s="177"/>
      <c r="Y195" s="177"/>
      <c r="Z195" s="177"/>
      <c r="AA195" s="177"/>
      <c r="AB195" s="177"/>
      <c r="AC195" s="177"/>
      <c r="AD195" s="177"/>
      <c r="AE195" s="177"/>
      <c r="AF195" s="177"/>
      <c r="AG195" s="177"/>
      <c r="AH195" s="177"/>
    </row>
    <row r="196" spans="4:34" ht="20.100000000000001" customHeight="1" x14ac:dyDescent="0.2">
      <c r="D196" s="177" t="s">
        <v>2048</v>
      </c>
      <c r="E196" s="177" t="s">
        <v>2156</v>
      </c>
      <c r="F196" s="177" t="s">
        <v>636</v>
      </c>
      <c r="G196" s="177">
        <v>1</v>
      </c>
      <c r="H196" s="177"/>
      <c r="I196" s="177"/>
      <c r="J196" s="177"/>
      <c r="K196" s="177">
        <v>20.6</v>
      </c>
      <c r="L196" s="177">
        <v>3</v>
      </c>
      <c r="M196" s="177">
        <v>7.5</v>
      </c>
      <c r="N196" s="177">
        <v>3.8</v>
      </c>
      <c r="O196" s="177" t="s">
        <v>1974</v>
      </c>
      <c r="P196" s="177">
        <v>6.4000000000000001E-2</v>
      </c>
      <c r="Q196" s="177" t="s">
        <v>1972</v>
      </c>
      <c r="R196" s="177">
        <v>0.14199999999999999</v>
      </c>
      <c r="S196" s="177" t="s">
        <v>1979</v>
      </c>
      <c r="T196" s="177">
        <v>0.03</v>
      </c>
      <c r="U196" s="177" t="s">
        <v>1982</v>
      </c>
      <c r="V196" s="177">
        <v>7.4999999999999997E-2</v>
      </c>
      <c r="W196" s="177" t="s">
        <v>1984</v>
      </c>
      <c r="X196" s="177">
        <v>3.7999999999999999E-2</v>
      </c>
      <c r="Y196" s="177" t="s">
        <v>2021</v>
      </c>
      <c r="Z196" s="177">
        <v>4.3999999999999997E-2</v>
      </c>
      <c r="AA196" s="177"/>
      <c r="AB196" s="177"/>
      <c r="AC196" s="177"/>
      <c r="AD196" s="177"/>
      <c r="AE196" s="177"/>
      <c r="AF196" s="177"/>
      <c r="AG196" s="177"/>
      <c r="AH196" s="177"/>
    </row>
    <row r="197" spans="4:34" ht="20.100000000000001" customHeight="1" x14ac:dyDescent="0.2">
      <c r="D197" s="177" t="s">
        <v>2048</v>
      </c>
      <c r="E197" s="177" t="s">
        <v>2157</v>
      </c>
      <c r="F197" s="177" t="s">
        <v>636</v>
      </c>
      <c r="G197" s="177">
        <v>1</v>
      </c>
      <c r="H197" s="177"/>
      <c r="I197" s="177"/>
      <c r="J197" s="177"/>
      <c r="K197" s="177">
        <v>17.8</v>
      </c>
      <c r="L197" s="177">
        <v>1</v>
      </c>
      <c r="M197" s="177">
        <v>15</v>
      </c>
      <c r="N197" s="177">
        <v>2.5</v>
      </c>
      <c r="O197" s="177" t="s">
        <v>1974</v>
      </c>
      <c r="P197" s="177">
        <v>5.5E-2</v>
      </c>
      <c r="Q197" s="177" t="s">
        <v>1972</v>
      </c>
      <c r="R197" s="177">
        <v>0.123</v>
      </c>
      <c r="S197" s="177" t="s">
        <v>1979</v>
      </c>
      <c r="T197" s="177">
        <v>0.01</v>
      </c>
      <c r="U197" s="177" t="s">
        <v>1982</v>
      </c>
      <c r="V197" s="177">
        <v>0.15</v>
      </c>
      <c r="W197" s="177" t="s">
        <v>1984</v>
      </c>
      <c r="X197" s="177">
        <v>2.5000000000000001E-2</v>
      </c>
      <c r="Y197" s="177" t="s">
        <v>2021</v>
      </c>
      <c r="Z197" s="177">
        <v>4.3999999999999997E-2</v>
      </c>
      <c r="AA197" s="177"/>
      <c r="AB197" s="177"/>
      <c r="AC197" s="177"/>
      <c r="AD197" s="177"/>
      <c r="AE197" s="177"/>
      <c r="AF197" s="177"/>
      <c r="AG197" s="177"/>
      <c r="AH197" s="177"/>
    </row>
    <row r="198" spans="4:34" ht="20.100000000000001" customHeight="1" x14ac:dyDescent="0.2">
      <c r="D198" s="177" t="s">
        <v>2158</v>
      </c>
      <c r="E198" s="177" t="s">
        <v>2159</v>
      </c>
      <c r="F198" s="177" t="s">
        <v>636</v>
      </c>
      <c r="G198" s="177">
        <v>1</v>
      </c>
      <c r="H198" s="177"/>
      <c r="I198" s="177"/>
      <c r="J198" s="177"/>
      <c r="K198" s="177">
        <v>10</v>
      </c>
      <c r="L198" s="177">
        <v>22</v>
      </c>
      <c r="M198" s="177"/>
      <c r="N198" s="177">
        <v>1.5</v>
      </c>
      <c r="O198" s="177" t="s">
        <v>1977</v>
      </c>
      <c r="P198" s="177">
        <v>0.1</v>
      </c>
      <c r="Q198" s="177" t="s">
        <v>1979</v>
      </c>
      <c r="R198" s="177">
        <v>0.22</v>
      </c>
      <c r="S198" s="177" t="s">
        <v>1984</v>
      </c>
      <c r="T198" s="177">
        <v>1.4999999999999999E-2</v>
      </c>
      <c r="U198" s="177" t="s">
        <v>2030</v>
      </c>
      <c r="V198" s="177">
        <v>0.01</v>
      </c>
      <c r="W198" s="177"/>
      <c r="X198" s="177"/>
      <c r="Y198" s="177"/>
      <c r="Z198" s="177"/>
      <c r="AA198" s="177"/>
      <c r="AB198" s="177"/>
      <c r="AC198" s="177"/>
      <c r="AD198" s="177"/>
      <c r="AE198" s="177"/>
      <c r="AF198" s="177"/>
      <c r="AG198" s="177"/>
      <c r="AH198" s="177"/>
    </row>
    <row r="199" spans="4:34" ht="20.100000000000001" customHeight="1" x14ac:dyDescent="0.2">
      <c r="D199" s="177" t="s">
        <v>2158</v>
      </c>
      <c r="E199" s="177" t="s">
        <v>2160</v>
      </c>
      <c r="F199" s="177" t="s">
        <v>636</v>
      </c>
      <c r="G199" s="177">
        <v>1</v>
      </c>
      <c r="H199" s="177"/>
      <c r="I199" s="177"/>
      <c r="J199" s="177"/>
      <c r="K199" s="177"/>
      <c r="L199" s="177">
        <v>15.7</v>
      </c>
      <c r="M199" s="177"/>
      <c r="N199" s="177">
        <v>4.5999999999999996</v>
      </c>
      <c r="O199" s="177" t="s">
        <v>1979</v>
      </c>
      <c r="P199" s="177">
        <v>0.157</v>
      </c>
      <c r="Q199" s="177" t="s">
        <v>1984</v>
      </c>
      <c r="R199" s="177">
        <v>4.5999999999999999E-2</v>
      </c>
      <c r="S199" s="177" t="s">
        <v>2021</v>
      </c>
      <c r="T199" s="177">
        <v>0.14000000000000001</v>
      </c>
      <c r="U199" s="177"/>
      <c r="V199" s="177"/>
      <c r="W199" s="177"/>
      <c r="X199" s="177"/>
      <c r="Y199" s="177"/>
      <c r="Z199" s="177"/>
      <c r="AA199" s="177"/>
      <c r="AB199" s="177"/>
      <c r="AC199" s="177"/>
      <c r="AD199" s="177"/>
      <c r="AE199" s="177"/>
      <c r="AF199" s="177"/>
      <c r="AG199" s="177"/>
      <c r="AH199" s="177"/>
    </row>
    <row r="200" spans="4:34" ht="20.100000000000001" customHeight="1" x14ac:dyDescent="0.2">
      <c r="D200" s="177" t="s">
        <v>2158</v>
      </c>
      <c r="E200" s="177" t="s">
        <v>2161</v>
      </c>
      <c r="F200" s="177" t="s">
        <v>636</v>
      </c>
      <c r="G200" s="177">
        <v>1</v>
      </c>
      <c r="H200" s="177"/>
      <c r="I200" s="177"/>
      <c r="J200" s="177"/>
      <c r="K200" s="177"/>
      <c r="L200" s="177"/>
      <c r="M200" s="177"/>
      <c r="N200" s="177">
        <v>90</v>
      </c>
      <c r="O200" s="177" t="s">
        <v>1984</v>
      </c>
      <c r="P200" s="177">
        <v>0.9</v>
      </c>
      <c r="Q200" s="177"/>
      <c r="R200" s="177"/>
      <c r="S200" s="177"/>
      <c r="T200" s="177"/>
      <c r="U200" s="177"/>
      <c r="V200" s="177"/>
      <c r="W200" s="177"/>
      <c r="X200" s="177"/>
      <c r="Y200" s="177"/>
      <c r="Z200" s="177"/>
      <c r="AA200" s="177"/>
      <c r="AB200" s="177"/>
      <c r="AC200" s="177"/>
      <c r="AD200" s="177"/>
      <c r="AE200" s="177"/>
      <c r="AF200" s="177"/>
      <c r="AG200" s="177"/>
      <c r="AH200" s="177"/>
    </row>
    <row r="201" spans="4:34" ht="20.100000000000001" customHeight="1" x14ac:dyDescent="0.2">
      <c r="D201" s="177" t="s">
        <v>2158</v>
      </c>
      <c r="E201" s="177" t="s">
        <v>2162</v>
      </c>
      <c r="F201" s="177" t="s">
        <v>636</v>
      </c>
      <c r="G201" s="177">
        <v>1</v>
      </c>
      <c r="H201" s="177"/>
      <c r="I201" s="177"/>
      <c r="J201" s="177"/>
      <c r="K201" s="177">
        <v>19.5</v>
      </c>
      <c r="L201" s="177">
        <v>0.7</v>
      </c>
      <c r="M201" s="177"/>
      <c r="N201" s="177">
        <v>23</v>
      </c>
      <c r="O201" s="177" t="s">
        <v>1977</v>
      </c>
      <c r="P201" s="177">
        <v>0.19500000000000001</v>
      </c>
      <c r="Q201" s="177" t="s">
        <v>1979</v>
      </c>
      <c r="R201" s="177">
        <v>7.0000000000000001E-3</v>
      </c>
      <c r="S201" s="177" t="s">
        <v>1984</v>
      </c>
      <c r="T201" s="177">
        <v>0.23</v>
      </c>
      <c r="U201" s="177"/>
      <c r="V201" s="177"/>
      <c r="W201" s="177"/>
      <c r="X201" s="177"/>
      <c r="Y201" s="177"/>
      <c r="Z201" s="177"/>
      <c r="AA201" s="177"/>
      <c r="AB201" s="177"/>
      <c r="AC201" s="177"/>
      <c r="AD201" s="177"/>
      <c r="AE201" s="177"/>
      <c r="AF201" s="177"/>
      <c r="AG201" s="177"/>
      <c r="AH201" s="177"/>
    </row>
    <row r="202" spans="4:34" ht="20.100000000000001" customHeight="1" x14ac:dyDescent="0.2">
      <c r="D202" s="177" t="s">
        <v>2158</v>
      </c>
      <c r="E202" s="177" t="s">
        <v>2163</v>
      </c>
      <c r="F202" s="177" t="s">
        <v>636</v>
      </c>
      <c r="G202" s="177">
        <v>1</v>
      </c>
      <c r="H202" s="177"/>
      <c r="I202" s="177"/>
      <c r="J202" s="177"/>
      <c r="K202" s="177">
        <v>10</v>
      </c>
      <c r="L202" s="177">
        <v>18</v>
      </c>
      <c r="M202" s="177"/>
      <c r="N202" s="177">
        <v>8</v>
      </c>
      <c r="O202" s="177" t="s">
        <v>1977</v>
      </c>
      <c r="P202" s="177">
        <v>0.1</v>
      </c>
      <c r="Q202" s="177" t="s">
        <v>1979</v>
      </c>
      <c r="R202" s="177">
        <v>0.18</v>
      </c>
      <c r="S202" s="177" t="s">
        <v>1984</v>
      </c>
      <c r="T202" s="177">
        <v>0.08</v>
      </c>
      <c r="U202" s="177" t="s">
        <v>2030</v>
      </c>
      <c r="V202" s="177">
        <v>5.0000000000000001E-3</v>
      </c>
      <c r="W202" s="177"/>
      <c r="X202" s="177"/>
      <c r="Y202" s="177"/>
      <c r="Z202" s="177"/>
      <c r="AA202" s="177"/>
      <c r="AB202" s="177"/>
      <c r="AC202" s="177"/>
      <c r="AD202" s="177"/>
      <c r="AE202" s="177"/>
      <c r="AF202" s="177"/>
      <c r="AG202" s="177"/>
      <c r="AH202" s="177"/>
    </row>
    <row r="203" spans="4:34" ht="20.100000000000001" customHeight="1" x14ac:dyDescent="0.2">
      <c r="D203" s="177" t="s">
        <v>2158</v>
      </c>
      <c r="E203" s="177" t="s">
        <v>2164</v>
      </c>
      <c r="F203" s="177" t="s">
        <v>636</v>
      </c>
      <c r="G203" s="177">
        <v>1</v>
      </c>
      <c r="H203" s="177"/>
      <c r="I203" s="177"/>
      <c r="J203" s="177"/>
      <c r="K203" s="177">
        <v>9</v>
      </c>
      <c r="L203" s="177">
        <v>19.8</v>
      </c>
      <c r="M203" s="177">
        <v>0</v>
      </c>
      <c r="N203" s="177">
        <v>10.4</v>
      </c>
      <c r="O203" s="177" t="s">
        <v>1977</v>
      </c>
      <c r="P203" s="177">
        <v>0.09</v>
      </c>
      <c r="Q203" s="177" t="s">
        <v>1979</v>
      </c>
      <c r="R203" s="177">
        <v>0.19800000000000001</v>
      </c>
      <c r="S203" s="177" t="s">
        <v>1984</v>
      </c>
      <c r="T203" s="177">
        <v>0.104</v>
      </c>
      <c r="U203" s="177"/>
      <c r="V203" s="177"/>
      <c r="W203" s="177"/>
      <c r="X203" s="177"/>
      <c r="Y203" s="177"/>
      <c r="Z203" s="177"/>
      <c r="AA203" s="177"/>
      <c r="AB203" s="177"/>
      <c r="AC203" s="177"/>
      <c r="AD203" s="177"/>
      <c r="AE203" s="177"/>
      <c r="AF203" s="177"/>
      <c r="AG203" s="177"/>
      <c r="AH203" s="177"/>
    </row>
    <row r="204" spans="4:34" ht="20.100000000000001" customHeight="1" x14ac:dyDescent="0.2">
      <c r="D204" s="177" t="s">
        <v>2158</v>
      </c>
      <c r="E204" s="177" t="s">
        <v>2165</v>
      </c>
      <c r="F204" s="177" t="s">
        <v>636</v>
      </c>
      <c r="G204" s="177">
        <v>1</v>
      </c>
      <c r="H204" s="177"/>
      <c r="I204" s="177"/>
      <c r="J204" s="177"/>
      <c r="K204" s="177">
        <v>15.2</v>
      </c>
      <c r="L204" s="177">
        <v>16.899999999999999</v>
      </c>
      <c r="M204" s="177">
        <v>0</v>
      </c>
      <c r="N204" s="177">
        <v>15.2</v>
      </c>
      <c r="O204" s="177" t="s">
        <v>1977</v>
      </c>
      <c r="P204" s="177">
        <v>0.152</v>
      </c>
      <c r="Q204" s="177" t="s">
        <v>1979</v>
      </c>
      <c r="R204" s="177">
        <v>0.16900000000000001</v>
      </c>
      <c r="S204" s="177" t="s">
        <v>1984</v>
      </c>
      <c r="T204" s="177">
        <v>0.152</v>
      </c>
      <c r="U204" s="177"/>
      <c r="V204" s="177"/>
      <c r="W204" s="177"/>
      <c r="X204" s="177"/>
      <c r="Y204" s="177"/>
      <c r="Z204" s="177"/>
      <c r="AA204" s="177"/>
      <c r="AB204" s="177"/>
      <c r="AC204" s="177"/>
      <c r="AD204" s="177"/>
      <c r="AE204" s="177"/>
      <c r="AF204" s="177"/>
      <c r="AG204" s="177"/>
      <c r="AH204" s="177"/>
    </row>
    <row r="205" spans="4:34" ht="20.100000000000001" customHeight="1" x14ac:dyDescent="0.2">
      <c r="D205" s="177" t="s">
        <v>2158</v>
      </c>
      <c r="E205" s="177" t="s">
        <v>2166</v>
      </c>
      <c r="F205" s="177" t="s">
        <v>636</v>
      </c>
      <c r="G205" s="177">
        <v>1</v>
      </c>
      <c r="H205" s="177"/>
      <c r="I205" s="177"/>
      <c r="J205" s="177"/>
      <c r="K205" s="177">
        <v>16.2</v>
      </c>
      <c r="L205" s="177">
        <v>18</v>
      </c>
      <c r="M205" s="177">
        <v>0</v>
      </c>
      <c r="N205" s="177">
        <v>10.4</v>
      </c>
      <c r="O205" s="177" t="s">
        <v>1977</v>
      </c>
      <c r="P205" s="177">
        <v>0.16200000000000001</v>
      </c>
      <c r="Q205" s="177" t="s">
        <v>1979</v>
      </c>
      <c r="R205" s="177">
        <v>0.18</v>
      </c>
      <c r="S205" s="177" t="s">
        <v>1984</v>
      </c>
      <c r="T205" s="177">
        <v>0.104</v>
      </c>
      <c r="U205" s="177"/>
      <c r="V205" s="177"/>
      <c r="W205" s="177"/>
      <c r="X205" s="177"/>
      <c r="Y205" s="177"/>
      <c r="Z205" s="177"/>
      <c r="AA205" s="177"/>
      <c r="AB205" s="177"/>
      <c r="AC205" s="177"/>
      <c r="AD205" s="177"/>
      <c r="AE205" s="177"/>
      <c r="AF205" s="177"/>
      <c r="AG205" s="177"/>
      <c r="AH205" s="177"/>
    </row>
    <row r="206" spans="4:34" ht="20.100000000000001" customHeight="1" x14ac:dyDescent="0.2">
      <c r="D206" s="177" t="s">
        <v>2158</v>
      </c>
      <c r="E206" s="177" t="s">
        <v>2167</v>
      </c>
      <c r="F206" s="177" t="s">
        <v>636</v>
      </c>
      <c r="G206" s="177">
        <v>1</v>
      </c>
      <c r="H206" s="177"/>
      <c r="I206" s="177"/>
      <c r="J206" s="177"/>
      <c r="K206" s="177">
        <v>5</v>
      </c>
      <c r="L206" s="177">
        <v>15.4</v>
      </c>
      <c r="M206" s="177">
        <v>0</v>
      </c>
      <c r="N206" s="177">
        <v>6.3</v>
      </c>
      <c r="O206" s="177" t="s">
        <v>1977</v>
      </c>
      <c r="P206" s="177">
        <v>0.05</v>
      </c>
      <c r="Q206" s="177" t="s">
        <v>1979</v>
      </c>
      <c r="R206" s="177">
        <v>0.154</v>
      </c>
      <c r="S206" s="177" t="s">
        <v>1984</v>
      </c>
      <c r="T206" s="177">
        <v>6.3E-2</v>
      </c>
      <c r="U206" s="177"/>
      <c r="V206" s="177"/>
      <c r="W206" s="177"/>
      <c r="X206" s="177"/>
      <c r="Y206" s="177"/>
      <c r="Z206" s="177"/>
      <c r="AA206" s="177"/>
      <c r="AB206" s="177"/>
      <c r="AC206" s="177"/>
      <c r="AD206" s="177"/>
      <c r="AE206" s="177"/>
      <c r="AF206" s="177"/>
      <c r="AG206" s="177"/>
      <c r="AH206" s="177"/>
    </row>
    <row r="207" spans="4:34" ht="20.100000000000001" customHeight="1" x14ac:dyDescent="0.2">
      <c r="D207" s="177" t="s">
        <v>2158</v>
      </c>
      <c r="E207" s="177" t="s">
        <v>2168</v>
      </c>
      <c r="F207" s="177" t="s">
        <v>636</v>
      </c>
      <c r="G207" s="177">
        <v>1</v>
      </c>
      <c r="H207" s="177"/>
      <c r="I207" s="177"/>
      <c r="J207" s="177"/>
      <c r="K207" s="177">
        <v>9</v>
      </c>
      <c r="L207" s="177">
        <v>19.8</v>
      </c>
      <c r="M207" s="177">
        <v>0</v>
      </c>
      <c r="N207" s="177">
        <v>10.4</v>
      </c>
      <c r="O207" s="177" t="s">
        <v>1977</v>
      </c>
      <c r="P207" s="177">
        <v>0.09</v>
      </c>
      <c r="Q207" s="177" t="s">
        <v>1979</v>
      </c>
      <c r="R207" s="177">
        <v>0.19800000000000001</v>
      </c>
      <c r="S207" s="177" t="s">
        <v>1984</v>
      </c>
      <c r="T207" s="177">
        <v>0.104</v>
      </c>
      <c r="U207" s="177" t="s">
        <v>2030</v>
      </c>
      <c r="V207" s="177">
        <v>8.9999999999999993E-3</v>
      </c>
      <c r="W207" s="177"/>
      <c r="X207" s="177"/>
      <c r="Y207" s="177"/>
      <c r="Z207" s="177"/>
      <c r="AA207" s="177"/>
      <c r="AB207" s="177"/>
      <c r="AC207" s="177"/>
      <c r="AD207" s="177"/>
      <c r="AE207" s="177"/>
      <c r="AF207" s="177"/>
      <c r="AG207" s="177"/>
      <c r="AH207" s="177"/>
    </row>
    <row r="208" spans="4:34" ht="20.100000000000001" customHeight="1" x14ac:dyDescent="0.2">
      <c r="D208" s="177" t="s">
        <v>2158</v>
      </c>
      <c r="E208" s="177" t="s">
        <v>2169</v>
      </c>
      <c r="F208" s="177" t="s">
        <v>636</v>
      </c>
      <c r="G208" s="177">
        <v>1</v>
      </c>
      <c r="H208" s="177"/>
      <c r="I208" s="177"/>
      <c r="J208" s="177"/>
      <c r="K208" s="177">
        <v>11.9</v>
      </c>
      <c r="L208" s="177">
        <v>17.600000000000001</v>
      </c>
      <c r="M208" s="177">
        <v>0</v>
      </c>
      <c r="N208" s="177">
        <v>5.9</v>
      </c>
      <c r="O208" s="177" t="s">
        <v>1977</v>
      </c>
      <c r="P208" s="177">
        <v>0.11899999999999999</v>
      </c>
      <c r="Q208" s="177" t="s">
        <v>1979</v>
      </c>
      <c r="R208" s="177">
        <v>0.17599999999999999</v>
      </c>
      <c r="S208" s="177" t="s">
        <v>1984</v>
      </c>
      <c r="T208" s="177">
        <v>5.8999999999999997E-2</v>
      </c>
      <c r="U208" s="177" t="s">
        <v>2030</v>
      </c>
      <c r="V208" s="177">
        <v>8.0000000000000002E-3</v>
      </c>
      <c r="W208" s="177"/>
      <c r="X208" s="177"/>
      <c r="Y208" s="177"/>
      <c r="Z208" s="177"/>
      <c r="AA208" s="177"/>
      <c r="AB208" s="177"/>
      <c r="AC208" s="177"/>
      <c r="AD208" s="177"/>
      <c r="AE208" s="177"/>
      <c r="AF208" s="177"/>
      <c r="AG208" s="177"/>
      <c r="AH208" s="177"/>
    </row>
    <row r="209" spans="4:34" ht="20.100000000000001" customHeight="1" x14ac:dyDescent="0.2">
      <c r="D209" s="177" t="s">
        <v>2158</v>
      </c>
      <c r="E209" s="177" t="s">
        <v>2170</v>
      </c>
      <c r="F209" s="177" t="s">
        <v>636</v>
      </c>
      <c r="G209" s="177">
        <v>1</v>
      </c>
      <c r="H209" s="177"/>
      <c r="I209" s="177"/>
      <c r="J209" s="177"/>
      <c r="K209" s="177">
        <v>14.1</v>
      </c>
      <c r="L209" s="177">
        <v>12.8</v>
      </c>
      <c r="M209" s="177">
        <v>0</v>
      </c>
      <c r="N209" s="177">
        <v>10.7</v>
      </c>
      <c r="O209" s="177" t="s">
        <v>1977</v>
      </c>
      <c r="P209" s="177">
        <v>0.14099999999999999</v>
      </c>
      <c r="Q209" s="177" t="s">
        <v>1979</v>
      </c>
      <c r="R209" s="177">
        <v>0.128</v>
      </c>
      <c r="S209" s="177" t="s">
        <v>1984</v>
      </c>
      <c r="T209" s="177">
        <v>0.107</v>
      </c>
      <c r="U209" s="177" t="s">
        <v>2030</v>
      </c>
      <c r="V209" s="177">
        <v>6.0000000000000001E-3</v>
      </c>
      <c r="W209" s="177"/>
      <c r="X209" s="177"/>
      <c r="Y209" s="177"/>
      <c r="Z209" s="177"/>
      <c r="AA209" s="177"/>
      <c r="AB209" s="177"/>
      <c r="AC209" s="177"/>
      <c r="AD209" s="177"/>
      <c r="AE209" s="177"/>
      <c r="AF209" s="177"/>
      <c r="AG209" s="177"/>
      <c r="AH209" s="177"/>
    </row>
    <row r="210" spans="4:34" ht="20.100000000000001" customHeight="1" x14ac:dyDescent="0.2">
      <c r="D210" s="177" t="s">
        <v>2158</v>
      </c>
      <c r="E210" s="177" t="s">
        <v>2171</v>
      </c>
      <c r="F210" s="177" t="s">
        <v>636</v>
      </c>
      <c r="G210" s="177">
        <v>1</v>
      </c>
      <c r="H210" s="177"/>
      <c r="I210" s="177"/>
      <c r="J210" s="177"/>
      <c r="K210" s="177">
        <v>18.600000000000001</v>
      </c>
      <c r="L210" s="177">
        <v>12.7</v>
      </c>
      <c r="M210" s="177">
        <v>0</v>
      </c>
      <c r="N210" s="177">
        <v>6.8</v>
      </c>
      <c r="O210" s="177" t="s">
        <v>1977</v>
      </c>
      <c r="P210" s="177">
        <v>0.186</v>
      </c>
      <c r="Q210" s="177" t="s">
        <v>1979</v>
      </c>
      <c r="R210" s="177">
        <v>0.127</v>
      </c>
      <c r="S210" s="177" t="s">
        <v>1984</v>
      </c>
      <c r="T210" s="177">
        <v>6.8000000000000005E-2</v>
      </c>
      <c r="U210" s="177" t="s">
        <v>2030</v>
      </c>
      <c r="V210" s="177">
        <v>6.0000000000000001E-3</v>
      </c>
      <c r="W210" s="177"/>
      <c r="X210" s="177"/>
      <c r="Y210" s="177"/>
      <c r="Z210" s="177"/>
      <c r="AA210" s="177"/>
      <c r="AB210" s="177"/>
      <c r="AC210" s="177"/>
      <c r="AD210" s="177"/>
      <c r="AE210" s="177"/>
      <c r="AF210" s="177"/>
      <c r="AG210" s="177"/>
      <c r="AH210" s="177"/>
    </row>
    <row r="211" spans="4:34" ht="20.100000000000001" customHeight="1" x14ac:dyDescent="0.2">
      <c r="D211" s="177" t="s">
        <v>2158</v>
      </c>
      <c r="E211" s="177" t="s">
        <v>2172</v>
      </c>
      <c r="F211" s="177" t="s">
        <v>636</v>
      </c>
      <c r="G211" s="177">
        <v>1</v>
      </c>
      <c r="H211" s="177"/>
      <c r="I211" s="177"/>
      <c r="J211" s="177"/>
      <c r="K211" s="177">
        <v>32</v>
      </c>
      <c r="L211" s="177">
        <v>0</v>
      </c>
      <c r="M211" s="177">
        <v>11</v>
      </c>
      <c r="N211" s="177">
        <v>3</v>
      </c>
      <c r="O211" s="177" t="s">
        <v>1977</v>
      </c>
      <c r="P211" s="177">
        <v>0.32</v>
      </c>
      <c r="Q211" s="177" t="s">
        <v>1982</v>
      </c>
      <c r="R211" s="177">
        <v>0.11</v>
      </c>
      <c r="S211" s="177" t="s">
        <v>1984</v>
      </c>
      <c r="T211" s="177">
        <v>0.03</v>
      </c>
      <c r="U211" s="177"/>
      <c r="V211" s="177"/>
      <c r="W211" s="177"/>
      <c r="X211" s="177"/>
      <c r="Y211" s="177"/>
      <c r="Z211" s="177"/>
      <c r="AA211" s="177"/>
      <c r="AB211" s="177"/>
      <c r="AC211" s="177"/>
      <c r="AD211" s="177"/>
      <c r="AE211" s="177"/>
      <c r="AF211" s="177"/>
      <c r="AG211" s="177"/>
      <c r="AH211" s="177"/>
    </row>
    <row r="212" spans="4:34" ht="20.100000000000001" customHeight="1" x14ac:dyDescent="0.2">
      <c r="D212" s="177" t="s">
        <v>2158</v>
      </c>
      <c r="E212" s="177" t="s">
        <v>2173</v>
      </c>
      <c r="F212" s="177" t="s">
        <v>636</v>
      </c>
      <c r="G212" s="177">
        <v>1</v>
      </c>
      <c r="H212" s="177"/>
      <c r="I212" s="177"/>
      <c r="J212" s="177"/>
      <c r="K212" s="177">
        <v>31</v>
      </c>
      <c r="L212" s="177">
        <v>6</v>
      </c>
      <c r="M212" s="177">
        <v>0</v>
      </c>
      <c r="N212" s="177">
        <v>6</v>
      </c>
      <c r="O212" s="177" t="s">
        <v>1977</v>
      </c>
      <c r="P212" s="177">
        <v>0.31</v>
      </c>
      <c r="Q212" s="177" t="s">
        <v>1979</v>
      </c>
      <c r="R212" s="177">
        <v>0.06</v>
      </c>
      <c r="S212" s="177" t="s">
        <v>1984</v>
      </c>
      <c r="T212" s="177">
        <v>0.06</v>
      </c>
      <c r="U212" s="177"/>
      <c r="V212" s="177"/>
      <c r="W212" s="177"/>
      <c r="X212" s="177"/>
      <c r="Y212" s="177"/>
      <c r="Z212" s="177"/>
      <c r="AA212" s="177"/>
      <c r="AB212" s="177"/>
      <c r="AC212" s="177"/>
      <c r="AD212" s="177"/>
      <c r="AE212" s="177"/>
      <c r="AF212" s="177"/>
      <c r="AG212" s="177"/>
      <c r="AH212" s="177"/>
    </row>
    <row r="213" spans="4:34" ht="20.100000000000001" customHeight="1" x14ac:dyDescent="0.2">
      <c r="D213" s="177" t="s">
        <v>2158</v>
      </c>
      <c r="E213" s="177" t="s">
        <v>2174</v>
      </c>
      <c r="F213" s="177" t="s">
        <v>636</v>
      </c>
      <c r="G213" s="177">
        <v>1</v>
      </c>
      <c r="H213" s="177"/>
      <c r="I213" s="177"/>
      <c r="J213" s="177"/>
      <c r="K213" s="177">
        <v>21</v>
      </c>
      <c r="L213" s="177">
        <v>4</v>
      </c>
      <c r="M213" s="177">
        <v>8</v>
      </c>
      <c r="N213" s="177">
        <v>7</v>
      </c>
      <c r="O213" s="177" t="s">
        <v>1977</v>
      </c>
      <c r="P213" s="177">
        <v>0.21</v>
      </c>
      <c r="Q213" s="177" t="s">
        <v>1979</v>
      </c>
      <c r="R213" s="177">
        <v>0.04</v>
      </c>
      <c r="S213" s="177" t="s">
        <v>1982</v>
      </c>
      <c r="T213" s="177">
        <v>0.08</v>
      </c>
      <c r="U213" s="177" t="s">
        <v>1984</v>
      </c>
      <c r="V213" s="177">
        <v>7.0000000000000007E-2</v>
      </c>
      <c r="W213" s="177"/>
      <c r="X213" s="177"/>
      <c r="Y213" s="177"/>
      <c r="Z213" s="177"/>
      <c r="AA213" s="177"/>
      <c r="AB213" s="177"/>
      <c r="AC213" s="177"/>
      <c r="AD213" s="177"/>
      <c r="AE213" s="177"/>
      <c r="AF213" s="177"/>
      <c r="AG213" s="177"/>
      <c r="AH213" s="177"/>
    </row>
    <row r="214" spans="4:34" ht="20.100000000000001" customHeight="1" x14ac:dyDescent="0.2">
      <c r="D214" s="177" t="s">
        <v>2158</v>
      </c>
      <c r="E214" s="177" t="s">
        <v>2175</v>
      </c>
      <c r="F214" s="177" t="s">
        <v>636</v>
      </c>
      <c r="G214" s="177">
        <v>1</v>
      </c>
      <c r="H214" s="177"/>
      <c r="I214" s="177"/>
      <c r="J214" s="177"/>
      <c r="K214" s="177">
        <v>23</v>
      </c>
      <c r="L214" s="177">
        <v>0</v>
      </c>
      <c r="M214" s="177">
        <v>25</v>
      </c>
      <c r="N214" s="177">
        <v>0</v>
      </c>
      <c r="O214" s="177" t="s">
        <v>1977</v>
      </c>
      <c r="P214" s="177">
        <v>0.23</v>
      </c>
      <c r="Q214" s="177" t="s">
        <v>1982</v>
      </c>
      <c r="R214" s="177">
        <v>0.25</v>
      </c>
      <c r="S214" s="177"/>
      <c r="T214" s="177"/>
      <c r="U214" s="177"/>
      <c r="V214" s="177"/>
      <c r="W214" s="177"/>
      <c r="X214" s="177"/>
      <c r="Y214" s="177"/>
      <c r="Z214" s="177"/>
      <c r="AA214" s="177"/>
      <c r="AB214" s="177"/>
      <c r="AC214" s="177"/>
      <c r="AD214" s="177"/>
      <c r="AE214" s="177"/>
      <c r="AF214" s="177"/>
      <c r="AG214" s="177"/>
      <c r="AH214" s="177"/>
    </row>
    <row r="215" spans="4:34" ht="20.100000000000001" customHeight="1" x14ac:dyDescent="0.2">
      <c r="D215" s="177" t="s">
        <v>2158</v>
      </c>
      <c r="E215" s="177" t="s">
        <v>2176</v>
      </c>
      <c r="F215" s="177" t="s">
        <v>636</v>
      </c>
      <c r="G215" s="177">
        <v>1</v>
      </c>
      <c r="H215" s="177"/>
      <c r="I215" s="177"/>
      <c r="J215" s="177"/>
      <c r="K215" s="177">
        <v>25</v>
      </c>
      <c r="L215" s="177">
        <v>4</v>
      </c>
      <c r="M215" s="177">
        <v>13</v>
      </c>
      <c r="N215" s="177">
        <v>4</v>
      </c>
      <c r="O215" s="177" t="s">
        <v>1977</v>
      </c>
      <c r="P215" s="177">
        <v>0.25</v>
      </c>
      <c r="Q215" s="177" t="s">
        <v>1979</v>
      </c>
      <c r="R215" s="177">
        <v>0.04</v>
      </c>
      <c r="S215" s="177" t="s">
        <v>1982</v>
      </c>
      <c r="T215" s="177">
        <v>0.13</v>
      </c>
      <c r="U215" s="177" t="s">
        <v>1984</v>
      </c>
      <c r="V215" s="177">
        <v>0.04</v>
      </c>
      <c r="W215" s="177"/>
      <c r="X215" s="177"/>
      <c r="Y215" s="177"/>
      <c r="Z215" s="177"/>
      <c r="AA215" s="177"/>
      <c r="AB215" s="177"/>
      <c r="AC215" s="177"/>
      <c r="AD215" s="177"/>
      <c r="AE215" s="177"/>
      <c r="AF215" s="177"/>
      <c r="AG215" s="177"/>
      <c r="AH215" s="177"/>
    </row>
    <row r="216" spans="4:34" ht="20.100000000000001" customHeight="1" x14ac:dyDescent="0.2">
      <c r="D216" s="177" t="s">
        <v>2158</v>
      </c>
      <c r="E216" s="177" t="s">
        <v>2177</v>
      </c>
      <c r="F216" s="177" t="s">
        <v>636</v>
      </c>
      <c r="G216" s="177">
        <v>1</v>
      </c>
      <c r="H216" s="177"/>
      <c r="I216" s="177"/>
      <c r="J216" s="177"/>
      <c r="K216" s="177">
        <v>13</v>
      </c>
      <c r="L216" s="177">
        <v>5</v>
      </c>
      <c r="M216" s="177">
        <v>24</v>
      </c>
      <c r="N216" s="177">
        <v>5</v>
      </c>
      <c r="O216" s="177" t="s">
        <v>1977</v>
      </c>
      <c r="P216" s="177">
        <v>0.13</v>
      </c>
      <c r="Q216" s="177" t="s">
        <v>1979</v>
      </c>
      <c r="R216" s="177">
        <v>0.05</v>
      </c>
      <c r="S216" s="177" t="s">
        <v>1982</v>
      </c>
      <c r="T216" s="177">
        <v>0.24</v>
      </c>
      <c r="U216" s="177" t="s">
        <v>1984</v>
      </c>
      <c r="V216" s="177">
        <v>0.05</v>
      </c>
      <c r="W216" s="177"/>
      <c r="X216" s="177"/>
      <c r="Y216" s="177"/>
      <c r="Z216" s="177"/>
      <c r="AA216" s="177"/>
      <c r="AB216" s="177"/>
      <c r="AC216" s="177"/>
      <c r="AD216" s="177"/>
      <c r="AE216" s="177"/>
      <c r="AF216" s="177"/>
      <c r="AG216" s="177"/>
      <c r="AH216" s="177"/>
    </row>
    <row r="217" spans="4:34" ht="20.100000000000001" customHeight="1" x14ac:dyDescent="0.2">
      <c r="D217" s="177" t="s">
        <v>2158</v>
      </c>
      <c r="E217" s="177" t="s">
        <v>2178</v>
      </c>
      <c r="F217" s="177" t="s">
        <v>636</v>
      </c>
      <c r="G217" s="177">
        <v>1</v>
      </c>
      <c r="H217" s="177"/>
      <c r="I217" s="177"/>
      <c r="J217" s="177"/>
      <c r="K217" s="177">
        <v>11</v>
      </c>
      <c r="L217" s="177">
        <v>5</v>
      </c>
      <c r="M217" s="177">
        <v>24</v>
      </c>
      <c r="N217" s="177">
        <v>4</v>
      </c>
      <c r="O217" s="177" t="s">
        <v>1977</v>
      </c>
      <c r="P217" s="177">
        <v>0.11</v>
      </c>
      <c r="Q217" s="177" t="s">
        <v>1979</v>
      </c>
      <c r="R217" s="177">
        <v>0.05</v>
      </c>
      <c r="S217" s="177" t="s">
        <v>1982</v>
      </c>
      <c r="T217" s="177">
        <v>0.24</v>
      </c>
      <c r="U217" s="177" t="s">
        <v>1984</v>
      </c>
      <c r="V217" s="177">
        <v>0.04</v>
      </c>
      <c r="W217" s="177"/>
      <c r="X217" s="177"/>
      <c r="Y217" s="177"/>
      <c r="Z217" s="177"/>
      <c r="AA217" s="177"/>
      <c r="AB217" s="177"/>
      <c r="AC217" s="177"/>
      <c r="AD217" s="177"/>
      <c r="AE217" s="177"/>
      <c r="AF217" s="177"/>
      <c r="AG217" s="177"/>
      <c r="AH217" s="177"/>
    </row>
    <row r="218" spans="4:34" ht="20.100000000000001" customHeight="1" x14ac:dyDescent="0.2">
      <c r="D218" s="177" t="s">
        <v>2158</v>
      </c>
      <c r="E218" s="177" t="s">
        <v>2179</v>
      </c>
      <c r="F218" s="177" t="s">
        <v>636</v>
      </c>
      <c r="G218" s="177">
        <v>1</v>
      </c>
      <c r="H218" s="177"/>
      <c r="I218" s="177"/>
      <c r="J218" s="177"/>
      <c r="K218" s="177">
        <v>11</v>
      </c>
      <c r="L218" s="177">
        <v>8</v>
      </c>
      <c r="M218" s="177">
        <v>20</v>
      </c>
      <c r="N218" s="177">
        <v>6</v>
      </c>
      <c r="O218" s="177" t="s">
        <v>1977</v>
      </c>
      <c r="P218" s="177">
        <v>0.11</v>
      </c>
      <c r="Q218" s="177" t="s">
        <v>1979</v>
      </c>
      <c r="R218" s="177">
        <v>0.08</v>
      </c>
      <c r="S218" s="177" t="s">
        <v>1982</v>
      </c>
      <c r="T218" s="177">
        <v>0.2</v>
      </c>
      <c r="U218" s="177" t="s">
        <v>1984</v>
      </c>
      <c r="V218" s="177">
        <v>0.06</v>
      </c>
      <c r="W218" s="177"/>
      <c r="X218" s="177"/>
      <c r="Y218" s="177"/>
      <c r="Z218" s="177"/>
      <c r="AA218" s="177"/>
      <c r="AB218" s="177"/>
      <c r="AC218" s="177"/>
      <c r="AD218" s="177"/>
      <c r="AE218" s="177"/>
      <c r="AF218" s="177"/>
      <c r="AG218" s="177"/>
      <c r="AH218" s="177"/>
    </row>
    <row r="219" spans="4:34" ht="20.100000000000001" customHeight="1" x14ac:dyDescent="0.2">
      <c r="D219" s="177" t="s">
        <v>2158</v>
      </c>
      <c r="E219" s="177" t="s">
        <v>2180</v>
      </c>
      <c r="F219" s="177" t="s">
        <v>636</v>
      </c>
      <c r="G219" s="177">
        <v>1</v>
      </c>
      <c r="H219" s="177"/>
      <c r="I219" s="177"/>
      <c r="J219" s="177"/>
      <c r="K219" s="177">
        <v>9</v>
      </c>
      <c r="L219" s="177">
        <v>4</v>
      </c>
      <c r="M219" s="177">
        <v>5</v>
      </c>
      <c r="N219" s="177">
        <v>15</v>
      </c>
      <c r="O219" s="177" t="s">
        <v>1977</v>
      </c>
      <c r="P219" s="177">
        <v>0.09</v>
      </c>
      <c r="Q219" s="177" t="s">
        <v>1979</v>
      </c>
      <c r="R219" s="177">
        <v>0.04</v>
      </c>
      <c r="S219" s="177" t="s">
        <v>1982</v>
      </c>
      <c r="T219" s="177">
        <v>0.05</v>
      </c>
      <c r="U219" s="177" t="s">
        <v>1984</v>
      </c>
      <c r="V219" s="177">
        <v>0.15</v>
      </c>
      <c r="W219" s="177"/>
      <c r="X219" s="177"/>
      <c r="Y219" s="177"/>
      <c r="Z219" s="177"/>
      <c r="AA219" s="177"/>
      <c r="AB219" s="177"/>
      <c r="AC219" s="177"/>
      <c r="AD219" s="177"/>
      <c r="AE219" s="177"/>
      <c r="AF219" s="177"/>
      <c r="AG219" s="177"/>
      <c r="AH219" s="177"/>
    </row>
    <row r="220" spans="4:34" ht="20.100000000000001" customHeight="1" x14ac:dyDescent="0.2">
      <c r="D220" s="177" t="s">
        <v>2151</v>
      </c>
      <c r="E220" s="177" t="s">
        <v>2181</v>
      </c>
      <c r="F220" s="177" t="s">
        <v>636</v>
      </c>
      <c r="G220" s="177">
        <v>1</v>
      </c>
      <c r="H220" s="177"/>
      <c r="I220" s="177"/>
      <c r="J220" s="177"/>
      <c r="K220" s="177">
        <v>10.73</v>
      </c>
      <c r="L220" s="177">
        <v>10.95</v>
      </c>
      <c r="M220" s="177">
        <v>11.35</v>
      </c>
      <c r="N220" s="177">
        <v>6.55</v>
      </c>
      <c r="O220" s="177" t="s">
        <v>1962</v>
      </c>
      <c r="P220" s="177">
        <v>0.5</v>
      </c>
      <c r="Q220" s="177" t="s">
        <v>1967</v>
      </c>
      <c r="R220" s="177">
        <v>0.27300000000000002</v>
      </c>
      <c r="S220" s="177" t="s">
        <v>1988</v>
      </c>
      <c r="T220" s="177">
        <v>0.22700000000000001</v>
      </c>
      <c r="U220" s="177" t="s">
        <v>2033</v>
      </c>
      <c r="V220" s="177" t="s">
        <v>1156</v>
      </c>
      <c r="W220" s="177" t="s">
        <v>2030</v>
      </c>
      <c r="X220" s="177" t="s">
        <v>1156</v>
      </c>
      <c r="Y220" s="177"/>
      <c r="Z220" s="177"/>
      <c r="AA220" s="177"/>
      <c r="AB220" s="177"/>
      <c r="AC220" s="177"/>
      <c r="AD220" s="177"/>
      <c r="AE220" s="177"/>
      <c r="AF220" s="177"/>
      <c r="AG220" s="177"/>
      <c r="AH220" s="177"/>
    </row>
    <row r="221" spans="4:34" ht="20.100000000000001" customHeight="1" x14ac:dyDescent="0.2">
      <c r="D221" s="177" t="s">
        <v>2151</v>
      </c>
      <c r="E221" s="177" t="s">
        <v>2182</v>
      </c>
      <c r="F221" s="177" t="s">
        <v>636</v>
      </c>
      <c r="G221" s="177">
        <v>1</v>
      </c>
      <c r="H221" s="177"/>
      <c r="I221" s="177"/>
      <c r="J221" s="177"/>
      <c r="K221" s="177">
        <v>16.95</v>
      </c>
      <c r="L221" s="177">
        <v>8.06</v>
      </c>
      <c r="M221" s="177"/>
      <c r="N221" s="177">
        <v>15.17</v>
      </c>
      <c r="O221" s="177" t="s">
        <v>1967</v>
      </c>
      <c r="P221" s="177">
        <v>0.63200000000000001</v>
      </c>
      <c r="Q221" s="177" t="s">
        <v>1962</v>
      </c>
      <c r="R221" s="177">
        <v>0.36799999999999999</v>
      </c>
      <c r="S221" s="177" t="s">
        <v>2030</v>
      </c>
      <c r="T221" s="177" t="s">
        <v>1156</v>
      </c>
      <c r="U221" s="177" t="s">
        <v>2033</v>
      </c>
      <c r="V221" s="177" t="s">
        <v>1156</v>
      </c>
      <c r="W221" s="177" t="s">
        <v>2076</v>
      </c>
      <c r="X221" s="177" t="s">
        <v>1156</v>
      </c>
      <c r="Y221" s="177" t="s">
        <v>2183</v>
      </c>
      <c r="Z221" s="177" t="s">
        <v>1156</v>
      </c>
      <c r="AA221" s="177"/>
      <c r="AB221" s="177"/>
      <c r="AC221" s="177"/>
      <c r="AD221" s="177"/>
      <c r="AE221" s="177"/>
      <c r="AF221" s="177"/>
      <c r="AG221" s="177"/>
      <c r="AH221" s="177"/>
    </row>
    <row r="222" spans="4:34" ht="20.100000000000001" customHeight="1" x14ac:dyDescent="0.2">
      <c r="D222" s="177" t="s">
        <v>2151</v>
      </c>
      <c r="E222" s="177" t="s">
        <v>2184</v>
      </c>
      <c r="F222" s="177" t="s">
        <v>636</v>
      </c>
      <c r="G222" s="177">
        <v>1</v>
      </c>
      <c r="H222" s="177"/>
      <c r="I222" s="177"/>
      <c r="J222" s="177"/>
      <c r="K222" s="177"/>
      <c r="L222" s="177">
        <v>8.8000000000000007</v>
      </c>
      <c r="M222" s="177"/>
      <c r="N222" s="177">
        <v>11</v>
      </c>
      <c r="O222" s="177" t="s">
        <v>1990</v>
      </c>
      <c r="P222" s="177">
        <v>1</v>
      </c>
      <c r="Q222" s="177" t="s">
        <v>2033</v>
      </c>
      <c r="R222" s="177">
        <v>6.0000000000000001E-3</v>
      </c>
      <c r="S222" s="177" t="s">
        <v>2030</v>
      </c>
      <c r="T222" s="177">
        <v>3.0000000000000001E-3</v>
      </c>
      <c r="U222" s="177" t="s">
        <v>2076</v>
      </c>
      <c r="V222" s="177">
        <v>5.9999999999999995E-4</v>
      </c>
      <c r="W222" s="177"/>
      <c r="X222" s="177"/>
      <c r="Y222" s="177"/>
      <c r="Z222" s="177"/>
      <c r="AA222" s="177"/>
      <c r="AB222" s="177"/>
      <c r="AC222" s="177"/>
      <c r="AD222" s="177"/>
      <c r="AE222" s="177"/>
      <c r="AF222" s="177"/>
      <c r="AG222" s="177"/>
      <c r="AH222" s="177"/>
    </row>
    <row r="223" spans="4:34" ht="20.100000000000001" customHeight="1" x14ac:dyDescent="0.2">
      <c r="D223" s="177" t="s">
        <v>2151</v>
      </c>
      <c r="E223" s="177" t="s">
        <v>2185</v>
      </c>
      <c r="F223" s="177" t="s">
        <v>875</v>
      </c>
      <c r="G223" s="177">
        <v>1.32</v>
      </c>
      <c r="H223" s="177"/>
      <c r="I223" s="177"/>
      <c r="J223" s="177"/>
      <c r="K223" s="177">
        <v>32</v>
      </c>
      <c r="L223" s="177"/>
      <c r="M223" s="177"/>
      <c r="N223" s="177"/>
      <c r="O223" s="177" t="s">
        <v>1968</v>
      </c>
      <c r="P223" s="177">
        <v>1</v>
      </c>
      <c r="Q223" s="177"/>
      <c r="R223" s="177"/>
      <c r="S223" s="177"/>
      <c r="T223" s="177"/>
      <c r="U223" s="177"/>
      <c r="V223" s="177"/>
      <c r="W223" s="177"/>
      <c r="X223" s="177"/>
      <c r="Y223" s="177"/>
      <c r="Z223" s="177"/>
      <c r="AA223" s="177"/>
      <c r="AB223" s="177"/>
      <c r="AC223" s="177"/>
      <c r="AD223" s="177"/>
      <c r="AE223" s="177"/>
      <c r="AF223" s="177"/>
      <c r="AG223" s="177"/>
      <c r="AH223" s="177"/>
    </row>
  </sheetData>
  <pageMargins left="0.7" right="0.7" top="0.75" bottom="0.75" header="0.3" footer="0.3"/>
  <pageSetup paperSize="9" orientation="portrait" r:id="rId1"/>
  <tableParts count="11">
    <tablePart r:id="rId2"/>
    <tablePart r:id="rId3"/>
    <tablePart r:id="rId4"/>
    <tablePart r:id="rId5"/>
    <tablePart r:id="rId6"/>
    <tablePart r:id="rId7"/>
    <tablePart r:id="rId8"/>
    <tablePart r:id="rId9"/>
    <tablePart r:id="rId10"/>
    <tablePart r:id="rId11"/>
    <tablePart r:id="rId12"/>
  </tableParts>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875376-9F9E-4762-851F-5BAEA874EB07}">
  <sheetPr>
    <tabColor theme="2" tint="-0.499984740745262"/>
  </sheetPr>
  <dimension ref="A1:AI162"/>
  <sheetViews>
    <sheetView showGridLines="0" zoomScaleNormal="100" workbookViewId="0">
      <pane xSplit="1" topLeftCell="B1" activePane="topRight" state="frozen"/>
      <selection pane="topRight" activeCell="A59" sqref="A59"/>
    </sheetView>
  </sheetViews>
  <sheetFormatPr defaultRowHeight="20.100000000000001" customHeight="1" x14ac:dyDescent="0.2"/>
  <cols>
    <col min="1" max="1" width="36.7109375" customWidth="1"/>
    <col min="2" max="2" width="4.7109375" customWidth="1"/>
    <col min="3" max="3" width="4.7109375" style="1" customWidth="1"/>
    <col min="4" max="4" width="39.140625" style="1" customWidth="1"/>
    <col min="5" max="5" width="20.7109375" style="1" customWidth="1"/>
    <col min="6" max="6" width="21.5703125" style="1" customWidth="1"/>
    <col min="7" max="8" width="43.42578125" style="1" customWidth="1"/>
    <col min="9" max="9" width="43.5703125" style="1" customWidth="1"/>
    <col min="10" max="10" width="37.5703125" style="1" customWidth="1"/>
    <col min="11" max="11" width="33.5703125" style="1" customWidth="1"/>
    <col min="12" max="31" width="20.7109375" style="1" customWidth="1"/>
    <col min="32" max="32" width="4.7109375" style="1" customWidth="1"/>
  </cols>
  <sheetData>
    <row r="1" spans="1:35" s="21" customFormat="1" ht="30" customHeight="1" x14ac:dyDescent="0.35">
      <c r="A1" s="10" t="e" vm="1">
        <v>#VALUE!</v>
      </c>
      <c r="C1" s="21" t="s">
        <v>850</v>
      </c>
      <c r="AG1"/>
      <c r="AH1"/>
      <c r="AI1"/>
    </row>
    <row r="2" spans="1:35" s="3" customFormat="1" ht="20.100000000000001" customHeight="1" x14ac:dyDescent="0.2">
      <c r="A2"/>
      <c r="AG2"/>
      <c r="AH2"/>
      <c r="AI2"/>
    </row>
    <row r="3" spans="1:35" ht="20.100000000000001" customHeight="1" x14ac:dyDescent="0.2">
      <c r="A3" s="5" t="str">
        <f>HYPERLINK("#'Home'!A1", "Home")</f>
        <v>Home</v>
      </c>
      <c r="C3" s="23"/>
      <c r="D3" s="23"/>
      <c r="E3" s="23"/>
      <c r="F3" s="23"/>
      <c r="G3" s="23"/>
      <c r="H3" s="23"/>
      <c r="I3" s="23"/>
      <c r="J3" s="23"/>
      <c r="K3" s="23"/>
      <c r="L3" s="23"/>
      <c r="M3" s="23"/>
      <c r="N3" s="23"/>
      <c r="O3" s="23"/>
      <c r="P3" s="23"/>
      <c r="Q3" s="23"/>
      <c r="R3" s="23"/>
      <c r="S3" s="23"/>
      <c r="T3" s="23"/>
      <c r="U3" s="23"/>
      <c r="V3" s="23"/>
      <c r="W3" s="23"/>
      <c r="X3" s="23"/>
      <c r="Y3" s="23"/>
      <c r="Z3" s="23"/>
      <c r="AA3" s="23"/>
      <c r="AB3" s="23"/>
      <c r="AC3" s="23"/>
      <c r="AD3" s="23"/>
      <c r="AE3" s="23"/>
      <c r="AF3" s="23"/>
    </row>
    <row r="4" spans="1:35" ht="20.100000000000001" customHeight="1" x14ac:dyDescent="0.2">
      <c r="A4" s="5" t="str">
        <f>HYPERLINK("#'Results - Activity period'!A1", "Results - Activity period")</f>
        <v>Results - Activity period</v>
      </c>
    </row>
    <row r="5" spans="1:35" ht="20.100000000000001" customHeight="1" x14ac:dyDescent="0.2">
      <c r="A5" s="5" t="str">
        <f>HYPERLINK("#'Results - Product EI'!A1", "Results - Product Emissions Intensity")</f>
        <v>Results - Product Emissions Intensity</v>
      </c>
      <c r="D5" s="2" t="s">
        <v>2186</v>
      </c>
      <c r="E5" s="168"/>
      <c r="F5" s="168"/>
      <c r="G5" s="168"/>
      <c r="H5" s="168"/>
      <c r="I5" s="168"/>
      <c r="J5" s="168"/>
      <c r="K5" s="168"/>
      <c r="L5" s="168"/>
    </row>
    <row r="6" spans="1:35" ht="20.100000000000001" customHeight="1" x14ac:dyDescent="0.2">
      <c r="D6" s="1" t="s">
        <v>2187</v>
      </c>
      <c r="E6" s="168"/>
      <c r="F6" s="168"/>
      <c r="G6" s="168"/>
      <c r="H6" s="168"/>
      <c r="I6" s="168"/>
      <c r="J6" s="168"/>
      <c r="K6" s="168"/>
      <c r="L6" s="168"/>
    </row>
    <row r="7" spans="1:35" ht="20.100000000000001" customHeight="1" x14ac:dyDescent="0.2">
      <c r="D7" s="17" t="s">
        <v>2188</v>
      </c>
      <c r="E7" s="168"/>
      <c r="F7" s="168"/>
      <c r="G7" s="168"/>
      <c r="H7" s="168"/>
      <c r="I7" s="168"/>
      <c r="J7" s="168"/>
      <c r="K7" s="168"/>
      <c r="L7" s="168"/>
    </row>
    <row r="8" spans="1:35" ht="20.100000000000001" customHeight="1" x14ac:dyDescent="0.2">
      <c r="A8" s="7" t="s">
        <v>0</v>
      </c>
      <c r="D8" s="26" t="str" cm="1">
        <f t="array" ref="D8">"⚠️" &amp; Fuel_SourceData.Fuel_Scope1Scope3EmissionFactorsTransport_Variation()</f>
        <v>⚠️VARIATION OF SOURCE DATA: 'NE' values returned as zero for calculations.</v>
      </c>
      <c r="E8" s="168"/>
      <c r="F8" s="168"/>
      <c r="G8" s="168"/>
      <c r="H8" s="168"/>
      <c r="I8" s="168"/>
      <c r="J8" s="168"/>
      <c r="K8" s="168"/>
      <c r="L8" s="168"/>
    </row>
    <row r="9" spans="1:35" ht="20.100000000000001" customHeight="1" x14ac:dyDescent="0.2">
      <c r="A9" s="5" t="str">
        <f>HYPERLINK("#'Input - Enterprise'!A1", "Enterprise")</f>
        <v>Enterprise</v>
      </c>
      <c r="D9" s="217" t="s">
        <v>851</v>
      </c>
      <c r="E9" s="217" t="s">
        <v>852</v>
      </c>
      <c r="F9" s="217" t="s">
        <v>853</v>
      </c>
      <c r="G9" s="217" t="s">
        <v>854</v>
      </c>
      <c r="H9" s="217" t="s">
        <v>855</v>
      </c>
      <c r="I9" s="217" t="s">
        <v>856</v>
      </c>
      <c r="J9" s="217" t="s">
        <v>857</v>
      </c>
      <c r="K9" s="217" t="s">
        <v>858</v>
      </c>
      <c r="L9" s="217" t="s">
        <v>859</v>
      </c>
    </row>
    <row r="10" spans="1:35" ht="20.100000000000001" customHeight="1" x14ac:dyDescent="0.2">
      <c r="A10" s="5" t="str">
        <f>HYPERLINK("#'Input - Site'!A1", "Site")</f>
        <v>Site</v>
      </c>
      <c r="D10" s="218" t="s">
        <v>814</v>
      </c>
      <c r="E10" s="218" t="s">
        <v>2189</v>
      </c>
      <c r="F10" s="218">
        <v>34.200000000000003</v>
      </c>
      <c r="G10" s="218" t="s">
        <v>2190</v>
      </c>
      <c r="H10" s="218">
        <v>67.400000000000006</v>
      </c>
      <c r="I10" s="218">
        <v>0.02</v>
      </c>
      <c r="J10" s="218">
        <v>0.2</v>
      </c>
      <c r="K10" s="218">
        <v>67.62</v>
      </c>
      <c r="L10" s="218">
        <v>17.2</v>
      </c>
    </row>
    <row r="11" spans="1:35" ht="20.100000000000001" customHeight="1" x14ac:dyDescent="0.2">
      <c r="A11" s="5" t="str">
        <f>HYPERLINK("#'Input - Pasture Beef'!A1", "Pasture Beef")</f>
        <v>Pasture Beef</v>
      </c>
      <c r="D11" s="218" t="s">
        <v>814</v>
      </c>
      <c r="E11" s="218" t="s">
        <v>2191</v>
      </c>
      <c r="F11" s="218">
        <v>38.6</v>
      </c>
      <c r="G11" s="218" t="s">
        <v>2190</v>
      </c>
      <c r="H11" s="218">
        <v>69.900000000000006</v>
      </c>
      <c r="I11" s="218">
        <v>0.01</v>
      </c>
      <c r="J11" s="218">
        <v>0.5</v>
      </c>
      <c r="K11" s="218">
        <v>70.41</v>
      </c>
      <c r="L11" s="218">
        <v>17.3</v>
      </c>
    </row>
    <row r="12" spans="1:35" ht="20.100000000000001" customHeight="1" x14ac:dyDescent="0.2">
      <c r="A12" s="5" t="str">
        <f>HYPERLINK("#'Input - Livestock sales'!A1", "Livestock sales")</f>
        <v>Livestock sales</v>
      </c>
      <c r="D12" s="218" t="s">
        <v>814</v>
      </c>
      <c r="E12" s="218" t="s">
        <v>876</v>
      </c>
      <c r="F12" s="218">
        <v>26.2</v>
      </c>
      <c r="G12" s="218" t="s">
        <v>2190</v>
      </c>
      <c r="H12" s="218">
        <v>60.2</v>
      </c>
      <c r="I12" s="218">
        <v>0.5</v>
      </c>
      <c r="J12" s="218">
        <v>0.3</v>
      </c>
      <c r="K12" s="218">
        <v>61</v>
      </c>
      <c r="L12" s="218">
        <v>20.2</v>
      </c>
    </row>
    <row r="13" spans="1:35" ht="20.100000000000001" customHeight="1" x14ac:dyDescent="0.2">
      <c r="A13" s="5" t="str">
        <f>HYPERLINK("#'Input - Beef cattle purchases'!A1", "Beef cattle purchases")</f>
        <v>Beef cattle purchases</v>
      </c>
      <c r="D13" s="218" t="s">
        <v>814</v>
      </c>
      <c r="E13" s="218" t="s">
        <v>818</v>
      </c>
      <c r="F13" s="218">
        <v>39.700000000000003</v>
      </c>
      <c r="G13" s="218" t="s">
        <v>2190</v>
      </c>
      <c r="H13" s="218">
        <v>73.599999999999994</v>
      </c>
      <c r="I13" s="218">
        <v>0.08</v>
      </c>
      <c r="J13" s="218">
        <v>0.5</v>
      </c>
      <c r="K13" s="218">
        <v>74.180000000000007</v>
      </c>
      <c r="L13" s="218">
        <v>18</v>
      </c>
    </row>
    <row r="14" spans="1:35" ht="20.100000000000001" customHeight="1" x14ac:dyDescent="0.2">
      <c r="A14" s="5" t="str">
        <f>HYPERLINK("#'Input - Pasture'!A1", "Pasture")</f>
        <v>Pasture</v>
      </c>
      <c r="D14" s="218" t="s">
        <v>814</v>
      </c>
      <c r="E14" s="218" t="s">
        <v>878</v>
      </c>
      <c r="F14" s="218">
        <v>23.4</v>
      </c>
      <c r="G14" s="218" t="s">
        <v>2190</v>
      </c>
      <c r="H14" s="218">
        <v>0</v>
      </c>
      <c r="I14" s="218">
        <v>0.2</v>
      </c>
      <c r="J14" s="218">
        <v>0.2</v>
      </c>
      <c r="K14" s="218">
        <v>0.4</v>
      </c>
      <c r="L14" s="218" t="s">
        <v>2192</v>
      </c>
    </row>
    <row r="15" spans="1:35" ht="20.100000000000001" customHeight="1" x14ac:dyDescent="0.2">
      <c r="A15" s="5" t="str">
        <f>HYPERLINK("#'Input - Fert Prod System'!A1", "Fert Prod System")</f>
        <v>Fert Prod System</v>
      </c>
      <c r="D15" s="218" t="s">
        <v>814</v>
      </c>
      <c r="E15" s="218" t="s">
        <v>877</v>
      </c>
      <c r="F15" s="218">
        <v>34.6</v>
      </c>
      <c r="G15" s="218" t="s">
        <v>2190</v>
      </c>
      <c r="H15" s="218">
        <v>0</v>
      </c>
      <c r="I15" s="218">
        <v>0.8</v>
      </c>
      <c r="J15" s="218">
        <v>1.7</v>
      </c>
      <c r="K15" s="218">
        <v>2.5</v>
      </c>
      <c r="L15" s="218" t="s">
        <v>2192</v>
      </c>
    </row>
    <row r="16" spans="1:35" ht="20.100000000000001" customHeight="1" x14ac:dyDescent="0.2">
      <c r="A16" s="5" t="str">
        <f>HYPERLINK("#'Input - Fertiliser'!A1", "Fertiliser")</f>
        <v>Fertiliser</v>
      </c>
      <c r="D16" s="218" t="s">
        <v>814</v>
      </c>
      <c r="E16" s="218" t="s">
        <v>880</v>
      </c>
      <c r="F16" s="218">
        <v>38.6</v>
      </c>
      <c r="G16" s="218" t="s">
        <v>2190</v>
      </c>
      <c r="H16" s="218">
        <v>0</v>
      </c>
      <c r="I16" s="218">
        <v>0.01</v>
      </c>
      <c r="J16" s="218">
        <v>0.5</v>
      </c>
      <c r="K16" s="218">
        <v>0.51</v>
      </c>
      <c r="L16" s="218" t="s">
        <v>2192</v>
      </c>
    </row>
    <row r="17" spans="1:12" ht="20.100000000000001" customHeight="1" x14ac:dyDescent="0.2">
      <c r="A17" s="5" t="str">
        <f>HYPERLINK("#'Input - Fuel'!A1", "Fuel")</f>
        <v>Fuel</v>
      </c>
      <c r="D17" s="218" t="s">
        <v>814</v>
      </c>
      <c r="E17" s="218" t="s">
        <v>879</v>
      </c>
      <c r="F17" s="218">
        <v>23.4</v>
      </c>
      <c r="G17" s="218" t="s">
        <v>2190</v>
      </c>
      <c r="H17" s="218">
        <v>0</v>
      </c>
      <c r="I17" s="218">
        <v>0.8</v>
      </c>
      <c r="J17" s="218">
        <v>1.7</v>
      </c>
      <c r="K17" s="218">
        <v>2.5</v>
      </c>
      <c r="L17" s="218" t="s">
        <v>2192</v>
      </c>
    </row>
    <row r="18" spans="1:12" ht="20.100000000000001" customHeight="1" x14ac:dyDescent="0.2">
      <c r="A18" s="5" t="str">
        <f>HYPERLINK("#'Input - Electricity'!A1", "Electricity")</f>
        <v>Electricity</v>
      </c>
      <c r="D18" s="218" t="s">
        <v>2193</v>
      </c>
      <c r="E18" s="218" t="s">
        <v>2194</v>
      </c>
      <c r="F18" s="218">
        <v>3.9300000000000002E-2</v>
      </c>
      <c r="G18" s="218" t="s">
        <v>1602</v>
      </c>
      <c r="H18" s="218">
        <v>51.4</v>
      </c>
      <c r="I18" s="218">
        <v>7.3</v>
      </c>
      <c r="J18" s="218">
        <v>0.3</v>
      </c>
      <c r="K18" s="218">
        <v>59</v>
      </c>
      <c r="L18" s="218">
        <v>18</v>
      </c>
    </row>
    <row r="19" spans="1:12" ht="20.100000000000001" customHeight="1" x14ac:dyDescent="0.2">
      <c r="A19" s="5" t="str">
        <f>HYPERLINK("#'Input - Common farm inputs'!A1", "Common farm inputs")</f>
        <v>Common farm inputs</v>
      </c>
      <c r="D19" s="218" t="s">
        <v>2193</v>
      </c>
      <c r="E19" s="218" t="s">
        <v>2195</v>
      </c>
      <c r="F19" s="218">
        <v>25.3</v>
      </c>
      <c r="G19" s="218" t="s">
        <v>2190</v>
      </c>
      <c r="H19" s="218">
        <v>51.4</v>
      </c>
      <c r="I19" s="218">
        <v>7.3</v>
      </c>
      <c r="J19" s="218">
        <v>0.3</v>
      </c>
      <c r="K19" s="218">
        <v>59</v>
      </c>
      <c r="L19" s="218">
        <v>18</v>
      </c>
    </row>
    <row r="20" spans="1:12" ht="20.100000000000001" customHeight="1" x14ac:dyDescent="0.2">
      <c r="A20" s="5" t="str">
        <f>HYPERLINK("#'Input - Crop pasture farm input'!A1", "Crop pasture farm input")</f>
        <v>Crop pasture farm input</v>
      </c>
      <c r="D20" s="218" t="s">
        <v>2196</v>
      </c>
      <c r="E20" s="218" t="s">
        <v>2194</v>
      </c>
      <c r="F20" s="218">
        <v>3.9300000000000002E-2</v>
      </c>
      <c r="G20" s="218" t="s">
        <v>1602</v>
      </c>
      <c r="H20" s="218">
        <v>51.4</v>
      </c>
      <c r="I20" s="218">
        <v>2.8</v>
      </c>
      <c r="J20" s="218">
        <v>0.3</v>
      </c>
      <c r="K20" s="218">
        <v>54.5</v>
      </c>
      <c r="L20" s="218">
        <v>18</v>
      </c>
    </row>
    <row r="21" spans="1:12" ht="20.100000000000001" customHeight="1" x14ac:dyDescent="0.2">
      <c r="A21" s="5" t="str">
        <f>HYPERLINK("#'Input - Livestock farm Inputs'!A1", "Livestock farm Inputs")</f>
        <v>Livestock farm Inputs</v>
      </c>
      <c r="D21" s="218" t="s">
        <v>2196</v>
      </c>
      <c r="E21" s="218" t="s">
        <v>2195</v>
      </c>
      <c r="F21" s="218">
        <v>25.3</v>
      </c>
      <c r="G21" s="218" t="s">
        <v>2190</v>
      </c>
      <c r="H21" s="218">
        <v>51.4</v>
      </c>
      <c r="I21" s="218">
        <v>2.8</v>
      </c>
      <c r="J21" s="218">
        <v>0.3</v>
      </c>
      <c r="K21" s="218">
        <v>54.5</v>
      </c>
      <c r="L21" s="218">
        <v>18</v>
      </c>
    </row>
    <row r="22" spans="1:12" ht="20.100000000000001" customHeight="1" x14ac:dyDescent="0.2">
      <c r="A22" s="5" t="str">
        <f>HYPERLINK("#'Input - Freight'!A1", "Freight")</f>
        <v>Freight</v>
      </c>
      <c r="D22" s="218" t="s">
        <v>2196</v>
      </c>
      <c r="E22" s="218" t="s">
        <v>2197</v>
      </c>
      <c r="F22" s="218">
        <v>38.6</v>
      </c>
      <c r="G22" s="218" t="s">
        <v>2190</v>
      </c>
      <c r="H22" s="218">
        <v>69.900000000000006</v>
      </c>
      <c r="I22" s="218">
        <v>7.0000000000000007E-2</v>
      </c>
      <c r="J22" s="218">
        <v>0.4</v>
      </c>
      <c r="K22" s="218">
        <v>70.37</v>
      </c>
      <c r="L22" s="218">
        <v>17.3</v>
      </c>
    </row>
    <row r="23" spans="1:12" ht="20.100000000000001" customHeight="1" x14ac:dyDescent="0.2">
      <c r="A23" s="5" t="str">
        <f>HYPERLINK("#'Input - Solid waste'!A1", "Solid waste")</f>
        <v>Solid waste</v>
      </c>
      <c r="D23" s="218" t="s">
        <v>2196</v>
      </c>
      <c r="E23" s="218" t="s">
        <v>2198</v>
      </c>
      <c r="F23" s="218">
        <v>38.6</v>
      </c>
      <c r="G23" s="218" t="s">
        <v>2190</v>
      </c>
      <c r="H23" s="218">
        <v>69.900000000000006</v>
      </c>
      <c r="I23" s="218">
        <v>0.1</v>
      </c>
      <c r="J23" s="218">
        <v>0.4</v>
      </c>
      <c r="K23" s="218">
        <v>70.400000000000006</v>
      </c>
      <c r="L23" s="218">
        <v>17.3</v>
      </c>
    </row>
    <row r="24" spans="1:12" ht="20.100000000000001" customHeight="1" x14ac:dyDescent="0.2">
      <c r="A24" s="5" t="str">
        <f>HYPERLINK("#'Input - Manure sent off-site'!A1", "Manure sent off-site")</f>
        <v>Manure sent off-site</v>
      </c>
      <c r="D24" s="218" t="s">
        <v>2196</v>
      </c>
      <c r="E24" s="218" t="s">
        <v>2199</v>
      </c>
      <c r="F24" s="218">
        <v>38.6</v>
      </c>
      <c r="G24" s="218" t="s">
        <v>2190</v>
      </c>
      <c r="H24" s="218">
        <v>69.900000000000006</v>
      </c>
      <c r="I24" s="218">
        <v>0.2</v>
      </c>
      <c r="J24" s="218">
        <v>0.4</v>
      </c>
      <c r="K24" s="218">
        <v>70.5</v>
      </c>
      <c r="L24" s="218">
        <v>17.3</v>
      </c>
    </row>
    <row r="25" spans="1:12" ht="20.100000000000001" customHeight="1" x14ac:dyDescent="0.2">
      <c r="A25" s="5" t="str">
        <f>HYPERLINK("#'Input - Data quality'!A1", "Data quality")</f>
        <v>Data quality</v>
      </c>
      <c r="D25" s="218" t="s">
        <v>2196</v>
      </c>
      <c r="E25" s="218" t="s">
        <v>888</v>
      </c>
      <c r="F25" s="218">
        <v>38.6</v>
      </c>
      <c r="G25" s="218" t="s">
        <v>2190</v>
      </c>
      <c r="H25" s="218">
        <v>0</v>
      </c>
      <c r="I25" s="218">
        <v>7.0000000000000007E-2</v>
      </c>
      <c r="J25" s="218">
        <v>0.4</v>
      </c>
      <c r="K25" s="218">
        <v>0.47</v>
      </c>
      <c r="L25" s="218" t="s">
        <v>2192</v>
      </c>
    </row>
    <row r="26" spans="1:12" ht="20.100000000000001" customHeight="1" x14ac:dyDescent="0.2">
      <c r="D26" s="218" t="s">
        <v>2196</v>
      </c>
      <c r="E26" s="218" t="s">
        <v>889</v>
      </c>
      <c r="F26" s="218">
        <v>38.6</v>
      </c>
      <c r="G26" s="218" t="s">
        <v>2190</v>
      </c>
      <c r="H26" s="218">
        <v>0</v>
      </c>
      <c r="I26" s="218">
        <v>0.1</v>
      </c>
      <c r="J26" s="218">
        <v>0.4</v>
      </c>
      <c r="K26" s="218">
        <v>0.5</v>
      </c>
      <c r="L26" s="218" t="s">
        <v>2192</v>
      </c>
    </row>
    <row r="27" spans="1:12" ht="20.100000000000001" customHeight="1" x14ac:dyDescent="0.2">
      <c r="D27" s="218" t="s">
        <v>2196</v>
      </c>
      <c r="E27" s="218" t="s">
        <v>890</v>
      </c>
      <c r="F27" s="218">
        <v>38.6</v>
      </c>
      <c r="G27" s="218" t="s">
        <v>2190</v>
      </c>
      <c r="H27" s="218">
        <v>0</v>
      </c>
      <c r="I27" s="218">
        <v>0.2</v>
      </c>
      <c r="J27" s="218">
        <v>0.4</v>
      </c>
      <c r="K27" s="218">
        <v>0.6</v>
      </c>
      <c r="L27" s="218" t="s">
        <v>2192</v>
      </c>
    </row>
    <row r="28" spans="1:12" ht="20.100000000000001" customHeight="1" x14ac:dyDescent="0.2">
      <c r="A28" s="6" t="s">
        <v>2</v>
      </c>
      <c r="D28" s="218" t="s">
        <v>871</v>
      </c>
      <c r="E28" s="218" t="s">
        <v>2200</v>
      </c>
      <c r="F28" s="218">
        <v>33.1</v>
      </c>
      <c r="G28" s="218" t="s">
        <v>2190</v>
      </c>
      <c r="H28" s="218">
        <v>67</v>
      </c>
      <c r="I28" s="218">
        <v>0.06</v>
      </c>
      <c r="J28" s="218">
        <v>0.6</v>
      </c>
      <c r="K28" s="218">
        <v>67.66</v>
      </c>
      <c r="L28" s="218">
        <v>18</v>
      </c>
    </row>
    <row r="29" spans="1:12" ht="20.100000000000001" customHeight="1" x14ac:dyDescent="0.2">
      <c r="A29" s="5" t="str">
        <f>HYPERLINK("#'3.2.1.1-2 Enteric Methane'!A1", "3.2.1.1-2 Enteric Methane")</f>
        <v>3.2.1.1-2 Enteric Methane</v>
      </c>
      <c r="D29" s="218" t="s">
        <v>871</v>
      </c>
      <c r="E29" s="218" t="s">
        <v>2201</v>
      </c>
      <c r="F29" s="218">
        <v>36.799999999999997</v>
      </c>
      <c r="G29" s="218" t="s">
        <v>2190</v>
      </c>
      <c r="H29" s="218">
        <v>69.599999999999994</v>
      </c>
      <c r="I29" s="218">
        <v>0.01</v>
      </c>
      <c r="J29" s="218">
        <v>0.6</v>
      </c>
      <c r="K29" s="218">
        <v>70.209999999999994</v>
      </c>
      <c r="L29" s="218">
        <v>18</v>
      </c>
    </row>
    <row r="30" spans="1:12" ht="20.100000000000001" customHeight="1" x14ac:dyDescent="0.2">
      <c r="A30" s="5" t="str">
        <f>HYPERLINK("#'4.2.1.1-2 Methane'!A1", "4.2.1.1-2 Manure methane")</f>
        <v>4.2.1.1-2 Manure methane</v>
      </c>
      <c r="D30" s="218" t="s">
        <v>871</v>
      </c>
      <c r="E30" s="218" t="s">
        <v>883</v>
      </c>
      <c r="F30" s="218">
        <v>36.799999999999997</v>
      </c>
      <c r="G30" s="218" t="s">
        <v>2190</v>
      </c>
      <c r="H30" s="218">
        <v>0</v>
      </c>
      <c r="I30" s="218">
        <v>0.01</v>
      </c>
      <c r="J30" s="218">
        <v>0.6</v>
      </c>
      <c r="K30" s="218">
        <v>0.61</v>
      </c>
      <c r="L30" s="218" t="s">
        <v>2192</v>
      </c>
    </row>
    <row r="31" spans="1:12" ht="20.100000000000001" customHeight="1" x14ac:dyDescent="0.2">
      <c r="A31" s="5" t="str">
        <f>HYPERLINK("#'4.2.1.3-4 Soil direct N20'!A1", "4.2.1.3-4 Soil direct N2O")</f>
        <v>4.2.1.3-4 Soil direct N2O</v>
      </c>
      <c r="D31" s="218" t="s">
        <v>817</v>
      </c>
      <c r="E31" s="218" t="s">
        <v>2189</v>
      </c>
      <c r="F31" s="218">
        <v>34.200000000000003</v>
      </c>
      <c r="G31" s="218" t="s">
        <v>874</v>
      </c>
      <c r="H31" s="218">
        <v>67.400000000000006</v>
      </c>
      <c r="I31" s="218">
        <v>10.1</v>
      </c>
      <c r="J31" s="218">
        <v>0.3</v>
      </c>
      <c r="K31" s="218"/>
      <c r="L31" s="218">
        <v>17.2</v>
      </c>
    </row>
    <row r="32" spans="1:12" ht="20.100000000000001" customHeight="1" x14ac:dyDescent="0.2">
      <c r="A32" s="5" t="str">
        <f>HYPERLINK("#'4.2.1.5-6 Soil Atmos Dep'!A1", "4.2.1.5-6 Soil atm. deposition")</f>
        <v>4.2.1.5-6 Soil atm. deposition</v>
      </c>
      <c r="D32" s="219" t="s">
        <v>817</v>
      </c>
      <c r="E32" s="219" t="s">
        <v>2191</v>
      </c>
      <c r="F32" s="219">
        <v>38.6</v>
      </c>
      <c r="G32" s="219" t="s">
        <v>874</v>
      </c>
      <c r="H32" s="219">
        <v>69.900000000000006</v>
      </c>
      <c r="I32" s="219">
        <v>0.2</v>
      </c>
      <c r="J32" s="219">
        <v>0.5</v>
      </c>
      <c r="K32" s="219"/>
      <c r="L32" s="219">
        <v>17.3</v>
      </c>
    </row>
    <row r="33" spans="1:12" ht="20.100000000000001" customHeight="1" x14ac:dyDescent="0.2">
      <c r="A33" s="5" t="str">
        <f>HYPERLINK("#'4.2.1.7-8 Soil leach runoff'!A1", "4.2.1.7-8 Soil leach &amp; runoff")</f>
        <v>4.2.1.7-8 Soil leach &amp; runoff</v>
      </c>
      <c r="D33" s="219" t="s">
        <v>817</v>
      </c>
      <c r="E33" s="219" t="s">
        <v>2202</v>
      </c>
      <c r="F33" s="219">
        <v>39.700000000000003</v>
      </c>
      <c r="G33" s="219" t="s">
        <v>874</v>
      </c>
      <c r="H33" s="219">
        <v>73.599999999999994</v>
      </c>
      <c r="I33" s="219">
        <v>0.2</v>
      </c>
      <c r="J33" s="219">
        <v>0.5</v>
      </c>
      <c r="K33" s="219"/>
      <c r="L33" s="219">
        <v>18</v>
      </c>
    </row>
    <row r="34" spans="1:12" ht="20.100000000000001" customHeight="1" x14ac:dyDescent="0.2">
      <c r="A34" s="5" t="str">
        <f>HYPERLINK("#'5.1.1.1-2 Inorganic fert N2O'!A1", "5.1.1.1-2 Inorganic fert N2O")</f>
        <v>5.1.1.1-2 Inorganic fert N2O</v>
      </c>
      <c r="D34" s="219" t="s">
        <v>816</v>
      </c>
      <c r="E34" s="219" t="s">
        <v>2191</v>
      </c>
      <c r="F34" s="219">
        <v>38.6</v>
      </c>
      <c r="G34" s="219" t="s">
        <v>874</v>
      </c>
      <c r="H34" s="219">
        <v>69.900000000000006</v>
      </c>
      <c r="I34" s="219">
        <v>0.3</v>
      </c>
      <c r="J34" s="219">
        <v>0.5</v>
      </c>
      <c r="K34" s="219"/>
      <c r="L34" s="219">
        <v>17.3</v>
      </c>
    </row>
    <row r="35" spans="1:12" ht="20.100000000000001" customHeight="1" x14ac:dyDescent="0.2">
      <c r="A35" s="5" t="str">
        <f>HYPERLINK("#'5.1.1.3-4 Inorganic fert CO2'!A1", "5.1.1.3-4 Inorganic fert CO2")</f>
        <v>5.1.1.3-4 Inorganic fert CO2</v>
      </c>
    </row>
    <row r="36" spans="1:12" ht="20.100000000000001" customHeight="1" x14ac:dyDescent="0.2">
      <c r="A36" s="5" t="str">
        <f>HYPERLINK("#'5.2.1.1-2 Organic Fert N2O'!A1", "5.2.1.1-2 Organic fert N2O")</f>
        <v>5.2.1.1-2 Organic fert N2O</v>
      </c>
    </row>
    <row r="37" spans="1:12" ht="20.100000000000001" customHeight="1" x14ac:dyDescent="0.2">
      <c r="A37" s="5" t="str">
        <f>HYPERLINK("#'5.3.1.1-2 Lime CO2'!A1", "5.3.1.1-2 Lime CO2")</f>
        <v>5.3.1.1-2 Lime CO2</v>
      </c>
      <c r="D37" s="2" t="s">
        <v>2203</v>
      </c>
    </row>
    <row r="38" spans="1:12" ht="20.100000000000001" customHeight="1" x14ac:dyDescent="0.2">
      <c r="A38" s="5" t="str">
        <f>HYPERLINK("#'5.4.1.1-4 Atmos deposition'!A1", "5.4.1.1-4 Atmos. deposition")</f>
        <v>5.4.1.1-4 Atmos. deposition</v>
      </c>
      <c r="D38" s="17" t="s">
        <v>2204</v>
      </c>
    </row>
    <row r="39" spans="1:12" ht="20.100000000000001" customHeight="1" x14ac:dyDescent="0.2">
      <c r="A39" s="5" t="str">
        <f>HYPERLINK("#'5.5.1.1-2 Leaching and runoff'!A1", "5.5.1.1-2 Leaching &amp; runoff")</f>
        <v>5.5.1.1-2 Leaching &amp; runoff</v>
      </c>
      <c r="D39" s="20" t="s">
        <v>860</v>
      </c>
      <c r="E39" s="20" t="s">
        <v>861</v>
      </c>
      <c r="F39" s="20" t="s">
        <v>862</v>
      </c>
      <c r="G39" s="20" t="s">
        <v>863</v>
      </c>
      <c r="H39" s="20" t="s">
        <v>864</v>
      </c>
      <c r="I39" s="20" t="s">
        <v>865</v>
      </c>
      <c r="J39" s="20" t="s">
        <v>866</v>
      </c>
    </row>
    <row r="40" spans="1:12" ht="20.100000000000001" customHeight="1" x14ac:dyDescent="0.2">
      <c r="A40" s="5" t="str">
        <f>HYPERLINK("#'6.2.1.1-2 Pasture residue N2O'!A1", "6.2.1.1-2 Pasture residue N2O")</f>
        <v>6.2.1.1-2 Pasture residue N2O</v>
      </c>
      <c r="D40" s="20" t="s">
        <v>2205</v>
      </c>
      <c r="E40" s="20" t="s">
        <v>813</v>
      </c>
      <c r="F40" s="20">
        <v>34.200000000000003</v>
      </c>
      <c r="G40" s="20">
        <v>67.400000000000006</v>
      </c>
      <c r="H40" s="20">
        <v>10.1</v>
      </c>
      <c r="I40" s="20">
        <v>0.3</v>
      </c>
      <c r="J40" s="20">
        <v>17.2</v>
      </c>
    </row>
    <row r="41" spans="1:12" ht="20.100000000000001" customHeight="1" x14ac:dyDescent="0.2">
      <c r="A41" s="5" t="str">
        <f>HYPERLINK("#'6.3.1.1-2 Leach runoff pasture'!A1", "6.3.1.1-2 Leach &amp; runoff (pasture)")</f>
        <v>6.3.1.1-2 Leach &amp; runoff (pasture)</v>
      </c>
      <c r="D41" s="1" t="s">
        <v>2205</v>
      </c>
      <c r="E41" s="20" t="s">
        <v>815</v>
      </c>
      <c r="F41" s="20">
        <v>38.6</v>
      </c>
      <c r="G41" s="20">
        <v>69.900000000000006</v>
      </c>
      <c r="H41" s="20">
        <v>0.2</v>
      </c>
      <c r="I41" s="20">
        <v>0.5</v>
      </c>
      <c r="J41" s="20">
        <v>17.3</v>
      </c>
    </row>
    <row r="42" spans="1:12" ht="20.100000000000001" customHeight="1" x14ac:dyDescent="0.2">
      <c r="A42" s="5" t="str">
        <f>HYPERLINK("#'8.1.1.1-2 Transport fuel'!A1", "8.1.1.1-2 Transport fuel")</f>
        <v>8.1.1.1-2 Transport fuel</v>
      </c>
      <c r="D42" s="1" t="s">
        <v>2205</v>
      </c>
      <c r="E42" s="20" t="s">
        <v>2202</v>
      </c>
      <c r="F42" s="20">
        <v>39.700000000000003</v>
      </c>
      <c r="G42" s="20">
        <v>73.599999999999994</v>
      </c>
      <c r="H42" s="20">
        <v>0.2</v>
      </c>
      <c r="I42" s="20">
        <v>0.5</v>
      </c>
      <c r="J42" s="20">
        <v>18</v>
      </c>
    </row>
    <row r="43" spans="1:12" ht="20.100000000000001" customHeight="1" x14ac:dyDescent="0.2">
      <c r="A43" s="5" t="str">
        <f>HYPERLINK("#'8.2.1.1-2 Stationary fuel'!A1", "8.2.1.1-2 Stationary fuel")</f>
        <v>8.2.1.1-2 Stationary fuel</v>
      </c>
      <c r="D43" s="1" t="s">
        <v>816</v>
      </c>
      <c r="E43" s="20" t="s">
        <v>815</v>
      </c>
      <c r="F43" s="20">
        <v>38.6</v>
      </c>
      <c r="G43" s="20">
        <v>69.900000000000006</v>
      </c>
      <c r="H43" s="20">
        <v>0.3</v>
      </c>
      <c r="I43" s="20">
        <v>0.5</v>
      </c>
      <c r="J43" s="20">
        <v>17.3</v>
      </c>
    </row>
    <row r="44" spans="1:12" ht="20.100000000000001" customHeight="1" x14ac:dyDescent="0.2">
      <c r="A44" s="5" t="str">
        <f>HYPERLINK("#'10.1.1-2 Solid waste treatment'!A1", "10.1.1.1-2 Solid waste")</f>
        <v>10.1.1.1-2 Solid waste</v>
      </c>
    </row>
    <row r="45" spans="1:12" ht="20.100000000000001" customHeight="1" x14ac:dyDescent="0.2">
      <c r="A45" s="5" t="str">
        <f>HYPERLINK("#'14.1.1-2 Purchased electricity'!A1", "14.1.1-2 Purchased electricity")</f>
        <v>14.1.1-2 Purchased electricity</v>
      </c>
    </row>
    <row r="46" spans="1:12" ht="20.100000000000001" customHeight="1" x14ac:dyDescent="0.2">
      <c r="A46" s="5" t="str">
        <f>HYPERLINK("#'15 Scope 3'!A1", "15 Scope 3")</f>
        <v>15 Scope 3</v>
      </c>
    </row>
    <row r="47" spans="1:12" ht="20.100000000000001" customHeight="1" x14ac:dyDescent="0.2">
      <c r="A47" s="5" t="str">
        <f>HYPERLINK("#'Calcs - Manure sent off-site'!A1", "Calcs - Manure sent off-site")</f>
        <v>Calcs - Manure sent off-site</v>
      </c>
    </row>
    <row r="49" spans="1:12" ht="20.100000000000001" customHeight="1" x14ac:dyDescent="0.2">
      <c r="D49" s="2" t="s">
        <v>2206</v>
      </c>
      <c r="E49" s="168"/>
      <c r="F49" s="168"/>
      <c r="G49" s="168"/>
      <c r="H49" s="168"/>
      <c r="I49" s="168"/>
      <c r="J49" s="168"/>
      <c r="K49" s="168"/>
      <c r="L49" s="168"/>
    </row>
    <row r="50" spans="1:12" ht="20.100000000000001" customHeight="1" x14ac:dyDescent="0.2">
      <c r="A50" s="85" t="s">
        <v>1</v>
      </c>
      <c r="D50" s="1" t="s">
        <v>2207</v>
      </c>
      <c r="E50" s="168"/>
      <c r="F50" s="168"/>
      <c r="G50" s="168"/>
      <c r="H50" s="168"/>
      <c r="I50" s="168"/>
      <c r="J50" s="168"/>
      <c r="K50" s="168"/>
      <c r="L50" s="168"/>
    </row>
    <row r="51" spans="1:12" ht="20.100000000000001" customHeight="1" x14ac:dyDescent="0.2">
      <c r="A51" s="5" t="str">
        <f>HYPERLINK("#'Constants - Pasture Beef'!A1", "Constants - Pasture Beef")</f>
        <v>Constants - Pasture Beef</v>
      </c>
      <c r="D51" s="17" t="s">
        <v>2208</v>
      </c>
      <c r="E51" s="168"/>
      <c r="F51" s="168"/>
      <c r="G51" s="168"/>
      <c r="H51" s="168"/>
      <c r="I51" s="168"/>
      <c r="J51" s="168"/>
      <c r="K51" s="168"/>
      <c r="L51" s="168"/>
    </row>
    <row r="52" spans="1:12" ht="20.100000000000001" customHeight="1" x14ac:dyDescent="0.2">
      <c r="A52" s="5" t="str">
        <f>HYPERLINK("#'Constants - Ag Residue'!A1", "Constants - Ag residue")</f>
        <v>Constants - Ag residue</v>
      </c>
      <c r="D52" s="26" t="str" cm="1">
        <f t="array" ref="D52">"⚠️" &amp; Fuel_SourceData.Fuel_Scope1Scope3EmissionFactorsStationaryLiquid_Variation()</f>
        <v>⚠️VARIATION OF SOURCE DATA: 'NE' values returned as zero for calculations.</v>
      </c>
      <c r="E52" s="168"/>
      <c r="F52" s="168"/>
      <c r="G52" s="168"/>
      <c r="H52" s="168"/>
      <c r="I52" s="168"/>
      <c r="J52" s="168"/>
      <c r="K52" s="168"/>
      <c r="L52" s="168"/>
    </row>
    <row r="53" spans="1:12" ht="20.100000000000001" customHeight="1" x14ac:dyDescent="0.2">
      <c r="A53" s="5" t="str">
        <f>HYPERLINK("#'Constants - Common Livestock'!A1", "Constants - Common Livestock")</f>
        <v>Constants - Common Livestock</v>
      </c>
      <c r="D53" s="186" t="s">
        <v>852</v>
      </c>
      <c r="E53" s="217" t="s">
        <v>853</v>
      </c>
      <c r="F53" s="186" t="s">
        <v>854</v>
      </c>
      <c r="G53" s="217" t="s">
        <v>855</v>
      </c>
      <c r="H53" s="217" t="s">
        <v>856</v>
      </c>
      <c r="I53" s="217" t="s">
        <v>857</v>
      </c>
      <c r="J53" s="217" t="s">
        <v>858</v>
      </c>
      <c r="K53" s="217" t="s">
        <v>859</v>
      </c>
      <c r="L53" s="168"/>
    </row>
    <row r="54" spans="1:12" ht="20.100000000000001" customHeight="1" x14ac:dyDescent="0.2">
      <c r="A54" s="5" t="str">
        <f>HYPERLINK("#'Constants - Electricity'!A1", "Constants - Electricity")</f>
        <v>Constants - Electricity</v>
      </c>
      <c r="D54" s="220" t="s">
        <v>2209</v>
      </c>
      <c r="E54" s="220">
        <v>38.799999999999997</v>
      </c>
      <c r="F54" s="220" t="s">
        <v>2190</v>
      </c>
      <c r="G54" s="220">
        <v>13.9</v>
      </c>
      <c r="H54" s="220">
        <v>0</v>
      </c>
      <c r="I54" s="220">
        <v>0</v>
      </c>
      <c r="J54" s="220">
        <v>13.9</v>
      </c>
      <c r="K54" s="220">
        <v>18</v>
      </c>
      <c r="L54" s="168"/>
    </row>
    <row r="55" spans="1:12" ht="20.100000000000001" customHeight="1" x14ac:dyDescent="0.2">
      <c r="A55" s="5" t="str">
        <f>HYPERLINK("#'Constants - Fertiliser'!A1", "Constants - Fertiliser")</f>
        <v>Constants - Fertiliser</v>
      </c>
      <c r="D55" s="220" t="s">
        <v>2210</v>
      </c>
      <c r="E55" s="220">
        <v>38.799999999999997</v>
      </c>
      <c r="F55" s="220" t="s">
        <v>2190</v>
      </c>
      <c r="G55" s="220">
        <v>3.5</v>
      </c>
      <c r="H55" s="220">
        <v>0</v>
      </c>
      <c r="I55" s="220">
        <v>0</v>
      </c>
      <c r="J55" s="220">
        <v>3.5</v>
      </c>
      <c r="K55" s="220">
        <v>18</v>
      </c>
      <c r="L55" s="168"/>
    </row>
    <row r="56" spans="1:12" ht="20.100000000000001" customHeight="1" x14ac:dyDescent="0.2">
      <c r="A56" s="86" t="str">
        <f>HYPERLINK("#'Constants - Fuel'!A1", "Constants - Fuel")</f>
        <v>Constants - Fuel</v>
      </c>
      <c r="D56" s="220" t="s">
        <v>2211</v>
      </c>
      <c r="E56" s="220">
        <v>45.3</v>
      </c>
      <c r="F56" s="220" t="s">
        <v>1594</v>
      </c>
      <c r="G56" s="220">
        <v>69.599999999999994</v>
      </c>
      <c r="H56" s="220">
        <v>0.08</v>
      </c>
      <c r="I56" s="220">
        <v>0.2</v>
      </c>
      <c r="J56" s="220">
        <v>69.88</v>
      </c>
      <c r="K56" s="220" t="s">
        <v>2192</v>
      </c>
      <c r="L56" s="168"/>
    </row>
    <row r="57" spans="1:12" ht="20.100000000000001" customHeight="1" x14ac:dyDescent="0.2">
      <c r="A57" s="5" t="str">
        <f>HYPERLINK("#'Constants - Scope 3'!A1", "Constants - Scope 3")</f>
        <v>Constants - Scope 3</v>
      </c>
      <c r="D57" s="220" t="s">
        <v>2212</v>
      </c>
      <c r="E57" s="220">
        <v>46.5</v>
      </c>
      <c r="F57" s="220" t="s">
        <v>1594</v>
      </c>
      <c r="G57" s="220">
        <v>61</v>
      </c>
      <c r="H57" s="220">
        <v>0.08</v>
      </c>
      <c r="I57" s="220">
        <v>0.2</v>
      </c>
      <c r="J57" s="220">
        <v>61.28</v>
      </c>
      <c r="K57" s="220" t="s">
        <v>2192</v>
      </c>
      <c r="L57" s="168"/>
    </row>
    <row r="58" spans="1:12" ht="20.100000000000001" customHeight="1" x14ac:dyDescent="0.2">
      <c r="A58" s="5" t="str">
        <f>HYPERLINK("#'Constants - Solid Waste'!A1", "Constants - Solid Waste")</f>
        <v>Constants - Solid Waste</v>
      </c>
      <c r="D58" s="220" t="s">
        <v>2213</v>
      </c>
      <c r="E58" s="220">
        <v>34.200000000000003</v>
      </c>
      <c r="F58" s="220" t="s">
        <v>874</v>
      </c>
      <c r="G58" s="220">
        <v>67.400000000000006</v>
      </c>
      <c r="H58" s="220">
        <v>0.2</v>
      </c>
      <c r="I58" s="220">
        <v>0.2</v>
      </c>
      <c r="J58" s="220">
        <v>67.8</v>
      </c>
      <c r="K58" s="220">
        <v>17.2</v>
      </c>
      <c r="L58" s="168"/>
    </row>
    <row r="59" spans="1:12" ht="20.100000000000001" customHeight="1" x14ac:dyDescent="0.2">
      <c r="A59" s="5" t="str">
        <f>HYPERLINK("#'Constants - Common'!A1", "Constants - Common")</f>
        <v>Constants - Common</v>
      </c>
      <c r="D59" s="220" t="s">
        <v>2214</v>
      </c>
      <c r="E59" s="220">
        <v>33.1</v>
      </c>
      <c r="F59" s="220" t="s">
        <v>874</v>
      </c>
      <c r="G59" s="220">
        <v>67</v>
      </c>
      <c r="H59" s="220">
        <v>0.2</v>
      </c>
      <c r="I59" s="220">
        <v>0.2</v>
      </c>
      <c r="J59" s="220">
        <v>67.400000000000006</v>
      </c>
      <c r="K59" s="220">
        <v>18</v>
      </c>
      <c r="L59" s="168"/>
    </row>
    <row r="60" spans="1:12" ht="20.100000000000001" customHeight="1" x14ac:dyDescent="0.2">
      <c r="A60" s="5" t="str">
        <f>HYPERLINK("#'Acknowledgements'!A1", "Acknowledgements")</f>
        <v>Acknowledgements</v>
      </c>
      <c r="D60" s="220" t="s">
        <v>2215</v>
      </c>
      <c r="E60" s="220">
        <v>37.5</v>
      </c>
      <c r="F60" s="220" t="s">
        <v>874</v>
      </c>
      <c r="G60" s="220">
        <v>68.900000000000006</v>
      </c>
      <c r="H60" s="220">
        <v>0.01</v>
      </c>
      <c r="I60" s="220">
        <v>0.2</v>
      </c>
      <c r="J60" s="220">
        <v>69.11</v>
      </c>
      <c r="K60" s="220">
        <v>18</v>
      </c>
      <c r="L60" s="168"/>
    </row>
    <row r="61" spans="1:12" ht="20.100000000000001" customHeight="1" x14ac:dyDescent="0.2">
      <c r="D61" s="220" t="s">
        <v>2216</v>
      </c>
      <c r="E61" s="220">
        <v>36.799999999999997</v>
      </c>
      <c r="F61" s="220" t="s">
        <v>874</v>
      </c>
      <c r="G61" s="220">
        <v>69.599999999999994</v>
      </c>
      <c r="H61" s="220">
        <v>0.02</v>
      </c>
      <c r="I61" s="220">
        <v>0.2</v>
      </c>
      <c r="J61" s="220">
        <v>69.819999999999993</v>
      </c>
      <c r="K61" s="220">
        <v>18</v>
      </c>
      <c r="L61" s="168"/>
    </row>
    <row r="62" spans="1:12" ht="20.100000000000001" customHeight="1" x14ac:dyDescent="0.2">
      <c r="D62" s="220" t="s">
        <v>2217</v>
      </c>
      <c r="E62" s="220">
        <v>37.299999999999997</v>
      </c>
      <c r="F62" s="220" t="s">
        <v>874</v>
      </c>
      <c r="G62" s="220">
        <v>69.5</v>
      </c>
      <c r="H62" s="220">
        <v>0.03</v>
      </c>
      <c r="I62" s="220">
        <v>0.2</v>
      </c>
      <c r="J62" s="220">
        <v>69.73</v>
      </c>
      <c r="K62" s="220">
        <v>18</v>
      </c>
      <c r="L62" s="168"/>
    </row>
    <row r="63" spans="1:12" ht="20.100000000000001" customHeight="1" x14ac:dyDescent="0.2">
      <c r="D63" s="220" t="s">
        <v>2191</v>
      </c>
      <c r="E63" s="220">
        <v>38.6</v>
      </c>
      <c r="F63" s="220" t="s">
        <v>874</v>
      </c>
      <c r="G63" s="220">
        <v>69.900000000000006</v>
      </c>
      <c r="H63" s="220">
        <v>0.1</v>
      </c>
      <c r="I63" s="220">
        <v>0.2</v>
      </c>
      <c r="J63" s="220">
        <v>70.2</v>
      </c>
      <c r="K63" s="220">
        <v>17.3</v>
      </c>
      <c r="L63" s="168"/>
    </row>
    <row r="64" spans="1:12" ht="20.100000000000001" customHeight="1" x14ac:dyDescent="0.2">
      <c r="D64" s="220" t="s">
        <v>818</v>
      </c>
      <c r="E64" s="220">
        <v>39.700000000000003</v>
      </c>
      <c r="F64" s="220" t="s">
        <v>874</v>
      </c>
      <c r="G64" s="220">
        <v>73.599999999999994</v>
      </c>
      <c r="H64" s="220">
        <v>0.04</v>
      </c>
      <c r="I64" s="220">
        <v>0.2</v>
      </c>
      <c r="J64" s="220">
        <v>73.84</v>
      </c>
      <c r="K64" s="220">
        <v>18</v>
      </c>
      <c r="L64" s="168"/>
    </row>
    <row r="65" spans="4:13" ht="20.100000000000001" customHeight="1" x14ac:dyDescent="0.2">
      <c r="D65" s="220" t="s">
        <v>2218</v>
      </c>
      <c r="E65" s="220">
        <v>34.4</v>
      </c>
      <c r="F65" s="220" t="s">
        <v>874</v>
      </c>
      <c r="G65" s="220">
        <v>69.7</v>
      </c>
      <c r="H65" s="220">
        <v>0.03</v>
      </c>
      <c r="I65" s="220">
        <v>0.2</v>
      </c>
      <c r="J65" s="220">
        <v>69.930000000000007</v>
      </c>
      <c r="K65" s="220">
        <v>18</v>
      </c>
      <c r="L65" s="168"/>
    </row>
    <row r="66" spans="4:13" ht="20.100000000000001" customHeight="1" x14ac:dyDescent="0.2">
      <c r="D66" s="220" t="s">
        <v>2219</v>
      </c>
      <c r="E66" s="220">
        <v>34.4</v>
      </c>
      <c r="F66" s="220" t="s">
        <v>874</v>
      </c>
      <c r="G66" s="220">
        <v>69.7</v>
      </c>
      <c r="H66" s="220">
        <v>0.03</v>
      </c>
      <c r="I66" s="220">
        <v>0.2</v>
      </c>
      <c r="J66" s="220">
        <v>69.930000000000007</v>
      </c>
      <c r="K66" s="220">
        <v>18</v>
      </c>
      <c r="L66" s="168"/>
    </row>
    <row r="67" spans="4:13" ht="20.100000000000001" customHeight="1" x14ac:dyDescent="0.2">
      <c r="D67" s="220" t="s">
        <v>876</v>
      </c>
      <c r="E67" s="220">
        <v>25.7</v>
      </c>
      <c r="F67" s="220" t="s">
        <v>874</v>
      </c>
      <c r="G67" s="220">
        <v>60.2</v>
      </c>
      <c r="H67" s="220">
        <v>0.2</v>
      </c>
      <c r="I67" s="220">
        <v>0.2</v>
      </c>
      <c r="J67" s="220">
        <v>60.6</v>
      </c>
      <c r="K67" s="220">
        <v>20.2</v>
      </c>
      <c r="L67" s="168"/>
    </row>
    <row r="68" spans="4:13" ht="20.100000000000001" customHeight="1" x14ac:dyDescent="0.2">
      <c r="D68" s="220" t="s">
        <v>2220</v>
      </c>
      <c r="E68" s="220">
        <v>31.4</v>
      </c>
      <c r="F68" s="220" t="s">
        <v>874</v>
      </c>
      <c r="G68" s="220">
        <v>69.8</v>
      </c>
      <c r="H68" s="220">
        <v>0.01</v>
      </c>
      <c r="I68" s="220">
        <v>0.01</v>
      </c>
      <c r="J68" s="220">
        <v>69.819999999999993</v>
      </c>
      <c r="K68" s="220">
        <v>18</v>
      </c>
      <c r="L68" s="168"/>
    </row>
    <row r="69" spans="4:13" ht="20.100000000000001" customHeight="1" x14ac:dyDescent="0.2">
      <c r="D69" s="220" t="s">
        <v>2221</v>
      </c>
      <c r="E69" s="220">
        <v>34.200000000000003</v>
      </c>
      <c r="F69" s="220" t="s">
        <v>1594</v>
      </c>
      <c r="G69" s="220">
        <v>92.6</v>
      </c>
      <c r="H69" s="220">
        <v>0.08</v>
      </c>
      <c r="I69" s="220">
        <v>0.2</v>
      </c>
      <c r="J69" s="220">
        <v>92.88</v>
      </c>
      <c r="K69" s="220">
        <v>18</v>
      </c>
      <c r="L69" s="168"/>
    </row>
    <row r="70" spans="4:13" ht="20.100000000000001" customHeight="1" x14ac:dyDescent="0.2">
      <c r="D70" s="220" t="s">
        <v>2222</v>
      </c>
      <c r="E70" s="220">
        <v>42.9</v>
      </c>
      <c r="F70" s="220" t="s">
        <v>1594</v>
      </c>
      <c r="G70" s="220">
        <v>54.7</v>
      </c>
      <c r="H70" s="220">
        <v>0.03</v>
      </c>
      <c r="I70" s="220">
        <v>0.03</v>
      </c>
      <c r="J70" s="220">
        <v>54.76</v>
      </c>
      <c r="K70" s="220">
        <v>18</v>
      </c>
      <c r="L70" s="168"/>
    </row>
    <row r="71" spans="4:13" ht="20.100000000000001" customHeight="1" x14ac:dyDescent="0.2">
      <c r="D71" s="220" t="s">
        <v>2223</v>
      </c>
      <c r="E71" s="220">
        <v>34.200000000000003</v>
      </c>
      <c r="F71" s="220" t="s">
        <v>1594</v>
      </c>
      <c r="G71" s="220">
        <v>92.6</v>
      </c>
      <c r="H71" s="220">
        <v>0.08</v>
      </c>
      <c r="I71" s="220">
        <v>0.2</v>
      </c>
      <c r="J71" s="220">
        <v>92.88</v>
      </c>
      <c r="K71" s="220">
        <v>18</v>
      </c>
      <c r="L71" s="168"/>
    </row>
    <row r="72" spans="4:13" ht="20.100000000000001" customHeight="1" x14ac:dyDescent="0.2">
      <c r="D72" s="220" t="s">
        <v>2224</v>
      </c>
      <c r="E72" s="220">
        <v>34.4</v>
      </c>
      <c r="F72" s="220" t="s">
        <v>874</v>
      </c>
      <c r="G72" s="220">
        <v>69.8</v>
      </c>
      <c r="H72" s="220">
        <v>0.02</v>
      </c>
      <c r="I72" s="220">
        <v>0.1</v>
      </c>
      <c r="J72" s="220">
        <v>69.92</v>
      </c>
      <c r="K72" s="220">
        <v>18</v>
      </c>
      <c r="L72" s="168"/>
    </row>
    <row r="73" spans="4:13" ht="20.100000000000001" customHeight="1" x14ac:dyDescent="0.2">
      <c r="D73" s="220" t="s">
        <v>877</v>
      </c>
      <c r="E73" s="220">
        <v>34.6</v>
      </c>
      <c r="F73" s="220" t="s">
        <v>874</v>
      </c>
      <c r="G73" s="220">
        <v>0</v>
      </c>
      <c r="H73" s="220">
        <v>0.08</v>
      </c>
      <c r="I73" s="220">
        <v>0.2</v>
      </c>
      <c r="J73" s="220">
        <v>0.28000000000000003</v>
      </c>
      <c r="K73" s="220" t="s">
        <v>2192</v>
      </c>
      <c r="L73" s="168"/>
    </row>
    <row r="74" spans="4:13" ht="20.100000000000001" customHeight="1" x14ac:dyDescent="0.2">
      <c r="D74" s="220" t="s">
        <v>2225</v>
      </c>
      <c r="E74" s="220">
        <v>23.4</v>
      </c>
      <c r="F74" s="220" t="s">
        <v>874</v>
      </c>
      <c r="G74" s="220">
        <v>0</v>
      </c>
      <c r="H74" s="220">
        <v>0.08</v>
      </c>
      <c r="I74" s="220">
        <v>0.2</v>
      </c>
      <c r="J74" s="220">
        <v>0.28000000000000003</v>
      </c>
      <c r="K74" s="220" t="s">
        <v>2192</v>
      </c>
      <c r="L74" s="168"/>
    </row>
    <row r="75" spans="4:13" ht="20.100000000000001" customHeight="1" x14ac:dyDescent="0.2">
      <c r="D75" s="220" t="s">
        <v>2226</v>
      </c>
      <c r="E75" s="220">
        <v>23.4</v>
      </c>
      <c r="F75" s="220" t="s">
        <v>874</v>
      </c>
      <c r="G75" s="220">
        <v>0</v>
      </c>
      <c r="H75" s="220">
        <v>0.08</v>
      </c>
      <c r="I75" s="220">
        <v>0.2</v>
      </c>
      <c r="J75" s="220">
        <v>0.28000000000000003</v>
      </c>
      <c r="K75" s="220" t="s">
        <v>2192</v>
      </c>
      <c r="L75" s="168"/>
    </row>
    <row r="76" spans="4:13" ht="20.100000000000001" customHeight="1" x14ac:dyDescent="0.2">
      <c r="D76" s="220" t="s">
        <v>883</v>
      </c>
      <c r="E76" s="220">
        <v>36.799999999999997</v>
      </c>
      <c r="F76" s="220" t="s">
        <v>874</v>
      </c>
      <c r="G76" s="220">
        <v>0</v>
      </c>
      <c r="H76" s="220">
        <v>0.02</v>
      </c>
      <c r="I76" s="220">
        <v>0.2</v>
      </c>
      <c r="J76" s="220">
        <v>0.22</v>
      </c>
      <c r="K76" s="220" t="s">
        <v>2192</v>
      </c>
      <c r="L76" s="168"/>
    </row>
    <row r="77" spans="4:13" ht="20.100000000000001" customHeight="1" x14ac:dyDescent="0.2">
      <c r="D77" s="220" t="s">
        <v>880</v>
      </c>
      <c r="E77" s="220">
        <v>38.6</v>
      </c>
      <c r="F77" s="220" t="s">
        <v>874</v>
      </c>
      <c r="G77" s="220">
        <v>0</v>
      </c>
      <c r="H77" s="220">
        <v>0.1</v>
      </c>
      <c r="I77" s="220">
        <v>0.2</v>
      </c>
      <c r="J77" s="220">
        <v>0.3</v>
      </c>
      <c r="K77" s="220" t="s">
        <v>2192</v>
      </c>
      <c r="L77" s="168"/>
    </row>
    <row r="78" spans="4:13" ht="20.100000000000001" customHeight="1" x14ac:dyDescent="0.2">
      <c r="D78" s="168"/>
      <c r="E78" s="168"/>
      <c r="F78" s="168"/>
      <c r="G78" s="168"/>
      <c r="H78" s="168"/>
      <c r="I78" s="168"/>
      <c r="J78" s="168"/>
      <c r="K78" s="168"/>
      <c r="L78" s="168"/>
    </row>
    <row r="79" spans="4:13" ht="20.100000000000001" customHeight="1" x14ac:dyDescent="0.2">
      <c r="D79" s="168"/>
      <c r="E79" s="168"/>
      <c r="F79" s="168"/>
      <c r="G79" s="168"/>
      <c r="H79" s="168"/>
      <c r="I79" s="168"/>
      <c r="J79" s="168"/>
      <c r="K79" s="168"/>
      <c r="L79" s="168"/>
      <c r="M79" s="168"/>
    </row>
    <row r="80" spans="4:13" ht="20.100000000000001" customHeight="1" x14ac:dyDescent="0.2">
      <c r="D80" s="168"/>
      <c r="E80" s="168"/>
      <c r="F80" s="168"/>
      <c r="G80" s="168"/>
      <c r="H80" s="168"/>
      <c r="I80" s="168"/>
      <c r="J80" s="168"/>
      <c r="K80" s="168"/>
      <c r="L80" s="168"/>
      <c r="M80" s="168"/>
    </row>
    <row r="81" spans="4:12" ht="20.100000000000001" customHeight="1" x14ac:dyDescent="0.2">
      <c r="D81" s="2" t="s">
        <v>2227</v>
      </c>
      <c r="E81" s="168"/>
      <c r="F81" s="168"/>
      <c r="G81" s="168"/>
      <c r="H81" s="168"/>
      <c r="I81" s="168"/>
      <c r="J81" s="168"/>
      <c r="K81" s="168"/>
      <c r="L81" s="168"/>
    </row>
    <row r="82" spans="4:12" ht="20.100000000000001" customHeight="1" x14ac:dyDescent="0.2">
      <c r="D82" s="1" t="s">
        <v>2228</v>
      </c>
      <c r="E82" s="168"/>
      <c r="F82" s="168"/>
      <c r="G82" s="168"/>
      <c r="H82" s="168"/>
      <c r="I82" s="168"/>
      <c r="J82" s="168"/>
      <c r="K82" s="168"/>
      <c r="L82" s="168"/>
    </row>
    <row r="83" spans="4:12" ht="20.100000000000001" customHeight="1" x14ac:dyDescent="0.2">
      <c r="D83" s="17" t="s">
        <v>2229</v>
      </c>
      <c r="E83" s="168"/>
      <c r="F83" s="168"/>
      <c r="G83" s="168"/>
      <c r="H83" s="168"/>
      <c r="I83" s="168"/>
      <c r="J83" s="168"/>
      <c r="K83" s="168"/>
      <c r="L83" s="168"/>
    </row>
    <row r="84" spans="4:12" ht="20.100000000000001" customHeight="1" x14ac:dyDescent="0.2">
      <c r="D84" s="26" t="str" cm="1">
        <f t="array" ref="D84">"⚠️" &amp; Fuel_SourceData.Fuel_Scope1EmissionFactorsStationaryGaseous_Variation()</f>
        <v>⚠️VARIATION OF SOURCE DATA: 'Natural gas distributed in a pipeline - Gigajoules' and 'Town gas - Gigajoules' were added, each with an energy content factor of 1 GJ per unit of fuel. This is for users who have fuel consumption data in GJ rather than m3.</v>
      </c>
      <c r="E84" s="168"/>
      <c r="F84" s="168"/>
      <c r="G84" s="168"/>
      <c r="H84" s="168"/>
      <c r="I84" s="168"/>
      <c r="J84" s="168"/>
      <c r="K84" s="168"/>
      <c r="L84" s="168"/>
    </row>
    <row r="85" spans="4:12" ht="20.100000000000001" customHeight="1" x14ac:dyDescent="0.2">
      <c r="D85" s="168"/>
      <c r="E85" s="168"/>
      <c r="F85" s="168"/>
      <c r="G85" s="168"/>
      <c r="H85" s="168"/>
      <c r="I85" s="168"/>
      <c r="J85" s="168"/>
      <c r="K85" s="168"/>
      <c r="L85" s="168"/>
    </row>
    <row r="86" spans="4:12" ht="20.100000000000001" customHeight="1" x14ac:dyDescent="0.2">
      <c r="D86" s="186" t="s">
        <v>852</v>
      </c>
      <c r="E86" s="217" t="s">
        <v>853</v>
      </c>
      <c r="F86" s="186" t="s">
        <v>854</v>
      </c>
      <c r="G86" s="217" t="s">
        <v>855</v>
      </c>
      <c r="H86" s="217" t="s">
        <v>856</v>
      </c>
      <c r="I86" s="217" t="s">
        <v>857</v>
      </c>
      <c r="J86" s="217" t="s">
        <v>858</v>
      </c>
      <c r="K86" s="168"/>
      <c r="L86" s="168"/>
    </row>
    <row r="87" spans="4:12" ht="20.100000000000001" customHeight="1" x14ac:dyDescent="0.2">
      <c r="D87" s="220" t="s">
        <v>2230</v>
      </c>
      <c r="E87" s="220">
        <v>3.9300000000000002E-2</v>
      </c>
      <c r="F87" s="220" t="s">
        <v>1602</v>
      </c>
      <c r="G87" s="220">
        <v>51.4</v>
      </c>
      <c r="H87" s="220">
        <v>0.1</v>
      </c>
      <c r="I87" s="220">
        <v>0.03</v>
      </c>
      <c r="J87" s="220">
        <v>51.53</v>
      </c>
      <c r="K87" s="168"/>
      <c r="L87" s="168"/>
    </row>
    <row r="88" spans="4:12" ht="20.100000000000001" customHeight="1" x14ac:dyDescent="0.2">
      <c r="D88" s="220" t="s">
        <v>2231</v>
      </c>
      <c r="E88" s="220">
        <v>3.7699999999999997E-2</v>
      </c>
      <c r="F88" s="220" t="s">
        <v>1602</v>
      </c>
      <c r="G88" s="220">
        <v>51.4</v>
      </c>
      <c r="H88" s="220">
        <v>0.2</v>
      </c>
      <c r="I88" s="220">
        <v>0.03</v>
      </c>
      <c r="J88" s="220">
        <v>51.63</v>
      </c>
      <c r="K88" s="168"/>
      <c r="L88" s="168"/>
    </row>
    <row r="89" spans="4:12" ht="20.100000000000001" customHeight="1" x14ac:dyDescent="0.2">
      <c r="D89" s="220" t="s">
        <v>2232</v>
      </c>
      <c r="E89" s="220">
        <v>3.7699999999999997E-2</v>
      </c>
      <c r="F89" s="220" t="s">
        <v>1602</v>
      </c>
      <c r="G89" s="220">
        <v>51.9</v>
      </c>
      <c r="H89" s="220">
        <v>4.5999999999999996</v>
      </c>
      <c r="I89" s="220">
        <v>0.3</v>
      </c>
      <c r="J89" s="220">
        <v>56.8</v>
      </c>
      <c r="K89" s="168"/>
      <c r="L89" s="168"/>
    </row>
    <row r="90" spans="4:12" ht="20.100000000000001" customHeight="1" x14ac:dyDescent="0.2">
      <c r="D90" s="220" t="s">
        <v>2233</v>
      </c>
      <c r="E90" s="220">
        <v>3.9300000000000002E-2</v>
      </c>
      <c r="F90" s="220" t="s">
        <v>1602</v>
      </c>
      <c r="G90" s="220">
        <v>51.4</v>
      </c>
      <c r="H90" s="220">
        <v>0.1</v>
      </c>
      <c r="I90" s="220">
        <v>0.03</v>
      </c>
      <c r="J90" s="220">
        <v>51.53</v>
      </c>
      <c r="K90" s="168"/>
      <c r="L90" s="168"/>
    </row>
    <row r="91" spans="4:12" ht="20.100000000000001" customHeight="1" x14ac:dyDescent="0.2">
      <c r="D91" s="220" t="s">
        <v>2234</v>
      </c>
      <c r="E91" s="220">
        <v>3.9300000000000002E-2</v>
      </c>
      <c r="F91" s="220" t="s">
        <v>1602</v>
      </c>
      <c r="G91" s="220">
        <v>51.4</v>
      </c>
      <c r="H91" s="220">
        <v>0.1</v>
      </c>
      <c r="I91" s="220">
        <v>0.03</v>
      </c>
      <c r="J91" s="220">
        <v>51.53</v>
      </c>
      <c r="K91" s="168"/>
      <c r="L91" s="168"/>
    </row>
    <row r="92" spans="4:12" ht="20.100000000000001" customHeight="1" x14ac:dyDescent="0.2">
      <c r="D92" s="220" t="s">
        <v>2235</v>
      </c>
      <c r="E92" s="220">
        <v>6.2899999999999998E-2</v>
      </c>
      <c r="F92" s="220" t="s">
        <v>1602</v>
      </c>
      <c r="G92" s="220">
        <v>56.5</v>
      </c>
      <c r="H92" s="220">
        <v>0.03</v>
      </c>
      <c r="I92" s="220">
        <v>0.03</v>
      </c>
      <c r="J92" s="220">
        <v>56.56</v>
      </c>
      <c r="K92" s="168"/>
      <c r="L92" s="168"/>
    </row>
    <row r="93" spans="4:12" ht="20.100000000000001" customHeight="1" x14ac:dyDescent="0.2">
      <c r="D93" s="220" t="s">
        <v>2236</v>
      </c>
      <c r="E93" s="220">
        <v>1.8100000000000002E-2</v>
      </c>
      <c r="F93" s="220" t="s">
        <v>1602</v>
      </c>
      <c r="G93" s="220">
        <v>37</v>
      </c>
      <c r="H93" s="220">
        <v>0.03</v>
      </c>
      <c r="I93" s="220">
        <v>0.05</v>
      </c>
      <c r="J93" s="220">
        <v>37.08</v>
      </c>
      <c r="K93" s="168"/>
      <c r="L93" s="168"/>
    </row>
    <row r="94" spans="4:12" ht="20.100000000000001" customHeight="1" x14ac:dyDescent="0.2">
      <c r="D94" s="220" t="s">
        <v>2237</v>
      </c>
      <c r="E94" s="220">
        <v>4.0000000000000001E-3</v>
      </c>
      <c r="F94" s="220" t="s">
        <v>1602</v>
      </c>
      <c r="G94" s="220">
        <v>234</v>
      </c>
      <c r="H94" s="220">
        <v>0.03</v>
      </c>
      <c r="I94" s="220">
        <v>0.02</v>
      </c>
      <c r="J94" s="220">
        <v>234.05</v>
      </c>
      <c r="K94" s="168"/>
      <c r="L94" s="168"/>
    </row>
    <row r="95" spans="4:12" ht="20.100000000000001" customHeight="1" x14ac:dyDescent="0.2">
      <c r="D95" s="220" t="s">
        <v>2238</v>
      </c>
      <c r="E95" s="220">
        <v>3.9E-2</v>
      </c>
      <c r="F95" s="220" t="s">
        <v>1602</v>
      </c>
      <c r="G95" s="220">
        <v>60.2</v>
      </c>
      <c r="H95" s="220">
        <v>0.04</v>
      </c>
      <c r="I95" s="220">
        <v>0.03</v>
      </c>
      <c r="J95" s="220">
        <v>60.27</v>
      </c>
      <c r="K95" s="168"/>
      <c r="L95" s="168"/>
    </row>
    <row r="96" spans="4:12" ht="20.100000000000001" customHeight="1" x14ac:dyDescent="0.2">
      <c r="D96" s="220" t="s">
        <v>2195</v>
      </c>
      <c r="E96" s="220">
        <v>25.3</v>
      </c>
      <c r="F96" s="220" t="s">
        <v>874</v>
      </c>
      <c r="G96" s="220">
        <v>51.4</v>
      </c>
      <c r="H96" s="220">
        <v>0.1</v>
      </c>
      <c r="I96" s="220">
        <v>0.03</v>
      </c>
      <c r="J96" s="220">
        <v>51.53</v>
      </c>
      <c r="K96" s="168"/>
      <c r="L96" s="168"/>
    </row>
    <row r="97" spans="4:13" ht="20.100000000000001" customHeight="1" x14ac:dyDescent="0.2">
      <c r="D97" s="220" t="s">
        <v>2239</v>
      </c>
      <c r="E97" s="220">
        <v>3.9E-2</v>
      </c>
      <c r="F97" s="220" t="s">
        <v>1602</v>
      </c>
      <c r="G97" s="220">
        <v>51.4</v>
      </c>
      <c r="H97" s="220">
        <v>0.1</v>
      </c>
      <c r="I97" s="220">
        <v>0.03</v>
      </c>
      <c r="J97" s="220">
        <v>51.53</v>
      </c>
      <c r="K97" s="168"/>
      <c r="L97" s="168"/>
    </row>
    <row r="98" spans="4:13" ht="20.100000000000001" customHeight="1" x14ac:dyDescent="0.2">
      <c r="D98" s="220" t="s">
        <v>2240</v>
      </c>
      <c r="E98" s="220">
        <v>3.7699999999999997E-2</v>
      </c>
      <c r="F98" s="220" t="s">
        <v>1602</v>
      </c>
      <c r="G98" s="220">
        <v>0</v>
      </c>
      <c r="H98" s="220">
        <v>6.4</v>
      </c>
      <c r="I98" s="220">
        <v>0.03</v>
      </c>
      <c r="J98" s="220">
        <v>6.43</v>
      </c>
      <c r="K98" s="168"/>
      <c r="L98" s="168"/>
    </row>
    <row r="99" spans="4:13" ht="20.100000000000001" customHeight="1" x14ac:dyDescent="0.2">
      <c r="D99" s="220" t="s">
        <v>2241</v>
      </c>
      <c r="E99" s="220">
        <v>3.7699999999999997E-2</v>
      </c>
      <c r="F99" s="220" t="s">
        <v>1602</v>
      </c>
      <c r="G99" s="220">
        <v>0</v>
      </c>
      <c r="H99" s="220">
        <v>6.4</v>
      </c>
      <c r="I99" s="220">
        <v>0.03</v>
      </c>
      <c r="J99" s="220">
        <v>6.43</v>
      </c>
      <c r="K99" s="168"/>
      <c r="L99" s="168"/>
    </row>
    <row r="100" spans="4:13" ht="20.100000000000001" customHeight="1" x14ac:dyDescent="0.2">
      <c r="D100" s="220" t="s">
        <v>2242</v>
      </c>
      <c r="E100" s="220">
        <v>3.6999999999999998E-2</v>
      </c>
      <c r="F100" s="220" t="s">
        <v>1602</v>
      </c>
      <c r="G100" s="220">
        <v>0</v>
      </c>
      <c r="H100" s="220">
        <v>6.4</v>
      </c>
      <c r="I100" s="220">
        <v>0.03</v>
      </c>
      <c r="J100" s="220">
        <v>6.43</v>
      </c>
      <c r="K100" s="168"/>
      <c r="L100" s="168"/>
    </row>
    <row r="101" spans="4:13" ht="20.100000000000001" customHeight="1" x14ac:dyDescent="0.2">
      <c r="D101" s="220" t="s">
        <v>2243</v>
      </c>
      <c r="E101" s="220">
        <v>3.9300000000000002E-2</v>
      </c>
      <c r="F101" s="220" t="s">
        <v>1602</v>
      </c>
      <c r="G101" s="220">
        <v>0</v>
      </c>
      <c r="H101" s="220">
        <v>0.1</v>
      </c>
      <c r="I101" s="220">
        <v>0.03</v>
      </c>
      <c r="J101" s="220">
        <v>0.13</v>
      </c>
      <c r="K101" s="168"/>
      <c r="L101" s="168"/>
    </row>
    <row r="102" spans="4:13" ht="20.100000000000001" customHeight="1" x14ac:dyDescent="0.2">
      <c r="D102" s="220" t="s">
        <v>2244</v>
      </c>
      <c r="E102" s="220">
        <v>1.2200000000000001E-2</v>
      </c>
      <c r="F102" s="220" t="s">
        <v>1602</v>
      </c>
      <c r="G102" s="220">
        <v>0</v>
      </c>
      <c r="H102" s="220">
        <v>0</v>
      </c>
      <c r="I102" s="220">
        <v>0.5</v>
      </c>
      <c r="J102" s="220">
        <v>0.5</v>
      </c>
      <c r="K102" s="168"/>
      <c r="L102" s="168"/>
    </row>
    <row r="103" spans="4:13" ht="20.100000000000001" customHeight="1" x14ac:dyDescent="0.2">
      <c r="D103" s="220" t="s">
        <v>2245</v>
      </c>
      <c r="E103" s="220">
        <v>1</v>
      </c>
      <c r="F103" s="220" t="s">
        <v>892</v>
      </c>
      <c r="G103" s="220">
        <v>51.4</v>
      </c>
      <c r="H103" s="220">
        <v>0.1</v>
      </c>
      <c r="I103" s="220">
        <v>0.03</v>
      </c>
      <c r="J103" s="220">
        <v>51.53</v>
      </c>
      <c r="K103" s="168"/>
      <c r="L103" s="168"/>
    </row>
    <row r="104" spans="4:13" ht="20.100000000000001" customHeight="1" x14ac:dyDescent="0.2">
      <c r="D104" s="220" t="s">
        <v>2246</v>
      </c>
      <c r="E104" s="220">
        <v>1</v>
      </c>
      <c r="F104" s="220" t="s">
        <v>892</v>
      </c>
      <c r="G104" s="220">
        <v>60.2</v>
      </c>
      <c r="H104" s="220">
        <v>0.04</v>
      </c>
      <c r="I104" s="220">
        <v>0.03</v>
      </c>
      <c r="J104" s="220">
        <v>60.27</v>
      </c>
      <c r="K104" s="168"/>
      <c r="L104" s="168"/>
    </row>
    <row r="105" spans="4:13" ht="20.100000000000001" customHeight="1" x14ac:dyDescent="0.2">
      <c r="D105" s="168"/>
      <c r="E105" s="168"/>
      <c r="F105" s="168"/>
      <c r="G105" s="168"/>
      <c r="H105" s="168"/>
      <c r="I105" s="168"/>
      <c r="J105" s="168"/>
      <c r="K105" s="168"/>
      <c r="L105" s="168"/>
      <c r="M105" s="168"/>
    </row>
    <row r="106" spans="4:13" ht="20.100000000000001" customHeight="1" x14ac:dyDescent="0.2">
      <c r="D106" s="168"/>
      <c r="E106" s="168"/>
      <c r="F106" s="168"/>
      <c r="G106" s="168"/>
      <c r="H106" s="168"/>
      <c r="I106" s="168"/>
      <c r="J106" s="168"/>
      <c r="K106" s="168"/>
      <c r="L106" s="168"/>
      <c r="M106" s="168"/>
    </row>
    <row r="107" spans="4:13" ht="20.100000000000001" customHeight="1" x14ac:dyDescent="0.2">
      <c r="D107" s="2" t="s">
        <v>2247</v>
      </c>
      <c r="E107" s="168"/>
      <c r="F107" s="168"/>
      <c r="G107" s="168"/>
      <c r="H107" s="168"/>
      <c r="I107" s="168"/>
      <c r="J107" s="168"/>
      <c r="K107" s="168"/>
      <c r="L107" s="168"/>
    </row>
    <row r="108" spans="4:13" ht="20.100000000000001" customHeight="1" x14ac:dyDescent="0.2">
      <c r="D108" s="1" t="s">
        <v>2248</v>
      </c>
      <c r="E108" s="168"/>
      <c r="F108" s="168"/>
      <c r="G108" s="168"/>
      <c r="H108" s="168"/>
      <c r="I108" s="168"/>
      <c r="J108" s="168"/>
      <c r="K108" s="168"/>
      <c r="L108" s="168"/>
    </row>
    <row r="109" spans="4:13" ht="20.100000000000001" customHeight="1" x14ac:dyDescent="0.2">
      <c r="D109" s="17" t="s">
        <v>2249</v>
      </c>
      <c r="E109" s="168"/>
      <c r="F109" s="168"/>
      <c r="G109" s="168"/>
      <c r="H109" s="168"/>
      <c r="I109" s="168"/>
      <c r="J109" s="168"/>
      <c r="K109" s="168"/>
      <c r="L109" s="168"/>
    </row>
    <row r="110" spans="4:13" ht="20.100000000000001" customHeight="1" x14ac:dyDescent="0.2">
      <c r="D110" s="26" t="str" cm="1">
        <f t="array" ref="D110">"⚠️"&amp;Fuel_SourceData.Fuel_Scope3EmissionFactorsStationaryGaseous_Variation()</f>
        <v>⚠️VARIATION OF SOURCE DATA: NSW and ACT split into separate rows. 'C' Values for Tasmania and Northern Territory replaced with those for Victoria and Western Australia respectively. (See appendices)</v>
      </c>
      <c r="E110" s="168"/>
      <c r="F110" s="168"/>
      <c r="G110" s="168"/>
      <c r="H110" s="168"/>
      <c r="I110" s="168"/>
      <c r="J110" s="168"/>
      <c r="K110" s="168"/>
      <c r="L110" s="168"/>
    </row>
    <row r="111" spans="4:13" ht="20.100000000000001" customHeight="1" x14ac:dyDescent="0.2">
      <c r="D111" s="168"/>
      <c r="E111" s="168"/>
      <c r="F111" s="168"/>
      <c r="G111" s="168"/>
      <c r="H111" s="168"/>
      <c r="I111" s="168"/>
      <c r="J111" s="168"/>
      <c r="K111" s="168"/>
      <c r="L111" s="168"/>
    </row>
    <row r="112" spans="4:13" ht="20.100000000000001" customHeight="1" x14ac:dyDescent="0.2">
      <c r="D112" s="186" t="s">
        <v>867</v>
      </c>
      <c r="E112" s="217" t="s">
        <v>802</v>
      </c>
      <c r="F112" s="217" t="s">
        <v>868</v>
      </c>
      <c r="G112" s="228" t="s">
        <v>2251</v>
      </c>
      <c r="H112" s="77" t="s">
        <v>869</v>
      </c>
      <c r="I112" s="168"/>
      <c r="J112" s="168"/>
      <c r="K112" s="168"/>
      <c r="L112" s="168"/>
    </row>
    <row r="113" spans="4:13" ht="20.100000000000001" customHeight="1" x14ac:dyDescent="0.2">
      <c r="D113" s="221" t="s">
        <v>1936</v>
      </c>
      <c r="E113" s="221">
        <v>13.1</v>
      </c>
      <c r="F113" s="221">
        <v>14</v>
      </c>
      <c r="G113" s="222" t="s">
        <v>2250</v>
      </c>
      <c r="H113" s="1" t="s">
        <v>2252</v>
      </c>
      <c r="I113" s="168"/>
      <c r="J113" s="168"/>
      <c r="K113" s="168"/>
      <c r="L113" s="168"/>
    </row>
    <row r="114" spans="4:13" ht="20.100000000000001" customHeight="1" x14ac:dyDescent="0.2">
      <c r="D114" s="221" t="s">
        <v>519</v>
      </c>
      <c r="E114" s="221">
        <v>13.1</v>
      </c>
      <c r="F114" s="221">
        <v>14</v>
      </c>
      <c r="G114" s="222"/>
      <c r="H114" s="1" t="s">
        <v>2253</v>
      </c>
      <c r="I114" s="168"/>
      <c r="J114" s="168"/>
      <c r="K114" s="168"/>
      <c r="L114" s="168"/>
    </row>
    <row r="115" spans="4:13" ht="20.100000000000001" customHeight="1" x14ac:dyDescent="0.2">
      <c r="D115" s="221" t="s">
        <v>1783</v>
      </c>
      <c r="E115" s="221">
        <v>4</v>
      </c>
      <c r="F115" s="221">
        <v>4</v>
      </c>
      <c r="G115" s="222"/>
      <c r="H115" s="1" t="s">
        <v>2254</v>
      </c>
      <c r="I115" s="168"/>
      <c r="J115" s="168"/>
      <c r="K115" s="168"/>
      <c r="L115" s="168"/>
    </row>
    <row r="116" spans="4:13" ht="20.100000000000001" customHeight="1" x14ac:dyDescent="0.2">
      <c r="D116" s="221" t="s">
        <v>1789</v>
      </c>
      <c r="E116" s="221">
        <v>8.8000000000000007</v>
      </c>
      <c r="F116" s="221">
        <v>7.9</v>
      </c>
      <c r="G116" s="222" t="s">
        <v>2250</v>
      </c>
      <c r="H116" s="1" t="s">
        <v>2255</v>
      </c>
      <c r="I116" s="168"/>
      <c r="J116" s="168"/>
      <c r="K116" s="168"/>
      <c r="L116" s="168"/>
    </row>
    <row r="117" spans="4:13" ht="20.100000000000001" customHeight="1" x14ac:dyDescent="0.2">
      <c r="D117" s="221" t="s">
        <v>1781</v>
      </c>
      <c r="E117" s="221">
        <v>10.7</v>
      </c>
      <c r="F117" s="221">
        <v>10.6</v>
      </c>
      <c r="G117" s="222"/>
      <c r="H117" s="1" t="s">
        <v>2256</v>
      </c>
      <c r="I117" s="168"/>
      <c r="J117" s="168"/>
      <c r="K117" s="168"/>
      <c r="L117" s="168"/>
    </row>
    <row r="118" spans="4:13" ht="20.100000000000001" customHeight="1" x14ac:dyDescent="0.2">
      <c r="D118" s="221" t="s">
        <v>1784</v>
      </c>
      <c r="E118" s="221">
        <v>4.0999999999999996</v>
      </c>
      <c r="F118" s="221">
        <v>4</v>
      </c>
      <c r="G118" s="222" t="s">
        <v>2250</v>
      </c>
      <c r="H118" s="1" t="s">
        <v>2257</v>
      </c>
      <c r="I118" s="168"/>
      <c r="J118" s="168"/>
      <c r="K118" s="168"/>
      <c r="L118" s="168"/>
    </row>
    <row r="119" spans="4:13" ht="20.100000000000001" customHeight="1" x14ac:dyDescent="0.2">
      <c r="D119" s="221" t="s">
        <v>1782</v>
      </c>
      <c r="E119" s="221">
        <v>4</v>
      </c>
      <c r="F119" s="221">
        <v>4</v>
      </c>
      <c r="G119" s="222" t="s">
        <v>2250</v>
      </c>
      <c r="H119" s="1" t="s">
        <v>2258</v>
      </c>
      <c r="I119" s="168"/>
      <c r="J119" s="168"/>
      <c r="K119" s="168"/>
      <c r="L119" s="168"/>
    </row>
    <row r="120" spans="4:13" ht="20.100000000000001" customHeight="1" x14ac:dyDescent="0.2">
      <c r="D120" s="221" t="s">
        <v>1787</v>
      </c>
      <c r="E120" s="221">
        <v>4.0999999999999996</v>
      </c>
      <c r="F120" s="221">
        <v>4</v>
      </c>
      <c r="G120" s="222" t="s">
        <v>2250</v>
      </c>
      <c r="H120" s="1" t="s">
        <v>2259</v>
      </c>
      <c r="I120" s="168"/>
      <c r="J120" s="168"/>
      <c r="K120" s="168"/>
      <c r="L120" s="168"/>
    </row>
    <row r="121" spans="4:13" ht="20.100000000000001" customHeight="1" x14ac:dyDescent="0.2">
      <c r="D121" s="8"/>
      <c r="E121" s="8"/>
      <c r="F121" s="8"/>
      <c r="G121" s="222"/>
      <c r="H121" s="1" t="s">
        <v>2260</v>
      </c>
      <c r="I121" s="168"/>
      <c r="J121" s="168"/>
      <c r="K121" s="168"/>
      <c r="L121" s="168"/>
    </row>
    <row r="122" spans="4:13" ht="20.100000000000001" customHeight="1" x14ac:dyDescent="0.2">
      <c r="D122" s="168"/>
      <c r="F122" s="223"/>
      <c r="G122" s="222"/>
      <c r="H122" s="1" t="s">
        <v>2261</v>
      </c>
      <c r="I122" s="168"/>
      <c r="J122" s="168"/>
      <c r="K122" s="168"/>
      <c r="L122" s="168"/>
    </row>
    <row r="123" spans="4:13" ht="20.100000000000001" customHeight="1" x14ac:dyDescent="0.2">
      <c r="D123" s="224"/>
      <c r="F123" s="223"/>
      <c r="G123" s="222" t="s">
        <v>2250</v>
      </c>
      <c r="H123" s="1" t="s">
        <v>2262</v>
      </c>
      <c r="I123" s="168"/>
      <c r="J123" s="168"/>
      <c r="K123" s="168"/>
      <c r="L123" s="168"/>
    </row>
    <row r="124" spans="4:13" ht="20.100000000000001" customHeight="1" x14ac:dyDescent="0.2">
      <c r="D124" s="224"/>
      <c r="F124" s="223"/>
      <c r="G124" s="168"/>
      <c r="H124" s="1" t="s">
        <v>2263</v>
      </c>
      <c r="I124" s="168"/>
      <c r="J124" s="168"/>
      <c r="K124" s="168"/>
      <c r="L124" s="168"/>
    </row>
    <row r="125" spans="4:13" ht="20.100000000000001" customHeight="1" x14ac:dyDescent="0.2">
      <c r="D125" s="224"/>
      <c r="F125" s="223"/>
      <c r="G125" s="168"/>
      <c r="H125" s="168"/>
      <c r="I125" s="168"/>
      <c r="J125" s="168"/>
      <c r="K125" s="168"/>
      <c r="L125" s="168"/>
    </row>
    <row r="126" spans="4:13" ht="20.100000000000001" customHeight="1" x14ac:dyDescent="0.2">
      <c r="D126" s="168"/>
      <c r="E126" s="168"/>
      <c r="F126" s="168"/>
      <c r="G126" s="168"/>
      <c r="H126" s="168"/>
      <c r="I126" s="168"/>
      <c r="J126" s="168"/>
      <c r="K126" s="168"/>
      <c r="L126" s="168"/>
      <c r="M126" s="168"/>
    </row>
    <row r="127" spans="4:13" ht="20.100000000000001" customHeight="1" x14ac:dyDescent="0.2">
      <c r="D127" s="168"/>
      <c r="E127" s="168"/>
      <c r="F127" s="168"/>
      <c r="G127" s="168"/>
      <c r="H127" s="168"/>
      <c r="I127" s="168"/>
      <c r="J127" s="168"/>
      <c r="K127" s="168"/>
      <c r="L127" s="168"/>
      <c r="M127" s="168"/>
    </row>
    <row r="128" spans="4:13" ht="20.100000000000001" customHeight="1" x14ac:dyDescent="0.2">
      <c r="D128" s="168"/>
      <c r="E128" s="168"/>
      <c r="F128" s="168"/>
      <c r="G128" s="168"/>
      <c r="H128" s="168"/>
      <c r="I128" s="168"/>
      <c r="J128" s="168"/>
      <c r="K128" s="168"/>
      <c r="L128" s="168"/>
      <c r="M128" s="168"/>
    </row>
    <row r="129" spans="4:33" ht="20.100000000000001" customHeight="1" x14ac:dyDescent="0.2">
      <c r="D129" s="225"/>
      <c r="E129" s="168"/>
      <c r="F129" s="168"/>
      <c r="G129" s="168"/>
      <c r="H129" s="168"/>
      <c r="I129" s="168"/>
      <c r="J129" s="168"/>
      <c r="K129" s="168"/>
      <c r="L129" s="168"/>
    </row>
    <row r="130" spans="4:33" ht="20.100000000000001" customHeight="1" x14ac:dyDescent="0.2">
      <c r="D130" s="226" t="s">
        <v>870</v>
      </c>
      <c r="E130" s="226" t="s">
        <v>811</v>
      </c>
      <c r="F130" s="226" t="s">
        <v>871</v>
      </c>
      <c r="G130" s="226" t="s">
        <v>814</v>
      </c>
      <c r="H130" s="226" t="s">
        <v>816</v>
      </c>
      <c r="I130" s="226" t="s">
        <v>817</v>
      </c>
      <c r="J130" s="168"/>
      <c r="K130" s="168"/>
      <c r="L130" s="168"/>
    </row>
    <row r="131" spans="4:33" ht="20.100000000000001" customHeight="1" x14ac:dyDescent="0.2">
      <c r="D131" s="227" t="str">
        <f>$D$143</f>
        <v>Petrol</v>
      </c>
      <c r="E131" s="227" t="str">
        <f>$D$143</f>
        <v>Petrol</v>
      </c>
      <c r="F131" s="227" t="str">
        <f>$D$150</f>
        <v>Avgas</v>
      </c>
      <c r="G131" s="227" t="str">
        <f>$D$143</f>
        <v>Petrol</v>
      </c>
      <c r="H131" s="227" t="str">
        <f>$D$144</f>
        <v>Diesel</v>
      </c>
      <c r="I131" s="227" t="str">
        <f>$D$143</f>
        <v>Petrol</v>
      </c>
      <c r="J131" s="168"/>
      <c r="K131" s="168"/>
      <c r="L131" s="168"/>
    </row>
    <row r="132" spans="4:33" ht="20.100000000000001" customHeight="1" x14ac:dyDescent="0.2">
      <c r="D132" s="227" t="str">
        <f>$D$144</f>
        <v>Diesel</v>
      </c>
      <c r="E132" s="227" t="str">
        <f>$D$144</f>
        <v>Diesel</v>
      </c>
      <c r="F132" s="227" t="str">
        <f>$D$151</f>
        <v>Jet A1, Jet B</v>
      </c>
      <c r="G132" s="227" t="str">
        <f>$D$144</f>
        <v>Diesel</v>
      </c>
      <c r="H132" s="227"/>
      <c r="I132" s="227" t="str">
        <f>$D$144</f>
        <v>Diesel</v>
      </c>
      <c r="J132" s="168"/>
      <c r="K132" s="168"/>
      <c r="L132" s="168"/>
    </row>
    <row r="133" spans="4:33" ht="20.100000000000001" customHeight="1" x14ac:dyDescent="0.2">
      <c r="D133" s="227" t="str">
        <f>$D$145</f>
        <v>Liquefied petroleum gas (LPG)</v>
      </c>
      <c r="E133" s="227" t="str">
        <f>$D$145</f>
        <v>Liquefied petroleum gas (LPG)</v>
      </c>
      <c r="F133" s="227" t="str">
        <f>$D$152</f>
        <v>Renewable aviation kerosene</v>
      </c>
      <c r="G133" s="227" t="str">
        <f>$D$145</f>
        <v>Liquefied petroleum gas (LPG)</v>
      </c>
      <c r="H133" s="227"/>
      <c r="I133" s="227" t="s">
        <v>818</v>
      </c>
      <c r="J133" s="168"/>
      <c r="K133" s="168"/>
      <c r="L133" s="168"/>
    </row>
    <row r="134" spans="4:33" ht="20.100000000000001" customHeight="1" x14ac:dyDescent="0.2">
      <c r="D134" s="227" t="str">
        <f>$D$146</f>
        <v>Biodiesel</v>
      </c>
      <c r="E134" s="227" t="str">
        <f>$D$146</f>
        <v>Biodiesel</v>
      </c>
      <c r="F134" s="226"/>
      <c r="G134" s="227" t="str">
        <f>$D$160</f>
        <v>Fuel oil</v>
      </c>
      <c r="H134" s="227"/>
      <c r="I134" s="227"/>
      <c r="J134" s="168"/>
      <c r="K134" s="168"/>
      <c r="L134" s="168"/>
    </row>
    <row r="135" spans="4:33" ht="20.100000000000001" customHeight="1" x14ac:dyDescent="0.2">
      <c r="D135" s="227" t="str">
        <f>$D$147</f>
        <v>Ethanol</v>
      </c>
      <c r="E135" s="227" t="str">
        <f>$D$147</f>
        <v>Ethanol</v>
      </c>
      <c r="F135" s="226"/>
      <c r="G135" s="227" t="str">
        <f>$D$147</f>
        <v>Ethanol</v>
      </c>
      <c r="H135" s="227"/>
      <c r="I135" s="227"/>
      <c r="J135" s="168"/>
      <c r="K135" s="168"/>
      <c r="L135" s="168"/>
    </row>
    <row r="136" spans="4:33" ht="20.100000000000001" customHeight="1" x14ac:dyDescent="0.2">
      <c r="D136" s="227" t="str">
        <f>$D$148</f>
        <v>Other biofuels</v>
      </c>
      <c r="E136" s="227" t="str">
        <f>$D$148</f>
        <v>Other biofuels</v>
      </c>
      <c r="F136" s="226"/>
      <c r="G136" s="227" t="str">
        <f>$D$146</f>
        <v>Biodiesel</v>
      </c>
      <c r="H136" s="227"/>
      <c r="I136" s="227"/>
      <c r="J136" s="168"/>
      <c r="K136" s="168"/>
      <c r="L136" s="168"/>
    </row>
    <row r="137" spans="4:33" ht="20.100000000000001" customHeight="1" x14ac:dyDescent="0.2">
      <c r="D137" s="227" t="str">
        <f>$D$149</f>
        <v>Renewable diesel</v>
      </c>
      <c r="E137" s="227" t="str">
        <f>$D$149</f>
        <v>Renewable diesel</v>
      </c>
      <c r="F137" s="226"/>
      <c r="G137" s="227" t="str">
        <f>$D$149</f>
        <v>Renewable diesel</v>
      </c>
      <c r="H137" s="227"/>
      <c r="I137" s="227"/>
      <c r="J137" s="168"/>
      <c r="K137" s="168"/>
      <c r="L137" s="168"/>
    </row>
    <row r="138" spans="4:33" ht="20.100000000000001" customHeight="1" x14ac:dyDescent="0.2">
      <c r="D138" s="226"/>
      <c r="E138" s="228" t="str">
        <f>$D$161</f>
        <v>Natural gas (via pipeline) in GJ</v>
      </c>
      <c r="F138" s="228"/>
      <c r="G138" s="227" t="str">
        <f>$D$148</f>
        <v>Other biofuels</v>
      </c>
      <c r="H138" s="227"/>
      <c r="I138" s="227"/>
      <c r="J138" s="168"/>
      <c r="K138" s="168"/>
      <c r="L138" s="168"/>
    </row>
    <row r="139" spans="4:33" ht="20.100000000000001" customHeight="1" x14ac:dyDescent="0.2">
      <c r="D139" s="228"/>
      <c r="E139" s="228" t="str">
        <f>$D$162</f>
        <v>Town gas in GJ</v>
      </c>
      <c r="F139" s="228"/>
      <c r="G139" s="228"/>
      <c r="H139" s="228"/>
      <c r="I139" s="228"/>
      <c r="J139" s="168"/>
      <c r="K139" s="168"/>
      <c r="L139" s="168"/>
    </row>
    <row r="140" spans="4:33" ht="20.100000000000001" customHeight="1" x14ac:dyDescent="0.2">
      <c r="D140" s="168"/>
      <c r="E140" s="168"/>
      <c r="F140" s="168"/>
      <c r="G140" s="168"/>
      <c r="H140" s="168"/>
      <c r="I140" s="168"/>
      <c r="J140" s="168"/>
      <c r="K140" s="168"/>
      <c r="L140" s="168"/>
    </row>
    <row r="141" spans="4:33" ht="20.100000000000001" customHeight="1" x14ac:dyDescent="0.2">
      <c r="D141" s="168"/>
      <c r="E141" s="168"/>
      <c r="F141" s="168"/>
      <c r="G141" s="168"/>
      <c r="H141" s="168"/>
      <c r="I141" s="168"/>
      <c r="J141" s="168"/>
      <c r="K141" s="168"/>
      <c r="L141" s="168"/>
    </row>
    <row r="142" spans="4:33" ht="20.100000000000001" customHeight="1" x14ac:dyDescent="0.2">
      <c r="D142" t="s">
        <v>872</v>
      </c>
      <c r="E142" t="s">
        <v>121</v>
      </c>
      <c r="F142" t="s">
        <v>873</v>
      </c>
      <c r="G142" s="168"/>
      <c r="H142" s="168"/>
      <c r="I142" s="168"/>
      <c r="J142" s="168"/>
      <c r="K142" s="168"/>
      <c r="L142" s="168"/>
      <c r="M142" s="168"/>
      <c r="AG142" s="1"/>
    </row>
    <row r="143" spans="4:33" ht="20.100000000000001" customHeight="1" x14ac:dyDescent="0.2">
      <c r="D143" s="227" t="s">
        <v>813</v>
      </c>
      <c r="E143" t="s">
        <v>874</v>
      </c>
      <c r="F143" t="s">
        <v>875</v>
      </c>
      <c r="G143" s="168"/>
      <c r="H143" s="168"/>
      <c r="I143" s="168"/>
      <c r="J143" s="168"/>
      <c r="K143" s="168"/>
      <c r="L143" s="168"/>
      <c r="M143" s="168"/>
      <c r="AG143" s="1"/>
    </row>
    <row r="144" spans="4:33" ht="20.100000000000001" customHeight="1" x14ac:dyDescent="0.2">
      <c r="D144" s="227" t="s">
        <v>815</v>
      </c>
      <c r="E144" t="s">
        <v>874</v>
      </c>
      <c r="F144" t="s">
        <v>875</v>
      </c>
      <c r="G144" s="168"/>
      <c r="H144" s="168"/>
      <c r="I144" s="168"/>
      <c r="J144" s="168"/>
      <c r="K144" s="168"/>
      <c r="L144" s="168"/>
      <c r="M144" s="168"/>
      <c r="AG144" s="1"/>
    </row>
    <row r="145" spans="4:33" ht="20.100000000000001" customHeight="1" x14ac:dyDescent="0.2">
      <c r="D145" s="227" t="s">
        <v>876</v>
      </c>
      <c r="E145" t="s">
        <v>874</v>
      </c>
      <c r="F145" t="s">
        <v>875</v>
      </c>
      <c r="G145" s="168"/>
      <c r="H145" s="168"/>
      <c r="I145" s="168"/>
      <c r="J145" s="168"/>
      <c r="K145" s="168"/>
      <c r="L145" s="168"/>
      <c r="M145" s="168"/>
      <c r="AG145" s="1"/>
    </row>
    <row r="146" spans="4:33" ht="20.100000000000001" customHeight="1" x14ac:dyDescent="0.2">
      <c r="D146" s="227" t="s">
        <v>877</v>
      </c>
      <c r="E146" t="s">
        <v>874</v>
      </c>
      <c r="F146" t="s">
        <v>875</v>
      </c>
      <c r="G146" s="168"/>
      <c r="H146" s="168"/>
      <c r="I146" s="168"/>
      <c r="J146" s="168"/>
      <c r="K146" s="168"/>
      <c r="L146" s="168"/>
      <c r="M146" s="168"/>
      <c r="AG146" s="1"/>
    </row>
    <row r="147" spans="4:33" ht="20.100000000000001" customHeight="1" x14ac:dyDescent="0.2">
      <c r="D147" s="227" t="s">
        <v>878</v>
      </c>
      <c r="E147" t="s">
        <v>874</v>
      </c>
      <c r="F147" t="s">
        <v>875</v>
      </c>
      <c r="G147" s="168"/>
      <c r="H147" s="168"/>
      <c r="I147" s="168"/>
      <c r="J147" s="168"/>
      <c r="K147" s="168"/>
      <c r="L147" s="168"/>
      <c r="M147" s="168"/>
      <c r="AG147" s="1"/>
    </row>
    <row r="148" spans="4:33" ht="20.100000000000001" customHeight="1" x14ac:dyDescent="0.2">
      <c r="D148" s="227" t="s">
        <v>879</v>
      </c>
      <c r="E148" t="s">
        <v>874</v>
      </c>
      <c r="F148" t="s">
        <v>875</v>
      </c>
      <c r="G148" s="168"/>
      <c r="H148" s="168"/>
      <c r="I148" s="168"/>
      <c r="J148" s="168"/>
      <c r="K148" s="168"/>
      <c r="L148" s="168"/>
      <c r="M148" s="168"/>
      <c r="AG148" s="1"/>
    </row>
    <row r="149" spans="4:33" ht="20.100000000000001" customHeight="1" x14ac:dyDescent="0.2">
      <c r="D149" s="227" t="s">
        <v>880</v>
      </c>
      <c r="E149" t="s">
        <v>874</v>
      </c>
      <c r="F149" t="s">
        <v>875</v>
      </c>
      <c r="G149" s="168"/>
      <c r="H149" s="168"/>
      <c r="I149" s="168"/>
      <c r="J149" s="168"/>
      <c r="K149" s="168"/>
      <c r="L149" s="168"/>
      <c r="M149" s="168"/>
      <c r="AG149" s="1"/>
    </row>
    <row r="150" spans="4:33" ht="20.100000000000001" customHeight="1" x14ac:dyDescent="0.2">
      <c r="D150" s="227" t="s">
        <v>881</v>
      </c>
      <c r="E150" t="s">
        <v>874</v>
      </c>
      <c r="F150" t="s">
        <v>875</v>
      </c>
      <c r="G150" s="168"/>
      <c r="H150" s="168"/>
      <c r="I150" s="168"/>
      <c r="J150" s="168"/>
      <c r="K150" s="168"/>
      <c r="L150" s="168"/>
      <c r="M150" s="168"/>
      <c r="AG150" s="1"/>
    </row>
    <row r="151" spans="4:33" ht="20.100000000000001" customHeight="1" x14ac:dyDescent="0.2">
      <c r="D151" s="227" t="s">
        <v>882</v>
      </c>
      <c r="E151" t="s">
        <v>874</v>
      </c>
      <c r="F151" t="s">
        <v>875</v>
      </c>
      <c r="G151" s="168"/>
      <c r="H151" s="168"/>
      <c r="I151" s="168"/>
      <c r="J151" s="168"/>
      <c r="K151" s="168"/>
      <c r="L151" s="168"/>
      <c r="M151" s="168"/>
      <c r="AG151" s="1"/>
    </row>
    <row r="152" spans="4:33" ht="20.100000000000001" customHeight="1" x14ac:dyDescent="0.2">
      <c r="D152" s="229" t="s">
        <v>883</v>
      </c>
      <c r="E152" s="8" t="s">
        <v>874</v>
      </c>
      <c r="F152" t="s">
        <v>875</v>
      </c>
      <c r="G152" s="168"/>
      <c r="H152" s="168"/>
      <c r="I152" s="168"/>
      <c r="J152" s="168"/>
      <c r="K152" s="168"/>
      <c r="L152" s="168"/>
      <c r="M152" s="168"/>
      <c r="AG152" s="1"/>
    </row>
    <row r="153" spans="4:33" ht="20.100000000000001" customHeight="1" x14ac:dyDescent="0.2">
      <c r="D153" s="229" t="s">
        <v>884</v>
      </c>
      <c r="E153" s="8" t="s">
        <v>874</v>
      </c>
      <c r="F153" t="s">
        <v>875</v>
      </c>
      <c r="G153" s="168"/>
      <c r="H153" s="168"/>
      <c r="I153" s="168"/>
      <c r="J153" s="168"/>
      <c r="K153" s="168"/>
      <c r="L153" s="168"/>
      <c r="M153" s="168"/>
      <c r="AG153" s="1"/>
    </row>
    <row r="154" spans="4:33" ht="20.100000000000001" customHeight="1" x14ac:dyDescent="0.2">
      <c r="D154" s="229" t="s">
        <v>885</v>
      </c>
      <c r="E154" s="8" t="s">
        <v>874</v>
      </c>
      <c r="F154" t="s">
        <v>875</v>
      </c>
      <c r="G154" s="168"/>
      <c r="H154" s="168"/>
      <c r="I154" s="168"/>
      <c r="J154" s="168"/>
      <c r="K154" s="168"/>
      <c r="L154" s="168"/>
      <c r="M154" s="168"/>
      <c r="AG154" s="1"/>
    </row>
    <row r="155" spans="4:33" ht="20.100000000000001" customHeight="1" x14ac:dyDescent="0.2">
      <c r="D155" s="229" t="s">
        <v>886</v>
      </c>
      <c r="E155" s="8" t="s">
        <v>874</v>
      </c>
      <c r="F155" t="s">
        <v>875</v>
      </c>
      <c r="G155" s="168"/>
      <c r="H155" s="168"/>
      <c r="I155" s="168"/>
      <c r="J155" s="168"/>
      <c r="K155" s="168"/>
      <c r="L155" s="168"/>
      <c r="M155" s="168"/>
      <c r="AG155" s="1"/>
    </row>
    <row r="156" spans="4:33" ht="20.100000000000001" customHeight="1" x14ac:dyDescent="0.2">
      <c r="D156" s="229" t="s">
        <v>887</v>
      </c>
      <c r="E156" s="8" t="s">
        <v>874</v>
      </c>
      <c r="F156" t="s">
        <v>875</v>
      </c>
      <c r="G156" s="168"/>
      <c r="H156" s="168"/>
      <c r="I156" s="168"/>
      <c r="J156" s="168"/>
      <c r="K156" s="168"/>
      <c r="L156" s="168"/>
      <c r="M156" s="168"/>
      <c r="AG156" s="1"/>
    </row>
    <row r="157" spans="4:33" ht="20.100000000000001" customHeight="1" x14ac:dyDescent="0.2">
      <c r="D157" s="229" t="s">
        <v>888</v>
      </c>
      <c r="E157" s="8" t="s">
        <v>874</v>
      </c>
      <c r="F157" t="s">
        <v>875</v>
      </c>
      <c r="G157" s="168"/>
      <c r="H157" s="168"/>
      <c r="I157" s="168"/>
      <c r="J157" s="168"/>
      <c r="K157" s="168"/>
      <c r="L157" s="168"/>
      <c r="M157" s="168"/>
      <c r="AG157" s="1"/>
    </row>
    <row r="158" spans="4:33" ht="20.100000000000001" customHeight="1" x14ac:dyDescent="0.2">
      <c r="D158" s="229" t="s">
        <v>889</v>
      </c>
      <c r="E158" s="8" t="s">
        <v>874</v>
      </c>
      <c r="F158" t="s">
        <v>875</v>
      </c>
      <c r="G158" s="168"/>
      <c r="H158" s="168"/>
      <c r="I158" s="168"/>
      <c r="J158" s="168"/>
      <c r="K158" s="168"/>
      <c r="L158" s="168"/>
      <c r="M158" s="168"/>
      <c r="AG158" s="1"/>
    </row>
    <row r="159" spans="4:33" ht="20.100000000000001" customHeight="1" x14ac:dyDescent="0.2">
      <c r="D159" s="229" t="s">
        <v>890</v>
      </c>
      <c r="E159" s="8" t="s">
        <v>874</v>
      </c>
      <c r="F159" t="s">
        <v>875</v>
      </c>
      <c r="G159" s="168"/>
      <c r="H159" s="168"/>
      <c r="I159" s="168"/>
      <c r="J159" s="168"/>
      <c r="K159" s="168"/>
      <c r="L159" s="168"/>
      <c r="M159" s="168"/>
      <c r="AG159" s="1"/>
    </row>
    <row r="160" spans="4:33" ht="20.100000000000001" customHeight="1" x14ac:dyDescent="0.2">
      <c r="D160" s="229" t="s">
        <v>818</v>
      </c>
      <c r="E160" s="8" t="s">
        <v>874</v>
      </c>
      <c r="F160" t="s">
        <v>875</v>
      </c>
      <c r="G160" s="168"/>
      <c r="H160" s="168"/>
      <c r="I160" s="168"/>
      <c r="J160" s="168"/>
      <c r="K160" s="168"/>
      <c r="L160" s="168"/>
      <c r="M160" s="168"/>
      <c r="AG160" s="1"/>
    </row>
    <row r="161" spans="4:33" ht="20.100000000000001" customHeight="1" x14ac:dyDescent="0.2">
      <c r="D161" s="228" t="s">
        <v>891</v>
      </c>
      <c r="E161" s="168" t="s">
        <v>892</v>
      </c>
      <c r="F161" s="168" t="s">
        <v>892</v>
      </c>
      <c r="G161" s="168"/>
      <c r="H161" s="168"/>
      <c r="I161" s="168"/>
      <c r="J161" s="168"/>
      <c r="K161" s="168"/>
      <c r="L161" s="168"/>
      <c r="M161" s="168"/>
      <c r="AG161" s="1"/>
    </row>
    <row r="162" spans="4:33" ht="20.100000000000001" customHeight="1" x14ac:dyDescent="0.2">
      <c r="D162" s="168" t="s">
        <v>812</v>
      </c>
      <c r="E162" s="168" t="s">
        <v>892</v>
      </c>
      <c r="F162" s="168" t="s">
        <v>892</v>
      </c>
      <c r="G162" s="168"/>
      <c r="H162" s="168"/>
      <c r="I162" s="168"/>
      <c r="J162" s="168"/>
      <c r="K162" s="168"/>
      <c r="L162" s="168"/>
      <c r="M162" s="168"/>
      <c r="AG162" s="1"/>
    </row>
  </sheetData>
  <pageMargins left="0.7" right="0.7" top="0.75" bottom="0.75" header="0.3" footer="0.3"/>
  <tableParts count="7">
    <tablePart r:id="rId1"/>
    <tablePart r:id="rId2"/>
    <tablePart r:id="rId3"/>
    <tablePart r:id="rId4"/>
    <tablePart r:id="rId5"/>
    <tablePart r:id="rId6"/>
    <tablePart r:id="rId7"/>
  </tableParts>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F01606-D958-477B-9938-7BFE640FA2F4}">
  <sheetPr>
    <tabColor theme="2" tint="-0.499984740745262"/>
  </sheetPr>
  <dimension ref="A1:R247"/>
  <sheetViews>
    <sheetView showGridLines="0" zoomScaleNormal="100" workbookViewId="0">
      <pane xSplit="1" topLeftCell="B1" activePane="topRight" state="frozen"/>
      <selection pane="topRight" activeCell="A59" sqref="A59"/>
    </sheetView>
  </sheetViews>
  <sheetFormatPr defaultRowHeight="20.100000000000001" customHeight="1" x14ac:dyDescent="0.2"/>
  <cols>
    <col min="1" max="1" width="36.7109375" style="239" customWidth="1"/>
    <col min="2" max="2" width="5.28515625" style="239" customWidth="1"/>
    <col min="3" max="3" width="5.28515625" style="1" customWidth="1"/>
    <col min="4" max="17" width="35" style="1" customWidth="1"/>
    <col min="18" max="16384" width="9.140625" style="239"/>
  </cols>
  <sheetData>
    <row r="1" spans="1:17" ht="30" customHeight="1" x14ac:dyDescent="0.35">
      <c r="A1" s="10" t="e" vm="1">
        <v>#VALUE!</v>
      </c>
      <c r="C1" s="239"/>
      <c r="D1" s="239"/>
      <c r="E1" s="239"/>
      <c r="F1" s="239"/>
      <c r="G1" s="239"/>
      <c r="H1" s="239"/>
      <c r="I1" s="239"/>
      <c r="J1" s="239"/>
      <c r="K1" s="239"/>
      <c r="L1" s="239"/>
      <c r="M1" s="239"/>
      <c r="N1" s="239"/>
      <c r="O1" s="239"/>
      <c r="P1" s="239"/>
      <c r="Q1" s="239"/>
    </row>
    <row r="2" spans="1:17" ht="20.100000000000001" customHeight="1" x14ac:dyDescent="0.2">
      <c r="A2"/>
      <c r="C2" s="239"/>
      <c r="D2" s="239"/>
      <c r="E2" s="239"/>
      <c r="F2" s="239"/>
      <c r="G2" s="239"/>
      <c r="H2" s="239"/>
      <c r="I2" s="239"/>
      <c r="J2" s="239"/>
      <c r="K2" s="239"/>
      <c r="L2" s="239"/>
      <c r="M2" s="239"/>
      <c r="N2" s="239"/>
      <c r="O2" s="239"/>
      <c r="P2" s="239"/>
      <c r="Q2" s="239"/>
    </row>
    <row r="3" spans="1:17" ht="20.100000000000001" customHeight="1" x14ac:dyDescent="0.2">
      <c r="A3" s="5" t="str">
        <f>HYPERLINK("#'Home'!A1", "Home")</f>
        <v>Home</v>
      </c>
    </row>
    <row r="4" spans="1:17" ht="20.100000000000001" customHeight="1" x14ac:dyDescent="0.2">
      <c r="A4" s="5" t="str">
        <f>HYPERLINK("#'Results - Activity period'!A1", "Results - Activity period")</f>
        <v>Results - Activity period</v>
      </c>
    </row>
    <row r="5" spans="1:17" ht="20.100000000000001" customHeight="1" x14ac:dyDescent="0.2">
      <c r="A5" s="5" t="str">
        <f>HYPERLINK("#'Results - Product EI'!A1", "Results - Product Emissions Intensity")</f>
        <v>Results - Product Emissions Intensity</v>
      </c>
    </row>
    <row r="6" spans="1:17" ht="20.100000000000001" customHeight="1" x14ac:dyDescent="0.2">
      <c r="A6"/>
    </row>
    <row r="7" spans="1:17" ht="20.100000000000001" customHeight="1" x14ac:dyDescent="0.2">
      <c r="A7"/>
    </row>
    <row r="8" spans="1:17" ht="20.100000000000001" customHeight="1" x14ac:dyDescent="0.2">
      <c r="A8" s="7" t="s">
        <v>0</v>
      </c>
    </row>
    <row r="9" spans="1:17" ht="20.100000000000001" customHeight="1" x14ac:dyDescent="0.2">
      <c r="A9" s="5" t="str">
        <f>HYPERLINK("#'Input - Enterprise'!A1", "Enterprise")</f>
        <v>Enterprise</v>
      </c>
    </row>
    <row r="10" spans="1:17" ht="20.100000000000001" customHeight="1" x14ac:dyDescent="0.2">
      <c r="A10" s="5" t="str">
        <f>HYPERLINK("#'Input - Site'!A1", "Site")</f>
        <v>Site</v>
      </c>
    </row>
    <row r="11" spans="1:17" ht="20.100000000000001" customHeight="1" x14ac:dyDescent="0.2">
      <c r="A11" s="5" t="str">
        <f>HYPERLINK("#'Input - Pasture Beef'!A1", "Pasture Beef")</f>
        <v>Pasture Beef</v>
      </c>
    </row>
    <row r="12" spans="1:17" ht="20.100000000000001" customHeight="1" x14ac:dyDescent="0.2">
      <c r="A12" s="5" t="str">
        <f>HYPERLINK("#'Input - Livestock sales'!A1", "Livestock sales")</f>
        <v>Livestock sales</v>
      </c>
    </row>
    <row r="13" spans="1:17" ht="20.100000000000001" customHeight="1" x14ac:dyDescent="0.2">
      <c r="A13" s="5" t="str">
        <f>HYPERLINK("#'Input - Beef cattle purchases'!A1", "Beef cattle purchases")</f>
        <v>Beef cattle purchases</v>
      </c>
    </row>
    <row r="14" spans="1:17" ht="20.100000000000001" customHeight="1" x14ac:dyDescent="0.2">
      <c r="A14" s="5" t="str">
        <f>HYPERLINK("#'Input - Pasture'!A1", "Pasture")</f>
        <v>Pasture</v>
      </c>
    </row>
    <row r="15" spans="1:17" ht="20.100000000000001" customHeight="1" x14ac:dyDescent="0.2">
      <c r="A15" s="5" t="str">
        <f>HYPERLINK("#'Input - Fert Prod System'!A1", "Fert Prod System")</f>
        <v>Fert Prod System</v>
      </c>
    </row>
    <row r="16" spans="1:17" ht="20.100000000000001" customHeight="1" x14ac:dyDescent="0.2">
      <c r="A16" s="5" t="str">
        <f>HYPERLINK("#'Input - Fertiliser'!A1", "Fertiliser")</f>
        <v>Fertiliser</v>
      </c>
    </row>
    <row r="17" spans="1:12" ht="20.100000000000001" customHeight="1" x14ac:dyDescent="0.2">
      <c r="A17" s="5" t="str">
        <f>HYPERLINK("#'Input - Fuel'!A1", "Fuel")</f>
        <v>Fuel</v>
      </c>
    </row>
    <row r="18" spans="1:12" ht="20.100000000000001" customHeight="1" x14ac:dyDescent="0.2">
      <c r="A18" s="5" t="str">
        <f>HYPERLINK("#'Input - Electricity'!A1", "Electricity")</f>
        <v>Electricity</v>
      </c>
    </row>
    <row r="19" spans="1:12" ht="20.100000000000001" customHeight="1" x14ac:dyDescent="0.2">
      <c r="A19" s="5" t="str">
        <f>HYPERLINK("#'Input - Common farm inputs'!A1", "Common farm inputs")</f>
        <v>Common farm inputs</v>
      </c>
    </row>
    <row r="20" spans="1:12" ht="20.100000000000001" customHeight="1" x14ac:dyDescent="0.2">
      <c r="A20" s="5" t="str">
        <f>HYPERLINK("#'Input - Crop pasture farm input'!A1", "Crop pasture farm input")</f>
        <v>Crop pasture farm input</v>
      </c>
    </row>
    <row r="21" spans="1:12" ht="20.100000000000001" customHeight="1" x14ac:dyDescent="0.2">
      <c r="A21" s="5" t="str">
        <f>HYPERLINK("#'Input - Livestock farm Inputs'!A1", "Livestock farm Inputs")</f>
        <v>Livestock farm Inputs</v>
      </c>
    </row>
    <row r="22" spans="1:12" ht="20.100000000000001" customHeight="1" x14ac:dyDescent="0.2">
      <c r="A22" s="5" t="str">
        <f>HYPERLINK("#'Input - Freight'!A1", "Freight")</f>
        <v>Freight</v>
      </c>
    </row>
    <row r="23" spans="1:12" ht="20.100000000000001" customHeight="1" x14ac:dyDescent="0.2">
      <c r="A23" s="5" t="str">
        <f>HYPERLINK("#'Input - Solid waste'!A1", "Solid waste")</f>
        <v>Solid waste</v>
      </c>
    </row>
    <row r="24" spans="1:12" ht="20.100000000000001" customHeight="1" x14ac:dyDescent="0.2">
      <c r="A24" s="5" t="str">
        <f>HYPERLINK("#'Input - Manure sent off-site'!A1", "Manure sent off-site")</f>
        <v>Manure sent off-site</v>
      </c>
    </row>
    <row r="25" spans="1:12" ht="20.100000000000001" customHeight="1" x14ac:dyDescent="0.2">
      <c r="A25" s="5" t="str">
        <f>HYPERLINK("#'Input - Data quality'!A1", "Data quality")</f>
        <v>Data quality</v>
      </c>
    </row>
    <row r="26" spans="1:12" ht="20.100000000000001" customHeight="1" x14ac:dyDescent="0.2">
      <c r="A26"/>
    </row>
    <row r="27" spans="1:12" ht="20.100000000000001" customHeight="1" x14ac:dyDescent="0.2">
      <c r="A27"/>
    </row>
    <row r="28" spans="1:12" ht="20.100000000000001" customHeight="1" x14ac:dyDescent="0.2">
      <c r="A28" s="6" t="s">
        <v>2</v>
      </c>
    </row>
    <row r="29" spans="1:12" ht="20.100000000000001" customHeight="1" x14ac:dyDescent="0.2">
      <c r="A29" s="5" t="str">
        <f>HYPERLINK("#'3.2.1.1-2 Enteric Methane'!A1", "3.2.1.1-2 Enteric Methane")</f>
        <v>3.2.1.1-2 Enteric Methane</v>
      </c>
    </row>
    <row r="30" spans="1:12" ht="20.100000000000001" customHeight="1" x14ac:dyDescent="0.2">
      <c r="A30" s="5" t="str">
        <f>HYPERLINK("#'4.2.1.1-2 Methane'!A1", "4.2.1.1-2 Manure methane")</f>
        <v>4.2.1.1-2 Manure methane</v>
      </c>
    </row>
    <row r="31" spans="1:12" ht="20.100000000000001" customHeight="1" x14ac:dyDescent="0.2">
      <c r="A31" s="5" t="str">
        <f>HYPERLINK("#'4.2.1.3-4 Soil direct N20'!A1", "4.2.1.3-4 Soil direct N2O")</f>
        <v>4.2.1.3-4 Soil direct N2O</v>
      </c>
    </row>
    <row r="32" spans="1:12" ht="20.100000000000001" customHeight="1" x14ac:dyDescent="0.2">
      <c r="A32" s="5" t="str">
        <f>HYPERLINK("#'4.2.1.5-6 Soil Atmos Dep'!A1", "4.2.1.5-6 Soil atm. deposition")</f>
        <v>4.2.1.5-6 Soil atm. deposition</v>
      </c>
      <c r="D32" s="2" t="s">
        <v>1187</v>
      </c>
      <c r="L32" s="1" t="s">
        <v>517</v>
      </c>
    </row>
    <row r="33" spans="1:13" ht="20.100000000000001" customHeight="1" x14ac:dyDescent="0.2">
      <c r="A33" s="5" t="str">
        <f>HYPERLINK("#'4.2.1.7-8 Soil leach runoff'!A1", "4.2.1.7-8 Soil leach &amp; runoff")</f>
        <v>4.2.1.7-8 Soil leach &amp; runoff</v>
      </c>
      <c r="D33" s="20" t="s">
        <v>564</v>
      </c>
      <c r="E33" s="20" t="s">
        <v>139</v>
      </c>
      <c r="F33" s="20" t="s">
        <v>565</v>
      </c>
      <c r="G33" s="20" t="s">
        <v>566</v>
      </c>
      <c r="H33" s="20" t="s">
        <v>1188</v>
      </c>
      <c r="I33" s="20" t="s">
        <v>568</v>
      </c>
      <c r="J33" s="20" t="s">
        <v>727</v>
      </c>
      <c r="L33" s="20" t="s">
        <v>489</v>
      </c>
      <c r="M33" s="20" t="s">
        <v>518</v>
      </c>
    </row>
    <row r="34" spans="1:13" ht="20.100000000000001" customHeight="1" x14ac:dyDescent="0.2">
      <c r="A34" s="5" t="str">
        <f>HYPERLINK("#'5.1.1.1-2 Inorganic fert N2O'!A1", "5.1.1.1-2 Inorganic fert N2O")</f>
        <v>5.1.1.1-2 Inorganic fert N2O</v>
      </c>
      <c r="D34" s="20" t="s">
        <v>1061</v>
      </c>
      <c r="E34" s="20" t="s">
        <v>1825</v>
      </c>
      <c r="F34" s="20" t="s">
        <v>537</v>
      </c>
      <c r="G34" s="20" t="s">
        <v>1826</v>
      </c>
      <c r="H34" s="20">
        <v>11</v>
      </c>
      <c r="I34" s="20" t="s">
        <v>1827</v>
      </c>
      <c r="J34" s="20" t="s">
        <v>1189</v>
      </c>
      <c r="L34" s="20" t="s">
        <v>519</v>
      </c>
      <c r="M34" s="20" t="s">
        <v>520</v>
      </c>
    </row>
    <row r="35" spans="1:13" ht="20.100000000000001" customHeight="1" x14ac:dyDescent="0.2">
      <c r="A35" s="5" t="str">
        <f>HYPERLINK("#'5.1.1.3-4 Inorganic fert CO2'!A1", "5.1.1.3-4 Inorganic fert CO2")</f>
        <v>5.1.1.3-4 Inorganic fert CO2</v>
      </c>
      <c r="D35" s="20" t="s">
        <v>1061</v>
      </c>
      <c r="E35" s="20" t="s">
        <v>1825</v>
      </c>
      <c r="F35" s="20" t="s">
        <v>520</v>
      </c>
      <c r="G35" s="20" t="s">
        <v>1826</v>
      </c>
      <c r="H35" s="20">
        <v>8.2100000000000009</v>
      </c>
      <c r="I35" s="20" t="s">
        <v>1827</v>
      </c>
      <c r="J35" s="20" t="s">
        <v>1189</v>
      </c>
      <c r="L35" s="20" t="s">
        <v>520</v>
      </c>
      <c r="M35" s="20" t="s">
        <v>520</v>
      </c>
    </row>
    <row r="36" spans="1:13" ht="20.100000000000001" customHeight="1" x14ac:dyDescent="0.2">
      <c r="A36" s="5" t="str">
        <f>HYPERLINK("#'5.2.1.1-2 Organic Fert N2O'!A1", "5.2.1.1-2 Organic fert N2O")</f>
        <v>5.2.1.1-2 Organic fert N2O</v>
      </c>
      <c r="D36" s="20" t="s">
        <v>1061</v>
      </c>
      <c r="E36" s="20" t="s">
        <v>1825</v>
      </c>
      <c r="F36" s="20" t="s">
        <v>529</v>
      </c>
      <c r="G36" s="20" t="s">
        <v>1826</v>
      </c>
      <c r="H36" s="20">
        <v>12.2</v>
      </c>
      <c r="I36" s="20" t="s">
        <v>1827</v>
      </c>
      <c r="J36" s="20" t="s">
        <v>1189</v>
      </c>
      <c r="L36" s="20" t="s">
        <v>521</v>
      </c>
      <c r="M36" s="20" t="s">
        <v>521</v>
      </c>
    </row>
    <row r="37" spans="1:13" ht="20.100000000000001" customHeight="1" x14ac:dyDescent="0.2">
      <c r="A37" s="5" t="str">
        <f>HYPERLINK("#'5.3.1.1-2 Lime CO2'!A1", "5.3.1.1-2 Lime CO2")</f>
        <v>5.3.1.1-2 Lime CO2</v>
      </c>
      <c r="D37" s="20" t="s">
        <v>1061</v>
      </c>
      <c r="E37" s="20" t="s">
        <v>1825</v>
      </c>
      <c r="F37" s="20" t="s">
        <v>533</v>
      </c>
      <c r="G37" s="20" t="s">
        <v>1826</v>
      </c>
      <c r="H37" s="20">
        <v>10.9</v>
      </c>
      <c r="I37" s="20" t="s">
        <v>1827</v>
      </c>
      <c r="J37" s="20" t="s">
        <v>1189</v>
      </c>
      <c r="L37" s="20" t="s">
        <v>522</v>
      </c>
      <c r="M37" s="20" t="s">
        <v>522</v>
      </c>
    </row>
    <row r="38" spans="1:13" ht="20.100000000000001" customHeight="1" x14ac:dyDescent="0.2">
      <c r="A38" s="5" t="str">
        <f>HYPERLINK("#'5.4.1.1-4 Atmos deposition'!A1", "5.4.1.1-4 Atmos. deposition")</f>
        <v>5.4.1.1-4 Atmos. deposition</v>
      </c>
      <c r="D38" s="20" t="s">
        <v>1061</v>
      </c>
      <c r="E38" s="20" t="s">
        <v>1825</v>
      </c>
      <c r="F38" s="20" t="s">
        <v>521</v>
      </c>
      <c r="G38" s="20" t="s">
        <v>1826</v>
      </c>
      <c r="H38" s="20">
        <v>7.63</v>
      </c>
      <c r="I38" s="20" t="s">
        <v>1827</v>
      </c>
      <c r="J38" s="20" t="s">
        <v>1189</v>
      </c>
      <c r="L38" s="20" t="s">
        <v>523</v>
      </c>
      <c r="M38" s="20" t="s">
        <v>523</v>
      </c>
    </row>
    <row r="39" spans="1:13" ht="20.100000000000001" customHeight="1" x14ac:dyDescent="0.2">
      <c r="A39" s="5" t="str">
        <f>HYPERLINK("#'5.5.1.1-2 Leaching and runoff'!A1", "5.5.1.1-2 Leaching &amp; runoff")</f>
        <v>5.5.1.1-2 Leaching &amp; runoff</v>
      </c>
      <c r="D39" s="20" t="s">
        <v>1061</v>
      </c>
      <c r="E39" s="20" t="s">
        <v>1825</v>
      </c>
      <c r="F39" s="20" t="s">
        <v>522</v>
      </c>
      <c r="G39" s="20" t="s">
        <v>1826</v>
      </c>
      <c r="H39" s="20">
        <v>8.75</v>
      </c>
      <c r="I39" s="20" t="s">
        <v>1827</v>
      </c>
      <c r="J39" s="20" t="s">
        <v>1189</v>
      </c>
      <c r="L39" s="20" t="s">
        <v>524</v>
      </c>
      <c r="M39" s="20" t="s">
        <v>525</v>
      </c>
    </row>
    <row r="40" spans="1:13" ht="20.100000000000001" customHeight="1" x14ac:dyDescent="0.2">
      <c r="A40" s="5" t="str">
        <f>HYPERLINK("#'6.2.1.1-2 Pasture residue N2O'!A1", "6.2.1.1-2 Pasture residue N2O")</f>
        <v>6.2.1.1-2 Pasture residue N2O</v>
      </c>
      <c r="D40" s="20" t="s">
        <v>1061</v>
      </c>
      <c r="E40" s="20" t="s">
        <v>1825</v>
      </c>
      <c r="F40" s="20" t="s">
        <v>523</v>
      </c>
      <c r="G40" s="20" t="s">
        <v>1826</v>
      </c>
      <c r="H40" s="20">
        <v>8.17</v>
      </c>
      <c r="I40" s="20" t="s">
        <v>1827</v>
      </c>
      <c r="J40" s="20" t="s">
        <v>1189</v>
      </c>
      <c r="L40" s="20" t="s">
        <v>526</v>
      </c>
      <c r="M40" s="20" t="s">
        <v>525</v>
      </c>
    </row>
    <row r="41" spans="1:13" ht="20.100000000000001" customHeight="1" x14ac:dyDescent="0.2">
      <c r="A41" s="5" t="str">
        <f>HYPERLINK("#'6.3.1.1-2 Leach runoff pasture'!A1", "6.3.1.1-2 Leach &amp; runoff (pasture)")</f>
        <v>6.3.1.1-2 Leach &amp; runoff (pasture)</v>
      </c>
      <c r="D41" s="20" t="s">
        <v>1061</v>
      </c>
      <c r="E41" s="20" t="s">
        <v>1825</v>
      </c>
      <c r="F41" s="20" t="s">
        <v>525</v>
      </c>
      <c r="G41" s="20" t="s">
        <v>1826</v>
      </c>
      <c r="H41" s="20">
        <v>13.1</v>
      </c>
      <c r="I41" s="20" t="s">
        <v>1827</v>
      </c>
      <c r="J41" s="20" t="s">
        <v>1189</v>
      </c>
      <c r="L41" s="20" t="s">
        <v>527</v>
      </c>
      <c r="M41" s="20" t="s">
        <v>525</v>
      </c>
    </row>
    <row r="42" spans="1:13" ht="20.100000000000001" customHeight="1" x14ac:dyDescent="0.2">
      <c r="A42" s="5" t="str">
        <f>HYPERLINK("#'8.1.1.1-2 Transport fuel'!A1", "8.1.1.1-2 Transport fuel")</f>
        <v>8.1.1.1-2 Transport fuel</v>
      </c>
      <c r="D42" s="20" t="s">
        <v>1061</v>
      </c>
      <c r="E42" s="20" t="s">
        <v>1828</v>
      </c>
      <c r="F42" s="20" t="s">
        <v>537</v>
      </c>
      <c r="G42" s="20" t="s">
        <v>1826</v>
      </c>
      <c r="H42" s="20">
        <v>14.5</v>
      </c>
      <c r="I42" s="20" t="s">
        <v>1827</v>
      </c>
      <c r="J42" s="20" t="s">
        <v>1189</v>
      </c>
      <c r="L42" s="20" t="s">
        <v>528</v>
      </c>
      <c r="M42" s="20" t="s">
        <v>529</v>
      </c>
    </row>
    <row r="43" spans="1:13" ht="20.100000000000001" customHeight="1" x14ac:dyDescent="0.2">
      <c r="A43" s="5" t="str">
        <f>HYPERLINK("#'8.2.1.1-2 Stationary fuel'!A1", "8.2.1.1-2 Stationary fuel")</f>
        <v>8.2.1.1-2 Stationary fuel</v>
      </c>
      <c r="D43" s="20" t="s">
        <v>1061</v>
      </c>
      <c r="E43" s="20" t="s">
        <v>1828</v>
      </c>
      <c r="F43" s="20" t="s">
        <v>520</v>
      </c>
      <c r="G43" s="20" t="s">
        <v>1826</v>
      </c>
      <c r="H43" s="20">
        <v>11.3</v>
      </c>
      <c r="I43" s="20" t="s">
        <v>1827</v>
      </c>
      <c r="J43" s="20" t="s">
        <v>1189</v>
      </c>
      <c r="L43" s="20" t="s">
        <v>530</v>
      </c>
      <c r="M43" s="20" t="s">
        <v>529</v>
      </c>
    </row>
    <row r="44" spans="1:13" ht="20.100000000000001" customHeight="1" x14ac:dyDescent="0.2">
      <c r="A44" s="5" t="str">
        <f>HYPERLINK("#'10.1.1-2 Solid waste treatment'!A1", "10.1.1.1-2 Solid waste")</f>
        <v>10.1.1.1-2 Solid waste</v>
      </c>
      <c r="D44" s="20" t="s">
        <v>1061</v>
      </c>
      <c r="E44" s="20" t="s">
        <v>1828</v>
      </c>
      <c r="F44" s="20" t="s">
        <v>529</v>
      </c>
      <c r="G44" s="20" t="s">
        <v>1826</v>
      </c>
      <c r="H44" s="20">
        <v>18.899999999999999</v>
      </c>
      <c r="I44" s="20" t="s">
        <v>1827</v>
      </c>
      <c r="J44" s="20" t="s">
        <v>1189</v>
      </c>
      <c r="L44" s="20" t="s">
        <v>531</v>
      </c>
      <c r="M44" s="20" t="s">
        <v>529</v>
      </c>
    </row>
    <row r="45" spans="1:13" ht="20.100000000000001" customHeight="1" x14ac:dyDescent="0.2">
      <c r="A45" s="5" t="str">
        <f>HYPERLINK("#'14.1.1-2 Purchased electricity'!A1", "14.1.1-2 Purchased electricity")</f>
        <v>14.1.1-2 Purchased electricity</v>
      </c>
      <c r="D45" s="20" t="s">
        <v>1061</v>
      </c>
      <c r="E45" s="20" t="s">
        <v>1828</v>
      </c>
      <c r="F45" s="20" t="s">
        <v>533</v>
      </c>
      <c r="G45" s="20" t="s">
        <v>1826</v>
      </c>
      <c r="H45" s="20">
        <v>13.9</v>
      </c>
      <c r="I45" s="20" t="s">
        <v>1827</v>
      </c>
      <c r="J45" s="20" t="s">
        <v>1189</v>
      </c>
      <c r="L45" s="20" t="s">
        <v>532</v>
      </c>
      <c r="M45" s="20" t="s">
        <v>533</v>
      </c>
    </row>
    <row r="46" spans="1:13" ht="20.100000000000001" customHeight="1" x14ac:dyDescent="0.2">
      <c r="A46" s="5" t="str">
        <f>HYPERLINK("#'15 Scope 3'!A1", "15 Scope 3")</f>
        <v>15 Scope 3</v>
      </c>
      <c r="D46" s="20" t="s">
        <v>1061</v>
      </c>
      <c r="E46" s="20" t="s">
        <v>1828</v>
      </c>
      <c r="F46" s="20" t="s">
        <v>521</v>
      </c>
      <c r="G46" s="20" t="s">
        <v>1826</v>
      </c>
      <c r="H46" s="20">
        <v>12.3</v>
      </c>
      <c r="I46" s="20" t="s">
        <v>1827</v>
      </c>
      <c r="J46" s="20" t="s">
        <v>1189</v>
      </c>
      <c r="L46" s="20" t="s">
        <v>534</v>
      </c>
      <c r="M46" s="20" t="s">
        <v>533</v>
      </c>
    </row>
    <row r="47" spans="1:13" ht="20.100000000000001" customHeight="1" x14ac:dyDescent="0.2">
      <c r="A47" s="5" t="str">
        <f>HYPERLINK("#'Calcs - Manure sent off-site'!A1", "Calcs - Manure sent off-site")</f>
        <v>Calcs - Manure sent off-site</v>
      </c>
      <c r="D47" s="20" t="s">
        <v>1061</v>
      </c>
      <c r="E47" s="20" t="s">
        <v>1828</v>
      </c>
      <c r="F47" s="20" t="s">
        <v>522</v>
      </c>
      <c r="G47" s="20" t="s">
        <v>1826</v>
      </c>
      <c r="H47" s="20">
        <v>11.5</v>
      </c>
      <c r="I47" s="20" t="s">
        <v>1827</v>
      </c>
      <c r="J47" s="20" t="s">
        <v>1189</v>
      </c>
      <c r="L47" s="20" t="s">
        <v>535</v>
      </c>
      <c r="M47" s="20" t="s">
        <v>533</v>
      </c>
    </row>
    <row r="48" spans="1:13" ht="20.100000000000001" customHeight="1" x14ac:dyDescent="0.2">
      <c r="A48"/>
      <c r="D48" s="20" t="s">
        <v>1061</v>
      </c>
      <c r="E48" s="20" t="s">
        <v>1828</v>
      </c>
      <c r="F48" s="20" t="s">
        <v>523</v>
      </c>
      <c r="G48" s="20" t="s">
        <v>1826</v>
      </c>
      <c r="H48" s="20">
        <v>11.5</v>
      </c>
      <c r="I48" s="20" t="s">
        <v>1827</v>
      </c>
      <c r="J48" s="20" t="s">
        <v>1189</v>
      </c>
      <c r="L48" s="20" t="s">
        <v>536</v>
      </c>
      <c r="M48" s="20" t="s">
        <v>533</v>
      </c>
    </row>
    <row r="49" spans="1:13" ht="20.100000000000001" customHeight="1" x14ac:dyDescent="0.2">
      <c r="A49"/>
      <c r="D49" s="20" t="s">
        <v>1061</v>
      </c>
      <c r="E49" s="20" t="s">
        <v>1828</v>
      </c>
      <c r="F49" s="20" t="s">
        <v>525</v>
      </c>
      <c r="G49" s="20" t="s">
        <v>1826</v>
      </c>
      <c r="H49" s="20">
        <v>20.8</v>
      </c>
      <c r="I49" s="20" t="s">
        <v>1827</v>
      </c>
      <c r="J49" s="20" t="s">
        <v>1189</v>
      </c>
      <c r="L49" s="1" t="s">
        <v>537</v>
      </c>
      <c r="M49" s="1" t="s">
        <v>537</v>
      </c>
    </row>
    <row r="50" spans="1:13" ht="20.100000000000001" customHeight="1" x14ac:dyDescent="0.2">
      <c r="A50" s="85" t="s">
        <v>1</v>
      </c>
      <c r="D50" s="20" t="s">
        <v>1061</v>
      </c>
      <c r="E50" s="20" t="s">
        <v>1829</v>
      </c>
      <c r="F50" s="20" t="s">
        <v>537</v>
      </c>
      <c r="G50" s="20" t="s">
        <v>1826</v>
      </c>
      <c r="H50" s="20">
        <v>15.5</v>
      </c>
      <c r="I50" s="20" t="s">
        <v>1827</v>
      </c>
      <c r="J50" s="20" t="s">
        <v>1189</v>
      </c>
    </row>
    <row r="51" spans="1:13" ht="20.100000000000001" customHeight="1" x14ac:dyDescent="0.2">
      <c r="A51" s="5" t="str">
        <f>HYPERLINK("#'Constants - Pasture Beef'!A1", "Constants - Pasture Beef")</f>
        <v>Constants - Pasture Beef</v>
      </c>
      <c r="D51" s="20" t="s">
        <v>1061</v>
      </c>
      <c r="E51" s="20" t="s">
        <v>1829</v>
      </c>
      <c r="F51" s="20" t="s">
        <v>520</v>
      </c>
      <c r="G51" s="20" t="s">
        <v>1826</v>
      </c>
      <c r="H51" s="20">
        <v>12.7</v>
      </c>
      <c r="I51" s="20" t="s">
        <v>1827</v>
      </c>
      <c r="J51" s="20" t="s">
        <v>1189</v>
      </c>
    </row>
    <row r="52" spans="1:13" ht="20.100000000000001" customHeight="1" x14ac:dyDescent="0.2">
      <c r="A52" s="5" t="str">
        <f>HYPERLINK("#'Constants - Ag Residue'!A1", "Constants - Ag residue")</f>
        <v>Constants - Ag residue</v>
      </c>
      <c r="D52" s="20" t="s">
        <v>1061</v>
      </c>
      <c r="E52" s="20" t="s">
        <v>1829</v>
      </c>
      <c r="F52" s="20" t="s">
        <v>529</v>
      </c>
      <c r="G52" s="20" t="s">
        <v>1826</v>
      </c>
      <c r="H52" s="20">
        <v>19.100000000000001</v>
      </c>
      <c r="I52" s="20" t="s">
        <v>1827</v>
      </c>
      <c r="J52" s="20" t="s">
        <v>1189</v>
      </c>
    </row>
    <row r="53" spans="1:13" ht="20.100000000000001" customHeight="1" x14ac:dyDescent="0.2">
      <c r="A53" s="5" t="str">
        <f>HYPERLINK("#'Constants - Common Livestock'!A1", "Constants - Common Livestock")</f>
        <v>Constants - Common Livestock</v>
      </c>
      <c r="D53" s="20" t="s">
        <v>1061</v>
      </c>
      <c r="E53" s="20" t="s">
        <v>1829</v>
      </c>
      <c r="F53" s="20" t="s">
        <v>533</v>
      </c>
      <c r="G53" s="20" t="s">
        <v>1826</v>
      </c>
      <c r="H53" s="20">
        <v>20.5</v>
      </c>
      <c r="I53" s="20" t="s">
        <v>1827</v>
      </c>
      <c r="J53" s="20" t="s">
        <v>1189</v>
      </c>
    </row>
    <row r="54" spans="1:13" ht="20.100000000000001" customHeight="1" x14ac:dyDescent="0.2">
      <c r="A54" s="5" t="str">
        <f>HYPERLINK("#'Constants - Electricity'!A1", "Constants - Electricity")</f>
        <v>Constants - Electricity</v>
      </c>
      <c r="D54" s="20" t="s">
        <v>1061</v>
      </c>
      <c r="E54" s="20" t="s">
        <v>1829</v>
      </c>
      <c r="F54" s="20" t="s">
        <v>521</v>
      </c>
      <c r="G54" s="20" t="s">
        <v>1826</v>
      </c>
      <c r="H54" s="20">
        <v>10.8</v>
      </c>
      <c r="I54" s="20" t="s">
        <v>1827</v>
      </c>
      <c r="J54" s="20" t="s">
        <v>1189</v>
      </c>
    </row>
    <row r="55" spans="1:13" ht="20.100000000000001" customHeight="1" x14ac:dyDescent="0.2">
      <c r="A55" s="5" t="str">
        <f>HYPERLINK("#'Constants - Fertiliser'!A1", "Constants - Fertiliser")</f>
        <v>Constants - Fertiliser</v>
      </c>
      <c r="D55" s="20" t="s">
        <v>1061</v>
      </c>
      <c r="E55" s="20" t="s">
        <v>1829</v>
      </c>
      <c r="F55" s="20" t="s">
        <v>522</v>
      </c>
      <c r="G55" s="20" t="s">
        <v>1826</v>
      </c>
      <c r="H55" s="20">
        <v>13.4</v>
      </c>
      <c r="I55" s="20" t="s">
        <v>1827</v>
      </c>
      <c r="J55" s="20" t="s">
        <v>1189</v>
      </c>
    </row>
    <row r="56" spans="1:13" ht="20.100000000000001" customHeight="1" x14ac:dyDescent="0.2">
      <c r="A56" s="5" t="str">
        <f>HYPERLINK("#'Constants - Fuel'!A1", "Constants - Fuel")</f>
        <v>Constants - Fuel</v>
      </c>
      <c r="D56" s="20" t="s">
        <v>1061</v>
      </c>
      <c r="E56" s="20" t="s">
        <v>1829</v>
      </c>
      <c r="F56" s="20" t="s">
        <v>523</v>
      </c>
      <c r="G56" s="20" t="s">
        <v>1826</v>
      </c>
      <c r="H56" s="20">
        <v>12</v>
      </c>
      <c r="I56" s="20" t="s">
        <v>1827</v>
      </c>
      <c r="J56" s="20" t="s">
        <v>1189</v>
      </c>
    </row>
    <row r="57" spans="1:13" ht="20.100000000000001" customHeight="1" x14ac:dyDescent="0.2">
      <c r="A57" s="86" t="str">
        <f>HYPERLINK("#'Constants - Scope 3'!A1", "Constants - Scope 3")</f>
        <v>Constants - Scope 3</v>
      </c>
      <c r="D57" s="20" t="s">
        <v>1061</v>
      </c>
      <c r="E57" s="20" t="s">
        <v>1829</v>
      </c>
      <c r="F57" s="20" t="s">
        <v>525</v>
      </c>
      <c r="G57" s="20" t="s">
        <v>1826</v>
      </c>
      <c r="H57" s="20">
        <v>12.4</v>
      </c>
      <c r="I57" s="20" t="s">
        <v>1827</v>
      </c>
      <c r="J57" s="20" t="s">
        <v>1189</v>
      </c>
    </row>
    <row r="58" spans="1:13" ht="20.100000000000001" customHeight="1" x14ac:dyDescent="0.2">
      <c r="A58" s="5" t="str">
        <f>HYPERLINK("#'Constants - Solid Waste'!A1", "Constants - Solid Waste")</f>
        <v>Constants - Solid Waste</v>
      </c>
      <c r="D58" s="20" t="s">
        <v>1830</v>
      </c>
      <c r="E58" s="20" t="s">
        <v>1830</v>
      </c>
      <c r="F58" s="20" t="s">
        <v>537</v>
      </c>
      <c r="G58" s="20" t="s">
        <v>1826</v>
      </c>
      <c r="H58" s="20">
        <v>1.36</v>
      </c>
      <c r="I58" s="20" t="s">
        <v>1827</v>
      </c>
      <c r="J58" s="20" t="s">
        <v>1189</v>
      </c>
    </row>
    <row r="59" spans="1:13" ht="20.100000000000001" customHeight="1" x14ac:dyDescent="0.2">
      <c r="A59" s="5" t="str">
        <f>HYPERLINK("#'Constants - Common'!A1", "Constants - Common")</f>
        <v>Constants - Common</v>
      </c>
      <c r="D59" s="20" t="s">
        <v>1080</v>
      </c>
      <c r="E59" s="20" t="s">
        <v>1831</v>
      </c>
      <c r="F59" s="20" t="s">
        <v>523</v>
      </c>
      <c r="G59" s="20" t="s">
        <v>1826</v>
      </c>
      <c r="H59" s="20">
        <v>4.41</v>
      </c>
      <c r="I59" s="20" t="s">
        <v>1827</v>
      </c>
      <c r="J59" s="20" t="s">
        <v>1189</v>
      </c>
    </row>
    <row r="60" spans="1:13" ht="20.100000000000001" customHeight="1" x14ac:dyDescent="0.2">
      <c r="A60" s="5" t="str">
        <f>HYPERLINK("#'Acknowledgements'!A1", "Acknowledgements")</f>
        <v>Acknowledgements</v>
      </c>
      <c r="D60" s="20" t="s">
        <v>1084</v>
      </c>
      <c r="E60" s="20" t="s">
        <v>1084</v>
      </c>
      <c r="F60" s="20" t="s">
        <v>537</v>
      </c>
      <c r="G60" s="20" t="s">
        <v>1826</v>
      </c>
      <c r="H60" s="20">
        <v>3.38</v>
      </c>
      <c r="I60" s="20" t="s">
        <v>1827</v>
      </c>
      <c r="J60" s="20" t="s">
        <v>1189</v>
      </c>
    </row>
    <row r="61" spans="1:13" ht="20.100000000000001" customHeight="1" x14ac:dyDescent="0.2">
      <c r="A61"/>
      <c r="D61" s="20" t="s">
        <v>1832</v>
      </c>
      <c r="E61" s="20" t="s">
        <v>1833</v>
      </c>
      <c r="F61" s="20" t="s">
        <v>537</v>
      </c>
      <c r="G61" s="20" t="s">
        <v>1826</v>
      </c>
      <c r="H61" s="20">
        <v>6.81</v>
      </c>
      <c r="I61" s="20" t="s">
        <v>1827</v>
      </c>
      <c r="J61" s="20" t="s">
        <v>1189</v>
      </c>
    </row>
    <row r="62" spans="1:13" ht="20.100000000000001" customHeight="1" x14ac:dyDescent="0.2">
      <c r="A62"/>
      <c r="D62" s="20" t="s">
        <v>1832</v>
      </c>
      <c r="E62" s="20" t="s">
        <v>1833</v>
      </c>
      <c r="F62" s="20" t="s">
        <v>520</v>
      </c>
      <c r="G62" s="20" t="s">
        <v>1826</v>
      </c>
      <c r="H62" s="20">
        <v>2.2599999999999998</v>
      </c>
      <c r="I62" s="20" t="s">
        <v>1827</v>
      </c>
      <c r="J62" s="20" t="s">
        <v>1189</v>
      </c>
    </row>
    <row r="63" spans="1:13" ht="20.100000000000001" customHeight="1" x14ac:dyDescent="0.2">
      <c r="A63"/>
      <c r="D63" s="20" t="s">
        <v>1832</v>
      </c>
      <c r="E63" s="20" t="s">
        <v>1833</v>
      </c>
      <c r="F63" s="20" t="s">
        <v>533</v>
      </c>
      <c r="G63" s="20" t="s">
        <v>1826</v>
      </c>
      <c r="H63" s="20">
        <v>6.33</v>
      </c>
      <c r="I63" s="20" t="s">
        <v>1827</v>
      </c>
      <c r="J63" s="20" t="s">
        <v>1189</v>
      </c>
    </row>
    <row r="64" spans="1:13" ht="20.100000000000001" customHeight="1" x14ac:dyDescent="0.2">
      <c r="A64"/>
      <c r="D64" s="20" t="s">
        <v>1832</v>
      </c>
      <c r="E64" s="20" t="s">
        <v>1833</v>
      </c>
      <c r="F64" s="20" t="s">
        <v>521</v>
      </c>
      <c r="G64" s="20" t="s">
        <v>1826</v>
      </c>
      <c r="H64" s="20">
        <v>6.18</v>
      </c>
      <c r="I64" s="20" t="s">
        <v>1827</v>
      </c>
      <c r="J64" s="20" t="s">
        <v>1189</v>
      </c>
    </row>
    <row r="65" spans="1:10" ht="20.100000000000001" customHeight="1" x14ac:dyDescent="0.2">
      <c r="A65"/>
      <c r="D65" s="20" t="s">
        <v>1832</v>
      </c>
      <c r="E65" s="20" t="s">
        <v>1833</v>
      </c>
      <c r="F65" s="20" t="s">
        <v>522</v>
      </c>
      <c r="G65" s="20" t="s">
        <v>1826</v>
      </c>
      <c r="H65" s="20">
        <v>7.5</v>
      </c>
      <c r="I65" s="20" t="s">
        <v>1827</v>
      </c>
      <c r="J65" s="20" t="s">
        <v>1189</v>
      </c>
    </row>
    <row r="66" spans="1:10" ht="20.100000000000001" customHeight="1" x14ac:dyDescent="0.2">
      <c r="A66"/>
      <c r="D66" s="20" t="s">
        <v>1832</v>
      </c>
      <c r="E66" s="20" t="s">
        <v>1833</v>
      </c>
      <c r="F66" s="20" t="s">
        <v>523</v>
      </c>
      <c r="G66" s="20" t="s">
        <v>1826</v>
      </c>
      <c r="H66" s="20">
        <v>8.08</v>
      </c>
      <c r="I66" s="20" t="s">
        <v>1827</v>
      </c>
      <c r="J66" s="20" t="s">
        <v>1189</v>
      </c>
    </row>
    <row r="67" spans="1:10" ht="20.100000000000001" customHeight="1" x14ac:dyDescent="0.2">
      <c r="A67"/>
      <c r="D67" s="20" t="s">
        <v>1832</v>
      </c>
      <c r="E67" s="20" t="s">
        <v>1833</v>
      </c>
      <c r="F67" s="20" t="s">
        <v>525</v>
      </c>
      <c r="G67" s="20" t="s">
        <v>1826</v>
      </c>
      <c r="H67" s="20">
        <v>5.45</v>
      </c>
      <c r="I67" s="20" t="s">
        <v>1827</v>
      </c>
      <c r="J67" s="20" t="s">
        <v>1189</v>
      </c>
    </row>
    <row r="68" spans="1:10" ht="20.100000000000001" customHeight="1" x14ac:dyDescent="0.2">
      <c r="A68"/>
      <c r="D68" s="20" t="s">
        <v>1832</v>
      </c>
      <c r="E68" s="20" t="s">
        <v>1834</v>
      </c>
      <c r="F68" s="20" t="s">
        <v>537</v>
      </c>
      <c r="G68" s="20" t="s">
        <v>1826</v>
      </c>
      <c r="H68" s="20">
        <v>7.15</v>
      </c>
      <c r="I68" s="20" t="s">
        <v>1827</v>
      </c>
      <c r="J68" s="20" t="s">
        <v>1189</v>
      </c>
    </row>
    <row r="69" spans="1:10" ht="20.100000000000001" customHeight="1" x14ac:dyDescent="0.2">
      <c r="A69"/>
      <c r="D69" s="20" t="s">
        <v>1832</v>
      </c>
      <c r="E69" s="20" t="s">
        <v>1834</v>
      </c>
      <c r="F69" s="20" t="s">
        <v>520</v>
      </c>
      <c r="G69" s="20" t="s">
        <v>1826</v>
      </c>
      <c r="H69" s="20">
        <v>8.2899999999999991</v>
      </c>
      <c r="I69" s="20" t="s">
        <v>1827</v>
      </c>
      <c r="J69" s="20" t="s">
        <v>1189</v>
      </c>
    </row>
    <row r="70" spans="1:10" ht="20.100000000000001" customHeight="1" x14ac:dyDescent="0.2">
      <c r="A70"/>
      <c r="D70" s="20" t="s">
        <v>1832</v>
      </c>
      <c r="E70" s="20" t="s">
        <v>1834</v>
      </c>
      <c r="F70" s="20" t="s">
        <v>533</v>
      </c>
      <c r="G70" s="20" t="s">
        <v>1826</v>
      </c>
      <c r="H70" s="20">
        <v>6.39</v>
      </c>
      <c r="I70" s="20" t="s">
        <v>1827</v>
      </c>
      <c r="J70" s="20" t="s">
        <v>1189</v>
      </c>
    </row>
    <row r="71" spans="1:10" ht="20.100000000000001" customHeight="1" x14ac:dyDescent="0.2">
      <c r="A71"/>
      <c r="D71" s="20" t="s">
        <v>1832</v>
      </c>
      <c r="E71" s="20" t="s">
        <v>1834</v>
      </c>
      <c r="F71" s="20" t="s">
        <v>521</v>
      </c>
      <c r="G71" s="20" t="s">
        <v>1826</v>
      </c>
      <c r="H71" s="20">
        <v>6.87</v>
      </c>
      <c r="I71" s="20" t="s">
        <v>1827</v>
      </c>
      <c r="J71" s="20" t="s">
        <v>1189</v>
      </c>
    </row>
    <row r="72" spans="1:10" ht="20.100000000000001" customHeight="1" x14ac:dyDescent="0.2">
      <c r="A72"/>
      <c r="D72" s="20" t="s">
        <v>1832</v>
      </c>
      <c r="E72" s="20" t="s">
        <v>1834</v>
      </c>
      <c r="F72" s="20" t="s">
        <v>522</v>
      </c>
      <c r="G72" s="20" t="s">
        <v>1826</v>
      </c>
      <c r="H72" s="20">
        <v>8.66</v>
      </c>
      <c r="I72" s="20" t="s">
        <v>1827</v>
      </c>
      <c r="J72" s="20" t="s">
        <v>1189</v>
      </c>
    </row>
    <row r="73" spans="1:10" ht="20.100000000000001" customHeight="1" x14ac:dyDescent="0.2">
      <c r="A73"/>
      <c r="D73" s="20" t="s">
        <v>1832</v>
      </c>
      <c r="E73" s="20" t="s">
        <v>1834</v>
      </c>
      <c r="F73" s="20" t="s">
        <v>523</v>
      </c>
      <c r="G73" s="20" t="s">
        <v>1826</v>
      </c>
      <c r="H73" s="20">
        <v>10</v>
      </c>
      <c r="I73" s="20" t="s">
        <v>1827</v>
      </c>
      <c r="J73" s="20" t="s">
        <v>1189</v>
      </c>
    </row>
    <row r="74" spans="1:10" ht="20.100000000000001" customHeight="1" x14ac:dyDescent="0.2">
      <c r="A74"/>
      <c r="D74" s="20" t="s">
        <v>1832</v>
      </c>
      <c r="E74" s="20" t="s">
        <v>1834</v>
      </c>
      <c r="F74" s="20" t="s">
        <v>525</v>
      </c>
      <c r="G74" s="20" t="s">
        <v>1826</v>
      </c>
      <c r="H74" s="20">
        <v>5.67</v>
      </c>
      <c r="I74" s="20" t="s">
        <v>1827</v>
      </c>
      <c r="J74" s="20" t="s">
        <v>1189</v>
      </c>
    </row>
    <row r="75" spans="1:10" ht="20.100000000000001" customHeight="1" x14ac:dyDescent="0.2">
      <c r="A75"/>
    </row>
    <row r="76" spans="1:10" ht="20.100000000000001" customHeight="1" x14ac:dyDescent="0.2">
      <c r="A76"/>
      <c r="D76" s="2" t="s">
        <v>1190</v>
      </c>
    </row>
    <row r="77" spans="1:10" ht="20.100000000000001" customHeight="1" x14ac:dyDescent="0.2">
      <c r="A77"/>
      <c r="D77" s="20" t="s">
        <v>564</v>
      </c>
      <c r="E77" s="20" t="s">
        <v>139</v>
      </c>
      <c r="F77" s="20" t="s">
        <v>565</v>
      </c>
      <c r="G77" s="20" t="s">
        <v>566</v>
      </c>
      <c r="H77" s="20" t="s">
        <v>1188</v>
      </c>
      <c r="I77" s="20" t="s">
        <v>568</v>
      </c>
      <c r="J77" s="20" t="s">
        <v>727</v>
      </c>
    </row>
    <row r="78" spans="1:10" ht="20.100000000000001" customHeight="1" x14ac:dyDescent="0.2">
      <c r="A78"/>
      <c r="D78" s="20" t="s">
        <v>996</v>
      </c>
      <c r="E78" s="20" t="s">
        <v>2264</v>
      </c>
      <c r="F78" s="20" t="s">
        <v>1995</v>
      </c>
      <c r="G78" s="20" t="s">
        <v>636</v>
      </c>
      <c r="H78" s="20">
        <v>0.72199999999999998</v>
      </c>
      <c r="I78" s="20" t="s">
        <v>2265</v>
      </c>
      <c r="J78" s="20" t="s">
        <v>1189</v>
      </c>
    </row>
    <row r="79" spans="1:10" ht="20.100000000000001" customHeight="1" x14ac:dyDescent="0.2">
      <c r="A79"/>
      <c r="D79" s="20" t="s">
        <v>996</v>
      </c>
      <c r="E79" s="20" t="s">
        <v>2266</v>
      </c>
      <c r="F79" s="20" t="s">
        <v>1995</v>
      </c>
      <c r="G79" s="20" t="s">
        <v>636</v>
      </c>
      <c r="H79" s="20">
        <v>0.80400000000000005</v>
      </c>
      <c r="I79" s="20" t="s">
        <v>2265</v>
      </c>
      <c r="J79" s="20" t="s">
        <v>1189</v>
      </c>
    </row>
    <row r="80" spans="1:10" ht="20.100000000000001" customHeight="1" x14ac:dyDescent="0.2">
      <c r="A80"/>
      <c r="D80" s="20" t="s">
        <v>996</v>
      </c>
      <c r="E80" s="20" t="s">
        <v>2267</v>
      </c>
      <c r="F80" s="20" t="s">
        <v>1995</v>
      </c>
      <c r="G80" s="20" t="s">
        <v>636</v>
      </c>
      <c r="H80" s="20">
        <v>0.90700000000000003</v>
      </c>
      <c r="I80" s="20" t="s">
        <v>2265</v>
      </c>
      <c r="J80" s="20" t="s">
        <v>1189</v>
      </c>
    </row>
    <row r="81" spans="1:17" ht="20.100000000000001" customHeight="1" x14ac:dyDescent="0.2">
      <c r="A81"/>
    </row>
    <row r="82" spans="1:17" ht="20.100000000000001" customHeight="1" x14ac:dyDescent="0.2">
      <c r="A82"/>
      <c r="D82" s="20" t="s">
        <v>564</v>
      </c>
      <c r="E82" s="20" t="s">
        <v>139</v>
      </c>
      <c r="F82" s="20" t="s">
        <v>565</v>
      </c>
      <c r="G82" s="20" t="s">
        <v>566</v>
      </c>
      <c r="H82" s="20" t="s">
        <v>1188</v>
      </c>
      <c r="I82" s="20" t="s">
        <v>568</v>
      </c>
      <c r="J82" s="20" t="s">
        <v>727</v>
      </c>
    </row>
    <row r="83" spans="1:17" ht="20.100000000000001" customHeight="1" x14ac:dyDescent="0.2">
      <c r="A83"/>
      <c r="D83" s="20" t="s">
        <v>2268</v>
      </c>
      <c r="E83" s="20" t="s">
        <v>2269</v>
      </c>
      <c r="F83" s="20" t="s">
        <v>1995</v>
      </c>
      <c r="G83" s="20" t="s">
        <v>2270</v>
      </c>
      <c r="H83" s="20">
        <v>5.4699999999999999E-2</v>
      </c>
      <c r="I83" s="20" t="s">
        <v>2265</v>
      </c>
      <c r="J83" s="20" t="s">
        <v>1189</v>
      </c>
    </row>
    <row r="84" spans="1:17" ht="20.100000000000001" customHeight="1" x14ac:dyDescent="0.2">
      <c r="A84"/>
      <c r="D84" s="20" t="s">
        <v>2268</v>
      </c>
      <c r="E84" s="20" t="s">
        <v>2271</v>
      </c>
      <c r="F84" s="20" t="s">
        <v>1995</v>
      </c>
      <c r="G84" s="20" t="s">
        <v>2270</v>
      </c>
      <c r="H84" s="20">
        <v>1.4200000000000001E-2</v>
      </c>
      <c r="I84" s="20" t="s">
        <v>2265</v>
      </c>
      <c r="J84" s="20" t="s">
        <v>1189</v>
      </c>
    </row>
    <row r="85" spans="1:17" ht="20.100000000000001" customHeight="1" x14ac:dyDescent="0.2">
      <c r="A85"/>
      <c r="D85" s="20" t="s">
        <v>2268</v>
      </c>
      <c r="E85" s="20" t="s">
        <v>2272</v>
      </c>
      <c r="F85" s="20" t="s">
        <v>1995</v>
      </c>
      <c r="G85" s="20" t="s">
        <v>2270</v>
      </c>
      <c r="H85" s="20">
        <v>1.43E-2</v>
      </c>
      <c r="I85" s="20" t="s">
        <v>2265</v>
      </c>
      <c r="J85" s="20" t="s">
        <v>1189</v>
      </c>
    </row>
    <row r="86" spans="1:17" ht="20.100000000000001" customHeight="1" x14ac:dyDescent="0.2">
      <c r="A86"/>
      <c r="D86" s="20" t="s">
        <v>2268</v>
      </c>
      <c r="E86" s="20" t="s">
        <v>2273</v>
      </c>
      <c r="F86" s="20" t="s">
        <v>1995</v>
      </c>
      <c r="G86" s="20" t="s">
        <v>2270</v>
      </c>
      <c r="H86" s="20">
        <v>4.2599999999999999E-3</v>
      </c>
      <c r="I86" s="20" t="s">
        <v>2265</v>
      </c>
      <c r="J86" s="20" t="s">
        <v>1189</v>
      </c>
    </row>
    <row r="87" spans="1:17" ht="20.100000000000001" customHeight="1" x14ac:dyDescent="0.2">
      <c r="A87"/>
    </row>
    <row r="88" spans="1:17" ht="20.100000000000001" customHeight="1" x14ac:dyDescent="0.2">
      <c r="A88"/>
      <c r="D88" s="2" t="s">
        <v>1025</v>
      </c>
    </row>
    <row r="89" spans="1:17" ht="20.100000000000001" customHeight="1" x14ac:dyDescent="0.2">
      <c r="A89"/>
      <c r="D89" s="20" t="s">
        <v>564</v>
      </c>
      <c r="E89" s="20" t="s">
        <v>139</v>
      </c>
      <c r="F89" s="20" t="s">
        <v>565</v>
      </c>
      <c r="G89" s="20" t="s">
        <v>566</v>
      </c>
      <c r="H89" s="20" t="s">
        <v>1188</v>
      </c>
      <c r="I89" s="20" t="s">
        <v>568</v>
      </c>
      <c r="J89" s="20" t="s">
        <v>727</v>
      </c>
      <c r="O89" s="20" t="s">
        <v>139</v>
      </c>
      <c r="P89" s="20" t="s">
        <v>489</v>
      </c>
      <c r="Q89" s="1" t="str">
        <f>"Table_ProductRegions_" &amp; SUBSTITUTE(SUBSTITUTE(SUBSTITUTE(SUBSTITUTE(O90, " ", ""), ",", ""), "(", ""), ")", "")</f>
        <v>Table_ProductRegions_Barleygrain</v>
      </c>
    </row>
    <row r="90" spans="1:17" ht="20.100000000000001" customHeight="1" x14ac:dyDescent="0.2">
      <c r="A90"/>
      <c r="D90" s="20" t="s">
        <v>2274</v>
      </c>
      <c r="E90" s="20" t="s">
        <v>2275</v>
      </c>
      <c r="F90" s="20" t="s">
        <v>537</v>
      </c>
      <c r="G90" s="20" t="s">
        <v>636</v>
      </c>
      <c r="H90" s="20">
        <v>0.23899999999999999</v>
      </c>
      <c r="I90" s="20" t="s">
        <v>1827</v>
      </c>
      <c r="J90" s="20" t="s">
        <v>1189</v>
      </c>
      <c r="O90" s="20" t="str">
        <f>Table_SourceData_Scope3_Feed[[#This Row],[Product]]</f>
        <v>Barley grain</v>
      </c>
      <c r="P90" s="20" t="str">
        <f>Table_SourceData_Scope3_Feed[[#This Row],[Region of origin]]</f>
        <v>Australia</v>
      </c>
    </row>
    <row r="91" spans="1:17" ht="20.100000000000001" customHeight="1" x14ac:dyDescent="0.2">
      <c r="A91"/>
      <c r="D91" s="20" t="s">
        <v>2274</v>
      </c>
      <c r="E91" s="20" t="s">
        <v>2275</v>
      </c>
      <c r="F91" s="20" t="s">
        <v>520</v>
      </c>
      <c r="G91" s="20" t="s">
        <v>636</v>
      </c>
      <c r="H91" s="20">
        <v>0.25600000000000001</v>
      </c>
      <c r="I91" s="20" t="s">
        <v>1827</v>
      </c>
      <c r="J91" s="20" t="s">
        <v>1189</v>
      </c>
      <c r="O91" s="20" t="str">
        <f>Table_SourceData_Scope3_Feed[[#This Row],[Product]]</f>
        <v>Barley grain</v>
      </c>
      <c r="P91" s="20" t="str">
        <f>Table_SourceData_Scope3_Feed[[#This Row],[Region of origin]]</f>
        <v>NSW</v>
      </c>
    </row>
    <row r="92" spans="1:17" ht="20.100000000000001" customHeight="1" x14ac:dyDescent="0.2">
      <c r="A92"/>
      <c r="D92" s="20" t="s">
        <v>2274</v>
      </c>
      <c r="E92" s="20" t="s">
        <v>2275</v>
      </c>
      <c r="F92" s="20" t="s">
        <v>529</v>
      </c>
      <c r="G92" s="20" t="s">
        <v>636</v>
      </c>
      <c r="H92" s="20">
        <v>0.33200000000000002</v>
      </c>
      <c r="I92" s="20" t="s">
        <v>1827</v>
      </c>
      <c r="J92" s="20" t="s">
        <v>1189</v>
      </c>
      <c r="O92" s="20" t="str">
        <f>Table_SourceData_Scope3_Feed[[#This Row],[Product]]</f>
        <v>Barley grain</v>
      </c>
      <c r="P92" s="20" t="str">
        <f>Table_SourceData_Scope3_Feed[[#This Row],[Region of origin]]</f>
        <v>NT</v>
      </c>
    </row>
    <row r="93" spans="1:17" ht="20.100000000000001" customHeight="1" x14ac:dyDescent="0.2">
      <c r="A93"/>
      <c r="D93" s="20" t="s">
        <v>2274</v>
      </c>
      <c r="E93" s="20" t="s">
        <v>2275</v>
      </c>
      <c r="F93" s="20" t="s">
        <v>533</v>
      </c>
      <c r="G93" s="20" t="s">
        <v>636</v>
      </c>
      <c r="H93" s="20">
        <v>0.26900000000000002</v>
      </c>
      <c r="I93" s="20" t="s">
        <v>1827</v>
      </c>
      <c r="J93" s="20" t="s">
        <v>1189</v>
      </c>
      <c r="O93" s="20" t="str">
        <f>Table_SourceData_Scope3_Feed[[#This Row],[Product]]</f>
        <v>Barley grain</v>
      </c>
      <c r="P93" s="20" t="str">
        <f>Table_SourceData_Scope3_Feed[[#This Row],[Region of origin]]</f>
        <v>QLD</v>
      </c>
    </row>
    <row r="94" spans="1:17" ht="20.100000000000001" customHeight="1" x14ac:dyDescent="0.2">
      <c r="A94"/>
      <c r="D94" s="20" t="s">
        <v>2274</v>
      </c>
      <c r="E94" s="20" t="s">
        <v>2275</v>
      </c>
      <c r="F94" s="20" t="s">
        <v>521</v>
      </c>
      <c r="G94" s="20" t="s">
        <v>636</v>
      </c>
      <c r="H94" s="20">
        <v>0.223</v>
      </c>
      <c r="I94" s="20" t="s">
        <v>1827</v>
      </c>
      <c r="J94" s="20" t="s">
        <v>1189</v>
      </c>
      <c r="O94" s="20" t="str">
        <f>Table_SourceData_Scope3_Feed[[#This Row],[Product]]</f>
        <v>Barley grain</v>
      </c>
      <c r="P94" s="20" t="str">
        <f>Table_SourceData_Scope3_Feed[[#This Row],[Region of origin]]</f>
        <v>SA</v>
      </c>
    </row>
    <row r="95" spans="1:17" ht="20.100000000000001" customHeight="1" x14ac:dyDescent="0.2">
      <c r="A95"/>
      <c r="D95" s="20" t="s">
        <v>2274</v>
      </c>
      <c r="E95" s="20" t="s">
        <v>2275</v>
      </c>
      <c r="F95" s="20" t="s">
        <v>522</v>
      </c>
      <c r="G95" s="20" t="s">
        <v>636</v>
      </c>
      <c r="H95" s="20">
        <v>0.307</v>
      </c>
      <c r="I95" s="20" t="s">
        <v>1827</v>
      </c>
      <c r="J95" s="20" t="s">
        <v>1189</v>
      </c>
      <c r="O95" s="20" t="str">
        <f>Table_SourceData_Scope3_Feed[[#This Row],[Product]]</f>
        <v>Barley grain</v>
      </c>
      <c r="P95" s="20" t="str">
        <f>Table_SourceData_Scope3_Feed[[#This Row],[Region of origin]]</f>
        <v>TAS</v>
      </c>
    </row>
    <row r="96" spans="1:17" ht="20.100000000000001" customHeight="1" x14ac:dyDescent="0.2">
      <c r="A96"/>
      <c r="D96" s="20" t="s">
        <v>2274</v>
      </c>
      <c r="E96" s="20" t="s">
        <v>2275</v>
      </c>
      <c r="F96" s="20" t="s">
        <v>523</v>
      </c>
      <c r="G96" s="20" t="s">
        <v>636</v>
      </c>
      <c r="H96" s="20">
        <v>0.24099999999999999</v>
      </c>
      <c r="I96" s="20" t="s">
        <v>1827</v>
      </c>
      <c r="J96" s="20" t="s">
        <v>1189</v>
      </c>
      <c r="O96" s="20" t="str">
        <f>Table_SourceData_Scope3_Feed[[#This Row],[Product]]</f>
        <v>Barley grain</v>
      </c>
      <c r="P96" s="20" t="str">
        <f>Table_SourceData_Scope3_Feed[[#This Row],[Region of origin]]</f>
        <v>VIC</v>
      </c>
    </row>
    <row r="97" spans="1:17" ht="20.100000000000001" customHeight="1" x14ac:dyDescent="0.2">
      <c r="A97"/>
      <c r="D97" s="20" t="s">
        <v>2274</v>
      </c>
      <c r="E97" s="20" t="s">
        <v>2275</v>
      </c>
      <c r="F97" s="20" t="s">
        <v>525</v>
      </c>
      <c r="G97" s="20" t="s">
        <v>636</v>
      </c>
      <c r="H97" s="20">
        <v>0.23599999999999999</v>
      </c>
      <c r="I97" s="20" t="s">
        <v>1827</v>
      </c>
      <c r="J97" s="20" t="s">
        <v>1189</v>
      </c>
      <c r="L97" s="20" t="s">
        <v>139</v>
      </c>
      <c r="M97" s="20" t="s">
        <v>489</v>
      </c>
      <c r="N97" s="1" t="str">
        <f>"Table_ProductRegions_" &amp; SUBSTITUTE(SUBSTITUTE(SUBSTITUTE(SUBSTITUTE(L98, " ", ""), ",", ""), "(", ""), ")", "")</f>
        <v>Table_ProductRegions_Maizegrain</v>
      </c>
      <c r="O97" s="20" t="str">
        <f>Table_SourceData_Scope3_Feed[[#This Row],[Product]]</f>
        <v>Barley grain</v>
      </c>
      <c r="P97" s="20" t="str">
        <f>Table_SourceData_Scope3_Feed[[#This Row],[Region of origin]]</f>
        <v>WA</v>
      </c>
    </row>
    <row r="98" spans="1:17" ht="20.100000000000001" customHeight="1" x14ac:dyDescent="0.2">
      <c r="A98"/>
      <c r="D98" s="20" t="s">
        <v>2274</v>
      </c>
      <c r="E98" s="20" t="s">
        <v>2276</v>
      </c>
      <c r="F98" s="20" t="s">
        <v>537</v>
      </c>
      <c r="G98" s="20" t="s">
        <v>636</v>
      </c>
      <c r="H98" s="20">
        <v>0.18099999999999999</v>
      </c>
      <c r="I98" s="20" t="s">
        <v>1827</v>
      </c>
      <c r="J98" s="20" t="s">
        <v>1189</v>
      </c>
      <c r="L98" s="20" t="str">
        <f>Table_SourceData_Scope3_Feed[[#This Row],[Product]]</f>
        <v>Maize grain</v>
      </c>
      <c r="M98" s="20" t="str">
        <f>Table_SourceData_Scope3_Feed[[#This Row],[Region of origin]]</f>
        <v>Australia</v>
      </c>
    </row>
    <row r="99" spans="1:17" ht="20.100000000000001" customHeight="1" x14ac:dyDescent="0.2">
      <c r="A99"/>
      <c r="D99" s="20" t="s">
        <v>2274</v>
      </c>
      <c r="E99" s="20" t="s">
        <v>2276</v>
      </c>
      <c r="F99" s="20" t="s">
        <v>520</v>
      </c>
      <c r="G99" s="20" t="s">
        <v>636</v>
      </c>
      <c r="H99" s="20">
        <v>0.16900000000000001</v>
      </c>
      <c r="I99" s="20" t="s">
        <v>1827</v>
      </c>
      <c r="J99" s="20" t="s">
        <v>1189</v>
      </c>
      <c r="L99" s="20" t="str">
        <f>Table_SourceData_Scope3_Feed[[#This Row],[Product]]</f>
        <v>Maize grain</v>
      </c>
      <c r="M99" s="20" t="str">
        <f>Table_SourceData_Scope3_Feed[[#This Row],[Region of origin]]</f>
        <v>NSW</v>
      </c>
    </row>
    <row r="100" spans="1:17" ht="20.100000000000001" customHeight="1" x14ac:dyDescent="0.2">
      <c r="A100"/>
      <c r="D100" s="20" t="s">
        <v>2274</v>
      </c>
      <c r="E100" s="20" t="s">
        <v>2276</v>
      </c>
      <c r="F100" s="20" t="s">
        <v>529</v>
      </c>
      <c r="G100" s="20" t="s">
        <v>636</v>
      </c>
      <c r="H100" s="20">
        <v>0.25600000000000001</v>
      </c>
      <c r="I100" s="20" t="s">
        <v>1827</v>
      </c>
      <c r="J100" s="20" t="s">
        <v>1189</v>
      </c>
      <c r="L100" s="20" t="str">
        <f>Table_SourceData_Scope3_Feed[[#This Row],[Product]]</f>
        <v>Maize grain</v>
      </c>
      <c r="M100" s="20" t="str">
        <f>Table_SourceData_Scope3_Feed[[#This Row],[Region of origin]]</f>
        <v>NT</v>
      </c>
    </row>
    <row r="101" spans="1:17" ht="20.100000000000001" customHeight="1" x14ac:dyDescent="0.2">
      <c r="A101"/>
      <c r="D101" s="20" t="s">
        <v>2274</v>
      </c>
      <c r="E101" s="20" t="s">
        <v>2276</v>
      </c>
      <c r="F101" s="20" t="s">
        <v>533</v>
      </c>
      <c r="G101" s="20" t="s">
        <v>636</v>
      </c>
      <c r="H101" s="20">
        <v>0.186</v>
      </c>
      <c r="I101" s="20" t="s">
        <v>1827</v>
      </c>
      <c r="J101" s="20" t="s">
        <v>1189</v>
      </c>
      <c r="L101" s="20" t="str">
        <f>Table_SourceData_Scope3_Feed[[#This Row],[Product]]</f>
        <v>Maize grain</v>
      </c>
      <c r="M101" s="20" t="str">
        <f>Table_SourceData_Scope3_Feed[[#This Row],[Region of origin]]</f>
        <v>QLD</v>
      </c>
    </row>
    <row r="102" spans="1:17" ht="20.100000000000001" customHeight="1" x14ac:dyDescent="0.2">
      <c r="A102"/>
      <c r="D102" s="20" t="s">
        <v>2274</v>
      </c>
      <c r="E102" s="20" t="s">
        <v>2276</v>
      </c>
      <c r="F102" s="20" t="s">
        <v>521</v>
      </c>
      <c r="G102" s="20" t="s">
        <v>636</v>
      </c>
      <c r="H102" s="20">
        <v>0.17599999999999999</v>
      </c>
      <c r="I102" s="20" t="s">
        <v>1827</v>
      </c>
      <c r="J102" s="20" t="s">
        <v>1189</v>
      </c>
      <c r="L102" s="20" t="str">
        <f>Table_SourceData_Scope3_Feed[[#This Row],[Product]]</f>
        <v>Maize grain</v>
      </c>
      <c r="M102" s="20" t="str">
        <f>Table_SourceData_Scope3_Feed[[#This Row],[Region of origin]]</f>
        <v>SA</v>
      </c>
    </row>
    <row r="103" spans="1:17" ht="20.100000000000001" customHeight="1" x14ac:dyDescent="0.2">
      <c r="A103"/>
      <c r="D103" s="20" t="s">
        <v>2274</v>
      </c>
      <c r="E103" s="20" t="s">
        <v>2276</v>
      </c>
      <c r="F103" s="20" t="s">
        <v>523</v>
      </c>
      <c r="G103" s="20" t="s">
        <v>636</v>
      </c>
      <c r="H103" s="20">
        <v>0.159</v>
      </c>
      <c r="I103" s="20" t="s">
        <v>1827</v>
      </c>
      <c r="J103" s="20" t="s">
        <v>1189</v>
      </c>
      <c r="L103" s="20" t="str">
        <f>Table_SourceData_Scope3_Feed[[#This Row],[Product]]</f>
        <v>Maize grain</v>
      </c>
      <c r="M103" s="20" t="str">
        <f>Table_SourceData_Scope3_Feed[[#This Row],[Region of origin]]</f>
        <v>VIC</v>
      </c>
    </row>
    <row r="104" spans="1:17" ht="20.100000000000001" customHeight="1" x14ac:dyDescent="0.2">
      <c r="A104"/>
      <c r="D104" s="20" t="s">
        <v>2274</v>
      </c>
      <c r="E104" s="20" t="s">
        <v>2276</v>
      </c>
      <c r="F104" s="20" t="s">
        <v>525</v>
      </c>
      <c r="G104" s="20" t="s">
        <v>636</v>
      </c>
      <c r="H104" s="20">
        <v>0.28499999999999998</v>
      </c>
      <c r="I104" s="20" t="s">
        <v>1827</v>
      </c>
      <c r="J104" s="20" t="s">
        <v>1189</v>
      </c>
      <c r="L104" s="20" t="str">
        <f>Table_SourceData_Scope3_Feed[[#This Row],[Product]]</f>
        <v>Maize grain</v>
      </c>
      <c r="M104" s="20" t="str">
        <f>Table_SourceData_Scope3_Feed[[#This Row],[Region of origin]]</f>
        <v>WA</v>
      </c>
      <c r="O104" s="20" t="s">
        <v>139</v>
      </c>
      <c r="P104" s="20" t="s">
        <v>489</v>
      </c>
      <c r="Q104" s="1" t="str">
        <f>"Table_ProductRegions_" &amp; SUBSTITUTE(SUBSTITUTE(SUBSTITUTE(SUBSTITUTE(O105, " ", ""), ",", ""), "(", ""), ")", "")</f>
        <v>Table_ProductRegions_Sorghumgrain</v>
      </c>
    </row>
    <row r="105" spans="1:17" ht="20.100000000000001" customHeight="1" x14ac:dyDescent="0.2">
      <c r="A105"/>
      <c r="D105" s="20" t="s">
        <v>2274</v>
      </c>
      <c r="E105" s="20" t="s">
        <v>2277</v>
      </c>
      <c r="F105" s="20" t="s">
        <v>537</v>
      </c>
      <c r="G105" s="20" t="s">
        <v>636</v>
      </c>
      <c r="H105" s="20">
        <v>0.23200000000000001</v>
      </c>
      <c r="I105" s="20" t="s">
        <v>1827</v>
      </c>
      <c r="J105" s="20" t="s">
        <v>1189</v>
      </c>
      <c r="O105" s="20" t="str">
        <f>Table_SourceData_Scope3_Feed[[#This Row],[Product]]</f>
        <v>Sorghum grain</v>
      </c>
      <c r="P105" s="20" t="str">
        <f>Table_SourceData_Scope3_Feed[[#This Row],[Region of origin]]</f>
        <v>Australia</v>
      </c>
    </row>
    <row r="106" spans="1:17" ht="20.100000000000001" customHeight="1" x14ac:dyDescent="0.2">
      <c r="A106"/>
      <c r="D106" s="20" t="s">
        <v>2274</v>
      </c>
      <c r="E106" s="20" t="s">
        <v>2277</v>
      </c>
      <c r="F106" s="20" t="s">
        <v>520</v>
      </c>
      <c r="G106" s="20" t="s">
        <v>636</v>
      </c>
      <c r="H106" s="20">
        <v>0.23200000000000001</v>
      </c>
      <c r="I106" s="20" t="s">
        <v>1827</v>
      </c>
      <c r="J106" s="20" t="s">
        <v>1189</v>
      </c>
      <c r="O106" s="20" t="str">
        <f>Table_SourceData_Scope3_Feed[[#This Row],[Product]]</f>
        <v>Sorghum grain</v>
      </c>
      <c r="P106" s="20" t="str">
        <f>Table_SourceData_Scope3_Feed[[#This Row],[Region of origin]]</f>
        <v>NSW</v>
      </c>
    </row>
    <row r="107" spans="1:17" ht="20.100000000000001" customHeight="1" x14ac:dyDescent="0.2">
      <c r="A107"/>
      <c r="D107" s="20" t="s">
        <v>2274</v>
      </c>
      <c r="E107" s="20" t="s">
        <v>2277</v>
      </c>
      <c r="F107" s="20" t="s">
        <v>533</v>
      </c>
      <c r="G107" s="20" t="s">
        <v>636</v>
      </c>
      <c r="H107" s="20">
        <v>0.23100000000000001</v>
      </c>
      <c r="I107" s="20" t="s">
        <v>1827</v>
      </c>
      <c r="J107" s="20" t="s">
        <v>1189</v>
      </c>
      <c r="O107" s="20" t="str">
        <f>Table_SourceData_Scope3_Feed[[#This Row],[Product]]</f>
        <v>Sorghum grain</v>
      </c>
      <c r="P107" s="20" t="str">
        <f>Table_SourceData_Scope3_Feed[[#This Row],[Region of origin]]</f>
        <v>QLD</v>
      </c>
    </row>
    <row r="108" spans="1:17" ht="20.100000000000001" customHeight="1" x14ac:dyDescent="0.2">
      <c r="A108"/>
      <c r="D108" s="20" t="s">
        <v>2274</v>
      </c>
      <c r="E108" s="20" t="s">
        <v>2277</v>
      </c>
      <c r="F108" s="20" t="s">
        <v>521</v>
      </c>
      <c r="G108" s="20" t="s">
        <v>636</v>
      </c>
      <c r="H108" s="20">
        <v>0.218</v>
      </c>
      <c r="I108" s="20" t="s">
        <v>1827</v>
      </c>
      <c r="J108" s="20" t="s">
        <v>1189</v>
      </c>
      <c r="O108" s="20" t="str">
        <f>Table_SourceData_Scope3_Feed[[#This Row],[Product]]</f>
        <v>Sorghum grain</v>
      </c>
      <c r="P108" s="20" t="str">
        <f>Table_SourceData_Scope3_Feed[[#This Row],[Region of origin]]</f>
        <v>SA</v>
      </c>
    </row>
    <row r="109" spans="1:17" ht="20.100000000000001" customHeight="1" x14ac:dyDescent="0.2">
      <c r="A109"/>
      <c r="D109" s="20" t="s">
        <v>2274</v>
      </c>
      <c r="E109" s="20" t="s">
        <v>2277</v>
      </c>
      <c r="F109" s="20" t="s">
        <v>523</v>
      </c>
      <c r="G109" s="20" t="s">
        <v>636</v>
      </c>
      <c r="H109" s="20">
        <v>0.246</v>
      </c>
      <c r="I109" s="20" t="s">
        <v>1827</v>
      </c>
      <c r="J109" s="20" t="s">
        <v>1189</v>
      </c>
      <c r="L109" s="20" t="s">
        <v>139</v>
      </c>
      <c r="M109" s="20" t="s">
        <v>489</v>
      </c>
      <c r="N109" s="1" t="str">
        <f>"Table_ProductRegions_" &amp; SUBSTITUTE(SUBSTITUTE(SUBSTITUTE(SUBSTITUTE(L110, " ", ""), ",", ""), "(", ""), ")", "")</f>
        <v>Table_ProductRegions_Wheatgrain</v>
      </c>
      <c r="O109" s="20" t="str">
        <f>Table_SourceData_Scope3_Feed[[#This Row],[Product]]</f>
        <v>Sorghum grain</v>
      </c>
      <c r="P109" s="20" t="str">
        <f>Table_SourceData_Scope3_Feed[[#This Row],[Region of origin]]</f>
        <v>VIC</v>
      </c>
    </row>
    <row r="110" spans="1:17" ht="20.100000000000001" customHeight="1" x14ac:dyDescent="0.2">
      <c r="A110"/>
      <c r="D110" s="20" t="s">
        <v>2274</v>
      </c>
      <c r="E110" s="20" t="s">
        <v>2278</v>
      </c>
      <c r="F110" s="20" t="s">
        <v>537</v>
      </c>
      <c r="G110" s="20" t="s">
        <v>636</v>
      </c>
      <c r="H110" s="20">
        <v>0.26800000000000002</v>
      </c>
      <c r="I110" s="20" t="s">
        <v>1827</v>
      </c>
      <c r="J110" s="20" t="s">
        <v>1189</v>
      </c>
      <c r="L110" s="20" t="str">
        <f>Table_SourceData_Scope3_Feed[[#This Row],[Product]]</f>
        <v>Wheat grain</v>
      </c>
      <c r="M110" s="20" t="str">
        <f>Table_SourceData_Scope3_Feed[[#This Row],[Region of origin]]</f>
        <v>Australia</v>
      </c>
    </row>
    <row r="111" spans="1:17" ht="20.100000000000001" customHeight="1" x14ac:dyDescent="0.2">
      <c r="A111"/>
      <c r="D111" s="20" t="s">
        <v>2274</v>
      </c>
      <c r="E111" s="20" t="s">
        <v>2278</v>
      </c>
      <c r="F111" s="20" t="s">
        <v>520</v>
      </c>
      <c r="G111" s="20" t="s">
        <v>636</v>
      </c>
      <c r="H111" s="20">
        <v>0.28199999999999997</v>
      </c>
      <c r="I111" s="20" t="s">
        <v>1827</v>
      </c>
      <c r="J111" s="20" t="s">
        <v>1189</v>
      </c>
      <c r="L111" s="20" t="str">
        <f>Table_SourceData_Scope3_Feed[[#This Row],[Product]]</f>
        <v>Wheat grain</v>
      </c>
      <c r="M111" s="20" t="str">
        <f>Table_SourceData_Scope3_Feed[[#This Row],[Region of origin]]</f>
        <v>NSW</v>
      </c>
    </row>
    <row r="112" spans="1:17" ht="20.100000000000001" customHeight="1" x14ac:dyDescent="0.2">
      <c r="A112"/>
      <c r="D112" s="20" t="s">
        <v>2274</v>
      </c>
      <c r="E112" s="20" t="s">
        <v>2278</v>
      </c>
      <c r="F112" s="20" t="s">
        <v>529</v>
      </c>
      <c r="G112" s="20" t="s">
        <v>636</v>
      </c>
      <c r="H112" s="20">
        <v>0.38500000000000001</v>
      </c>
      <c r="I112" s="20" t="s">
        <v>1827</v>
      </c>
      <c r="J112" s="20" t="s">
        <v>1189</v>
      </c>
      <c r="L112" s="20" t="str">
        <f>Table_SourceData_Scope3_Feed[[#This Row],[Product]]</f>
        <v>Wheat grain</v>
      </c>
      <c r="M112" s="20" t="str">
        <f>Table_SourceData_Scope3_Feed[[#This Row],[Region of origin]]</f>
        <v>NT</v>
      </c>
    </row>
    <row r="113" spans="1:17" ht="20.100000000000001" customHeight="1" x14ac:dyDescent="0.2">
      <c r="A113"/>
      <c r="D113" s="20" t="s">
        <v>2274</v>
      </c>
      <c r="E113" s="20" t="s">
        <v>2278</v>
      </c>
      <c r="F113" s="20" t="s">
        <v>533</v>
      </c>
      <c r="G113" s="20" t="s">
        <v>636</v>
      </c>
      <c r="H113" s="20">
        <v>0.29599999999999999</v>
      </c>
      <c r="I113" s="20" t="s">
        <v>1827</v>
      </c>
      <c r="J113" s="20" t="s">
        <v>1189</v>
      </c>
      <c r="L113" s="20" t="str">
        <f>Table_SourceData_Scope3_Feed[[#This Row],[Product]]</f>
        <v>Wheat grain</v>
      </c>
      <c r="M113" s="20" t="str">
        <f>Table_SourceData_Scope3_Feed[[#This Row],[Region of origin]]</f>
        <v>QLD</v>
      </c>
    </row>
    <row r="114" spans="1:17" ht="20.100000000000001" customHeight="1" x14ac:dyDescent="0.2">
      <c r="A114"/>
      <c r="D114" s="20" t="s">
        <v>2274</v>
      </c>
      <c r="E114" s="20" t="s">
        <v>2278</v>
      </c>
      <c r="F114" s="20" t="s">
        <v>521</v>
      </c>
      <c r="G114" s="20" t="s">
        <v>636</v>
      </c>
      <c r="H114" s="20">
        <v>0.24099999999999999</v>
      </c>
      <c r="I114" s="20" t="s">
        <v>1827</v>
      </c>
      <c r="J114" s="20" t="s">
        <v>1189</v>
      </c>
      <c r="L114" s="20" t="str">
        <f>Table_SourceData_Scope3_Feed[[#This Row],[Product]]</f>
        <v>Wheat grain</v>
      </c>
      <c r="M114" s="20" t="str">
        <f>Table_SourceData_Scope3_Feed[[#This Row],[Region of origin]]</f>
        <v>SA</v>
      </c>
    </row>
    <row r="115" spans="1:17" ht="20.100000000000001" customHeight="1" x14ac:dyDescent="0.2">
      <c r="A115"/>
      <c r="D115" s="20" t="s">
        <v>2274</v>
      </c>
      <c r="E115" s="20" t="s">
        <v>2278</v>
      </c>
      <c r="F115" s="20" t="s">
        <v>522</v>
      </c>
      <c r="G115" s="20" t="s">
        <v>636</v>
      </c>
      <c r="H115" s="20">
        <v>0.33800000000000002</v>
      </c>
      <c r="I115" s="20" t="s">
        <v>1827</v>
      </c>
      <c r="J115" s="20" t="s">
        <v>1189</v>
      </c>
      <c r="L115" s="20" t="str">
        <f>Table_SourceData_Scope3_Feed[[#This Row],[Product]]</f>
        <v>Wheat grain</v>
      </c>
      <c r="M115" s="20" t="str">
        <f>Table_SourceData_Scope3_Feed[[#This Row],[Region of origin]]</f>
        <v>TAS</v>
      </c>
    </row>
    <row r="116" spans="1:17" ht="20.100000000000001" customHeight="1" x14ac:dyDescent="0.2">
      <c r="A116"/>
      <c r="D116" s="20" t="s">
        <v>2274</v>
      </c>
      <c r="E116" s="20" t="s">
        <v>2278</v>
      </c>
      <c r="F116" s="20" t="s">
        <v>523</v>
      </c>
      <c r="G116" s="20" t="s">
        <v>636</v>
      </c>
      <c r="H116" s="20">
        <v>0.26600000000000001</v>
      </c>
      <c r="I116" s="20" t="s">
        <v>1827</v>
      </c>
      <c r="J116" s="20" t="s">
        <v>1189</v>
      </c>
      <c r="L116" s="20" t="str">
        <f>Table_SourceData_Scope3_Feed[[#This Row],[Product]]</f>
        <v>Wheat grain</v>
      </c>
      <c r="M116" s="20" t="str">
        <f>Table_SourceData_Scope3_Feed[[#This Row],[Region of origin]]</f>
        <v>VIC</v>
      </c>
    </row>
    <row r="117" spans="1:17" ht="20.100000000000001" customHeight="1" x14ac:dyDescent="0.2">
      <c r="A117"/>
      <c r="D117" s="20" t="s">
        <v>2274</v>
      </c>
      <c r="E117" s="20" t="s">
        <v>2278</v>
      </c>
      <c r="F117" s="20" t="s">
        <v>525</v>
      </c>
      <c r="G117" s="20" t="s">
        <v>636</v>
      </c>
      <c r="H117" s="20">
        <v>0.26100000000000001</v>
      </c>
      <c r="I117" s="20" t="s">
        <v>1827</v>
      </c>
      <c r="J117" s="20" t="s">
        <v>1189</v>
      </c>
      <c r="L117" s="20" t="str">
        <f>Table_SourceData_Scope3_Feed[[#This Row],[Product]]</f>
        <v>Wheat grain</v>
      </c>
      <c r="M117" s="20" t="str">
        <f>Table_SourceData_Scope3_Feed[[#This Row],[Region of origin]]</f>
        <v>WA</v>
      </c>
      <c r="O117" s="20" t="s">
        <v>139</v>
      </c>
      <c r="P117" s="20" t="s">
        <v>489</v>
      </c>
      <c r="Q117" s="1" t="str">
        <f>"Table_ProductRegions_" &amp; SUBSTITUTE(SUBSTITUTE(SUBSTITUTE(SUBSTITUTE(O118, " ", ""), ",", ""), "(", ""), ")", "")</f>
        <v>Table_ProductRegions_Cerealhay</v>
      </c>
    </row>
    <row r="118" spans="1:17" ht="20.100000000000001" customHeight="1" x14ac:dyDescent="0.2">
      <c r="A118"/>
      <c r="D118" s="20" t="s">
        <v>2279</v>
      </c>
      <c r="E118" s="20" t="s">
        <v>2280</v>
      </c>
      <c r="F118" s="20" t="s">
        <v>537</v>
      </c>
      <c r="G118" s="20" t="s">
        <v>636</v>
      </c>
      <c r="H118" s="20">
        <v>0.11700000000000001</v>
      </c>
      <c r="I118" s="20" t="s">
        <v>1827</v>
      </c>
      <c r="J118" s="20" t="s">
        <v>1189</v>
      </c>
      <c r="O118" s="20" t="str">
        <f>Table_SourceData_Scope3_Feed[[#This Row],[Product]]</f>
        <v>Cereal hay</v>
      </c>
      <c r="P118" s="20" t="str">
        <f>Table_SourceData_Scope3_Feed[[#This Row],[Region of origin]]</f>
        <v>Australia</v>
      </c>
    </row>
    <row r="119" spans="1:17" ht="20.100000000000001" customHeight="1" x14ac:dyDescent="0.2">
      <c r="A119"/>
      <c r="D119" s="20" t="s">
        <v>2279</v>
      </c>
      <c r="E119" s="20" t="s">
        <v>2280</v>
      </c>
      <c r="F119" s="20" t="s">
        <v>520</v>
      </c>
      <c r="G119" s="20" t="s">
        <v>636</v>
      </c>
      <c r="H119" s="20">
        <v>0.11600000000000001</v>
      </c>
      <c r="I119" s="20" t="s">
        <v>1827</v>
      </c>
      <c r="J119" s="20" t="s">
        <v>1189</v>
      </c>
      <c r="O119" s="20" t="str">
        <f>Table_SourceData_Scope3_Feed[[#This Row],[Product]]</f>
        <v>Cereal hay</v>
      </c>
      <c r="P119" s="20" t="str">
        <f>Table_SourceData_Scope3_Feed[[#This Row],[Region of origin]]</f>
        <v>NSW</v>
      </c>
    </row>
    <row r="120" spans="1:17" ht="20.100000000000001" customHeight="1" x14ac:dyDescent="0.2">
      <c r="A120"/>
      <c r="D120" s="20" t="s">
        <v>2279</v>
      </c>
      <c r="E120" s="20" t="s">
        <v>2280</v>
      </c>
      <c r="F120" s="20" t="s">
        <v>533</v>
      </c>
      <c r="G120" s="20" t="s">
        <v>636</v>
      </c>
      <c r="H120" s="20">
        <v>0.11799999999999999</v>
      </c>
      <c r="I120" s="20" t="s">
        <v>1827</v>
      </c>
      <c r="J120" s="20" t="s">
        <v>1189</v>
      </c>
      <c r="O120" s="20" t="str">
        <f>Table_SourceData_Scope3_Feed[[#This Row],[Product]]</f>
        <v>Cereal hay</v>
      </c>
      <c r="P120" s="20" t="str">
        <f>Table_SourceData_Scope3_Feed[[#This Row],[Region of origin]]</f>
        <v>QLD</v>
      </c>
    </row>
    <row r="121" spans="1:17" ht="20.100000000000001" customHeight="1" x14ac:dyDescent="0.2">
      <c r="A121"/>
      <c r="D121" s="20" t="s">
        <v>2279</v>
      </c>
      <c r="E121" s="20" t="s">
        <v>2280</v>
      </c>
      <c r="F121" s="20" t="s">
        <v>521</v>
      </c>
      <c r="G121" s="20" t="s">
        <v>636</v>
      </c>
      <c r="H121" s="20">
        <v>0.111</v>
      </c>
      <c r="I121" s="20" t="s">
        <v>1827</v>
      </c>
      <c r="J121" s="20" t="s">
        <v>1189</v>
      </c>
      <c r="O121" s="20" t="str">
        <f>Table_SourceData_Scope3_Feed[[#This Row],[Product]]</f>
        <v>Cereal hay</v>
      </c>
      <c r="P121" s="20" t="str">
        <f>Table_SourceData_Scope3_Feed[[#This Row],[Region of origin]]</f>
        <v>SA</v>
      </c>
    </row>
    <row r="122" spans="1:17" ht="20.100000000000001" customHeight="1" x14ac:dyDescent="0.2">
      <c r="A122"/>
      <c r="D122" s="20" t="s">
        <v>2279</v>
      </c>
      <c r="E122" s="20" t="s">
        <v>2280</v>
      </c>
      <c r="F122" s="20" t="s">
        <v>522</v>
      </c>
      <c r="G122" s="20" t="s">
        <v>636</v>
      </c>
      <c r="H122" s="20">
        <v>0.13900000000000001</v>
      </c>
      <c r="I122" s="20" t="s">
        <v>1827</v>
      </c>
      <c r="J122" s="20" t="s">
        <v>1189</v>
      </c>
      <c r="O122" s="20" t="str">
        <f>Table_SourceData_Scope3_Feed[[#This Row],[Product]]</f>
        <v>Cereal hay</v>
      </c>
      <c r="P122" s="20" t="str">
        <f>Table_SourceData_Scope3_Feed[[#This Row],[Region of origin]]</f>
        <v>TAS</v>
      </c>
    </row>
    <row r="123" spans="1:17" ht="20.100000000000001" customHeight="1" x14ac:dyDescent="0.2">
      <c r="A123"/>
      <c r="D123" s="20" t="s">
        <v>2279</v>
      </c>
      <c r="E123" s="20" t="s">
        <v>2280</v>
      </c>
      <c r="F123" s="20" t="s">
        <v>523</v>
      </c>
      <c r="G123" s="20" t="s">
        <v>636</v>
      </c>
      <c r="H123" s="20">
        <v>0.11600000000000001</v>
      </c>
      <c r="I123" s="20" t="s">
        <v>1827</v>
      </c>
      <c r="J123" s="20" t="s">
        <v>1189</v>
      </c>
      <c r="O123" s="20" t="str">
        <f>Table_SourceData_Scope3_Feed[[#This Row],[Product]]</f>
        <v>Cereal hay</v>
      </c>
      <c r="P123" s="20" t="str">
        <f>Table_SourceData_Scope3_Feed[[#This Row],[Region of origin]]</f>
        <v>VIC</v>
      </c>
    </row>
    <row r="124" spans="1:17" ht="20.100000000000001" customHeight="1" x14ac:dyDescent="0.2">
      <c r="A124"/>
      <c r="D124" s="20" t="s">
        <v>2279</v>
      </c>
      <c r="E124" s="20" t="s">
        <v>2280</v>
      </c>
      <c r="F124" s="20" t="s">
        <v>525</v>
      </c>
      <c r="G124" s="20" t="s">
        <v>636</v>
      </c>
      <c r="H124" s="20">
        <v>0.122</v>
      </c>
      <c r="I124" s="20" t="s">
        <v>1827</v>
      </c>
      <c r="J124" s="20" t="s">
        <v>1189</v>
      </c>
      <c r="L124" s="20" t="s">
        <v>139</v>
      </c>
      <c r="M124" s="20" t="s">
        <v>489</v>
      </c>
      <c r="N124" s="1" t="str">
        <f>"Table_ProductRegions_" &amp; SUBSTITUTE(SUBSTITUTE(SUBSTITUTE(SUBSTITUTE(L125, " ", ""), ",", ""), "(", ""), ")", "")</f>
        <v>Table_ProductRegions_Cerealsilage</v>
      </c>
      <c r="O124" s="20" t="str">
        <f>Table_SourceData_Scope3_Feed[[#This Row],[Product]]</f>
        <v>Cereal hay</v>
      </c>
      <c r="P124" s="20" t="str">
        <f>Table_SourceData_Scope3_Feed[[#This Row],[Region of origin]]</f>
        <v>WA</v>
      </c>
    </row>
    <row r="125" spans="1:17" ht="20.100000000000001" customHeight="1" x14ac:dyDescent="0.2">
      <c r="A125"/>
      <c r="D125" s="20" t="s">
        <v>2279</v>
      </c>
      <c r="E125" s="20" t="s">
        <v>2281</v>
      </c>
      <c r="F125" s="20" t="s">
        <v>537</v>
      </c>
      <c r="G125" s="20" t="s">
        <v>636</v>
      </c>
      <c r="H125" s="20">
        <v>7.4399999999999994E-2</v>
      </c>
      <c r="I125" s="20" t="s">
        <v>1827</v>
      </c>
      <c r="J125" s="20" t="s">
        <v>1189</v>
      </c>
      <c r="L125" s="20" t="str">
        <f>Table_SourceData_Scope3_Feed[[#This Row],[Product]]</f>
        <v>Cereal silage</v>
      </c>
      <c r="M125" s="20" t="str">
        <f>Table_SourceData_Scope3_Feed[[#This Row],[Region of origin]]</f>
        <v>Australia</v>
      </c>
    </row>
    <row r="126" spans="1:17" ht="20.100000000000001" customHeight="1" x14ac:dyDescent="0.2">
      <c r="A126"/>
      <c r="D126" s="20" t="s">
        <v>2279</v>
      </c>
      <c r="E126" s="20" t="s">
        <v>2281</v>
      </c>
      <c r="F126" s="20" t="s">
        <v>520</v>
      </c>
      <c r="G126" s="20" t="s">
        <v>636</v>
      </c>
      <c r="H126" s="20">
        <v>7.3899999999999993E-2</v>
      </c>
      <c r="I126" s="20" t="s">
        <v>1827</v>
      </c>
      <c r="J126" s="20" t="s">
        <v>1189</v>
      </c>
      <c r="L126" s="20" t="str">
        <f>Table_SourceData_Scope3_Feed[[#This Row],[Product]]</f>
        <v>Cereal silage</v>
      </c>
      <c r="M126" s="20" t="str">
        <f>Table_SourceData_Scope3_Feed[[#This Row],[Region of origin]]</f>
        <v>NSW</v>
      </c>
    </row>
    <row r="127" spans="1:17" ht="20.100000000000001" customHeight="1" x14ac:dyDescent="0.2">
      <c r="A127"/>
      <c r="D127" s="20" t="s">
        <v>2279</v>
      </c>
      <c r="E127" s="20" t="s">
        <v>2281</v>
      </c>
      <c r="F127" s="20" t="s">
        <v>533</v>
      </c>
      <c r="G127" s="20" t="s">
        <v>636</v>
      </c>
      <c r="H127" s="20">
        <v>7.9000000000000001E-2</v>
      </c>
      <c r="I127" s="20" t="s">
        <v>1827</v>
      </c>
      <c r="J127" s="20" t="s">
        <v>1189</v>
      </c>
      <c r="L127" s="20" t="str">
        <f>Table_SourceData_Scope3_Feed[[#This Row],[Product]]</f>
        <v>Cereal silage</v>
      </c>
      <c r="M127" s="20" t="str">
        <f>Table_SourceData_Scope3_Feed[[#This Row],[Region of origin]]</f>
        <v>QLD</v>
      </c>
    </row>
    <row r="128" spans="1:17" ht="20.100000000000001" customHeight="1" x14ac:dyDescent="0.2">
      <c r="A128"/>
      <c r="D128" s="20" t="s">
        <v>2279</v>
      </c>
      <c r="E128" s="20" t="s">
        <v>2281</v>
      </c>
      <c r="F128" s="20" t="s">
        <v>521</v>
      </c>
      <c r="G128" s="20" t="s">
        <v>636</v>
      </c>
      <c r="H128" s="20">
        <v>7.0599999999999996E-2</v>
      </c>
      <c r="I128" s="20" t="s">
        <v>1827</v>
      </c>
      <c r="J128" s="20" t="s">
        <v>1189</v>
      </c>
      <c r="L128" s="20" t="str">
        <f>Table_SourceData_Scope3_Feed[[#This Row],[Product]]</f>
        <v>Cereal silage</v>
      </c>
      <c r="M128" s="20" t="str">
        <f>Table_SourceData_Scope3_Feed[[#This Row],[Region of origin]]</f>
        <v>SA</v>
      </c>
    </row>
    <row r="129" spans="1:17" ht="20.100000000000001" customHeight="1" x14ac:dyDescent="0.2">
      <c r="A129"/>
      <c r="D129" s="20" t="s">
        <v>2279</v>
      </c>
      <c r="E129" s="20" t="s">
        <v>2281</v>
      </c>
      <c r="F129" s="20" t="s">
        <v>522</v>
      </c>
      <c r="G129" s="20" t="s">
        <v>636</v>
      </c>
      <c r="H129" s="20">
        <v>8.0799999999999997E-2</v>
      </c>
      <c r="I129" s="20" t="s">
        <v>1827</v>
      </c>
      <c r="J129" s="20" t="s">
        <v>1189</v>
      </c>
      <c r="L129" s="20" t="str">
        <f>Table_SourceData_Scope3_Feed[[#This Row],[Product]]</f>
        <v>Cereal silage</v>
      </c>
      <c r="M129" s="20" t="str">
        <f>Table_SourceData_Scope3_Feed[[#This Row],[Region of origin]]</f>
        <v>TAS</v>
      </c>
    </row>
    <row r="130" spans="1:17" ht="20.100000000000001" customHeight="1" x14ac:dyDescent="0.2">
      <c r="A130"/>
      <c r="D130" s="20" t="s">
        <v>2279</v>
      </c>
      <c r="E130" s="20" t="s">
        <v>2281</v>
      </c>
      <c r="F130" s="20" t="s">
        <v>523</v>
      </c>
      <c r="G130" s="20" t="s">
        <v>636</v>
      </c>
      <c r="H130" s="20">
        <v>7.3599999999999999E-2</v>
      </c>
      <c r="I130" s="20" t="s">
        <v>1827</v>
      </c>
      <c r="J130" s="20" t="s">
        <v>1189</v>
      </c>
      <c r="L130" s="20" t="str">
        <f>Table_SourceData_Scope3_Feed[[#This Row],[Product]]</f>
        <v>Cereal silage</v>
      </c>
      <c r="M130" s="20" t="str">
        <f>Table_SourceData_Scope3_Feed[[#This Row],[Region of origin]]</f>
        <v>VIC</v>
      </c>
      <c r="O130" s="20" t="s">
        <v>139</v>
      </c>
      <c r="P130" s="20" t="s">
        <v>489</v>
      </c>
      <c r="Q130" s="1" t="str">
        <f>"Table_ProductRegions_" &amp; SUBSTITUTE(SUBSTITUTE(SUBSTITUTE(SUBSTITUTE(O131, " ", ""), ",", ""), "(", ""), ")", "")</f>
        <v>Table_ProductRegions_Lucernehay</v>
      </c>
    </row>
    <row r="131" spans="1:17" ht="20.100000000000001" customHeight="1" x14ac:dyDescent="0.2">
      <c r="A131"/>
      <c r="D131" s="20" t="s">
        <v>2279</v>
      </c>
      <c r="E131" s="20" t="s">
        <v>2282</v>
      </c>
      <c r="F131" s="20" t="s">
        <v>537</v>
      </c>
      <c r="G131" s="20" t="s">
        <v>636</v>
      </c>
      <c r="H131" s="20">
        <v>0.11700000000000001</v>
      </c>
      <c r="I131" s="20" t="s">
        <v>1827</v>
      </c>
      <c r="J131" s="20" t="s">
        <v>1189</v>
      </c>
      <c r="O131" s="20" t="str">
        <f>Table_SourceData_Scope3_Feed[[#This Row],[Product]]</f>
        <v>Lucerne hay</v>
      </c>
      <c r="P131" s="20" t="str">
        <f>Table_SourceData_Scope3_Feed[[#This Row],[Region of origin]]</f>
        <v>Australia</v>
      </c>
    </row>
    <row r="132" spans="1:17" ht="20.100000000000001" customHeight="1" x14ac:dyDescent="0.2">
      <c r="A132"/>
      <c r="D132" s="20" t="s">
        <v>2279</v>
      </c>
      <c r="E132" s="20" t="s">
        <v>2282</v>
      </c>
      <c r="F132" s="20" t="s">
        <v>520</v>
      </c>
      <c r="G132" s="20" t="s">
        <v>636</v>
      </c>
      <c r="H132" s="20">
        <v>0.113</v>
      </c>
      <c r="I132" s="20" t="s">
        <v>1827</v>
      </c>
      <c r="J132" s="20" t="s">
        <v>1189</v>
      </c>
      <c r="O132" s="20" t="str">
        <f>Table_SourceData_Scope3_Feed[[#This Row],[Product]]</f>
        <v>Lucerne hay</v>
      </c>
      <c r="P132" s="20" t="str">
        <f>Table_SourceData_Scope3_Feed[[#This Row],[Region of origin]]</f>
        <v>NSW</v>
      </c>
    </row>
    <row r="133" spans="1:17" ht="20.100000000000001" customHeight="1" x14ac:dyDescent="0.2">
      <c r="A133"/>
      <c r="D133" s="20" t="s">
        <v>2279</v>
      </c>
      <c r="E133" s="20" t="s">
        <v>2282</v>
      </c>
      <c r="F133" s="20" t="s">
        <v>533</v>
      </c>
      <c r="G133" s="20" t="s">
        <v>636</v>
      </c>
      <c r="H133" s="20">
        <v>0.14299999999999999</v>
      </c>
      <c r="I133" s="20" t="s">
        <v>1827</v>
      </c>
      <c r="J133" s="20" t="s">
        <v>1189</v>
      </c>
      <c r="O133" s="20" t="str">
        <f>Table_SourceData_Scope3_Feed[[#This Row],[Product]]</f>
        <v>Lucerne hay</v>
      </c>
      <c r="P133" s="20" t="str">
        <f>Table_SourceData_Scope3_Feed[[#This Row],[Region of origin]]</f>
        <v>QLD</v>
      </c>
    </row>
    <row r="134" spans="1:17" ht="20.100000000000001" customHeight="1" x14ac:dyDescent="0.2">
      <c r="A134"/>
      <c r="D134" s="20" t="s">
        <v>2279</v>
      </c>
      <c r="E134" s="20" t="s">
        <v>2282</v>
      </c>
      <c r="F134" s="20" t="s">
        <v>521</v>
      </c>
      <c r="G134" s="20" t="s">
        <v>636</v>
      </c>
      <c r="H134" s="20">
        <v>0.106</v>
      </c>
      <c r="I134" s="20" t="s">
        <v>1827</v>
      </c>
      <c r="J134" s="20" t="s">
        <v>1189</v>
      </c>
      <c r="O134" s="20" t="str">
        <f>Table_SourceData_Scope3_Feed[[#This Row],[Product]]</f>
        <v>Lucerne hay</v>
      </c>
      <c r="P134" s="20" t="str">
        <f>Table_SourceData_Scope3_Feed[[#This Row],[Region of origin]]</f>
        <v>SA</v>
      </c>
    </row>
    <row r="135" spans="1:17" ht="20.100000000000001" customHeight="1" x14ac:dyDescent="0.2">
      <c r="A135"/>
      <c r="D135" s="20" t="s">
        <v>2279</v>
      </c>
      <c r="E135" s="20" t="s">
        <v>2282</v>
      </c>
      <c r="F135" s="20" t="s">
        <v>522</v>
      </c>
      <c r="G135" s="20" t="s">
        <v>636</v>
      </c>
      <c r="H135" s="20">
        <v>0.113</v>
      </c>
      <c r="I135" s="20" t="s">
        <v>1827</v>
      </c>
      <c r="J135" s="20" t="s">
        <v>1189</v>
      </c>
      <c r="O135" s="20" t="str">
        <f>Table_SourceData_Scope3_Feed[[#This Row],[Product]]</f>
        <v>Lucerne hay</v>
      </c>
      <c r="P135" s="20" t="str">
        <f>Table_SourceData_Scope3_Feed[[#This Row],[Region of origin]]</f>
        <v>TAS</v>
      </c>
    </row>
    <row r="136" spans="1:17" ht="20.100000000000001" customHeight="1" x14ac:dyDescent="0.2">
      <c r="A136"/>
      <c r="D136" s="20" t="s">
        <v>2279</v>
      </c>
      <c r="E136" s="20" t="s">
        <v>2282</v>
      </c>
      <c r="F136" s="20" t="s">
        <v>523</v>
      </c>
      <c r="G136" s="20" t="s">
        <v>636</v>
      </c>
      <c r="H136" s="20">
        <v>0.106</v>
      </c>
      <c r="I136" s="20" t="s">
        <v>1827</v>
      </c>
      <c r="J136" s="20" t="s">
        <v>1189</v>
      </c>
      <c r="O136" s="20" t="str">
        <f>Table_SourceData_Scope3_Feed[[#This Row],[Product]]</f>
        <v>Lucerne hay</v>
      </c>
      <c r="P136" s="20" t="str">
        <f>Table_SourceData_Scope3_Feed[[#This Row],[Region of origin]]</f>
        <v>VIC</v>
      </c>
    </row>
    <row r="137" spans="1:17" ht="20.100000000000001" customHeight="1" x14ac:dyDescent="0.2">
      <c r="A137"/>
      <c r="D137" s="20" t="s">
        <v>2279</v>
      </c>
      <c r="E137" s="20" t="s">
        <v>2283</v>
      </c>
      <c r="F137" s="20" t="s">
        <v>523</v>
      </c>
      <c r="G137" s="20" t="s">
        <v>636</v>
      </c>
      <c r="H137" s="20">
        <v>0.16300000000000001</v>
      </c>
      <c r="I137" s="20" t="s">
        <v>1827</v>
      </c>
      <c r="J137" s="20" t="s">
        <v>1189</v>
      </c>
      <c r="L137" s="20" t="s">
        <v>139</v>
      </c>
      <c r="M137" s="20" t="s">
        <v>489</v>
      </c>
      <c r="N137" s="1" t="str">
        <f>"Table_ProductRegions_" &amp; SUBSTITUTE(SUBSTITUTE(SUBSTITUTE(SUBSTITUTE(L138, " ", ""), ",", ""), "(", ""), ")", "")</f>
        <v>Table_ProductRegions_Oatenhay</v>
      </c>
      <c r="O137" s="20" t="str">
        <f>Table_SourceData_Scope3_Feed[[#This Row],[Product]]</f>
        <v>Maize silage</v>
      </c>
      <c r="P137" s="20" t="str">
        <f>Table_SourceData_Scope3_Feed[[#This Row],[Region of origin]]</f>
        <v>VIC</v>
      </c>
    </row>
    <row r="138" spans="1:17" ht="20.100000000000001" customHeight="1" x14ac:dyDescent="0.2">
      <c r="A138"/>
      <c r="D138" s="20" t="s">
        <v>2279</v>
      </c>
      <c r="E138" s="20" t="s">
        <v>2284</v>
      </c>
      <c r="F138" s="20" t="s">
        <v>537</v>
      </c>
      <c r="G138" s="20" t="s">
        <v>636</v>
      </c>
      <c r="H138" s="20">
        <v>0.12</v>
      </c>
      <c r="I138" s="20" t="s">
        <v>1827</v>
      </c>
      <c r="J138" s="20" t="s">
        <v>1189</v>
      </c>
      <c r="L138" s="20" t="str">
        <f>Table_SourceData_Scope3_Feed[[#This Row],[Product]]</f>
        <v>Oaten hay</v>
      </c>
      <c r="M138" s="20" t="str">
        <f>Table_SourceData_Scope3_Feed[[#This Row],[Region of origin]]</f>
        <v>Australia</v>
      </c>
    </row>
    <row r="139" spans="1:17" ht="20.100000000000001" customHeight="1" x14ac:dyDescent="0.2">
      <c r="A139"/>
      <c r="D139" s="20" t="s">
        <v>2279</v>
      </c>
      <c r="E139" s="20" t="s">
        <v>2284</v>
      </c>
      <c r="F139" s="20" t="s">
        <v>520</v>
      </c>
      <c r="G139" s="20" t="s">
        <v>636</v>
      </c>
      <c r="H139" s="20">
        <v>0.11899999999999999</v>
      </c>
      <c r="I139" s="20" t="s">
        <v>1827</v>
      </c>
      <c r="J139" s="20" t="s">
        <v>1189</v>
      </c>
      <c r="L139" s="20" t="str">
        <f>Table_SourceData_Scope3_Feed[[#This Row],[Product]]</f>
        <v>Oaten hay</v>
      </c>
      <c r="M139" s="20" t="str">
        <f>Table_SourceData_Scope3_Feed[[#This Row],[Region of origin]]</f>
        <v>NSW</v>
      </c>
    </row>
    <row r="140" spans="1:17" ht="20.100000000000001" customHeight="1" x14ac:dyDescent="0.2">
      <c r="A140"/>
      <c r="D140" s="20" t="s">
        <v>2279</v>
      </c>
      <c r="E140" s="20" t="s">
        <v>2284</v>
      </c>
      <c r="F140" s="20" t="s">
        <v>533</v>
      </c>
      <c r="G140" s="20" t="s">
        <v>636</v>
      </c>
      <c r="H140" s="20">
        <v>0.11700000000000001</v>
      </c>
      <c r="I140" s="20" t="s">
        <v>1827</v>
      </c>
      <c r="J140" s="20" t="s">
        <v>1189</v>
      </c>
      <c r="L140" s="20" t="str">
        <f>Table_SourceData_Scope3_Feed[[#This Row],[Product]]</f>
        <v>Oaten hay</v>
      </c>
      <c r="M140" s="20" t="str">
        <f>Table_SourceData_Scope3_Feed[[#This Row],[Region of origin]]</f>
        <v>QLD</v>
      </c>
    </row>
    <row r="141" spans="1:17" ht="20.100000000000001" customHeight="1" x14ac:dyDescent="0.2">
      <c r="A141"/>
      <c r="D141" s="20" t="s">
        <v>2279</v>
      </c>
      <c r="E141" s="20" t="s">
        <v>2284</v>
      </c>
      <c r="F141" s="20" t="s">
        <v>521</v>
      </c>
      <c r="G141" s="20" t="s">
        <v>636</v>
      </c>
      <c r="H141" s="20">
        <v>0.114</v>
      </c>
      <c r="I141" s="20" t="s">
        <v>1827</v>
      </c>
      <c r="J141" s="20" t="s">
        <v>1189</v>
      </c>
      <c r="L141" s="20" t="str">
        <f>Table_SourceData_Scope3_Feed[[#This Row],[Product]]</f>
        <v>Oaten hay</v>
      </c>
      <c r="M141" s="20" t="str">
        <f>Table_SourceData_Scope3_Feed[[#This Row],[Region of origin]]</f>
        <v>SA</v>
      </c>
    </row>
    <row r="142" spans="1:17" ht="20.100000000000001" customHeight="1" x14ac:dyDescent="0.2">
      <c r="A142"/>
      <c r="D142" s="20" t="s">
        <v>2279</v>
      </c>
      <c r="E142" s="20" t="s">
        <v>2284</v>
      </c>
      <c r="F142" s="20" t="s">
        <v>523</v>
      </c>
      <c r="G142" s="20" t="s">
        <v>636</v>
      </c>
      <c r="H142" s="20">
        <v>0.11799999999999999</v>
      </c>
      <c r="I142" s="20" t="s">
        <v>1827</v>
      </c>
      <c r="J142" s="20" t="s">
        <v>1189</v>
      </c>
      <c r="L142" s="20" t="str">
        <f>Table_SourceData_Scope3_Feed[[#This Row],[Product]]</f>
        <v>Oaten hay</v>
      </c>
      <c r="M142" s="20" t="str">
        <f>Table_SourceData_Scope3_Feed[[#This Row],[Region of origin]]</f>
        <v>VIC</v>
      </c>
    </row>
    <row r="143" spans="1:17" ht="20.100000000000001" customHeight="1" x14ac:dyDescent="0.2">
      <c r="A143"/>
      <c r="D143" s="20" t="s">
        <v>2279</v>
      </c>
      <c r="E143" s="20" t="s">
        <v>2284</v>
      </c>
      <c r="F143" s="20" t="s">
        <v>525</v>
      </c>
      <c r="G143" s="20" t="s">
        <v>636</v>
      </c>
      <c r="H143" s="20">
        <v>0.124</v>
      </c>
      <c r="I143" s="20" t="s">
        <v>1827</v>
      </c>
      <c r="J143" s="20" t="s">
        <v>1189</v>
      </c>
      <c r="L143" s="20" t="str">
        <f>Table_SourceData_Scope3_Feed[[#This Row],[Product]]</f>
        <v>Oaten hay</v>
      </c>
      <c r="M143" s="20" t="str">
        <f>Table_SourceData_Scope3_Feed[[#This Row],[Region of origin]]</f>
        <v>WA</v>
      </c>
      <c r="O143" s="20" t="s">
        <v>139</v>
      </c>
      <c r="P143" s="20" t="s">
        <v>489</v>
      </c>
      <c r="Q143" s="1" t="str">
        <f>"Table_ProductRegions_" &amp; SUBSTITUTE(SUBSTITUTE(SUBSTITUTE(SUBSTITUTE(O144, " ", ""), ",", ""), "(", ""), ")", "")</f>
        <v>Table_ProductRegions_Pasturehay</v>
      </c>
    </row>
    <row r="144" spans="1:17" ht="20.100000000000001" customHeight="1" x14ac:dyDescent="0.2">
      <c r="A144"/>
      <c r="D144" s="20" t="s">
        <v>2279</v>
      </c>
      <c r="E144" s="20" t="s">
        <v>2285</v>
      </c>
      <c r="F144" s="20" t="s">
        <v>537</v>
      </c>
      <c r="G144" s="20" t="s">
        <v>636</v>
      </c>
      <c r="H144" s="20">
        <v>0.33900000000000002</v>
      </c>
      <c r="I144" s="20" t="s">
        <v>1827</v>
      </c>
      <c r="J144" s="20" t="s">
        <v>1189</v>
      </c>
      <c r="O144" s="20" t="str">
        <f>Table_SourceData_Scope3_Feed[[#This Row],[Product]]</f>
        <v>Pasture hay</v>
      </c>
      <c r="P144" s="20" t="str">
        <f>Table_SourceData_Scope3_Feed[[#This Row],[Region of origin]]</f>
        <v>Australia</v>
      </c>
    </row>
    <row r="145" spans="1:17" ht="20.100000000000001" customHeight="1" x14ac:dyDescent="0.2">
      <c r="A145"/>
      <c r="D145" s="20" t="s">
        <v>2279</v>
      </c>
      <c r="E145" s="20" t="s">
        <v>2285</v>
      </c>
      <c r="F145" s="20" t="s">
        <v>520</v>
      </c>
      <c r="G145" s="20" t="s">
        <v>636</v>
      </c>
      <c r="H145" s="20">
        <v>0.311</v>
      </c>
      <c r="I145" s="20" t="s">
        <v>1827</v>
      </c>
      <c r="J145" s="20" t="s">
        <v>1189</v>
      </c>
      <c r="O145" s="20" t="str">
        <f>Table_SourceData_Scope3_Feed[[#This Row],[Product]]</f>
        <v>Pasture hay</v>
      </c>
      <c r="P145" s="20" t="str">
        <f>Table_SourceData_Scope3_Feed[[#This Row],[Region of origin]]</f>
        <v>NSW</v>
      </c>
    </row>
    <row r="146" spans="1:17" ht="20.100000000000001" customHeight="1" x14ac:dyDescent="0.2">
      <c r="A146"/>
      <c r="D146" s="20" t="s">
        <v>2279</v>
      </c>
      <c r="E146" s="20" t="s">
        <v>2285</v>
      </c>
      <c r="F146" s="20" t="s">
        <v>533</v>
      </c>
      <c r="G146" s="20" t="s">
        <v>636</v>
      </c>
      <c r="H146" s="20">
        <v>0.254</v>
      </c>
      <c r="I146" s="20" t="s">
        <v>1827</v>
      </c>
      <c r="J146" s="20" t="s">
        <v>1189</v>
      </c>
      <c r="O146" s="20" t="str">
        <f>Table_SourceData_Scope3_Feed[[#This Row],[Product]]</f>
        <v>Pasture hay</v>
      </c>
      <c r="P146" s="20" t="str">
        <f>Table_SourceData_Scope3_Feed[[#This Row],[Region of origin]]</f>
        <v>QLD</v>
      </c>
    </row>
    <row r="147" spans="1:17" ht="20.100000000000001" customHeight="1" x14ac:dyDescent="0.2">
      <c r="A147"/>
      <c r="D147" s="20" t="s">
        <v>2279</v>
      </c>
      <c r="E147" s="20" t="s">
        <v>2285</v>
      </c>
      <c r="F147" s="20" t="s">
        <v>521</v>
      </c>
      <c r="G147" s="20" t="s">
        <v>636</v>
      </c>
      <c r="H147" s="20">
        <v>0.313</v>
      </c>
      <c r="I147" s="20" t="s">
        <v>1827</v>
      </c>
      <c r="J147" s="20" t="s">
        <v>1189</v>
      </c>
      <c r="O147" s="20" t="str">
        <f>Table_SourceData_Scope3_Feed[[#This Row],[Product]]</f>
        <v>Pasture hay</v>
      </c>
      <c r="P147" s="20" t="str">
        <f>Table_SourceData_Scope3_Feed[[#This Row],[Region of origin]]</f>
        <v>SA</v>
      </c>
    </row>
    <row r="148" spans="1:17" ht="20.100000000000001" customHeight="1" x14ac:dyDescent="0.2">
      <c r="A148"/>
      <c r="D148" s="20" t="s">
        <v>2279</v>
      </c>
      <c r="E148" s="20" t="s">
        <v>2285</v>
      </c>
      <c r="F148" s="20" t="s">
        <v>522</v>
      </c>
      <c r="G148" s="20" t="s">
        <v>636</v>
      </c>
      <c r="H148" s="20">
        <v>0.39800000000000002</v>
      </c>
      <c r="I148" s="20" t="s">
        <v>1827</v>
      </c>
      <c r="J148" s="20" t="s">
        <v>1189</v>
      </c>
      <c r="O148" s="20" t="str">
        <f>Table_SourceData_Scope3_Feed[[#This Row],[Product]]</f>
        <v>Pasture hay</v>
      </c>
      <c r="P148" s="20" t="str">
        <f>Table_SourceData_Scope3_Feed[[#This Row],[Region of origin]]</f>
        <v>TAS</v>
      </c>
    </row>
    <row r="149" spans="1:17" ht="20.100000000000001" customHeight="1" x14ac:dyDescent="0.2">
      <c r="A149"/>
      <c r="D149" s="20" t="s">
        <v>2279</v>
      </c>
      <c r="E149" s="20" t="s">
        <v>2285</v>
      </c>
      <c r="F149" s="20" t="s">
        <v>523</v>
      </c>
      <c r="G149" s="20" t="s">
        <v>636</v>
      </c>
      <c r="H149" s="20">
        <v>0.34499999999999997</v>
      </c>
      <c r="I149" s="20" t="s">
        <v>1827</v>
      </c>
      <c r="J149" s="20" t="s">
        <v>1189</v>
      </c>
      <c r="O149" s="20" t="str">
        <f>Table_SourceData_Scope3_Feed[[#This Row],[Product]]</f>
        <v>Pasture hay</v>
      </c>
      <c r="P149" s="20" t="str">
        <f>Table_SourceData_Scope3_Feed[[#This Row],[Region of origin]]</f>
        <v>VIC</v>
      </c>
    </row>
    <row r="150" spans="1:17" ht="20.100000000000001" customHeight="1" x14ac:dyDescent="0.2">
      <c r="A150"/>
      <c r="D150" s="20" t="s">
        <v>2279</v>
      </c>
      <c r="E150" s="20" t="s">
        <v>2285</v>
      </c>
      <c r="F150" s="20" t="s">
        <v>525</v>
      </c>
      <c r="G150" s="20" t="s">
        <v>636</v>
      </c>
      <c r="H150" s="20">
        <v>0.36799999999999999</v>
      </c>
      <c r="I150" s="20" t="s">
        <v>1827</v>
      </c>
      <c r="J150" s="20" t="s">
        <v>1189</v>
      </c>
      <c r="L150" s="261" t="s">
        <v>139</v>
      </c>
      <c r="M150" s="261" t="s">
        <v>489</v>
      </c>
      <c r="N150" s="1" t="str">
        <f>"Table_ProductRegions_" &amp; SUBSTITUTE(SUBSTITUTE(SUBSTITUTE(SUBSTITUTE(L151, " ", ""), ",", ""), "(", ""), ")", "")</f>
        <v>Table_ProductRegions_Canolameal</v>
      </c>
      <c r="O150" s="20" t="str">
        <f>Table_SourceData_Scope3_Feed[[#This Row],[Product]]</f>
        <v>Pasture hay</v>
      </c>
      <c r="P150" s="20" t="str">
        <f>Table_SourceData_Scope3_Feed[[#This Row],[Region of origin]]</f>
        <v>WA</v>
      </c>
    </row>
    <row r="151" spans="1:17" ht="20.100000000000001" customHeight="1" x14ac:dyDescent="0.2">
      <c r="A151"/>
      <c r="D151" s="20" t="s">
        <v>2286</v>
      </c>
      <c r="E151" s="20" t="s">
        <v>2287</v>
      </c>
      <c r="F151" s="20" t="s">
        <v>537</v>
      </c>
      <c r="G151" s="20" t="s">
        <v>636</v>
      </c>
      <c r="H151" s="20">
        <v>0.24399999999999999</v>
      </c>
      <c r="I151" s="20" t="s">
        <v>1827</v>
      </c>
      <c r="J151" s="20" t="s">
        <v>1189</v>
      </c>
      <c r="L151" s="1" t="str">
        <f>Table_SourceData_Scope3_Feed[[#This Row],[Product]]</f>
        <v>Canola meal</v>
      </c>
      <c r="M151" s="1" t="str">
        <f>Table_SourceData_Scope3_Feed[[#This Row],[Region of origin]]</f>
        <v>Australia</v>
      </c>
      <c r="O151" s="20" t="s">
        <v>139</v>
      </c>
      <c r="P151" s="20" t="s">
        <v>489</v>
      </c>
      <c r="Q151" s="1" t="str">
        <f>"Table_ProductRegions_" &amp; SUBSTITUTE(SUBSTITUTE(SUBSTITUTE(SUBSTITUTE(O152, " ", ""), ",", ""), "(", ""), ")", "")</f>
        <v>Table_ProductRegions_Meatmeal</v>
      </c>
    </row>
    <row r="152" spans="1:17" ht="20.100000000000001" customHeight="1" x14ac:dyDescent="0.2">
      <c r="A152"/>
      <c r="D152" s="20" t="s">
        <v>2286</v>
      </c>
      <c r="E152" s="20" t="s">
        <v>2288</v>
      </c>
      <c r="F152" s="20" t="s">
        <v>537</v>
      </c>
      <c r="G152" s="20" t="s">
        <v>636</v>
      </c>
      <c r="H152" s="20">
        <v>0.40799999999999997</v>
      </c>
      <c r="I152" s="20" t="s">
        <v>1827</v>
      </c>
      <c r="J152" s="20" t="s">
        <v>1189</v>
      </c>
      <c r="L152" s="20" t="s">
        <v>139</v>
      </c>
      <c r="M152" s="20" t="s">
        <v>489</v>
      </c>
      <c r="N152" s="1" t="str">
        <f>"Table_ProductRegions_" &amp; SUBSTITUTE(SUBSTITUTE(SUBSTITUTE(SUBSTITUTE(L153, " ", ""), ",", ""), "(", ""), ")", "")</f>
        <v>Table_ProductRegions_Soybeanmeal</v>
      </c>
      <c r="O152" s="20" t="str">
        <f>Table_SourceData_Scope3_Feed[[#This Row],[Product]]</f>
        <v>Meat meal</v>
      </c>
      <c r="P152" s="20" t="str">
        <f>Table_SourceData_Scope3_Feed[[#This Row],[Region of origin]]</f>
        <v>Australia</v>
      </c>
    </row>
    <row r="153" spans="1:17" ht="20.100000000000001" customHeight="1" x14ac:dyDescent="0.2">
      <c r="A153"/>
      <c r="D153" s="20" t="s">
        <v>2286</v>
      </c>
      <c r="E153" s="20" t="s">
        <v>2289</v>
      </c>
      <c r="F153" s="20" t="s">
        <v>2290</v>
      </c>
      <c r="G153" s="20" t="s">
        <v>636</v>
      </c>
      <c r="H153" s="20">
        <v>0.42599999999999999</v>
      </c>
      <c r="I153" s="20" t="s">
        <v>1827</v>
      </c>
      <c r="J153" s="20" t="s">
        <v>1189</v>
      </c>
      <c r="L153" s="20" t="str">
        <f>Table_SourceData_Scope3_Feed[[#This Row],[Product]]</f>
        <v>Soybean meal</v>
      </c>
      <c r="M153" s="20" t="str">
        <f>Table_SourceData_Scope3_Feed[[#This Row],[Region of origin]]</f>
        <v>Brazil</v>
      </c>
      <c r="O153" s="20" t="s">
        <v>139</v>
      </c>
      <c r="P153" s="20" t="s">
        <v>489</v>
      </c>
      <c r="Q153" s="1" t="str">
        <f>"Table_ProductRegions_" &amp; SUBSTITUTE(SUBSTITUTE(SUBSTITUTE(SUBSTITUTE(O154, " ", ""), ",", ""), "(", ""), ")", "")</f>
        <v>Table_ProductRegions_Wheatbran</v>
      </c>
    </row>
    <row r="154" spans="1:17" ht="20.100000000000001" customHeight="1" x14ac:dyDescent="0.2">
      <c r="A154"/>
      <c r="D154" s="20" t="s">
        <v>2286</v>
      </c>
      <c r="E154" s="20" t="s">
        <v>2291</v>
      </c>
      <c r="F154" s="20" t="s">
        <v>537</v>
      </c>
      <c r="G154" s="20" t="s">
        <v>636</v>
      </c>
      <c r="H154" s="20">
        <v>0.19600000000000001</v>
      </c>
      <c r="I154" s="20" t="s">
        <v>1827</v>
      </c>
      <c r="J154" s="20" t="s">
        <v>1189</v>
      </c>
      <c r="L154" s="20" t="s">
        <v>139</v>
      </c>
      <c r="M154" s="20" t="s">
        <v>489</v>
      </c>
      <c r="N154" s="1" t="str">
        <f>"Table_ProductRegions_" &amp; SUBSTITUTE(SUBSTITUTE(SUBSTITUTE(SUBSTITUTE(L155, " ", ""), ",", ""), "(", ""), ")", "")</f>
        <v>Table_ProductRegions_Bentonite</v>
      </c>
      <c r="O154" s="20" t="str">
        <f>Table_SourceData_Scope3_Feed[[#This Row],[Product]]</f>
        <v>Wheat bran</v>
      </c>
      <c r="P154" s="20" t="str">
        <f>Table_SourceData_Scope3_Feed[[#This Row],[Region of origin]]</f>
        <v>Australia</v>
      </c>
    </row>
    <row r="155" spans="1:17" ht="20.100000000000001" customHeight="1" x14ac:dyDescent="0.2">
      <c r="A155"/>
      <c r="D155" s="1" t="s">
        <v>2292</v>
      </c>
      <c r="E155" s="1" t="s">
        <v>2293</v>
      </c>
      <c r="F155" s="1" t="s">
        <v>537</v>
      </c>
      <c r="G155" s="1" t="s">
        <v>636</v>
      </c>
      <c r="H155" s="1">
        <v>6.5199999999999994E-2</v>
      </c>
      <c r="I155" s="1" t="s">
        <v>1827</v>
      </c>
      <c r="J155" s="20" t="s">
        <v>1189</v>
      </c>
      <c r="L155" s="20" t="str">
        <f>Table_SourceData_Scope3_Feed[[#This Row],[Product]]</f>
        <v>Bentonite</v>
      </c>
      <c r="M155" s="20" t="str">
        <f>Table_SourceData_Scope3_Feed[[#This Row],[Region of origin]]</f>
        <v>Australia</v>
      </c>
      <c r="O155" s="20" t="s">
        <v>139</v>
      </c>
      <c r="P155" s="20" t="s">
        <v>489</v>
      </c>
      <c r="Q155" s="1" t="str">
        <f>"Table_ProductRegions_" &amp; SUBSTITUTE(SUBSTITUTE(SUBSTITUTE(SUBSTITUTE(O156, " ", ""), ",", ""), "(", ""), ")", "")</f>
        <v>Table_ProductRegions_Canolaoil</v>
      </c>
    </row>
    <row r="156" spans="1:17" ht="20.100000000000001" customHeight="1" x14ac:dyDescent="0.2">
      <c r="A156"/>
      <c r="D156" s="1" t="s">
        <v>2292</v>
      </c>
      <c r="E156" s="1" t="s">
        <v>2294</v>
      </c>
      <c r="F156" s="1" t="s">
        <v>537</v>
      </c>
      <c r="G156" s="1" t="s">
        <v>636</v>
      </c>
      <c r="H156" s="1">
        <v>0.87</v>
      </c>
      <c r="I156" s="1" t="s">
        <v>1827</v>
      </c>
      <c r="J156" s="20" t="s">
        <v>1189</v>
      </c>
      <c r="L156" s="20" t="s">
        <v>139</v>
      </c>
      <c r="M156" s="20" t="s">
        <v>489</v>
      </c>
      <c r="N156" s="1" t="str">
        <f>"Table_ProductRegions_" &amp; SUBSTITUTE(SUBSTITUTE(SUBSTITUTE(SUBSTITUTE(L157, " ", ""), ",", ""), "(", ""), ")", "")</f>
        <v>Table_ProductRegions_Cottonseed</v>
      </c>
      <c r="O156" s="20" t="str">
        <f>Table_SourceData_Scope3_Feed[[#This Row],[Product]]</f>
        <v>Canola oil</v>
      </c>
      <c r="P156" s="20" t="str">
        <f>Table_SourceData_Scope3_Feed[[#This Row],[Region of origin]]</f>
        <v>Australia</v>
      </c>
    </row>
    <row r="157" spans="1:17" ht="20.100000000000001" customHeight="1" x14ac:dyDescent="0.2">
      <c r="A157"/>
      <c r="D157" s="1" t="s">
        <v>2292</v>
      </c>
      <c r="E157" s="1" t="s">
        <v>2295</v>
      </c>
      <c r="F157" s="1" t="s">
        <v>537</v>
      </c>
      <c r="G157" s="1" t="s">
        <v>636</v>
      </c>
      <c r="H157" s="1">
        <v>0.19700000000000001</v>
      </c>
      <c r="I157" s="1" t="s">
        <v>1827</v>
      </c>
      <c r="J157" s="20" t="s">
        <v>1189</v>
      </c>
      <c r="L157" s="20" t="str">
        <f>Table_SourceData_Scope3_Feed[[#This Row],[Product]]</f>
        <v>Cotton seed</v>
      </c>
      <c r="M157" s="20" t="str">
        <f>Table_SourceData_Scope3_Feed[[#This Row],[Region of origin]]</f>
        <v>Australia</v>
      </c>
      <c r="O157" s="20" t="s">
        <v>139</v>
      </c>
      <c r="P157" s="20" t="s">
        <v>489</v>
      </c>
      <c r="Q157" s="1" t="str">
        <f>"Table_ProductRegions_" &amp; SUBSTITUTE(SUBSTITUTE(SUBSTITUTE(SUBSTITUTE(O158, " ", ""), ",", ""), "(", ""), ")", "")</f>
        <v>Table_ProductRegions_Molasses</v>
      </c>
    </row>
    <row r="158" spans="1:17" ht="20.100000000000001" customHeight="1" x14ac:dyDescent="0.2">
      <c r="A158"/>
      <c r="D158" s="20" t="s">
        <v>2292</v>
      </c>
      <c r="E158" s="20" t="s">
        <v>2296</v>
      </c>
      <c r="F158" s="20" t="s">
        <v>533</v>
      </c>
      <c r="G158" s="20" t="s">
        <v>636</v>
      </c>
      <c r="H158" s="20">
        <v>0.184</v>
      </c>
      <c r="I158" s="20" t="s">
        <v>1827</v>
      </c>
      <c r="J158" s="20"/>
      <c r="O158" s="20" t="str">
        <f>Table_SourceData_Scope3_Feed[[#This Row],[Product]]</f>
        <v>Molasses</v>
      </c>
      <c r="P158" s="20" t="str">
        <f>Table_SourceData_Scope3_Feed[[#This Row],[Region of origin]]</f>
        <v>QLD</v>
      </c>
    </row>
    <row r="159" spans="1:17" ht="20.100000000000001" customHeight="1" x14ac:dyDescent="0.2">
      <c r="A159"/>
    </row>
    <row r="160" spans="1:17" ht="20.100000000000001" customHeight="1" x14ac:dyDescent="0.2">
      <c r="A160"/>
    </row>
    <row r="161" spans="4:14" ht="20.100000000000001" customHeight="1" x14ac:dyDescent="0.2">
      <c r="D161" s="20" t="s">
        <v>564</v>
      </c>
      <c r="E161" s="20" t="s">
        <v>139</v>
      </c>
      <c r="F161" s="20" t="s">
        <v>565</v>
      </c>
      <c r="G161" s="20" t="s">
        <v>566</v>
      </c>
      <c r="H161" s="20" t="s">
        <v>1188</v>
      </c>
      <c r="I161" s="20" t="s">
        <v>568</v>
      </c>
      <c r="J161" s="20" t="s">
        <v>727</v>
      </c>
    </row>
    <row r="162" spans="4:14" ht="20.100000000000001" customHeight="1" x14ac:dyDescent="0.2">
      <c r="D162" s="20" t="s">
        <v>2297</v>
      </c>
      <c r="E162" s="20" t="s">
        <v>2298</v>
      </c>
      <c r="F162" s="20" t="s">
        <v>537</v>
      </c>
      <c r="G162" s="20" t="s">
        <v>636</v>
      </c>
      <c r="H162" s="20">
        <v>0.59399999999999997</v>
      </c>
      <c r="I162" s="20" t="s">
        <v>1827</v>
      </c>
      <c r="J162" s="20" t="s">
        <v>1189</v>
      </c>
    </row>
    <row r="163" spans="4:14" ht="20.100000000000001" customHeight="1" x14ac:dyDescent="0.2">
      <c r="D163" s="20" t="s">
        <v>2297</v>
      </c>
      <c r="E163" s="20" t="s">
        <v>2299</v>
      </c>
      <c r="F163" s="20" t="s">
        <v>537</v>
      </c>
      <c r="G163" s="20" t="s">
        <v>636</v>
      </c>
      <c r="H163" s="20">
        <v>0.41899999999999998</v>
      </c>
      <c r="I163" s="20" t="s">
        <v>1827</v>
      </c>
      <c r="J163" s="20" t="s">
        <v>1189</v>
      </c>
    </row>
    <row r="164" spans="4:14" ht="20.100000000000001" customHeight="1" x14ac:dyDescent="0.2">
      <c r="D164" s="20" t="s">
        <v>2297</v>
      </c>
      <c r="E164" s="20" t="s">
        <v>2300</v>
      </c>
      <c r="F164" s="20" t="s">
        <v>537</v>
      </c>
      <c r="G164" s="20" t="s">
        <v>636</v>
      </c>
      <c r="H164" s="20">
        <v>0.33300000000000002</v>
      </c>
      <c r="I164" s="20" t="s">
        <v>1827</v>
      </c>
      <c r="J164" s="20" t="s">
        <v>1189</v>
      </c>
    </row>
    <row r="165" spans="4:14" ht="20.100000000000001" customHeight="1" x14ac:dyDescent="0.2">
      <c r="D165" s="20" t="s">
        <v>2297</v>
      </c>
      <c r="E165" s="20" t="s">
        <v>2301</v>
      </c>
      <c r="F165" s="20" t="s">
        <v>537</v>
      </c>
      <c r="G165" s="20" t="s">
        <v>636</v>
      </c>
      <c r="H165" s="20">
        <v>0.40300000000000002</v>
      </c>
      <c r="I165" s="20" t="s">
        <v>1827</v>
      </c>
      <c r="J165" s="20" t="s">
        <v>1189</v>
      </c>
    </row>
    <row r="167" spans="4:14" ht="20.100000000000001" customHeight="1" x14ac:dyDescent="0.2">
      <c r="D167" s="20" t="s">
        <v>564</v>
      </c>
      <c r="E167" s="20" t="s">
        <v>139</v>
      </c>
      <c r="F167" s="20" t="s">
        <v>565</v>
      </c>
      <c r="G167" s="20" t="s">
        <v>566</v>
      </c>
      <c r="H167" s="20" t="s">
        <v>1188</v>
      </c>
      <c r="I167" s="20" t="s">
        <v>568</v>
      </c>
      <c r="J167" s="20" t="s">
        <v>727</v>
      </c>
    </row>
    <row r="168" spans="4:14" ht="20.100000000000001" customHeight="1" x14ac:dyDescent="0.2">
      <c r="D168" s="20" t="s">
        <v>2292</v>
      </c>
      <c r="E168" s="20" t="s">
        <v>2302</v>
      </c>
      <c r="F168" s="20" t="s">
        <v>537</v>
      </c>
      <c r="G168" s="20" t="s">
        <v>636</v>
      </c>
      <c r="H168" s="20">
        <v>0.88100000000000001</v>
      </c>
      <c r="I168" s="20" t="s">
        <v>1827</v>
      </c>
      <c r="J168" s="20" t="s">
        <v>1189</v>
      </c>
    </row>
    <row r="169" spans="4:14" ht="20.100000000000001" customHeight="1" x14ac:dyDescent="0.2">
      <c r="D169" s="20" t="s">
        <v>2292</v>
      </c>
      <c r="E169" s="20" t="s">
        <v>2303</v>
      </c>
      <c r="F169" s="20" t="s">
        <v>537</v>
      </c>
      <c r="G169" s="20" t="s">
        <v>636</v>
      </c>
      <c r="H169" s="20">
        <v>0.67700000000000005</v>
      </c>
      <c r="I169" s="20" t="s">
        <v>1827</v>
      </c>
      <c r="J169" s="20" t="s">
        <v>1189</v>
      </c>
    </row>
    <row r="170" spans="4:14" ht="20.100000000000001" customHeight="1" x14ac:dyDescent="0.2">
      <c r="D170" s="20" t="s">
        <v>2292</v>
      </c>
      <c r="E170" s="20" t="s">
        <v>2304</v>
      </c>
      <c r="F170" s="20" t="s">
        <v>537</v>
      </c>
      <c r="G170" s="20" t="s">
        <v>636</v>
      </c>
      <c r="H170" s="20">
        <v>0.23100000000000001</v>
      </c>
      <c r="I170" s="20" t="s">
        <v>1827</v>
      </c>
      <c r="J170" s="20" t="s">
        <v>1189</v>
      </c>
    </row>
    <row r="172" spans="4:14" ht="20.100000000000001" customHeight="1" x14ac:dyDescent="0.2">
      <c r="D172" s="2" t="s">
        <v>1191</v>
      </c>
    </row>
    <row r="173" spans="4:14" ht="20.100000000000001" customHeight="1" x14ac:dyDescent="0.2">
      <c r="D173" s="20" t="s">
        <v>564</v>
      </c>
      <c r="E173" s="20" t="s">
        <v>139</v>
      </c>
      <c r="F173" s="20" t="s">
        <v>565</v>
      </c>
      <c r="G173" s="20" t="s">
        <v>697</v>
      </c>
      <c r="H173" s="20" t="s">
        <v>604</v>
      </c>
      <c r="I173" s="20" t="s">
        <v>605</v>
      </c>
      <c r="J173" s="20" t="s">
        <v>1192</v>
      </c>
      <c r="K173" s="20" t="s">
        <v>566</v>
      </c>
      <c r="L173" s="20" t="s">
        <v>1188</v>
      </c>
      <c r="M173" s="20" t="s">
        <v>568</v>
      </c>
      <c r="N173" s="20" t="s">
        <v>727</v>
      </c>
    </row>
    <row r="174" spans="4:14" ht="20.100000000000001" customHeight="1" x14ac:dyDescent="0.2">
      <c r="D174" s="20" t="s">
        <v>1191</v>
      </c>
      <c r="E174" s="20" t="s">
        <v>2305</v>
      </c>
      <c r="F174" s="20" t="s">
        <v>1995</v>
      </c>
      <c r="G174" s="20" t="str">
        <f>'Constants - Fertiliser'!$D$37</f>
        <v>Ammonia</v>
      </c>
      <c r="H174" s="20"/>
      <c r="I174" s="20" t="str">
        <f>'Constants - Fertiliser'!$V$20</f>
        <v>Global</v>
      </c>
      <c r="J174" s="20"/>
      <c r="K174" s="20" t="s">
        <v>636</v>
      </c>
      <c r="L174" s="20">
        <v>2.3199999999999998</v>
      </c>
      <c r="M174" s="20" t="s">
        <v>1827</v>
      </c>
      <c r="N174" s="20" t="s">
        <v>1189</v>
      </c>
    </row>
    <row r="175" spans="4:14" ht="20.100000000000001" customHeight="1" x14ac:dyDescent="0.2">
      <c r="D175" s="20" t="s">
        <v>1191</v>
      </c>
      <c r="E175" s="20" t="s">
        <v>2306</v>
      </c>
      <c r="F175" s="20" t="s">
        <v>1996</v>
      </c>
      <c r="G175" s="20" t="str">
        <f>'Constants - Fertiliser'!$D$37</f>
        <v>Ammonia</v>
      </c>
      <c r="H175" s="20"/>
      <c r="I175" s="20" t="str">
        <f>'Constants - Fertiliser'!$V$21</f>
        <v>Canada</v>
      </c>
      <c r="J175" s="20"/>
      <c r="K175" s="20" t="s">
        <v>636</v>
      </c>
      <c r="L175" s="20">
        <v>2.12</v>
      </c>
      <c r="M175" s="20" t="s">
        <v>1827</v>
      </c>
      <c r="N175" s="20" t="s">
        <v>1189</v>
      </c>
    </row>
    <row r="176" spans="4:14" ht="20.100000000000001" customHeight="1" x14ac:dyDescent="0.2">
      <c r="D176" s="20" t="s">
        <v>1191</v>
      </c>
      <c r="E176" s="20" t="s">
        <v>2307</v>
      </c>
      <c r="F176" s="20" t="s">
        <v>1997</v>
      </c>
      <c r="G176" s="20" t="str">
        <f>'Constants - Fertiliser'!$D$37</f>
        <v>Ammonia</v>
      </c>
      <c r="H176" s="20"/>
      <c r="I176" s="20" t="str">
        <f>'Constants - Fertiliser'!$V$22</f>
        <v>China</v>
      </c>
      <c r="J176" s="20"/>
      <c r="K176" s="20" t="s">
        <v>636</v>
      </c>
      <c r="L176" s="20">
        <v>4.17</v>
      </c>
      <c r="M176" s="20" t="s">
        <v>1827</v>
      </c>
      <c r="N176" s="20" t="s">
        <v>1189</v>
      </c>
    </row>
    <row r="177" spans="4:14" ht="20.100000000000001" customHeight="1" x14ac:dyDescent="0.2">
      <c r="D177" s="20" t="s">
        <v>1191</v>
      </c>
      <c r="E177" s="20" t="s">
        <v>2308</v>
      </c>
      <c r="F177" s="20" t="s">
        <v>1998</v>
      </c>
      <c r="G177" s="20" t="str">
        <f>'Constants - Fertiliser'!$D$37</f>
        <v>Ammonia</v>
      </c>
      <c r="H177" s="20"/>
      <c r="I177" s="20" t="str">
        <f>'Constants - Fertiliser'!$V$23</f>
        <v>Yemen</v>
      </c>
      <c r="J177" s="20"/>
      <c r="K177" s="20" t="s">
        <v>636</v>
      </c>
      <c r="L177" s="20">
        <v>2.2599999999999998</v>
      </c>
      <c r="M177" s="20" t="s">
        <v>1827</v>
      </c>
      <c r="N177" s="20" t="s">
        <v>1189</v>
      </c>
    </row>
    <row r="178" spans="4:14" ht="20.100000000000001" customHeight="1" x14ac:dyDescent="0.2">
      <c r="D178" s="20" t="s">
        <v>1191</v>
      </c>
      <c r="E178" s="20" t="s">
        <v>2309</v>
      </c>
      <c r="F178" s="20" t="s">
        <v>1995</v>
      </c>
      <c r="G178" s="20" t="str">
        <f>'Constants - Fertiliser'!$D$25</f>
        <v>Ammonium nitrate (AN)</v>
      </c>
      <c r="H178" s="20"/>
      <c r="I178" s="20"/>
      <c r="J178" s="20"/>
      <c r="K178" s="20" t="s">
        <v>636</v>
      </c>
      <c r="L178" s="20">
        <v>2.21</v>
      </c>
      <c r="M178" s="20" t="s">
        <v>1827</v>
      </c>
      <c r="N178" s="20" t="s">
        <v>1189</v>
      </c>
    </row>
    <row r="179" spans="4:14" ht="20.100000000000001" customHeight="1" x14ac:dyDescent="0.2">
      <c r="D179" s="20" t="s">
        <v>1191</v>
      </c>
      <c r="E179" s="20" t="s">
        <v>2310</v>
      </c>
      <c r="F179" s="20" t="s">
        <v>1995</v>
      </c>
      <c r="G179" s="20" t="str">
        <f>'Constants - Fertiliser'!$D$26</f>
        <v>Calcium ammonium nitrate (CAN)</v>
      </c>
      <c r="H179" s="20"/>
      <c r="I179" s="20"/>
      <c r="J179" s="20"/>
      <c r="K179" s="20" t="s">
        <v>636</v>
      </c>
      <c r="L179" s="20">
        <v>1.1499999999999999</v>
      </c>
      <c r="M179" s="20" t="s">
        <v>1827</v>
      </c>
      <c r="N179" s="20" t="s">
        <v>1189</v>
      </c>
    </row>
    <row r="180" spans="4:14" ht="20.100000000000001" customHeight="1" x14ac:dyDescent="0.2">
      <c r="D180" s="20" t="s">
        <v>1191</v>
      </c>
      <c r="E180" s="20" t="s">
        <v>1992</v>
      </c>
      <c r="F180" s="20" t="s">
        <v>1995</v>
      </c>
      <c r="G180" s="20" t="str">
        <f>'Constants - Fertiliser'!$D$38</f>
        <v>Calcium nitrate</v>
      </c>
      <c r="H180" s="20"/>
      <c r="I180" s="20"/>
      <c r="J180" s="20"/>
      <c r="K180" s="20" t="s">
        <v>636</v>
      </c>
      <c r="L180" s="20">
        <v>0.75</v>
      </c>
      <c r="M180" s="20" t="s">
        <v>1827</v>
      </c>
      <c r="N180" s="20" t="s">
        <v>1189</v>
      </c>
    </row>
    <row r="181" spans="4:14" ht="20.100000000000001" customHeight="1" x14ac:dyDescent="0.2">
      <c r="D181" s="20" t="s">
        <v>1191</v>
      </c>
      <c r="E181" s="20" t="s">
        <v>2311</v>
      </c>
      <c r="F181" s="20" t="s">
        <v>1995</v>
      </c>
      <c r="G181" s="20" t="str">
        <f>'Constants - Fertiliser'!$D$21</f>
        <v>Diammonium phosphate (DAP)</v>
      </c>
      <c r="H181" s="20"/>
      <c r="I181" s="20"/>
      <c r="J181" s="20"/>
      <c r="K181" s="20" t="s">
        <v>636</v>
      </c>
      <c r="L181" s="20">
        <v>1.34</v>
      </c>
      <c r="M181" s="20" t="s">
        <v>1827</v>
      </c>
      <c r="N181" s="20" t="s">
        <v>1189</v>
      </c>
    </row>
    <row r="182" spans="4:14" ht="20.100000000000001" customHeight="1" x14ac:dyDescent="0.2">
      <c r="D182" s="20" t="s">
        <v>1191</v>
      </c>
      <c r="E182" s="20" t="s">
        <v>2312</v>
      </c>
      <c r="F182" s="20" t="s">
        <v>1995</v>
      </c>
      <c r="G182" s="20" t="str">
        <f>'Constants - Fertiliser'!$D$35</f>
        <v>Double superphosphate</v>
      </c>
      <c r="H182" s="20"/>
      <c r="I182" s="20"/>
      <c r="J182" s="20"/>
      <c r="K182" s="20" t="s">
        <v>636</v>
      </c>
      <c r="L182" s="20">
        <v>0.39200000000000002</v>
      </c>
      <c r="M182" s="20" t="s">
        <v>1827</v>
      </c>
      <c r="N182" s="20" t="s">
        <v>1189</v>
      </c>
    </row>
    <row r="183" spans="4:14" ht="20.100000000000001" customHeight="1" x14ac:dyDescent="0.2">
      <c r="D183" s="20" t="s">
        <v>1191</v>
      </c>
      <c r="E183" s="20" t="s">
        <v>2313</v>
      </c>
      <c r="F183" s="20" t="s">
        <v>1995</v>
      </c>
      <c r="G183" s="20" t="str">
        <f>'Constants - Fertiliser'!$D$20</f>
        <v>Monoammonium phosphate (MAP)</v>
      </c>
      <c r="H183" s="20"/>
      <c r="I183" s="20"/>
      <c r="J183" s="20"/>
      <c r="K183" s="20" t="s">
        <v>636</v>
      </c>
      <c r="L183" s="20">
        <v>0.82699999999999996</v>
      </c>
      <c r="M183" s="20" t="s">
        <v>1827</v>
      </c>
      <c r="N183" s="20" t="s">
        <v>1189</v>
      </c>
    </row>
    <row r="184" spans="4:14" ht="20.100000000000001" customHeight="1" x14ac:dyDescent="0.2">
      <c r="D184" s="20" t="s">
        <v>1191</v>
      </c>
      <c r="E184" s="20" t="s">
        <v>2314</v>
      </c>
      <c r="F184" s="20" t="s">
        <v>1995</v>
      </c>
      <c r="G184" s="20" t="str">
        <f>'Constants - Fertiliser'!$D$34</f>
        <v>Muriate of potash (MOP)</v>
      </c>
      <c r="H184" s="20"/>
      <c r="I184" s="20"/>
      <c r="J184" s="20"/>
      <c r="K184" s="20" t="s">
        <v>636</v>
      </c>
      <c r="L184" s="20">
        <v>0.54900000000000004</v>
      </c>
      <c r="M184" s="20" t="s">
        <v>1827</v>
      </c>
      <c r="N184" s="20" t="s">
        <v>1189</v>
      </c>
    </row>
    <row r="185" spans="4:14" ht="20.100000000000001" customHeight="1" x14ac:dyDescent="0.2">
      <c r="D185" s="20" t="s">
        <v>1191</v>
      </c>
      <c r="E185" s="20" t="s">
        <v>2315</v>
      </c>
      <c r="F185" s="20" t="s">
        <v>1995</v>
      </c>
      <c r="G185" s="20" t="str">
        <f>'Constants - Fertiliser'!$D$27</f>
        <v>Nitrogen - Ammoniacal</v>
      </c>
      <c r="H185" s="20"/>
      <c r="I185" s="20"/>
      <c r="J185" s="20"/>
      <c r="K185" s="20" t="s">
        <v>1055</v>
      </c>
      <c r="L185" s="20">
        <v>2.83</v>
      </c>
      <c r="M185" s="20" t="s">
        <v>1827</v>
      </c>
      <c r="N185" s="20" t="s">
        <v>1189</v>
      </c>
    </row>
    <row r="186" spans="4:14" ht="20.100000000000001" customHeight="1" x14ac:dyDescent="0.2">
      <c r="D186" s="20" t="s">
        <v>1191</v>
      </c>
      <c r="E186" s="20" t="s">
        <v>2316</v>
      </c>
      <c r="F186" s="20" t="s">
        <v>1995</v>
      </c>
      <c r="G186" s="20" t="str">
        <f>'Constants - Fertiliser'!$D$29</f>
        <v>Nitrogen - Generic</v>
      </c>
      <c r="H186" s="20"/>
      <c r="I186" s="20"/>
      <c r="J186" s="20"/>
      <c r="K186" s="20" t="s">
        <v>1055</v>
      </c>
      <c r="L186" s="20">
        <v>4.2</v>
      </c>
      <c r="M186" s="20" t="s">
        <v>1827</v>
      </c>
      <c r="N186" s="20" t="s">
        <v>1189</v>
      </c>
    </row>
    <row r="187" spans="4:14" ht="20.100000000000001" customHeight="1" x14ac:dyDescent="0.2">
      <c r="D187" s="20" t="s">
        <v>1191</v>
      </c>
      <c r="E187" s="20" t="s">
        <v>2317</v>
      </c>
      <c r="F187" s="20" t="s">
        <v>1995</v>
      </c>
      <c r="G187" s="20" t="str">
        <f>'Constants - Fertiliser'!$D$28</f>
        <v>Nitrogen - Nitrate</v>
      </c>
      <c r="H187" s="20"/>
      <c r="I187" s="20"/>
      <c r="J187" s="20"/>
      <c r="K187" s="20" t="s">
        <v>1055</v>
      </c>
      <c r="L187" s="20">
        <v>5.47</v>
      </c>
      <c r="M187" s="20" t="s">
        <v>1827</v>
      </c>
      <c r="N187" s="20" t="s">
        <v>1189</v>
      </c>
    </row>
    <row r="188" spans="4:14" ht="20.100000000000001" customHeight="1" x14ac:dyDescent="0.2">
      <c r="D188" s="20" t="s">
        <v>1191</v>
      </c>
      <c r="E188" s="20" t="s">
        <v>2318</v>
      </c>
      <c r="F188" s="20" t="s">
        <v>1995</v>
      </c>
      <c r="G188" s="20" t="str">
        <f>'Constants - Fertiliser'!$D$30</f>
        <v>Phosphorus - Generic</v>
      </c>
      <c r="H188" s="20"/>
      <c r="I188" s="20"/>
      <c r="J188" s="20"/>
      <c r="K188" s="20" t="s">
        <v>2324</v>
      </c>
      <c r="L188" s="20">
        <v>3.96</v>
      </c>
      <c r="M188" s="20" t="s">
        <v>1827</v>
      </c>
      <c r="N188" s="20" t="s">
        <v>1189</v>
      </c>
    </row>
    <row r="189" spans="4:14" ht="20.100000000000001" customHeight="1" x14ac:dyDescent="0.2">
      <c r="D189" s="20" t="s">
        <v>1191</v>
      </c>
      <c r="E189" s="20" t="s">
        <v>2319</v>
      </c>
      <c r="F189" s="20" t="s">
        <v>1995</v>
      </c>
      <c r="G189" s="20" t="str">
        <f>'Constants - Fertiliser'!$D$31</f>
        <v>Potassium - Generic</v>
      </c>
      <c r="H189" s="20"/>
      <c r="I189" s="20"/>
      <c r="J189" s="20"/>
      <c r="K189" s="20" t="s">
        <v>2325</v>
      </c>
      <c r="L189" s="20">
        <v>0.90900000000000003</v>
      </c>
      <c r="M189" s="20" t="s">
        <v>1827</v>
      </c>
      <c r="N189" s="20" t="s">
        <v>1189</v>
      </c>
    </row>
    <row r="190" spans="4:14" ht="20.100000000000001" customHeight="1" x14ac:dyDescent="0.2">
      <c r="D190" s="20" t="s">
        <v>1191</v>
      </c>
      <c r="E190" s="20" t="s">
        <v>2320</v>
      </c>
      <c r="F190" s="20" t="s">
        <v>1995</v>
      </c>
      <c r="G190" s="20" t="str">
        <f>'Constants - Fertiliser'!$D$36</f>
        <v>Single superphosphate (SSP)</v>
      </c>
      <c r="H190" s="20"/>
      <c r="I190" s="20"/>
      <c r="J190" s="20"/>
      <c r="K190" s="20" t="s">
        <v>636</v>
      </c>
      <c r="L190" s="20">
        <v>0.22700000000000001</v>
      </c>
      <c r="M190" s="20" t="s">
        <v>1827</v>
      </c>
      <c r="N190" s="20" t="s">
        <v>1189</v>
      </c>
    </row>
    <row r="191" spans="4:14" ht="20.100000000000001" customHeight="1" x14ac:dyDescent="0.2">
      <c r="D191" s="20" t="s">
        <v>1191</v>
      </c>
      <c r="E191" s="20" t="s">
        <v>2321</v>
      </c>
      <c r="F191" s="20" t="s">
        <v>1995</v>
      </c>
      <c r="G191" s="20" t="str">
        <f>'Constants - Fertiliser'!$D$32</f>
        <v>Sulfur - Generic</v>
      </c>
      <c r="H191" s="20"/>
      <c r="I191" s="20"/>
      <c r="J191" s="20"/>
      <c r="K191" s="20" t="s">
        <v>2326</v>
      </c>
      <c r="L191" s="20">
        <v>2.5</v>
      </c>
      <c r="M191" s="20" t="s">
        <v>1827</v>
      </c>
      <c r="N191" s="20" t="s">
        <v>1189</v>
      </c>
    </row>
    <row r="192" spans="4:14" ht="20.100000000000001" customHeight="1" x14ac:dyDescent="0.2">
      <c r="D192" s="20" t="s">
        <v>1191</v>
      </c>
      <c r="E192" s="20" t="s">
        <v>2322</v>
      </c>
      <c r="F192" s="20" t="s">
        <v>1995</v>
      </c>
      <c r="G192" s="20" t="str">
        <f>'Constants - Fertiliser'!$D$23</f>
        <v>Sulphate of ammonia (SOA)</v>
      </c>
      <c r="H192" s="20"/>
      <c r="I192" s="20"/>
      <c r="J192" s="20"/>
      <c r="K192" s="20" t="s">
        <v>636</v>
      </c>
      <c r="L192" s="20">
        <v>0.86499999999999999</v>
      </c>
      <c r="M192" s="20" t="s">
        <v>1827</v>
      </c>
      <c r="N192" s="20" t="s">
        <v>1189</v>
      </c>
    </row>
    <row r="193" spans="4:14" ht="20.100000000000001" customHeight="1" x14ac:dyDescent="0.2">
      <c r="D193" s="20" t="s">
        <v>1191</v>
      </c>
      <c r="E193" s="20" t="s">
        <v>2323</v>
      </c>
      <c r="F193" s="20" t="s">
        <v>1995</v>
      </c>
      <c r="G193" s="20" t="str">
        <f>'Constants - Fertiliser'!$D$24</f>
        <v>Urea-ammonium nitrate (UAN)</v>
      </c>
      <c r="H193" s="20"/>
      <c r="I193" s="20"/>
      <c r="J193" s="20"/>
      <c r="K193" s="20" t="s">
        <v>636</v>
      </c>
      <c r="L193" s="20">
        <v>1.75</v>
      </c>
      <c r="M193" s="20" t="s">
        <v>1827</v>
      </c>
      <c r="N193" s="20" t="s">
        <v>1189</v>
      </c>
    </row>
    <row r="194" spans="4:14" ht="20.100000000000001" customHeight="1" x14ac:dyDescent="0.2">
      <c r="D194" s="20" t="s">
        <v>1191</v>
      </c>
      <c r="E194" s="20" t="s">
        <v>2328</v>
      </c>
      <c r="F194" s="20" t="s">
        <v>1995</v>
      </c>
      <c r="G194" s="20" t="str">
        <f>'Constants - Fertiliser'!$D$22</f>
        <v>Urea</v>
      </c>
      <c r="H194" s="20" t="str">
        <f>'Constants - Fertiliser'!$V$20</f>
        <v>Global</v>
      </c>
      <c r="I194" s="20"/>
      <c r="J194" s="20"/>
      <c r="K194" s="20" t="s">
        <v>636</v>
      </c>
      <c r="L194" s="20">
        <v>0.96799999999999997</v>
      </c>
      <c r="M194" s="20" t="s">
        <v>1827</v>
      </c>
      <c r="N194" s="20" t="s">
        <v>1189</v>
      </c>
    </row>
    <row r="195" spans="4:14" ht="20.100000000000001" customHeight="1" x14ac:dyDescent="0.2">
      <c r="D195" s="20" t="s">
        <v>1191</v>
      </c>
      <c r="E195" s="20" t="s">
        <v>2329</v>
      </c>
      <c r="F195" s="20" t="s">
        <v>1996</v>
      </c>
      <c r="G195" s="20" t="str">
        <f>'Constants - Fertiliser'!$D$22</f>
        <v>Urea</v>
      </c>
      <c r="H195" s="20" t="str">
        <f>'Constants - Fertiliser'!$V$21</f>
        <v>Canada</v>
      </c>
      <c r="I195" s="20"/>
      <c r="J195" s="20"/>
      <c r="K195" s="20" t="s">
        <v>636</v>
      </c>
      <c r="L195" s="20">
        <v>0.82299999999999995</v>
      </c>
      <c r="M195" s="20" t="s">
        <v>1827</v>
      </c>
      <c r="N195" s="20" t="s">
        <v>1189</v>
      </c>
    </row>
    <row r="196" spans="4:14" ht="20.100000000000001" customHeight="1" x14ac:dyDescent="0.2">
      <c r="D196" s="20" t="s">
        <v>1191</v>
      </c>
      <c r="E196" s="20" t="s">
        <v>2330</v>
      </c>
      <c r="F196" s="20" t="s">
        <v>1997</v>
      </c>
      <c r="G196" s="20" t="str">
        <f>'Constants - Fertiliser'!$D$22</f>
        <v>Urea</v>
      </c>
      <c r="H196" s="20" t="str">
        <f>'Constants - Fertiliser'!$V$22</f>
        <v>China</v>
      </c>
      <c r="I196" s="20"/>
      <c r="J196" s="20"/>
      <c r="K196" s="20" t="s">
        <v>636</v>
      </c>
      <c r="L196" s="20">
        <v>2.09</v>
      </c>
      <c r="M196" s="20" t="s">
        <v>1827</v>
      </c>
      <c r="N196" s="20" t="s">
        <v>1189</v>
      </c>
    </row>
    <row r="197" spans="4:14" ht="20.100000000000001" customHeight="1" x14ac:dyDescent="0.2">
      <c r="D197" s="20" t="s">
        <v>1191</v>
      </c>
      <c r="E197" s="20" t="s">
        <v>2331</v>
      </c>
      <c r="F197" s="20" t="s">
        <v>1998</v>
      </c>
      <c r="G197" s="20" t="str">
        <f>'Constants - Fertiliser'!$D$22</f>
        <v>Urea</v>
      </c>
      <c r="H197" s="20" t="str">
        <f>'Constants - Fertiliser'!$V$23</f>
        <v>Yemen</v>
      </c>
      <c r="I197" s="20"/>
      <c r="J197" s="20"/>
      <c r="K197" s="20" t="s">
        <v>636</v>
      </c>
      <c r="L197" s="20">
        <v>0.96299999999999997</v>
      </c>
      <c r="M197" s="20" t="s">
        <v>1827</v>
      </c>
      <c r="N197" s="20" t="s">
        <v>1189</v>
      </c>
    </row>
    <row r="198" spans="4:14" ht="20.100000000000001" customHeight="1" x14ac:dyDescent="0.2">
      <c r="D198" s="20" t="s">
        <v>1191</v>
      </c>
      <c r="E198" s="20" t="s">
        <v>2332</v>
      </c>
      <c r="F198" s="20" t="s">
        <v>1995</v>
      </c>
      <c r="G198" s="20" t="str">
        <f>'Constants - Fertiliser'!$D$33</f>
        <v>Zinc - Generic</v>
      </c>
      <c r="H198" s="20"/>
      <c r="I198" s="20"/>
      <c r="J198" s="20"/>
      <c r="K198" s="20" t="s">
        <v>2327</v>
      </c>
      <c r="L198" s="20">
        <v>4.82</v>
      </c>
      <c r="M198" s="20" t="s">
        <v>1827</v>
      </c>
      <c r="N198" s="20" t="s">
        <v>1189</v>
      </c>
    </row>
    <row r="200" spans="4:14" ht="20.100000000000001" customHeight="1" x14ac:dyDescent="0.2">
      <c r="D200" s="2" t="s">
        <v>1193</v>
      </c>
    </row>
    <row r="201" spans="4:14" ht="20.100000000000001" customHeight="1" x14ac:dyDescent="0.2">
      <c r="D201" s="20" t="s">
        <v>564</v>
      </c>
      <c r="E201" s="20" t="s">
        <v>139</v>
      </c>
      <c r="F201" s="20" t="s">
        <v>565</v>
      </c>
      <c r="G201" s="20" t="s">
        <v>566</v>
      </c>
      <c r="H201" s="20" t="s">
        <v>1188</v>
      </c>
      <c r="I201" s="20" t="s">
        <v>568</v>
      </c>
      <c r="J201" s="20" t="s">
        <v>727</v>
      </c>
    </row>
    <row r="202" spans="4:14" ht="20.100000000000001" customHeight="1" x14ac:dyDescent="0.2">
      <c r="D202" s="20" t="s">
        <v>2292</v>
      </c>
      <c r="E202" s="20" t="s">
        <v>2333</v>
      </c>
      <c r="F202" s="20" t="s">
        <v>537</v>
      </c>
      <c r="G202" s="20" t="s">
        <v>1517</v>
      </c>
      <c r="H202" s="20">
        <v>4.24E-2</v>
      </c>
      <c r="I202" s="20" t="s">
        <v>1827</v>
      </c>
      <c r="J202" s="20" t="s">
        <v>1189</v>
      </c>
    </row>
    <row r="203" spans="4:14" ht="20.100000000000001" customHeight="1" x14ac:dyDescent="0.2">
      <c r="D203" s="20" t="s">
        <v>2292</v>
      </c>
      <c r="E203" s="20" t="s">
        <v>2334</v>
      </c>
      <c r="F203" s="20" t="s">
        <v>537</v>
      </c>
      <c r="G203" s="20" t="s">
        <v>1517</v>
      </c>
      <c r="H203" s="20">
        <v>2.93E-2</v>
      </c>
      <c r="I203" s="20" t="s">
        <v>1827</v>
      </c>
      <c r="J203" s="20" t="s">
        <v>1189</v>
      </c>
    </row>
    <row r="204" spans="4:14" ht="20.100000000000001" customHeight="1" x14ac:dyDescent="0.2">
      <c r="D204" s="20" t="s">
        <v>2292</v>
      </c>
      <c r="E204" s="20" t="s">
        <v>2335</v>
      </c>
      <c r="F204" s="20" t="s">
        <v>537</v>
      </c>
      <c r="G204" s="20" t="s">
        <v>636</v>
      </c>
      <c r="H204" s="20">
        <v>0.23899999999999999</v>
      </c>
      <c r="I204" s="20" t="s">
        <v>1827</v>
      </c>
      <c r="J204" s="20" t="s">
        <v>1189</v>
      </c>
    </row>
    <row r="205" spans="4:14" ht="20.100000000000001" customHeight="1" x14ac:dyDescent="0.2">
      <c r="D205" s="20" t="s">
        <v>2292</v>
      </c>
      <c r="E205" s="20" t="s">
        <v>2336</v>
      </c>
      <c r="F205" s="20" t="s">
        <v>537</v>
      </c>
      <c r="G205" s="20" t="s">
        <v>636</v>
      </c>
      <c r="H205" s="20">
        <v>0.18099999999999999</v>
      </c>
      <c r="I205" s="20" t="s">
        <v>1827</v>
      </c>
      <c r="J205" s="20" t="s">
        <v>1189</v>
      </c>
    </row>
    <row r="206" spans="4:14" ht="20.100000000000001" customHeight="1" x14ac:dyDescent="0.2">
      <c r="D206" s="20" t="s">
        <v>2292</v>
      </c>
      <c r="E206" s="20" t="s">
        <v>2337</v>
      </c>
      <c r="F206" s="20" t="s">
        <v>1995</v>
      </c>
      <c r="G206" s="20" t="s">
        <v>636</v>
      </c>
      <c r="H206" s="20">
        <v>9.81</v>
      </c>
      <c r="I206" s="20" t="s">
        <v>1827</v>
      </c>
      <c r="J206" s="20" t="s">
        <v>1189</v>
      </c>
    </row>
    <row r="207" spans="4:14" ht="20.100000000000001" customHeight="1" x14ac:dyDescent="0.2">
      <c r="D207" s="20" t="s">
        <v>2292</v>
      </c>
      <c r="E207" s="20" t="s">
        <v>2338</v>
      </c>
      <c r="F207" s="20" t="s">
        <v>537</v>
      </c>
      <c r="G207" s="20" t="s">
        <v>636</v>
      </c>
      <c r="H207" s="20">
        <v>0.27</v>
      </c>
      <c r="I207" s="20" t="s">
        <v>1827</v>
      </c>
      <c r="J207" s="20" t="s">
        <v>1189</v>
      </c>
    </row>
    <row r="208" spans="4:14" ht="20.100000000000001" customHeight="1" x14ac:dyDescent="0.2">
      <c r="D208" s="20" t="s">
        <v>2292</v>
      </c>
      <c r="E208" s="20" t="s">
        <v>2339</v>
      </c>
      <c r="F208" s="20" t="s">
        <v>537</v>
      </c>
      <c r="G208" s="20" t="s">
        <v>636</v>
      </c>
      <c r="H208" s="20">
        <v>0.23200000000000001</v>
      </c>
      <c r="I208" s="20" t="s">
        <v>1827</v>
      </c>
      <c r="J208" s="20" t="s">
        <v>1189</v>
      </c>
    </row>
    <row r="209" spans="4:10" ht="20.100000000000001" customHeight="1" x14ac:dyDescent="0.2">
      <c r="D209" s="20" t="s">
        <v>2292</v>
      </c>
      <c r="E209" s="20" t="s">
        <v>2340</v>
      </c>
      <c r="F209" s="20" t="s">
        <v>537</v>
      </c>
      <c r="G209" s="20" t="s">
        <v>636</v>
      </c>
      <c r="H209" s="20">
        <v>0.26800000000000002</v>
      </c>
      <c r="I209" s="20" t="s">
        <v>1827</v>
      </c>
      <c r="J209" s="20" t="s">
        <v>1189</v>
      </c>
    </row>
    <row r="211" spans="4:10" ht="20.100000000000001" customHeight="1" x14ac:dyDescent="0.2">
      <c r="D211" s="2" t="s">
        <v>1194</v>
      </c>
    </row>
    <row r="212" spans="4:10" ht="20.100000000000001" customHeight="1" x14ac:dyDescent="0.2">
      <c r="D212" s="20" t="s">
        <v>564</v>
      </c>
      <c r="E212" s="20" t="s">
        <v>139</v>
      </c>
      <c r="F212" s="20" t="s">
        <v>565</v>
      </c>
      <c r="G212" s="20" t="s">
        <v>566</v>
      </c>
      <c r="H212" s="20" t="s">
        <v>1188</v>
      </c>
      <c r="I212" s="20" t="s">
        <v>568</v>
      </c>
      <c r="J212" s="20" t="s">
        <v>727</v>
      </c>
    </row>
    <row r="213" spans="4:10" ht="20.100000000000001" customHeight="1" x14ac:dyDescent="0.2">
      <c r="D213" s="20" t="s">
        <v>1194</v>
      </c>
      <c r="E213" s="20" t="s">
        <v>2341</v>
      </c>
      <c r="F213" s="20" t="s">
        <v>1995</v>
      </c>
      <c r="G213" s="20" t="s">
        <v>636</v>
      </c>
      <c r="H213" s="20">
        <v>1.05</v>
      </c>
      <c r="I213" s="20" t="s">
        <v>2265</v>
      </c>
      <c r="J213" s="20" t="s">
        <v>1189</v>
      </c>
    </row>
    <row r="214" spans="4:10" ht="20.100000000000001" customHeight="1" x14ac:dyDescent="0.2">
      <c r="D214" s="20" t="s">
        <v>1194</v>
      </c>
      <c r="E214" s="20" t="s">
        <v>2342</v>
      </c>
      <c r="F214" s="20" t="s">
        <v>1995</v>
      </c>
      <c r="G214" s="20" t="s">
        <v>1517</v>
      </c>
      <c r="H214" s="20">
        <v>3.99</v>
      </c>
      <c r="I214" s="20" t="s">
        <v>2265</v>
      </c>
      <c r="J214" s="20" t="s">
        <v>1189</v>
      </c>
    </row>
    <row r="215" spans="4:10" ht="20.100000000000001" customHeight="1" x14ac:dyDescent="0.2">
      <c r="D215" s="20" t="s">
        <v>1194</v>
      </c>
      <c r="E215" s="20" t="s">
        <v>2343</v>
      </c>
      <c r="F215" s="20" t="s">
        <v>1995</v>
      </c>
      <c r="G215" s="20" t="s">
        <v>636</v>
      </c>
      <c r="H215" s="20">
        <v>3.44</v>
      </c>
      <c r="I215" s="20" t="s">
        <v>2265</v>
      </c>
      <c r="J215" s="20" t="s">
        <v>1189</v>
      </c>
    </row>
    <row r="216" spans="4:10" ht="20.100000000000001" customHeight="1" x14ac:dyDescent="0.2">
      <c r="D216" s="20" t="s">
        <v>1194</v>
      </c>
      <c r="E216" s="20" t="s">
        <v>2344</v>
      </c>
      <c r="F216" s="20" t="s">
        <v>1995</v>
      </c>
      <c r="G216" s="20" t="s">
        <v>636</v>
      </c>
      <c r="H216" s="20">
        <v>3.72</v>
      </c>
      <c r="I216" s="20" t="s">
        <v>2265</v>
      </c>
      <c r="J216" s="20" t="s">
        <v>1189</v>
      </c>
    </row>
    <row r="218" spans="4:10" ht="20.100000000000001" customHeight="1" x14ac:dyDescent="0.2">
      <c r="D218" s="2" t="s">
        <v>1007</v>
      </c>
    </row>
    <row r="219" spans="4:10" ht="20.100000000000001" customHeight="1" x14ac:dyDescent="0.2">
      <c r="D219" s="20" t="s">
        <v>564</v>
      </c>
      <c r="E219" s="20" t="s">
        <v>139</v>
      </c>
      <c r="F219" s="20" t="s">
        <v>565</v>
      </c>
      <c r="G219" s="20" t="s">
        <v>566</v>
      </c>
      <c r="H219" s="20" t="s">
        <v>1188</v>
      </c>
      <c r="I219" s="20" t="s">
        <v>568</v>
      </c>
      <c r="J219" s="20" t="s">
        <v>727</v>
      </c>
    </row>
    <row r="220" spans="4:10" ht="20.100000000000001" customHeight="1" x14ac:dyDescent="0.2">
      <c r="D220" s="20" t="s">
        <v>1007</v>
      </c>
      <c r="E220" s="20" t="s">
        <v>2345</v>
      </c>
      <c r="F220" s="20" t="s">
        <v>1995</v>
      </c>
      <c r="G220" s="20" t="s">
        <v>2346</v>
      </c>
      <c r="H220" s="20">
        <v>5.2</v>
      </c>
      <c r="I220" s="20" t="s">
        <v>1827</v>
      </c>
      <c r="J220" s="20" t="s">
        <v>1189</v>
      </c>
    </row>
    <row r="221" spans="4:10" ht="20.100000000000001" customHeight="1" x14ac:dyDescent="0.2">
      <c r="D221" s="20" t="s">
        <v>1007</v>
      </c>
      <c r="E221" s="20" t="s">
        <v>2347</v>
      </c>
      <c r="F221" s="20" t="s">
        <v>1995</v>
      </c>
      <c r="G221" s="20" t="s">
        <v>2346</v>
      </c>
      <c r="H221" s="20">
        <v>8.3800000000000008</v>
      </c>
      <c r="I221" s="20" t="s">
        <v>1827</v>
      </c>
      <c r="J221" s="20" t="s">
        <v>1189</v>
      </c>
    </row>
    <row r="222" spans="4:10" ht="20.100000000000001" customHeight="1" x14ac:dyDescent="0.2">
      <c r="D222" s="20" t="s">
        <v>1007</v>
      </c>
      <c r="E222" s="20" t="s">
        <v>2348</v>
      </c>
      <c r="F222" s="20" t="s">
        <v>1995</v>
      </c>
      <c r="G222" s="20" t="s">
        <v>2346</v>
      </c>
      <c r="H222" s="20">
        <v>8.8000000000000007</v>
      </c>
      <c r="I222" s="20" t="s">
        <v>1827</v>
      </c>
      <c r="J222" s="20" t="s">
        <v>1189</v>
      </c>
    </row>
    <row r="223" spans="4:10" ht="20.100000000000001" customHeight="1" x14ac:dyDescent="0.2">
      <c r="D223" s="20" t="s">
        <v>1007</v>
      </c>
      <c r="E223" s="20" t="s">
        <v>2349</v>
      </c>
      <c r="F223" s="20" t="s">
        <v>1995</v>
      </c>
      <c r="G223" s="20" t="s">
        <v>2346</v>
      </c>
      <c r="H223" s="20">
        <v>10.3</v>
      </c>
      <c r="I223" s="20" t="s">
        <v>1827</v>
      </c>
      <c r="J223" s="20" t="s">
        <v>1189</v>
      </c>
    </row>
    <row r="224" spans="4:10" ht="20.100000000000001" customHeight="1" x14ac:dyDescent="0.2">
      <c r="D224" s="20" t="s">
        <v>1007</v>
      </c>
      <c r="E224" s="20" t="s">
        <v>2350</v>
      </c>
      <c r="F224" s="20" t="s">
        <v>1995</v>
      </c>
      <c r="G224" s="20" t="s">
        <v>2346</v>
      </c>
      <c r="H224" s="20">
        <v>4.55</v>
      </c>
      <c r="I224" s="20" t="s">
        <v>1827</v>
      </c>
      <c r="J224" s="20" t="s">
        <v>1189</v>
      </c>
    </row>
    <row r="225" spans="4:10" ht="20.100000000000001" customHeight="1" x14ac:dyDescent="0.2">
      <c r="D225" s="20" t="s">
        <v>1007</v>
      </c>
      <c r="E225" s="20" t="s">
        <v>2351</v>
      </c>
      <c r="F225" s="20" t="s">
        <v>1995</v>
      </c>
      <c r="G225" s="20" t="s">
        <v>2346</v>
      </c>
      <c r="H225" s="20">
        <v>5.6</v>
      </c>
      <c r="I225" s="20" t="s">
        <v>1827</v>
      </c>
      <c r="J225" s="20" t="s">
        <v>1189</v>
      </c>
    </row>
    <row r="226" spans="4:10" ht="20.100000000000001" customHeight="1" x14ac:dyDescent="0.2">
      <c r="D226" s="20" t="s">
        <v>1007</v>
      </c>
      <c r="E226" s="20" t="s">
        <v>2352</v>
      </c>
      <c r="F226" s="20" t="s">
        <v>1995</v>
      </c>
      <c r="G226" s="20" t="s">
        <v>2346</v>
      </c>
      <c r="H226" s="20">
        <v>8.06</v>
      </c>
      <c r="I226" s="20" t="s">
        <v>1827</v>
      </c>
      <c r="J226" s="20" t="s">
        <v>1189</v>
      </c>
    </row>
    <row r="227" spans="4:10" ht="20.100000000000001" customHeight="1" x14ac:dyDescent="0.2">
      <c r="D227" s="20" t="s">
        <v>1007</v>
      </c>
      <c r="E227" s="20" t="s">
        <v>2353</v>
      </c>
      <c r="F227" s="20" t="s">
        <v>1995</v>
      </c>
      <c r="G227" s="20" t="s">
        <v>2346</v>
      </c>
      <c r="H227" s="20">
        <v>8.8000000000000007</v>
      </c>
      <c r="I227" s="20" t="s">
        <v>1827</v>
      </c>
      <c r="J227" s="20" t="s">
        <v>1189</v>
      </c>
    </row>
    <row r="228" spans="4:10" ht="20.100000000000001" customHeight="1" x14ac:dyDescent="0.2">
      <c r="D228" s="20" t="s">
        <v>1007</v>
      </c>
      <c r="E228" s="20" t="s">
        <v>2354</v>
      </c>
      <c r="F228" s="20" t="s">
        <v>1995</v>
      </c>
      <c r="G228" s="20" t="s">
        <v>2346</v>
      </c>
      <c r="H228" s="20">
        <v>9.16</v>
      </c>
      <c r="I228" s="20" t="s">
        <v>1827</v>
      </c>
      <c r="J228" s="20" t="s">
        <v>1189</v>
      </c>
    </row>
    <row r="229" spans="4:10" ht="20.100000000000001" customHeight="1" x14ac:dyDescent="0.2">
      <c r="D229" s="20" t="s">
        <v>1007</v>
      </c>
      <c r="E229" s="20" t="s">
        <v>2355</v>
      </c>
      <c r="F229" s="20" t="s">
        <v>1995</v>
      </c>
      <c r="G229" s="20" t="s">
        <v>2346</v>
      </c>
      <c r="H229" s="20">
        <v>8.57</v>
      </c>
      <c r="I229" s="20" t="s">
        <v>1827</v>
      </c>
      <c r="J229" s="20" t="s">
        <v>1189</v>
      </c>
    </row>
    <row r="230" spans="4:10" ht="20.100000000000001" customHeight="1" x14ac:dyDescent="0.2">
      <c r="D230" s="20" t="s">
        <v>1007</v>
      </c>
      <c r="E230" s="20" t="s">
        <v>2356</v>
      </c>
      <c r="F230" s="20" t="s">
        <v>1995</v>
      </c>
      <c r="G230" s="20" t="s">
        <v>2346</v>
      </c>
      <c r="H230" s="20">
        <v>8.8000000000000007</v>
      </c>
      <c r="I230" s="20" t="s">
        <v>1827</v>
      </c>
      <c r="J230" s="20" t="s">
        <v>1189</v>
      </c>
    </row>
    <row r="231" spans="4:10" ht="20.100000000000001" customHeight="1" x14ac:dyDescent="0.2">
      <c r="D231" s="20" t="s">
        <v>1007</v>
      </c>
      <c r="E231" s="20" t="s">
        <v>2357</v>
      </c>
      <c r="F231" s="20" t="s">
        <v>1995</v>
      </c>
      <c r="G231" s="20" t="s">
        <v>2346</v>
      </c>
      <c r="H231" s="20">
        <v>6.16</v>
      </c>
      <c r="I231" s="20" t="s">
        <v>1827</v>
      </c>
      <c r="J231" s="20" t="s">
        <v>1189</v>
      </c>
    </row>
    <row r="233" spans="4:10" ht="20.100000000000001" customHeight="1" x14ac:dyDescent="0.2">
      <c r="D233" s="2" t="s">
        <v>1195</v>
      </c>
    </row>
    <row r="234" spans="4:10" ht="20.100000000000001" customHeight="1" x14ac:dyDescent="0.2">
      <c r="D234" s="20" t="s">
        <v>564</v>
      </c>
      <c r="E234" s="20" t="s">
        <v>139</v>
      </c>
      <c r="F234" s="20" t="s">
        <v>565</v>
      </c>
      <c r="G234" s="20" t="s">
        <v>566</v>
      </c>
      <c r="H234" s="20" t="s">
        <v>1188</v>
      </c>
      <c r="I234" s="20" t="s">
        <v>568</v>
      </c>
      <c r="J234" s="20" t="s">
        <v>727</v>
      </c>
    </row>
    <row r="235" spans="4:10" ht="20.100000000000001" customHeight="1" x14ac:dyDescent="0.2">
      <c r="D235" s="20" t="s">
        <v>1195</v>
      </c>
      <c r="E235" s="20" t="s">
        <v>2358</v>
      </c>
      <c r="F235" s="20" t="s">
        <v>537</v>
      </c>
      <c r="G235" s="20" t="s">
        <v>636</v>
      </c>
      <c r="H235" s="20">
        <v>6.5199999999999994E-2</v>
      </c>
      <c r="I235" s="20" t="s">
        <v>1827</v>
      </c>
      <c r="J235" s="20" t="s">
        <v>1189</v>
      </c>
    </row>
    <row r="236" spans="4:10" ht="20.100000000000001" customHeight="1" x14ac:dyDescent="0.2">
      <c r="D236" s="20" t="s">
        <v>1195</v>
      </c>
      <c r="E236" s="20" t="s">
        <v>2008</v>
      </c>
      <c r="F236" s="20" t="s">
        <v>537</v>
      </c>
      <c r="G236" s="20" t="s">
        <v>636</v>
      </c>
      <c r="H236" s="20">
        <v>6.5199999999999994E-2</v>
      </c>
      <c r="I236" s="20" t="s">
        <v>1827</v>
      </c>
      <c r="J236" s="20" t="s">
        <v>1189</v>
      </c>
    </row>
    <row r="237" spans="4:10" ht="20.100000000000001" customHeight="1" x14ac:dyDescent="0.2">
      <c r="D237" s="20" t="s">
        <v>1195</v>
      </c>
      <c r="E237" s="20" t="s">
        <v>2359</v>
      </c>
      <c r="F237" s="20" t="s">
        <v>537</v>
      </c>
      <c r="G237" s="20" t="s">
        <v>636</v>
      </c>
      <c r="H237" s="20">
        <v>4.8500000000000001E-2</v>
      </c>
      <c r="I237" s="20" t="s">
        <v>1827</v>
      </c>
      <c r="J237" s="20" t="s">
        <v>1189</v>
      </c>
    </row>
    <row r="240" spans="4:10" ht="20.100000000000001" customHeight="1" x14ac:dyDescent="0.2">
      <c r="D240" s="2" t="s">
        <v>1196</v>
      </c>
    </row>
    <row r="241" spans="4:18" ht="20.100000000000001" customHeight="1" x14ac:dyDescent="0.2">
      <c r="D241" s="20" t="s">
        <v>564</v>
      </c>
      <c r="E241" s="20" t="s">
        <v>139</v>
      </c>
      <c r="F241" s="20" t="s">
        <v>565</v>
      </c>
      <c r="G241" s="20" t="s">
        <v>566</v>
      </c>
      <c r="H241" s="20" t="s">
        <v>1188</v>
      </c>
      <c r="I241" s="20" t="s">
        <v>568</v>
      </c>
      <c r="J241" s="20" t="s">
        <v>727</v>
      </c>
      <c r="L241" s="20" t="s">
        <v>139</v>
      </c>
      <c r="M241" s="20" t="s">
        <v>489</v>
      </c>
      <c r="N241" s="1" t="str">
        <f>"Table_ProductRegions_" &amp; SUBSTITUTE(SUBSTITUTE(SUBSTITUTE(SUBSTITUTE(L242, " ", ""), ",", ""), "(", ""), ")", "")</f>
        <v>Table_ProductRegions_Sardineswhole</v>
      </c>
      <c r="R241" s="1"/>
    </row>
    <row r="242" spans="4:18" ht="20.100000000000001" customHeight="1" x14ac:dyDescent="0.2">
      <c r="D242" s="20" t="s">
        <v>2360</v>
      </c>
      <c r="E242" s="20" t="s">
        <v>2361</v>
      </c>
      <c r="F242" s="20" t="s">
        <v>521</v>
      </c>
      <c r="G242" s="20" t="s">
        <v>636</v>
      </c>
      <c r="H242" s="20">
        <v>0.376</v>
      </c>
      <c r="I242" s="20" t="s">
        <v>1827</v>
      </c>
      <c r="J242" s="20" t="s">
        <v>1189</v>
      </c>
      <c r="L242" s="20" t="str">
        <f>Table_SourceData_Scope3_FishFeedAndBait[[#This Row],[Product]]</f>
        <v>Sardines (whole)</v>
      </c>
      <c r="M242" s="20" t="str">
        <f>Table_SourceData_Scope3_FishFeedAndBait[[#This Row],[Region of origin]]</f>
        <v>SA</v>
      </c>
      <c r="R242" s="1"/>
    </row>
    <row r="243" spans="4:18" ht="20.100000000000001" customHeight="1" x14ac:dyDescent="0.2">
      <c r="D243" s="20" t="s">
        <v>1196</v>
      </c>
      <c r="E243" s="20" t="s">
        <v>2361</v>
      </c>
      <c r="F243" s="20" t="s">
        <v>537</v>
      </c>
      <c r="G243" s="20" t="s">
        <v>636</v>
      </c>
      <c r="H243" s="20">
        <v>0.3</v>
      </c>
      <c r="I243" s="20" t="s">
        <v>2362</v>
      </c>
      <c r="J243" s="20" t="s">
        <v>1197</v>
      </c>
      <c r="L243" s="1" t="str">
        <f>Table_SourceData_Scope3_FishFeedAndBait[[#This Row],[Product]]</f>
        <v>Sardines (whole)</v>
      </c>
      <c r="M243" s="1" t="str">
        <f>Table_SourceData_Scope3_FishFeedAndBait[[#This Row],[Region of origin]]</f>
        <v>Australia</v>
      </c>
      <c r="R243" s="1"/>
    </row>
    <row r="244" spans="4:18" ht="20.100000000000001" customHeight="1" x14ac:dyDescent="0.2">
      <c r="D244" s="20" t="s">
        <v>1196</v>
      </c>
      <c r="E244" s="20" t="s">
        <v>2363</v>
      </c>
      <c r="F244" s="20" t="s">
        <v>537</v>
      </c>
      <c r="G244" s="20" t="s">
        <v>636</v>
      </c>
      <c r="H244" s="20">
        <v>2.2000000000000002</v>
      </c>
      <c r="I244" s="20" t="s">
        <v>2362</v>
      </c>
      <c r="J244" s="20" t="s">
        <v>1197</v>
      </c>
      <c r="R244" s="1"/>
    </row>
    <row r="245" spans="4:18" ht="20.100000000000001" customHeight="1" x14ac:dyDescent="0.2">
      <c r="D245" s="20" t="s">
        <v>1196</v>
      </c>
      <c r="E245" s="20" t="s">
        <v>2364</v>
      </c>
      <c r="F245" s="20" t="s">
        <v>537</v>
      </c>
      <c r="G245" s="20" t="s">
        <v>636</v>
      </c>
      <c r="H245" s="20">
        <v>0.3</v>
      </c>
      <c r="I245" s="20" t="s">
        <v>2362</v>
      </c>
      <c r="J245" s="20" t="s">
        <v>1197</v>
      </c>
      <c r="R245" s="1"/>
    </row>
    <row r="246" spans="4:18" ht="20.100000000000001" customHeight="1" x14ac:dyDescent="0.2">
      <c r="D246" s="20" t="s">
        <v>1196</v>
      </c>
      <c r="E246" s="20" t="s">
        <v>2365</v>
      </c>
      <c r="F246" s="20" t="s">
        <v>537</v>
      </c>
      <c r="G246" s="20" t="s">
        <v>636</v>
      </c>
      <c r="H246" s="20">
        <v>0.3</v>
      </c>
      <c r="I246" s="20" t="s">
        <v>2362</v>
      </c>
      <c r="J246" s="20" t="s">
        <v>1197</v>
      </c>
      <c r="R246" s="1"/>
    </row>
    <row r="247" spans="4:18" ht="20.100000000000001" customHeight="1" x14ac:dyDescent="0.2">
      <c r="D247" s="20" t="s">
        <v>1196</v>
      </c>
      <c r="E247" s="20" t="s">
        <v>2366</v>
      </c>
      <c r="F247" s="20" t="s">
        <v>537</v>
      </c>
      <c r="G247" s="20" t="s">
        <v>636</v>
      </c>
      <c r="H247" s="20">
        <v>0.08</v>
      </c>
      <c r="I247" s="20" t="s">
        <v>2362</v>
      </c>
      <c r="J247" s="20" t="s">
        <v>1197</v>
      </c>
    </row>
  </sheetData>
  <pageMargins left="0.7" right="0.7" top="0.75" bottom="0.75" header="0.3" footer="0.3"/>
  <tableParts count="31">
    <tablePart r:id="rId1"/>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 r:id="rId19"/>
    <tablePart r:id="rId20"/>
    <tablePart r:id="rId21"/>
    <tablePart r:id="rId22"/>
    <tablePart r:id="rId23"/>
    <tablePart r:id="rId24"/>
    <tablePart r:id="rId25"/>
    <tablePart r:id="rId26"/>
    <tablePart r:id="rId27"/>
    <tablePart r:id="rId28"/>
    <tablePart r:id="rId29"/>
    <tablePart r:id="rId30"/>
    <tablePart r:id="rId31"/>
  </tableParts>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10626C-E885-4A0F-A809-BF6A8E32D9DC}">
  <sheetPr>
    <tabColor theme="2" tint="-0.499984740745262"/>
  </sheetPr>
  <dimension ref="A1:AI68"/>
  <sheetViews>
    <sheetView showGridLines="0" zoomScaleNormal="100" workbookViewId="0">
      <pane xSplit="1" topLeftCell="B1" activePane="topRight" state="frozen"/>
      <selection pane="topRight" activeCell="A59" sqref="A59"/>
    </sheetView>
  </sheetViews>
  <sheetFormatPr defaultRowHeight="20.100000000000001" customHeight="1" x14ac:dyDescent="0.2"/>
  <cols>
    <col min="1" max="1" width="36.7109375" customWidth="1"/>
    <col min="2" max="2" width="4.7109375" customWidth="1"/>
    <col min="3" max="3" width="4.7109375" style="1" customWidth="1"/>
    <col min="4" max="4" width="39.140625" style="1" customWidth="1"/>
    <col min="5" max="5" width="30.7109375" style="1" customWidth="1"/>
    <col min="6" max="6" width="29.5703125" style="1" customWidth="1"/>
    <col min="7" max="8" width="43.42578125" style="1" customWidth="1"/>
    <col min="9" max="9" width="43.5703125" style="1" customWidth="1"/>
    <col min="10" max="10" width="37.5703125" style="1" customWidth="1"/>
    <col min="11" max="11" width="33.5703125" style="1" customWidth="1"/>
    <col min="12" max="31" width="20.7109375" style="1" customWidth="1"/>
    <col min="32" max="32" width="4.7109375" style="1" customWidth="1"/>
  </cols>
  <sheetData>
    <row r="1" spans="1:35" s="21" customFormat="1" ht="30" customHeight="1" x14ac:dyDescent="0.35">
      <c r="A1" s="10" t="e" vm="1">
        <v>#VALUE!</v>
      </c>
      <c r="C1" s="21" t="s">
        <v>920</v>
      </c>
      <c r="AG1"/>
      <c r="AH1"/>
      <c r="AI1"/>
    </row>
    <row r="2" spans="1:35" s="3" customFormat="1" ht="20.100000000000001" customHeight="1" x14ac:dyDescent="0.2">
      <c r="A2"/>
      <c r="AG2"/>
      <c r="AH2"/>
      <c r="AI2"/>
    </row>
    <row r="3" spans="1:35" ht="20.100000000000001" customHeight="1" x14ac:dyDescent="0.2">
      <c r="A3" s="5" t="str">
        <f>HYPERLINK("#'Home'!A1", "Home")</f>
        <v>Home</v>
      </c>
      <c r="C3" s="23"/>
      <c r="D3" s="23"/>
      <c r="E3" s="23"/>
      <c r="F3" s="23"/>
      <c r="G3" s="23"/>
      <c r="H3" s="23"/>
      <c r="I3" s="23"/>
      <c r="J3" s="23"/>
      <c r="K3" s="23"/>
      <c r="L3" s="23"/>
      <c r="M3" s="23"/>
      <c r="N3" s="23"/>
      <c r="O3" s="23"/>
      <c r="P3" s="23"/>
      <c r="Q3" s="23"/>
      <c r="R3" s="23"/>
      <c r="S3" s="23"/>
      <c r="T3" s="23"/>
      <c r="U3" s="23"/>
      <c r="V3" s="23"/>
      <c r="W3" s="23"/>
      <c r="X3" s="23"/>
      <c r="Y3" s="23"/>
      <c r="Z3" s="23"/>
      <c r="AA3" s="23"/>
      <c r="AB3" s="23"/>
      <c r="AC3" s="23"/>
      <c r="AD3" s="23"/>
      <c r="AE3" s="23"/>
      <c r="AF3" s="23"/>
    </row>
    <row r="4" spans="1:35" ht="20.100000000000001" customHeight="1" x14ac:dyDescent="0.2">
      <c r="A4" s="5" t="str">
        <f>HYPERLINK("#'Results - Activity period'!A1", "Results - Activity period")</f>
        <v>Results - Activity period</v>
      </c>
    </row>
    <row r="5" spans="1:35" ht="20.100000000000001" customHeight="1" x14ac:dyDescent="0.2">
      <c r="A5" s="5" t="str">
        <f>HYPERLINK("#'Results - Product EI'!A1", "Results - Product Emissions Intensity")</f>
        <v>Results - Product Emissions Intensity</v>
      </c>
      <c r="D5" s="2" t="s">
        <v>2367</v>
      </c>
    </row>
    <row r="6" spans="1:35" ht="20.100000000000001" customHeight="1" x14ac:dyDescent="0.2">
      <c r="D6" s="17" t="s">
        <v>2368</v>
      </c>
    </row>
    <row r="7" spans="1:35" ht="20.100000000000001" customHeight="1" x14ac:dyDescent="0.2">
      <c r="D7" s="26" t="s">
        <v>2369</v>
      </c>
    </row>
    <row r="8" spans="1:35" ht="20.100000000000001" customHeight="1" x14ac:dyDescent="0.2">
      <c r="A8" s="7" t="s">
        <v>0</v>
      </c>
      <c r="D8" s="26" t="s">
        <v>2370</v>
      </c>
    </row>
    <row r="9" spans="1:35" ht="20.100000000000001" customHeight="1" x14ac:dyDescent="0.2">
      <c r="A9" s="5" t="str">
        <f>HYPERLINK("#'Input - Enterprise'!A1", "Enterprise")</f>
        <v>Enterprise</v>
      </c>
      <c r="D9" s="26" t="s">
        <v>2371</v>
      </c>
    </row>
    <row r="10" spans="1:35" ht="20.100000000000001" customHeight="1" x14ac:dyDescent="0.2">
      <c r="A10" s="5" t="str">
        <f>HYPERLINK("#'Input - Site'!A1", "Site")</f>
        <v>Site</v>
      </c>
      <c r="D10" s="26" t="s">
        <v>2372</v>
      </c>
    </row>
    <row r="11" spans="1:35" ht="20.100000000000001" customHeight="1" x14ac:dyDescent="0.2">
      <c r="A11" s="5" t="str">
        <f>HYPERLINK("#'Input - Pasture Beef'!A1", "Pasture Beef")</f>
        <v>Pasture Beef</v>
      </c>
      <c r="D11" s="26" t="s">
        <v>2373</v>
      </c>
    </row>
    <row r="12" spans="1:35" ht="20.100000000000001" customHeight="1" x14ac:dyDescent="0.2">
      <c r="A12" s="5" t="str">
        <f>HYPERLINK("#'Input - Livestock sales'!A1", "Livestock sales")</f>
        <v>Livestock sales</v>
      </c>
      <c r="D12" s="26" t="s">
        <v>2374</v>
      </c>
    </row>
    <row r="13" spans="1:35" ht="20.100000000000001" customHeight="1" x14ac:dyDescent="0.2">
      <c r="A13" s="5" t="str">
        <f>HYPERLINK("#'Input - Beef cattle purchases'!A1", "Beef cattle purchases")</f>
        <v>Beef cattle purchases</v>
      </c>
      <c r="D13" s="26" t="s">
        <v>2375</v>
      </c>
    </row>
    <row r="14" spans="1:35" ht="20.100000000000001" customHeight="1" x14ac:dyDescent="0.2">
      <c r="A14" s="5" t="str">
        <f>HYPERLINK("#'Input - Pasture'!A1", "Pasture")</f>
        <v>Pasture</v>
      </c>
      <c r="D14" s="1" t="s">
        <v>927</v>
      </c>
    </row>
    <row r="15" spans="1:35" ht="20.100000000000001" customHeight="1" x14ac:dyDescent="0.2">
      <c r="A15" s="5" t="str">
        <f>HYPERLINK("#'Input - Fert Prod System'!A1", "Fert Prod System")</f>
        <v>Fert Prod System</v>
      </c>
      <c r="D15" s="9" t="s">
        <v>2376</v>
      </c>
      <c r="I15" s="1" t="s">
        <v>921</v>
      </c>
      <c r="K15" s="1" t="s">
        <v>922</v>
      </c>
      <c r="M15" s="1" t="s">
        <v>923</v>
      </c>
      <c r="O15" s="1" t="s">
        <v>924</v>
      </c>
    </row>
    <row r="16" spans="1:35" ht="20.100000000000001" customHeight="1" x14ac:dyDescent="0.2">
      <c r="A16" s="5" t="str">
        <f>HYPERLINK("#'Input - Fertiliser'!A1", "Fertiliser")</f>
        <v>Fertiliser</v>
      </c>
      <c r="D16" s="20" t="s">
        <v>925</v>
      </c>
      <c r="E16" s="20" t="s">
        <v>926</v>
      </c>
      <c r="F16" s="20" t="s">
        <v>927</v>
      </c>
      <c r="G16" s="20" t="s">
        <v>928</v>
      </c>
      <c r="I16" s="20" t="s">
        <v>926</v>
      </c>
      <c r="K16" s="230" t="s">
        <v>926</v>
      </c>
      <c r="M16" s="230" t="s">
        <v>926</v>
      </c>
      <c r="O16" s="230" t="s">
        <v>926</v>
      </c>
    </row>
    <row r="17" spans="1:15" ht="20.100000000000001" customHeight="1" x14ac:dyDescent="0.2">
      <c r="A17" s="5" t="str">
        <f>HYPERLINK("#'Input - Fuel'!A1", "Fuel")</f>
        <v>Fuel</v>
      </c>
      <c r="D17" s="20" t="s">
        <v>2377</v>
      </c>
      <c r="E17" s="20" t="s">
        <v>2378</v>
      </c>
      <c r="F17" s="20">
        <v>2.1</v>
      </c>
      <c r="G17" s="20" t="s">
        <v>2379</v>
      </c>
      <c r="I17" s="20" t="str">
        <f>Table_SourceData_WasteSolid_WasteTreatmentEFs[[#This Row],[Waste type w]]</f>
        <v>Food waste (including animal carcasses, spoiled animal feed or crop)</v>
      </c>
      <c r="K17" s="1" t="str">
        <f t="shared" ref="K17:K26" si="0">E29</f>
        <v>Food waste (including animal carcasses, spoiled animal feed or crop)</v>
      </c>
      <c r="M17" s="1" t="str">
        <f>E40</f>
        <v>Food waste (including animal carcasses, spoiled animal feed or crop)</v>
      </c>
      <c r="O17" s="1" t="str">
        <f>E46</f>
        <v>Food waste (including animal carcasses, spoiled animal feed or crop)</v>
      </c>
    </row>
    <row r="18" spans="1:15" ht="20.100000000000001" customHeight="1" x14ac:dyDescent="0.2">
      <c r="A18" s="5" t="str">
        <f>HYPERLINK("#'Input - Electricity'!A1", "Electricity")</f>
        <v>Electricity</v>
      </c>
      <c r="D18" s="1" t="s">
        <v>2377</v>
      </c>
      <c r="E18" s="20" t="s">
        <v>2380</v>
      </c>
      <c r="F18" s="20">
        <v>3.3</v>
      </c>
      <c r="G18" s="20" t="s">
        <v>2379</v>
      </c>
      <c r="I18" s="20" t="str">
        <f>Table_SourceData_WasteSolid_WasteTreatmentEFs[[#This Row],[Waste type w]]</f>
        <v>Paper and cardboard</v>
      </c>
      <c r="K18" s="1" t="str">
        <f t="shared" si="0"/>
        <v>Green waste (including crop residues or prunings)</v>
      </c>
      <c r="M18" s="1" t="str">
        <f>E41</f>
        <v>Green waste (including crop residues or prunings)</v>
      </c>
      <c r="O18" s="1" t="str">
        <f>E47</f>
        <v>Green waste (including crop residues or prunings)</v>
      </c>
    </row>
    <row r="19" spans="1:15" ht="20.100000000000001" customHeight="1" x14ac:dyDescent="0.2">
      <c r="A19" s="5" t="str">
        <f>HYPERLINK("#'Input - Common farm inputs'!A1", "Common farm inputs")</f>
        <v>Common farm inputs</v>
      </c>
      <c r="D19" s="1" t="s">
        <v>2377</v>
      </c>
      <c r="E19" s="20" t="s">
        <v>2381</v>
      </c>
      <c r="F19" s="20">
        <v>1.6</v>
      </c>
      <c r="G19" s="20" t="s">
        <v>2379</v>
      </c>
      <c r="I19" s="20" t="str">
        <f>Table_SourceData_WasteSolid_WasteTreatmentEFs[[#This Row],[Waste type w]]</f>
        <v>Green waste (including crop residues or prunings)</v>
      </c>
      <c r="K19" s="1" t="str">
        <f t="shared" si="0"/>
        <v>Wood</v>
      </c>
      <c r="M19" s="1" t="str">
        <f>E42</f>
        <v>Wood</v>
      </c>
      <c r="O19" s="1" t="str">
        <f>E48</f>
        <v>Wood</v>
      </c>
    </row>
    <row r="20" spans="1:15" ht="20.100000000000001" customHeight="1" x14ac:dyDescent="0.2">
      <c r="A20" s="5" t="str">
        <f>HYPERLINK("#'Input - Crop pasture farm input'!A1", "Crop pasture farm input")</f>
        <v>Crop pasture farm input</v>
      </c>
      <c r="D20" s="1" t="s">
        <v>2377</v>
      </c>
      <c r="E20" s="20" t="s">
        <v>2382</v>
      </c>
      <c r="F20" s="20">
        <v>0.7</v>
      </c>
      <c r="G20" s="20" t="s">
        <v>2379</v>
      </c>
      <c r="I20" s="20" t="str">
        <f>Table_SourceData_WasteSolid_WasteTreatmentEFs[[#This Row],[Waste type w]]</f>
        <v>Wood</v>
      </c>
      <c r="K20" s="1" t="str">
        <f t="shared" si="0"/>
        <v>Sludge</v>
      </c>
      <c r="M20" s="1" t="str">
        <f>E43</f>
        <v>Sludge</v>
      </c>
      <c r="O20" s="1" t="str">
        <f>E49</f>
        <v>Sludge</v>
      </c>
    </row>
    <row r="21" spans="1:15" ht="20.100000000000001" customHeight="1" x14ac:dyDescent="0.2">
      <c r="A21" s="5" t="str">
        <f>HYPERLINK("#'Input - Livestock farm Inputs'!A1", "Livestock farm Inputs")</f>
        <v>Livestock farm Inputs</v>
      </c>
      <c r="D21" s="1" t="s">
        <v>2377</v>
      </c>
      <c r="E21" s="20" t="s">
        <v>2383</v>
      </c>
      <c r="F21" s="20">
        <v>2</v>
      </c>
      <c r="G21" s="20" t="s">
        <v>2379</v>
      </c>
      <c r="I21" s="20" t="str">
        <f>Table_SourceData_WasteSolid_WasteTreatmentEFs[[#This Row],[Waste type w]]</f>
        <v>Textiles</v>
      </c>
      <c r="K21" s="1" t="str">
        <f t="shared" si="0"/>
        <v>Paper and cardboard</v>
      </c>
      <c r="M21" s="1" t="str">
        <f>E44</f>
        <v>Paper and cardboard</v>
      </c>
      <c r="O21" s="1" t="str">
        <f>E50</f>
        <v>Paper and cardboard</v>
      </c>
    </row>
    <row r="22" spans="1:15" ht="20.100000000000001" customHeight="1" x14ac:dyDescent="0.2">
      <c r="A22" s="5" t="str">
        <f>HYPERLINK("#'Input - Freight'!A1", "Freight")</f>
        <v>Freight</v>
      </c>
      <c r="D22" s="1" t="s">
        <v>2377</v>
      </c>
      <c r="E22" s="20" t="s">
        <v>2384</v>
      </c>
      <c r="F22" s="20">
        <v>0.4</v>
      </c>
      <c r="G22" s="20" t="s">
        <v>2379</v>
      </c>
      <c r="I22" s="20" t="str">
        <f>Table_SourceData_WasteSolid_WasteTreatmentEFs[[#This Row],[Waste type w]]</f>
        <v>Sludge</v>
      </c>
      <c r="K22" s="1" t="str">
        <f t="shared" si="0"/>
        <v>Textiles</v>
      </c>
    </row>
    <row r="23" spans="1:15" ht="20.100000000000001" customHeight="1" x14ac:dyDescent="0.2">
      <c r="A23" s="5" t="str">
        <f>HYPERLINK("#'Input - Solid waste'!A1", "Solid waste")</f>
        <v>Solid waste</v>
      </c>
      <c r="D23" s="1" t="s">
        <v>2377</v>
      </c>
      <c r="E23" s="20" t="s">
        <v>2385</v>
      </c>
      <c r="F23" s="20">
        <v>3.3</v>
      </c>
      <c r="G23" s="20" t="s">
        <v>2379</v>
      </c>
      <c r="I23" s="20" t="str">
        <f>Table_SourceData_WasteSolid_WasteTreatmentEFs[[#This Row],[Waste type w]]</f>
        <v>Rubber and leather</v>
      </c>
      <c r="K23" s="1" t="str">
        <f t="shared" si="0"/>
        <v>Rubber and leather</v>
      </c>
    </row>
    <row r="24" spans="1:15" ht="20.100000000000001" customHeight="1" x14ac:dyDescent="0.2">
      <c r="A24" s="5" t="str">
        <f>HYPERLINK("#'Input - Manure sent off-site'!A1", "Manure sent off-site")</f>
        <v>Manure sent off-site</v>
      </c>
      <c r="D24" s="1" t="s">
        <v>2377</v>
      </c>
      <c r="E24" s="20" t="s">
        <v>2386</v>
      </c>
      <c r="F24" s="20">
        <v>0</v>
      </c>
      <c r="G24" s="20" t="s">
        <v>2379</v>
      </c>
      <c r="I24" s="20" t="str">
        <f>Table_SourceData_WasteSolid_WasteTreatmentEFs[[#This Row],[Waste type w]]</f>
        <v>Inert waste (including concrete, metal, plastic or glass)</v>
      </c>
      <c r="K24" s="1" t="str">
        <f t="shared" si="0"/>
        <v>Inert waste (including concrete, metal, plastic or glass)</v>
      </c>
    </row>
    <row r="25" spans="1:15" ht="20.100000000000001" customHeight="1" x14ac:dyDescent="0.2">
      <c r="A25" s="5" t="str">
        <f>HYPERLINK("#'Input - Data quality'!A1", "Data quality")</f>
        <v>Data quality</v>
      </c>
      <c r="D25" s="1" t="s">
        <v>2377</v>
      </c>
      <c r="E25" s="20" t="s">
        <v>2387</v>
      </c>
      <c r="F25" s="20">
        <v>1.6</v>
      </c>
      <c r="G25" s="20" t="s">
        <v>2379</v>
      </c>
      <c r="I25" s="20" t="str">
        <f>Table_SourceData_WasteSolid_WasteTreatmentEFs[[#This Row],[Waste type w]]</f>
        <v>Municipal solid waste</v>
      </c>
      <c r="K25" s="1" t="str">
        <f t="shared" si="0"/>
        <v>Municipal solid waste</v>
      </c>
    </row>
    <row r="26" spans="1:15" ht="20.100000000000001" customHeight="1" x14ac:dyDescent="0.2">
      <c r="D26" s="1" t="s">
        <v>2377</v>
      </c>
      <c r="E26" s="20" t="s">
        <v>2388</v>
      </c>
      <c r="F26" s="20">
        <v>1.3</v>
      </c>
      <c r="G26" s="20" t="s">
        <v>2379</v>
      </c>
      <c r="I26" s="20" t="str">
        <f>Table_SourceData_WasteSolid_WasteTreatmentEFs[[#This Row],[Waste type w]]</f>
        <v>Commercial and industrial waste</v>
      </c>
      <c r="K26" s="1" t="str">
        <f t="shared" si="0"/>
        <v>Commercial and industrial waste</v>
      </c>
    </row>
    <row r="27" spans="1:15" ht="20.100000000000001" customHeight="1" x14ac:dyDescent="0.2">
      <c r="D27" s="1" t="s">
        <v>2377</v>
      </c>
      <c r="E27" s="20" t="s">
        <v>2389</v>
      </c>
      <c r="F27" s="20">
        <v>0.2</v>
      </c>
      <c r="G27" s="20" t="s">
        <v>2379</v>
      </c>
      <c r="I27" s="20" t="str">
        <f>Table_SourceData_WasteSolid_WasteTreatmentEFs[[#This Row],[Waste type w]]</f>
        <v>Construction and demolition waste</v>
      </c>
    </row>
    <row r="28" spans="1:15" ht="20.100000000000001" customHeight="1" x14ac:dyDescent="0.2">
      <c r="A28" s="6" t="s">
        <v>2</v>
      </c>
      <c r="D28" s="1" t="s">
        <v>2390</v>
      </c>
      <c r="E28" s="20" t="s">
        <v>2391</v>
      </c>
      <c r="F28" s="20">
        <v>0</v>
      </c>
      <c r="G28" s="20"/>
    </row>
    <row r="29" spans="1:15" ht="20.100000000000001" customHeight="1" x14ac:dyDescent="0.2">
      <c r="A29" s="5" t="str">
        <f>HYPERLINK("#'3.2.1.1-2 Enteric Methane'!A1", "3.2.1.1-2 Enteric Methane")</f>
        <v>3.2.1.1-2 Enteric Methane</v>
      </c>
      <c r="D29" s="1" t="s">
        <v>2390</v>
      </c>
      <c r="E29" s="20" t="s">
        <v>2378</v>
      </c>
      <c r="F29" s="20">
        <v>0</v>
      </c>
      <c r="G29" s="20"/>
    </row>
    <row r="30" spans="1:15" ht="20.100000000000001" customHeight="1" x14ac:dyDescent="0.2">
      <c r="A30" s="5" t="str">
        <f>HYPERLINK("#'4.2.1.1-2 Methane'!A1", "4.2.1.1-2 Manure methane")</f>
        <v>4.2.1.1-2 Manure methane</v>
      </c>
      <c r="D30" s="1" t="s">
        <v>2390</v>
      </c>
      <c r="E30" s="20" t="s">
        <v>2381</v>
      </c>
      <c r="F30" s="20">
        <v>0</v>
      </c>
      <c r="G30" s="20"/>
    </row>
    <row r="31" spans="1:15" ht="20.100000000000001" customHeight="1" x14ac:dyDescent="0.2">
      <c r="A31" s="5" t="str">
        <f>HYPERLINK("#'4.2.1.3-4 Soil direct N20'!A1", "4.2.1.3-4 Soil direct N2O")</f>
        <v>4.2.1.3-4 Soil direct N2O</v>
      </c>
      <c r="D31" s="1" t="s">
        <v>2390</v>
      </c>
      <c r="E31" s="20" t="s">
        <v>2382</v>
      </c>
      <c r="F31" s="20">
        <v>0</v>
      </c>
      <c r="G31" s="20"/>
    </row>
    <row r="32" spans="1:15" ht="20.100000000000001" customHeight="1" x14ac:dyDescent="0.2">
      <c r="A32" s="5" t="str">
        <f>HYPERLINK("#'4.2.1.5-6 Soil Atmos Dep'!A1", "4.2.1.5-6 Soil atm. deposition")</f>
        <v>4.2.1.5-6 Soil atm. deposition</v>
      </c>
      <c r="D32" s="1" t="s">
        <v>2390</v>
      </c>
      <c r="E32" s="20" t="s">
        <v>2384</v>
      </c>
      <c r="F32" s="20">
        <v>0</v>
      </c>
      <c r="G32" s="20"/>
    </row>
    <row r="33" spans="1:7" ht="20.100000000000001" customHeight="1" x14ac:dyDescent="0.2">
      <c r="A33" s="5" t="str">
        <f>HYPERLINK("#'4.2.1.7-8 Soil leach runoff'!A1", "4.2.1.7-8 Soil leach &amp; runoff")</f>
        <v>4.2.1.7-8 Soil leach &amp; runoff</v>
      </c>
      <c r="D33" s="1" t="s">
        <v>2390</v>
      </c>
      <c r="E33" s="20" t="s">
        <v>2380</v>
      </c>
      <c r="F33" s="20">
        <v>1.6899999999999998E-2</v>
      </c>
      <c r="G33" s="20"/>
    </row>
    <row r="34" spans="1:7" ht="20.100000000000001" customHeight="1" x14ac:dyDescent="0.2">
      <c r="A34" s="5" t="str">
        <f>HYPERLINK("#'5.1.1.1-2 Inorganic fert N2O'!A1", "5.1.1.1-2 Inorganic fert N2O")</f>
        <v>5.1.1.1-2 Inorganic fert N2O</v>
      </c>
      <c r="D34" s="1" t="s">
        <v>2390</v>
      </c>
      <c r="E34" s="20" t="s">
        <v>2383</v>
      </c>
      <c r="F34" s="20">
        <v>0.36670000000000003</v>
      </c>
      <c r="G34" s="20"/>
    </row>
    <row r="35" spans="1:7" ht="20.100000000000001" customHeight="1" x14ac:dyDescent="0.2">
      <c r="A35" s="5" t="str">
        <f>HYPERLINK("#'5.1.1.3-4 Inorganic fert CO2'!A1", "5.1.1.3-4 Inorganic fert CO2")</f>
        <v>5.1.1.3-4 Inorganic fert CO2</v>
      </c>
      <c r="D35" s="1" t="s">
        <v>2390</v>
      </c>
      <c r="E35" s="20" t="s">
        <v>2385</v>
      </c>
      <c r="F35" s="20">
        <v>0.4919</v>
      </c>
      <c r="G35" s="20"/>
    </row>
    <row r="36" spans="1:7" ht="20.100000000000001" customHeight="1" x14ac:dyDescent="0.2">
      <c r="A36" s="5" t="str">
        <f>HYPERLINK("#'5.2.1.1-2 Organic Fert N2O'!A1", "5.2.1.1-2 Organic fert N2O")</f>
        <v>5.2.1.1-2 Organic fert N2O</v>
      </c>
      <c r="D36" s="1" t="s">
        <v>2390</v>
      </c>
      <c r="E36" s="20" t="s">
        <v>2386</v>
      </c>
      <c r="F36" s="20">
        <v>0.11</v>
      </c>
      <c r="G36" s="20"/>
    </row>
    <row r="37" spans="1:7" ht="20.100000000000001" customHeight="1" x14ac:dyDescent="0.2">
      <c r="A37" s="5" t="str">
        <f>HYPERLINK("#'5.3.1.1-2 Lime CO2'!A1", "5.3.1.1-2 Lime CO2")</f>
        <v>5.3.1.1-2 Lime CO2</v>
      </c>
      <c r="D37" s="1" t="s">
        <v>2390</v>
      </c>
      <c r="E37" s="20" t="s">
        <v>2387</v>
      </c>
      <c r="F37" s="20">
        <v>5.3699999999999998E-2</v>
      </c>
      <c r="G37" s="231" t="s">
        <v>2392</v>
      </c>
    </row>
    <row r="38" spans="1:7" ht="20.100000000000001" customHeight="1" x14ac:dyDescent="0.2">
      <c r="A38" s="5" t="str">
        <f>HYPERLINK("#'5.4.1.1-4 Atmos deposition'!A1", "5.4.1.1-4 Atmos. deposition")</f>
        <v>5.4.1.1-4 Atmos. deposition</v>
      </c>
      <c r="D38" s="1" t="s">
        <v>2390</v>
      </c>
      <c r="E38" s="20" t="s">
        <v>2388</v>
      </c>
      <c r="F38" s="20">
        <v>1.649</v>
      </c>
      <c r="G38" s="231" t="s">
        <v>2392</v>
      </c>
    </row>
    <row r="39" spans="1:7" ht="20.100000000000001" customHeight="1" x14ac:dyDescent="0.2">
      <c r="A39" s="5" t="str">
        <f>HYPERLINK("#'5.5.1.1-2 Leaching and runoff'!A1", "5.5.1.1-2 Leaching &amp; runoff")</f>
        <v>5.5.1.1-2 Leaching &amp; runoff</v>
      </c>
      <c r="D39" s="1" t="s">
        <v>2393</v>
      </c>
      <c r="E39" s="20" t="s">
        <v>2394</v>
      </c>
      <c r="F39" s="20">
        <v>4.5999999999999999E-2</v>
      </c>
      <c r="G39" s="231" t="s">
        <v>2395</v>
      </c>
    </row>
    <row r="40" spans="1:7" ht="20.100000000000001" customHeight="1" x14ac:dyDescent="0.2">
      <c r="A40" s="5" t="str">
        <f>HYPERLINK("#'6.2.1.1-2 Pasture residue N2O'!A1", "6.2.1.1-2 Pasture residue N2O")</f>
        <v>6.2.1.1-2 Pasture residue N2O</v>
      </c>
      <c r="D40" s="1" t="s">
        <v>2393</v>
      </c>
      <c r="E40" s="20" t="s">
        <v>2378</v>
      </c>
      <c r="F40" s="20">
        <v>4.5999999999999999E-2</v>
      </c>
      <c r="G40" s="231"/>
    </row>
    <row r="41" spans="1:7" ht="20.100000000000001" customHeight="1" x14ac:dyDescent="0.2">
      <c r="A41" s="5" t="str">
        <f>HYPERLINK("#'6.3.1.1-2 Leach runoff pasture'!A1", "6.3.1.1-2 Leach &amp; runoff (pasture)")</f>
        <v>6.3.1.1-2 Leach &amp; runoff (pasture)</v>
      </c>
      <c r="D41" s="1" t="s">
        <v>2393</v>
      </c>
      <c r="E41" s="20" t="s">
        <v>2381</v>
      </c>
      <c r="F41" s="20">
        <v>4.5999999999999999E-2</v>
      </c>
      <c r="G41" s="231"/>
    </row>
    <row r="42" spans="1:7" ht="20.100000000000001" customHeight="1" x14ac:dyDescent="0.2">
      <c r="A42" s="5" t="str">
        <f>HYPERLINK("#'8.1.1.1-2 Transport fuel'!A1", "8.1.1.1-2 Transport fuel")</f>
        <v>8.1.1.1-2 Transport fuel</v>
      </c>
      <c r="D42" s="1" t="s">
        <v>2393</v>
      </c>
      <c r="E42" s="20" t="s">
        <v>2382</v>
      </c>
      <c r="F42" s="20">
        <v>4.5999999999999999E-2</v>
      </c>
      <c r="G42" s="231"/>
    </row>
    <row r="43" spans="1:7" ht="20.100000000000001" customHeight="1" x14ac:dyDescent="0.2">
      <c r="A43" s="5" t="str">
        <f>HYPERLINK("#'8.2.1.1-2 Stationary fuel'!A1", "8.2.1.1-2 Stationary fuel")</f>
        <v>8.2.1.1-2 Stationary fuel</v>
      </c>
      <c r="D43" s="1" t="s">
        <v>2393</v>
      </c>
      <c r="E43" s="20" t="s">
        <v>2384</v>
      </c>
      <c r="F43" s="20">
        <v>4.5999999999999999E-2</v>
      </c>
      <c r="G43" s="231"/>
    </row>
    <row r="44" spans="1:7" ht="20.100000000000001" customHeight="1" x14ac:dyDescent="0.2">
      <c r="A44" s="5" t="str">
        <f>HYPERLINK("#'10.1.1-2 Solid waste treatment'!A1", "10.1.1.1-2 Solid waste")</f>
        <v>10.1.1.1-2 Solid waste</v>
      </c>
      <c r="D44" s="1" t="s">
        <v>2393</v>
      </c>
      <c r="E44" s="20" t="s">
        <v>2380</v>
      </c>
      <c r="F44" s="20">
        <v>4.5999999999999999E-2</v>
      </c>
      <c r="G44" s="231"/>
    </row>
    <row r="45" spans="1:7" ht="20.100000000000001" customHeight="1" x14ac:dyDescent="0.2">
      <c r="A45" s="5" t="str">
        <f>HYPERLINK("#'14.1.1-2 Purchased electricity'!A1", "14.1.1-2 Purchased electricity")</f>
        <v>14.1.1-2 Purchased electricity</v>
      </c>
      <c r="D45" s="1" t="s">
        <v>2396</v>
      </c>
      <c r="E45" s="20" t="s">
        <v>2394</v>
      </c>
      <c r="F45" s="20">
        <v>2.8000000000000001E-2</v>
      </c>
      <c r="G45" s="231" t="s">
        <v>2395</v>
      </c>
    </row>
    <row r="46" spans="1:7" ht="20.100000000000001" customHeight="1" x14ac:dyDescent="0.2">
      <c r="A46" s="5" t="str">
        <f>HYPERLINK("#'15 Scope 3'!A1", "15 Scope 3")</f>
        <v>15 Scope 3</v>
      </c>
      <c r="D46" s="1" t="s">
        <v>2396</v>
      </c>
      <c r="E46" s="20" t="s">
        <v>2378</v>
      </c>
      <c r="F46" s="20">
        <v>2.8000000000000001E-2</v>
      </c>
      <c r="G46" s="231"/>
    </row>
    <row r="47" spans="1:7" ht="20.100000000000001" customHeight="1" x14ac:dyDescent="0.2">
      <c r="A47" s="5" t="str">
        <f>HYPERLINK("#'Calcs - Manure sent off-site'!A1", "Calcs - Manure sent off-site")</f>
        <v>Calcs - Manure sent off-site</v>
      </c>
      <c r="D47" s="1" t="s">
        <v>2396</v>
      </c>
      <c r="E47" s="20" t="s">
        <v>2381</v>
      </c>
      <c r="F47" s="20">
        <v>2.8000000000000001E-2</v>
      </c>
      <c r="G47" s="231"/>
    </row>
    <row r="48" spans="1:7" ht="20.100000000000001" customHeight="1" x14ac:dyDescent="0.2">
      <c r="D48" s="1" t="s">
        <v>2396</v>
      </c>
      <c r="E48" s="20" t="s">
        <v>2382</v>
      </c>
      <c r="F48" s="20">
        <v>2.8000000000000001E-2</v>
      </c>
      <c r="G48" s="231"/>
    </row>
    <row r="49" spans="1:7" ht="20.100000000000001" customHeight="1" x14ac:dyDescent="0.2">
      <c r="D49" s="1" t="s">
        <v>2396</v>
      </c>
      <c r="E49" s="20" t="s">
        <v>2384</v>
      </c>
      <c r="F49" s="20">
        <v>2.8000000000000001E-2</v>
      </c>
      <c r="G49" s="231"/>
    </row>
    <row r="50" spans="1:7" ht="20.100000000000001" customHeight="1" x14ac:dyDescent="0.2">
      <c r="A50" s="85" t="s">
        <v>1</v>
      </c>
      <c r="D50" s="1" t="s">
        <v>2396</v>
      </c>
      <c r="E50" s="20" t="s">
        <v>2380</v>
      </c>
      <c r="F50" s="20">
        <v>2.8000000000000001E-2</v>
      </c>
      <c r="G50" s="231"/>
    </row>
    <row r="51" spans="1:7" ht="20.100000000000001" customHeight="1" x14ac:dyDescent="0.2">
      <c r="A51" s="5" t="str">
        <f>HYPERLINK("#'Constants - Pasture Beef'!A1", "Constants - Pasture Beef")</f>
        <v>Constants - Pasture Beef</v>
      </c>
    </row>
    <row r="52" spans="1:7" ht="20.100000000000001" customHeight="1" x14ac:dyDescent="0.2">
      <c r="A52" s="5" t="str">
        <f>HYPERLINK("#'Constants - Ag Residue'!A1", "Constants - Ag residue")</f>
        <v>Constants - Ag residue</v>
      </c>
      <c r="D52" s="2" t="s">
        <v>2397</v>
      </c>
    </row>
    <row r="53" spans="1:7" ht="20.100000000000001" customHeight="1" x14ac:dyDescent="0.2">
      <c r="A53" s="5" t="str">
        <f>HYPERLINK("#'Constants - Common Livestock'!A1", "Constants - Common Livestock")</f>
        <v>Constants - Common Livestock</v>
      </c>
      <c r="D53" s="17" t="s">
        <v>2398</v>
      </c>
    </row>
    <row r="54" spans="1:7" ht="20.100000000000001" customHeight="1" x14ac:dyDescent="0.2">
      <c r="A54" s="5" t="str">
        <f>HYPERLINK("#'Constants - Electricity'!A1", "Constants - Electricity")</f>
        <v>Constants - Electricity</v>
      </c>
      <c r="D54" s="26" t="s">
        <v>2399</v>
      </c>
    </row>
    <row r="55" spans="1:7" ht="20.100000000000001" customHeight="1" x14ac:dyDescent="0.2">
      <c r="A55" s="5" t="str">
        <f>HYPERLINK("#'Constants - Fertiliser'!A1", "Constants - Fertiliser")</f>
        <v>Constants - Fertiliser</v>
      </c>
      <c r="D55" s="1" t="s">
        <v>929</v>
      </c>
    </row>
    <row r="56" spans="1:7" ht="20.100000000000001" customHeight="1" x14ac:dyDescent="0.2">
      <c r="A56" s="5" t="str">
        <f>HYPERLINK("#'Constants - Fuel'!A1", "Constants - Fuel")</f>
        <v>Constants - Fuel</v>
      </c>
      <c r="D56" s="9" t="s">
        <v>1603</v>
      </c>
    </row>
    <row r="57" spans="1:7" ht="20.100000000000001" customHeight="1" x14ac:dyDescent="0.2">
      <c r="A57" s="5" t="str">
        <f>HYPERLINK("#'Constants - Scope 3'!A1", "Constants - Scope 3")</f>
        <v>Constants - Scope 3</v>
      </c>
      <c r="D57" s="20" t="s">
        <v>926</v>
      </c>
      <c r="E57" s="20" t="s">
        <v>929</v>
      </c>
    </row>
    <row r="58" spans="1:7" ht="20.100000000000001" customHeight="1" x14ac:dyDescent="0.2">
      <c r="A58" s="86" t="str">
        <f>HYPERLINK("#'Constants - Solid Waste'!A1", "Constants - Solid Waste")</f>
        <v>Constants - Solid Waste</v>
      </c>
      <c r="D58" s="20" t="s">
        <v>2378</v>
      </c>
      <c r="E58" s="20">
        <v>0.5</v>
      </c>
    </row>
    <row r="59" spans="1:7" ht="20.100000000000001" customHeight="1" x14ac:dyDescent="0.2">
      <c r="A59" s="5" t="str">
        <f>HYPERLINK("#'Constants - Common'!A1", "Constants - Common")</f>
        <v>Constants - Common</v>
      </c>
      <c r="D59" s="1" t="s">
        <v>2380</v>
      </c>
      <c r="E59" s="20">
        <v>0.09</v>
      </c>
    </row>
    <row r="60" spans="1:7" ht="20.100000000000001" customHeight="1" x14ac:dyDescent="0.2">
      <c r="A60" s="5" t="str">
        <f>HYPERLINK("#'Acknowledgements'!A1", "Acknowledgements")</f>
        <v>Acknowledgements</v>
      </c>
      <c r="D60" s="1" t="s">
        <v>2381</v>
      </c>
      <c r="E60" s="20">
        <v>0.24</v>
      </c>
    </row>
    <row r="61" spans="1:7" ht="20.100000000000001" customHeight="1" x14ac:dyDescent="0.2">
      <c r="D61" s="1" t="s">
        <v>2382</v>
      </c>
      <c r="E61" s="20">
        <v>0.15</v>
      </c>
    </row>
    <row r="62" spans="1:7" ht="20.100000000000001" customHeight="1" x14ac:dyDescent="0.2">
      <c r="D62" s="1" t="s">
        <v>2383</v>
      </c>
      <c r="E62" s="20">
        <v>0.14000000000000001</v>
      </c>
    </row>
    <row r="63" spans="1:7" ht="20.100000000000001" customHeight="1" x14ac:dyDescent="0.2">
      <c r="D63" s="1" t="s">
        <v>2384</v>
      </c>
      <c r="E63" s="20">
        <v>0.72</v>
      </c>
    </row>
    <row r="64" spans="1:7" ht="20.100000000000001" customHeight="1" x14ac:dyDescent="0.2">
      <c r="D64" s="1" t="s">
        <v>2385</v>
      </c>
      <c r="E64" s="20">
        <v>0.14000000000000001</v>
      </c>
    </row>
    <row r="65" spans="4:5" ht="20.100000000000001" customHeight="1" x14ac:dyDescent="0.2">
      <c r="D65" s="1" t="s">
        <v>2386</v>
      </c>
      <c r="E65" s="20">
        <v>0.42</v>
      </c>
    </row>
    <row r="66" spans="4:5" ht="20.100000000000001" customHeight="1" x14ac:dyDescent="0.2">
      <c r="D66" s="1" t="s">
        <v>2387</v>
      </c>
      <c r="E66" s="20">
        <v>0.36</v>
      </c>
    </row>
    <row r="67" spans="4:5" ht="20.100000000000001" customHeight="1" x14ac:dyDescent="0.2">
      <c r="D67" s="1" t="s">
        <v>2388</v>
      </c>
      <c r="E67" s="20">
        <v>0.33</v>
      </c>
    </row>
    <row r="68" spans="4:5" ht="20.100000000000001" customHeight="1" x14ac:dyDescent="0.2">
      <c r="D68" s="1" t="s">
        <v>2389</v>
      </c>
      <c r="E68" s="20">
        <v>0.39</v>
      </c>
    </row>
  </sheetData>
  <pageMargins left="0.7" right="0.7" top="0.75" bottom="0.75" header="0.3" footer="0.3"/>
  <pageSetup paperSize="9" orientation="portrait" r:id="rId1"/>
  <tableParts count="6">
    <tablePart r:id="rId2"/>
    <tablePart r:id="rId3"/>
    <tablePart r:id="rId4"/>
    <tablePart r:id="rId5"/>
    <tablePart r:id="rId6"/>
    <tablePart r:id="rId7"/>
  </tableParts>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B7E50F-045B-4C69-94CD-4E9D79138947}">
  <sheetPr>
    <tabColor theme="2" tint="-0.499984740745262"/>
  </sheetPr>
  <dimension ref="A1:BY297"/>
  <sheetViews>
    <sheetView showGridLines="0" zoomScaleNormal="100" workbookViewId="0">
      <pane xSplit="1" topLeftCell="B1" activePane="topRight" state="frozen"/>
      <selection pane="topRight" activeCell="A59" sqref="A59"/>
    </sheetView>
  </sheetViews>
  <sheetFormatPr defaultColWidth="9.140625" defaultRowHeight="20.100000000000001" customHeight="1" x14ac:dyDescent="0.2"/>
  <cols>
    <col min="1" max="1" width="36.7109375" style="22" customWidth="1"/>
    <col min="2" max="2" width="2.7109375" style="22" customWidth="1"/>
    <col min="3" max="3" width="4.7109375" style="1" customWidth="1"/>
    <col min="4" max="4" width="48" style="1" customWidth="1"/>
    <col min="5" max="6" width="20.7109375" style="1" customWidth="1"/>
    <col min="7" max="7" width="30.28515625" style="1" customWidth="1"/>
    <col min="8" max="9" width="20.7109375" style="1" customWidth="1"/>
    <col min="10" max="10" width="34.28515625" style="1" customWidth="1"/>
    <col min="11" max="13" width="20.7109375" style="1" customWidth="1"/>
    <col min="14" max="14" width="33.140625" style="1" customWidth="1"/>
    <col min="15" max="15" width="36.42578125" style="1" customWidth="1"/>
    <col min="16" max="16" width="21" style="1" customWidth="1"/>
    <col min="17" max="17" width="21.28515625" style="1" customWidth="1"/>
    <col min="18" max="18" width="31.140625" style="1" customWidth="1"/>
    <col min="19" max="20" width="20.7109375" style="1" customWidth="1"/>
    <col min="21" max="21" width="4.7109375" style="1" customWidth="1"/>
    <col min="22" max="33" width="20.7109375" style="22" customWidth="1"/>
    <col min="34" max="39" width="21.85546875" style="22" customWidth="1"/>
    <col min="40" max="44" width="20.7109375" style="22" customWidth="1"/>
    <col min="45" max="65" width="9.140625" style="22"/>
    <col min="66" max="16384" width="9.140625" style="25"/>
  </cols>
  <sheetData>
    <row r="1" spans="1:65" s="21" customFormat="1" ht="30" customHeight="1" x14ac:dyDescent="0.35">
      <c r="A1" s="10" t="e" vm="1">
        <v>#VALUE!</v>
      </c>
      <c r="C1" s="21" t="s">
        <v>29</v>
      </c>
    </row>
    <row r="2" spans="1:65" s="3" customFormat="1" ht="20.100000000000001" customHeight="1" x14ac:dyDescent="0.2">
      <c r="A2"/>
    </row>
    <row r="3" spans="1:65" ht="20.100000000000001" customHeight="1" x14ac:dyDescent="0.2">
      <c r="A3" s="5" t="str">
        <f>HYPERLINK("#'Home'!A1", "Home")</f>
        <v>Home</v>
      </c>
      <c r="C3" s="23"/>
      <c r="D3" s="23"/>
      <c r="E3" s="23"/>
      <c r="F3" s="23"/>
      <c r="G3" s="23"/>
      <c r="H3" s="23"/>
      <c r="I3" s="23"/>
      <c r="J3" s="23"/>
      <c r="K3" s="23"/>
      <c r="L3" s="23"/>
      <c r="M3" s="23"/>
      <c r="N3" s="23"/>
      <c r="O3" s="23"/>
      <c r="P3" s="23"/>
      <c r="Q3" s="23"/>
      <c r="R3" s="23"/>
      <c r="S3" s="23"/>
      <c r="T3" s="23"/>
      <c r="U3" s="23"/>
      <c r="V3" s="24"/>
      <c r="W3" s="24"/>
    </row>
    <row r="4" spans="1:65" ht="20.100000000000001" customHeight="1" x14ac:dyDescent="0.2">
      <c r="A4" s="5" t="str">
        <f>HYPERLINK("#'Results - Activity period'!A1", "Results - Activity period")</f>
        <v>Results - Activity period</v>
      </c>
      <c r="BM4" s="25"/>
    </row>
    <row r="5" spans="1:65" ht="20.100000000000001" customHeight="1" x14ac:dyDescent="0.2">
      <c r="A5" s="5" t="str">
        <f>HYPERLINK("#'Results - Product EI'!A1", "Results - Product Emissions Intensity")</f>
        <v>Results - Product Emissions Intensity</v>
      </c>
      <c r="D5" s="2" t="s">
        <v>2400</v>
      </c>
      <c r="BM5" s="25"/>
    </row>
    <row r="6" spans="1:65" ht="20.100000000000001" customHeight="1" x14ac:dyDescent="0.2">
      <c r="A6"/>
      <c r="D6" s="20" t="s">
        <v>30</v>
      </c>
      <c r="E6" s="20" t="s">
        <v>31</v>
      </c>
      <c r="F6" s="20" t="s">
        <v>32</v>
      </c>
    </row>
    <row r="7" spans="1:65" ht="20.100000000000001" customHeight="1" x14ac:dyDescent="0.2">
      <c r="A7"/>
      <c r="D7" s="20" t="s">
        <v>1936</v>
      </c>
      <c r="E7" s="20" t="s">
        <v>1936</v>
      </c>
      <c r="F7" s="20" t="s">
        <v>520</v>
      </c>
    </row>
    <row r="8" spans="1:65" ht="20.100000000000001" customHeight="1" x14ac:dyDescent="0.2">
      <c r="A8" s="7" t="s">
        <v>0</v>
      </c>
      <c r="D8" s="20" t="s">
        <v>2401</v>
      </c>
      <c r="E8" s="20" t="s">
        <v>519</v>
      </c>
      <c r="F8" s="20" t="s">
        <v>519</v>
      </c>
    </row>
    <row r="9" spans="1:65" ht="20.100000000000001" customHeight="1" x14ac:dyDescent="0.2">
      <c r="A9" s="5" t="str">
        <f>HYPERLINK("#'Input - Enterprise'!A1", "Enterprise")</f>
        <v>Enterprise</v>
      </c>
      <c r="D9" s="20" t="s">
        <v>1783</v>
      </c>
      <c r="E9" s="20" t="s">
        <v>1783</v>
      </c>
      <c r="F9" s="20" t="s">
        <v>523</v>
      </c>
    </row>
    <row r="10" spans="1:65" ht="20.100000000000001" customHeight="1" x14ac:dyDescent="0.2">
      <c r="A10" s="5" t="str">
        <f>HYPERLINK("#'Input - Site'!A1", "Site")</f>
        <v>Site</v>
      </c>
      <c r="D10" s="20" t="s">
        <v>1789</v>
      </c>
      <c r="E10" s="20" t="s">
        <v>1789</v>
      </c>
      <c r="F10" s="20" t="s">
        <v>533</v>
      </c>
    </row>
    <row r="11" spans="1:65" ht="20.100000000000001" customHeight="1" x14ac:dyDescent="0.2">
      <c r="A11" s="5" t="str">
        <f>HYPERLINK("#'Input - Pasture Beef'!A1", "Pasture Beef")</f>
        <v>Pasture Beef</v>
      </c>
      <c r="D11" s="20" t="s">
        <v>1781</v>
      </c>
      <c r="E11" s="20" t="s">
        <v>1781</v>
      </c>
      <c r="F11" s="20" t="s">
        <v>521</v>
      </c>
      <c r="BM11" s="25"/>
    </row>
    <row r="12" spans="1:65" ht="20.100000000000001" customHeight="1" x14ac:dyDescent="0.2">
      <c r="A12" s="5" t="str">
        <f>HYPERLINK("#'Input - Livestock sales'!A1", "Livestock sales")</f>
        <v>Livestock sales</v>
      </c>
      <c r="D12" s="20" t="s">
        <v>1784</v>
      </c>
      <c r="E12" s="20" t="s">
        <v>1784</v>
      </c>
      <c r="F12" s="20" t="s">
        <v>525</v>
      </c>
      <c r="BM12" s="25"/>
    </row>
    <row r="13" spans="1:65" ht="20.100000000000001" customHeight="1" x14ac:dyDescent="0.2">
      <c r="A13" s="5" t="str">
        <f>HYPERLINK("#'Input - Beef cattle purchases'!A1", "Beef cattle purchases")</f>
        <v>Beef cattle purchases</v>
      </c>
      <c r="D13" s="20" t="s">
        <v>1782</v>
      </c>
      <c r="E13" s="20" t="s">
        <v>1782</v>
      </c>
      <c r="F13" s="20" t="s">
        <v>522</v>
      </c>
    </row>
    <row r="14" spans="1:65" ht="20.100000000000001" customHeight="1" x14ac:dyDescent="0.2">
      <c r="A14" s="5" t="str">
        <f>HYPERLINK("#'Input - Pasture'!A1", "Pasture")</f>
        <v>Pasture</v>
      </c>
      <c r="D14" s="20" t="s">
        <v>1787</v>
      </c>
      <c r="E14" s="20" t="s">
        <v>1787</v>
      </c>
      <c r="F14" s="20" t="s">
        <v>529</v>
      </c>
    </row>
    <row r="15" spans="1:65" ht="20.100000000000001" customHeight="1" x14ac:dyDescent="0.2">
      <c r="A15" s="5" t="str">
        <f>HYPERLINK("#'Input - Fert Prod System'!A1", "Fert Prod System")</f>
        <v>Fert Prod System</v>
      </c>
    </row>
    <row r="16" spans="1:65" ht="20.100000000000001" customHeight="1" x14ac:dyDescent="0.2">
      <c r="A16" s="5" t="str">
        <f>HYPERLINK("#'Input - Fertiliser'!A1", "Fertiliser")</f>
        <v>Fertiliser</v>
      </c>
    </row>
    <row r="17" spans="1:4" ht="20.100000000000001" customHeight="1" x14ac:dyDescent="0.2">
      <c r="A17" s="5" t="str">
        <f>HYPERLINK("#'Input - Fuel'!A1", "Fuel")</f>
        <v>Fuel</v>
      </c>
    </row>
    <row r="18" spans="1:4" ht="20.100000000000001" customHeight="1" x14ac:dyDescent="0.2">
      <c r="A18" s="5" t="str">
        <f>HYPERLINK("#'Input - Electricity'!A1", "Electricity")</f>
        <v>Electricity</v>
      </c>
      <c r="D18" s="2" t="s">
        <v>2402</v>
      </c>
    </row>
    <row r="19" spans="1:4" ht="20.100000000000001" customHeight="1" x14ac:dyDescent="0.2">
      <c r="A19" s="5" t="str">
        <f>HYPERLINK("#'Input - Common farm inputs'!A1", "Common farm inputs")</f>
        <v>Common farm inputs</v>
      </c>
      <c r="D19" s="17" t="s">
        <v>2403</v>
      </c>
    </row>
    <row r="20" spans="1:4" ht="20.100000000000001" customHeight="1" x14ac:dyDescent="0.2">
      <c r="A20" s="5" t="str">
        <f>HYPERLINK("#'Input - Crop pasture farm input'!A1", "Crop pasture farm input")</f>
        <v>Crop pasture farm input</v>
      </c>
      <c r="D20" s="20" t="s">
        <v>33</v>
      </c>
    </row>
    <row r="21" spans="1:4" ht="20.100000000000001" customHeight="1" x14ac:dyDescent="0.2">
      <c r="A21" s="5" t="str">
        <f>HYPERLINK("#'Input - Livestock farm Inputs'!A1", "Livestock farm Inputs")</f>
        <v>Livestock farm Inputs</v>
      </c>
      <c r="D21" s="20" t="s">
        <v>2404</v>
      </c>
    </row>
    <row r="22" spans="1:4" ht="20.100000000000001" customHeight="1" x14ac:dyDescent="0.2">
      <c r="A22" s="5" t="str">
        <f>HYPERLINK("#'Input - Freight'!A1", "Freight")</f>
        <v>Freight</v>
      </c>
      <c r="D22" s="20" t="s">
        <v>2405</v>
      </c>
    </row>
    <row r="23" spans="1:4" ht="20.100000000000001" customHeight="1" x14ac:dyDescent="0.2">
      <c r="A23" s="5" t="str">
        <f>HYPERLINK("#'Input - Solid waste'!A1", "Solid waste")</f>
        <v>Solid waste</v>
      </c>
      <c r="D23" s="20" t="s">
        <v>2406</v>
      </c>
    </row>
    <row r="24" spans="1:4" ht="20.100000000000001" customHeight="1" x14ac:dyDescent="0.2">
      <c r="A24" s="5" t="str">
        <f>HYPERLINK("#'Input - Manure sent off-site'!A1", "Manure sent off-site")</f>
        <v>Manure sent off-site</v>
      </c>
      <c r="D24" s="20" t="s">
        <v>2407</v>
      </c>
    </row>
    <row r="25" spans="1:4" ht="20.100000000000001" customHeight="1" x14ac:dyDescent="0.2">
      <c r="A25" s="5" t="str">
        <f>HYPERLINK("#'Input - Data quality'!A1", "Data quality")</f>
        <v>Data quality</v>
      </c>
      <c r="D25" s="20" t="s">
        <v>2408</v>
      </c>
    </row>
    <row r="26" spans="1:4" ht="20.100000000000001" customHeight="1" x14ac:dyDescent="0.2">
      <c r="A26"/>
      <c r="D26" s="20" t="s">
        <v>2409</v>
      </c>
    </row>
    <row r="27" spans="1:4" ht="20.100000000000001" customHeight="1" x14ac:dyDescent="0.2">
      <c r="A27"/>
      <c r="D27" s="20" t="s">
        <v>2410</v>
      </c>
    </row>
    <row r="28" spans="1:4" ht="20.100000000000001" customHeight="1" x14ac:dyDescent="0.2">
      <c r="A28" s="6" t="s">
        <v>2</v>
      </c>
      <c r="D28" s="20" t="s">
        <v>2411</v>
      </c>
    </row>
    <row r="29" spans="1:4" ht="20.100000000000001" customHeight="1" x14ac:dyDescent="0.2">
      <c r="A29" s="5" t="str">
        <f>HYPERLINK("#'3.2.1.1-2 Enteric Methane'!A1", "3.2.1.1-2 Enteric Methane")</f>
        <v>3.2.1.1-2 Enteric Methane</v>
      </c>
      <c r="D29" s="20" t="s">
        <v>2412</v>
      </c>
    </row>
    <row r="30" spans="1:4" ht="20.100000000000001" customHeight="1" x14ac:dyDescent="0.2">
      <c r="A30" s="5" t="str">
        <f>HYPERLINK("#'4.2.1.1-2 Methane'!A1", "4.2.1.1-2 Manure methane")</f>
        <v>4.2.1.1-2 Manure methane</v>
      </c>
      <c r="D30" s="20" t="s">
        <v>2413</v>
      </c>
    </row>
    <row r="31" spans="1:4" ht="20.100000000000001" customHeight="1" x14ac:dyDescent="0.2">
      <c r="A31" s="5" t="str">
        <f>HYPERLINK("#'4.2.1.3-4 Soil direct N20'!A1", "4.2.1.3-4 Soil direct N2O")</f>
        <v>4.2.1.3-4 Soil direct N2O</v>
      </c>
    </row>
    <row r="32" spans="1:4" ht="20.100000000000001" customHeight="1" x14ac:dyDescent="0.2">
      <c r="A32" s="5" t="str">
        <f>HYPERLINK("#'4.2.1.5-6 Soil Atmos Dep'!A1", "4.2.1.5-6 Soil atm. deposition")</f>
        <v>4.2.1.5-6 Soil atm. deposition</v>
      </c>
    </row>
    <row r="33" spans="1:8" ht="20.100000000000001" customHeight="1" x14ac:dyDescent="0.2">
      <c r="A33" s="5" t="str">
        <f>HYPERLINK("#'4.2.1.7-8 Soil leach runoff'!A1", "4.2.1.7-8 Soil leach &amp; runoff")</f>
        <v>4.2.1.7-8 Soil leach &amp; runoff</v>
      </c>
    </row>
    <row r="34" spans="1:8" ht="20.100000000000001" customHeight="1" x14ac:dyDescent="0.2">
      <c r="A34" s="5" t="str">
        <f>HYPERLINK("#'5.1.1.1-2 Inorganic fert N2O'!A1", "5.1.1.1-2 Inorganic fert N2O")</f>
        <v>5.1.1.1-2 Inorganic fert N2O</v>
      </c>
      <c r="D34" s="2" t="s">
        <v>2414</v>
      </c>
    </row>
    <row r="35" spans="1:8" ht="20.100000000000001" customHeight="1" x14ac:dyDescent="0.2">
      <c r="A35" s="5" t="str">
        <f>HYPERLINK("#'5.1.1.3-4 Inorganic fert CO2'!A1", "5.1.1.3-4 Inorganic fert CO2")</f>
        <v>5.1.1.3-4 Inorganic fert CO2</v>
      </c>
      <c r="D35" s="17" t="s">
        <v>2415</v>
      </c>
    </row>
    <row r="36" spans="1:8" ht="20.100000000000001" customHeight="1" x14ac:dyDescent="0.2">
      <c r="A36" s="5" t="str">
        <f>HYPERLINK("#'5.2.1.1-2 Organic Fert N2O'!A1", "5.2.1.1-2 Organic fert N2O")</f>
        <v>5.2.1.1-2 Organic fert N2O</v>
      </c>
      <c r="D36" s="20" t="s">
        <v>34</v>
      </c>
      <c r="E36" s="20" t="s">
        <v>35</v>
      </c>
    </row>
    <row r="37" spans="1:8" ht="20.100000000000001" customHeight="1" x14ac:dyDescent="0.2">
      <c r="A37" s="5" t="str">
        <f>HYPERLINK("#'5.3.1.1-2 Lime CO2'!A1", "5.3.1.1-2 Lime CO2")</f>
        <v>5.3.1.1-2 Lime CO2</v>
      </c>
      <c r="D37" s="20" t="s">
        <v>836</v>
      </c>
      <c r="E37" s="20">
        <v>1</v>
      </c>
    </row>
    <row r="38" spans="1:8" ht="20.100000000000001" customHeight="1" x14ac:dyDescent="0.2">
      <c r="A38" s="5" t="str">
        <f>HYPERLINK("#'5.4.1.1-4 Atmos deposition'!A1", "5.4.1.1-4 Atmos. deposition")</f>
        <v>5.4.1.1-4 Atmos. deposition</v>
      </c>
      <c r="D38" s="20" t="s">
        <v>837</v>
      </c>
      <c r="E38" s="20">
        <v>28</v>
      </c>
    </row>
    <row r="39" spans="1:8" ht="20.100000000000001" customHeight="1" x14ac:dyDescent="0.2">
      <c r="A39" s="5" t="str">
        <f>HYPERLINK("#'5.5.1.1-2 Leaching and runoff'!A1", "5.5.1.1-2 Leaching &amp; runoff")</f>
        <v>5.5.1.1-2 Leaching &amp; runoff</v>
      </c>
      <c r="D39" s="20" t="s">
        <v>838</v>
      </c>
      <c r="E39" s="20">
        <v>265</v>
      </c>
    </row>
    <row r="40" spans="1:8" ht="20.100000000000001" customHeight="1" x14ac:dyDescent="0.2">
      <c r="A40" s="5" t="str">
        <f>HYPERLINK("#'6.2.1.1-2 Pasture residue N2O'!A1", "6.2.1.1-2 Pasture residue N2O")</f>
        <v>6.2.1.1-2 Pasture residue N2O</v>
      </c>
      <c r="D40" s="20" t="s">
        <v>2416</v>
      </c>
      <c r="E40" s="20">
        <v>6630</v>
      </c>
    </row>
    <row r="41" spans="1:8" ht="20.100000000000001" customHeight="1" x14ac:dyDescent="0.2">
      <c r="A41" s="5" t="str">
        <f>HYPERLINK("#'6.3.1.1-2 Leach runoff pasture'!A1", "6.3.1.1-2 Leach &amp; runoff (pasture)")</f>
        <v>6.3.1.1-2 Leach &amp; runoff (pasture)</v>
      </c>
      <c r="D41" s="20" t="s">
        <v>2417</v>
      </c>
      <c r="E41" s="20">
        <v>12200</v>
      </c>
    </row>
    <row r="42" spans="1:8" ht="20.100000000000001" customHeight="1" x14ac:dyDescent="0.2">
      <c r="A42" s="5" t="str">
        <f>HYPERLINK("#'8.1.1.1-2 Transport fuel'!A1", "8.1.1.1-2 Transport fuel")</f>
        <v>8.1.1.1-2 Transport fuel</v>
      </c>
      <c r="D42" s="20" t="s">
        <v>2418</v>
      </c>
      <c r="E42" s="20">
        <v>22800</v>
      </c>
    </row>
    <row r="43" spans="1:8" ht="20.100000000000001" customHeight="1" x14ac:dyDescent="0.2">
      <c r="A43" s="5" t="str">
        <f>HYPERLINK("#'8.2.1.1-2 Stationary fuel'!A1", "8.2.1.1-2 Stationary fuel")</f>
        <v>8.2.1.1-2 Stationary fuel</v>
      </c>
      <c r="D43" s="20" t="s">
        <v>2419</v>
      </c>
      <c r="E43" s="20">
        <v>17200</v>
      </c>
    </row>
    <row r="44" spans="1:8" ht="20.100000000000001" customHeight="1" x14ac:dyDescent="0.2">
      <c r="A44" s="5" t="str">
        <f>HYPERLINK("#'10.1.1-2 Solid waste treatment'!A1", "10.1.1.1-2 Solid waste")</f>
        <v>10.1.1.1-2 Solid waste</v>
      </c>
    </row>
    <row r="45" spans="1:8" ht="20.100000000000001" customHeight="1" x14ac:dyDescent="0.2">
      <c r="A45" s="5" t="str">
        <f>HYPERLINK("#'14.1.1-2 Purchased electricity'!A1", "14.1.1-2 Purchased electricity")</f>
        <v>14.1.1-2 Purchased electricity</v>
      </c>
      <c r="D45" s="2" t="s">
        <v>2420</v>
      </c>
    </row>
    <row r="46" spans="1:8" ht="20.100000000000001" customHeight="1" x14ac:dyDescent="0.2">
      <c r="A46" s="5" t="str">
        <f>HYPERLINK("#'15 Scope 3'!A1", "15 Scope 3")</f>
        <v>15 Scope 3</v>
      </c>
      <c r="D46" s="17" t="s">
        <v>2415</v>
      </c>
    </row>
    <row r="47" spans="1:8" ht="20.100000000000001" customHeight="1" x14ac:dyDescent="0.2">
      <c r="A47" s="5" t="str">
        <f>HYPERLINK("#'Calcs - Manure sent off-site'!A1", "Calcs - Manure sent off-site")</f>
        <v>Calcs - Manure sent off-site</v>
      </c>
      <c r="D47" s="20" t="s">
        <v>34</v>
      </c>
      <c r="E47" s="20" t="s">
        <v>36</v>
      </c>
      <c r="F47" s="20" t="s">
        <v>37</v>
      </c>
      <c r="G47" s="20" t="s">
        <v>38</v>
      </c>
      <c r="H47" s="20" t="s">
        <v>39</v>
      </c>
    </row>
    <row r="48" spans="1:8" ht="20.100000000000001" customHeight="1" x14ac:dyDescent="0.2">
      <c r="A48"/>
      <c r="D48" s="20" t="s">
        <v>836</v>
      </c>
      <c r="E48" s="20" t="s">
        <v>2421</v>
      </c>
      <c r="F48" s="20">
        <v>44</v>
      </c>
      <c r="G48" s="20">
        <v>12</v>
      </c>
      <c r="H48" s="20">
        <f>Table_GasToMolecularConversionFactor[[#This Row],[Conversion factor 1]]/Table_GasToMolecularConversionFactor[[#This Row],[Conversion factor 2]]</f>
        <v>3.6666666666666665</v>
      </c>
    </row>
    <row r="49" spans="1:8" ht="20.100000000000001" customHeight="1" x14ac:dyDescent="0.2">
      <c r="A49"/>
      <c r="D49" s="20" t="s">
        <v>837</v>
      </c>
      <c r="E49" s="20" t="s">
        <v>1886</v>
      </c>
      <c r="F49" s="20">
        <v>16</v>
      </c>
      <c r="G49" s="20">
        <v>12</v>
      </c>
      <c r="H49" s="20">
        <f>Table_GasToMolecularConversionFactor[[#This Row],[Conversion factor 1]]/Table_GasToMolecularConversionFactor[[#This Row],[Conversion factor 2]]</f>
        <v>1.3333333333333333</v>
      </c>
    </row>
    <row r="50" spans="1:8" ht="20.100000000000001" customHeight="1" x14ac:dyDescent="0.2">
      <c r="A50" s="85" t="s">
        <v>1</v>
      </c>
      <c r="D50" s="20" t="s">
        <v>838</v>
      </c>
      <c r="E50" s="20" t="s">
        <v>1887</v>
      </c>
      <c r="F50" s="20">
        <v>44</v>
      </c>
      <c r="G50" s="20">
        <v>28</v>
      </c>
      <c r="H50" s="20">
        <f>Table_GasToMolecularConversionFactor[[#This Row],[Conversion factor 1]]/Table_GasToMolecularConversionFactor[[#This Row],[Conversion factor 2]]</f>
        <v>1.5714285714285714</v>
      </c>
    </row>
    <row r="51" spans="1:8" ht="20.100000000000001" customHeight="1" x14ac:dyDescent="0.2">
      <c r="A51" s="5" t="str">
        <f>HYPERLINK("#'Constants - Pasture Beef'!A1", "Constants - Pasture Beef")</f>
        <v>Constants - Pasture Beef</v>
      </c>
      <c r="D51" s="20" t="s">
        <v>2422</v>
      </c>
      <c r="E51" s="20" t="s">
        <v>1889</v>
      </c>
      <c r="F51" s="20">
        <v>46</v>
      </c>
      <c r="G51" s="20">
        <v>14</v>
      </c>
      <c r="H51" s="20">
        <f>Table_GasToMolecularConversionFactor[[#This Row],[Conversion factor 1]]/Table_GasToMolecularConversionFactor[[#This Row],[Conversion factor 2]]</f>
        <v>3.2857142857142856</v>
      </c>
    </row>
    <row r="52" spans="1:8" ht="20.100000000000001" customHeight="1" x14ac:dyDescent="0.2">
      <c r="A52" s="5" t="str">
        <f>HYPERLINK("#'Constants - Ag Residue'!A1", "Constants - Ag residue")</f>
        <v>Constants - Ag residue</v>
      </c>
      <c r="D52" s="20" t="s">
        <v>1890</v>
      </c>
      <c r="E52" s="20" t="s">
        <v>1891</v>
      </c>
      <c r="F52" s="20">
        <v>28</v>
      </c>
      <c r="G52" s="20">
        <v>12</v>
      </c>
      <c r="H52" s="20">
        <f>Table_GasToMolecularConversionFactor[[#This Row],[Conversion factor 1]]/Table_GasToMolecularConversionFactor[[#This Row],[Conversion factor 2]]</f>
        <v>2.3333333333333335</v>
      </c>
    </row>
    <row r="53" spans="1:8" ht="20.100000000000001" customHeight="1" x14ac:dyDescent="0.2">
      <c r="A53" s="5" t="str">
        <f>HYPERLINK("#'Constants - Common Livestock'!A1", "Constants - Common Livestock")</f>
        <v>Constants - Common Livestock</v>
      </c>
      <c r="D53" s="20" t="s">
        <v>2423</v>
      </c>
      <c r="E53" s="20" t="s">
        <v>2421</v>
      </c>
      <c r="F53" s="20">
        <v>44</v>
      </c>
      <c r="G53" s="20">
        <v>12</v>
      </c>
      <c r="H53" s="20">
        <f>Table_GasToMolecularConversionFactor[[#This Row],[Conversion factor 1]]/Table_GasToMolecularConversionFactor[[#This Row],[Conversion factor 2]]</f>
        <v>3.6666666666666665</v>
      </c>
    </row>
    <row r="54" spans="1:8" ht="20.100000000000001" customHeight="1" x14ac:dyDescent="0.2">
      <c r="A54" s="5" t="str">
        <f>HYPERLINK("#'Constants - Electricity'!A1", "Constants - Electricity")</f>
        <v>Constants - Electricity</v>
      </c>
      <c r="D54" s="20" t="s">
        <v>1892</v>
      </c>
      <c r="E54" s="20" t="s">
        <v>1893</v>
      </c>
      <c r="F54" s="20">
        <v>14</v>
      </c>
      <c r="G54" s="20">
        <v>12</v>
      </c>
      <c r="H54" s="20">
        <f>Table_GasToMolecularConversionFactor[[#This Row],[Conversion factor 1]]/Table_GasToMolecularConversionFactor[[#This Row],[Conversion factor 2]]</f>
        <v>1.1666666666666667</v>
      </c>
    </row>
    <row r="55" spans="1:8" ht="20.100000000000001" customHeight="1" x14ac:dyDescent="0.2">
      <c r="A55" s="5" t="str">
        <f>HYPERLINK("#'Constants - Fertiliser'!A1", "Constants - Fertiliser")</f>
        <v>Constants - Fertiliser</v>
      </c>
    </row>
    <row r="56" spans="1:8" ht="20.100000000000001" customHeight="1" x14ac:dyDescent="0.2">
      <c r="A56" s="5" t="str">
        <f>HYPERLINK("#'Constants - Fuel'!A1", "Constants - Fuel")</f>
        <v>Constants - Fuel</v>
      </c>
    </row>
    <row r="57" spans="1:8" ht="20.100000000000001" customHeight="1" x14ac:dyDescent="0.2">
      <c r="A57" s="5" t="str">
        <f>HYPERLINK("#'Constants - Scope 3'!A1", "Constants - Scope 3")</f>
        <v>Constants - Scope 3</v>
      </c>
      <c r="D57" s="2" t="s">
        <v>2424</v>
      </c>
    </row>
    <row r="58" spans="1:8" ht="20.100000000000001" customHeight="1" x14ac:dyDescent="0.2">
      <c r="A58" s="5" t="str">
        <f>HYPERLINK("#'Constants - Solid Waste'!A1", "Constants - Solid Waste")</f>
        <v>Constants - Solid Waste</v>
      </c>
      <c r="D58" s="17" t="s">
        <v>2425</v>
      </c>
    </row>
    <row r="59" spans="1:8" ht="20.100000000000001" customHeight="1" x14ac:dyDescent="0.2">
      <c r="A59" s="86" t="str">
        <f>HYPERLINK("#'Constants - Common'!A1", "Constants - Common")</f>
        <v>Constants - Common</v>
      </c>
      <c r="D59" s="26" t="str" cm="1">
        <f t="array" ref="D59:D61">"⚠️" &amp; Common_SourceData.Common_SourceData_WetAndDryZones_Variation()</f>
        <v>⚠️VARIATION OF SOURCE DATA:</v>
      </c>
    </row>
    <row r="60" spans="1:8" ht="20.100000000000001" customHeight="1" x14ac:dyDescent="0.2">
      <c r="A60" s="5" t="str">
        <f>HYPERLINK("#'Acknowledgements'!A1", "Acknowledgements")</f>
        <v>Acknowledgements</v>
      </c>
      <c r="D60" s="26" t="str">
        <v>⚠️Added warm / cool temperate moist / dry - low frost and high temp classes to accommodate climate scenarios excluded by VEERG criteria.</v>
      </c>
    </row>
    <row r="61" spans="1:8" ht="20.100000000000001" customHeight="1" x14ac:dyDescent="0.2">
      <c r="A61"/>
      <c r="D61" s="26" t="str">
        <v>⚠️Fixed typo - Changed 'Fry' to 'Dry'.</v>
      </c>
    </row>
    <row r="62" spans="1:8" ht="20.100000000000001" customHeight="1" x14ac:dyDescent="0.2">
      <c r="A62"/>
    </row>
    <row r="63" spans="1:8" ht="20.100000000000001" customHeight="1" x14ac:dyDescent="0.2">
      <c r="A63"/>
      <c r="D63" s="20" t="s">
        <v>40</v>
      </c>
      <c r="E63" s="20" t="s">
        <v>41</v>
      </c>
    </row>
    <row r="64" spans="1:8" ht="20.100000000000001" customHeight="1" x14ac:dyDescent="0.2">
      <c r="A64"/>
      <c r="D64" s="20" t="s">
        <v>2426</v>
      </c>
      <c r="E64" s="20" t="s">
        <v>1875</v>
      </c>
    </row>
    <row r="65" spans="1:5" ht="20.100000000000001" customHeight="1" x14ac:dyDescent="0.2">
      <c r="A65"/>
      <c r="D65" s="20" t="s">
        <v>2427</v>
      </c>
      <c r="E65" s="20" t="s">
        <v>1875</v>
      </c>
    </row>
    <row r="66" spans="1:5" ht="20.100000000000001" customHeight="1" x14ac:dyDescent="0.2">
      <c r="A66"/>
      <c r="D66" s="20" t="s">
        <v>2428</v>
      </c>
      <c r="E66" s="20" t="s">
        <v>1875</v>
      </c>
    </row>
    <row r="67" spans="1:5" ht="20.100000000000001" customHeight="1" x14ac:dyDescent="0.2">
      <c r="A67"/>
      <c r="D67" s="20" t="s">
        <v>2429</v>
      </c>
      <c r="E67" s="20" t="s">
        <v>1876</v>
      </c>
    </row>
    <row r="68" spans="1:5" ht="20.100000000000001" customHeight="1" x14ac:dyDescent="0.2">
      <c r="A68"/>
      <c r="D68" s="20" t="s">
        <v>2430</v>
      </c>
      <c r="E68" s="20" t="s">
        <v>1875</v>
      </c>
    </row>
    <row r="69" spans="1:5" ht="20.100000000000001" customHeight="1" x14ac:dyDescent="0.2">
      <c r="A69"/>
      <c r="D69" s="20" t="s">
        <v>2431</v>
      </c>
      <c r="E69" s="20" t="s">
        <v>1876</v>
      </c>
    </row>
    <row r="70" spans="1:5" ht="20.100000000000001" customHeight="1" x14ac:dyDescent="0.2">
      <c r="A70"/>
      <c r="D70" s="20" t="s">
        <v>2432</v>
      </c>
      <c r="E70" s="20" t="s">
        <v>1875</v>
      </c>
    </row>
    <row r="71" spans="1:5" ht="20.100000000000001" customHeight="1" x14ac:dyDescent="0.2">
      <c r="A71"/>
      <c r="D71" s="20" t="s">
        <v>2433</v>
      </c>
      <c r="E71" s="20" t="s">
        <v>1876</v>
      </c>
    </row>
    <row r="72" spans="1:5" ht="20.100000000000001" customHeight="1" x14ac:dyDescent="0.2">
      <c r="A72"/>
      <c r="D72" s="20" t="s">
        <v>2434</v>
      </c>
      <c r="E72" s="20" t="s">
        <v>1875</v>
      </c>
    </row>
    <row r="73" spans="1:5" ht="20.100000000000001" customHeight="1" x14ac:dyDescent="0.2">
      <c r="A73"/>
      <c r="D73" s="20" t="s">
        <v>2435</v>
      </c>
      <c r="E73" s="20" t="s">
        <v>1876</v>
      </c>
    </row>
    <row r="74" spans="1:5" ht="20.100000000000001" customHeight="1" x14ac:dyDescent="0.2">
      <c r="A74"/>
      <c r="D74" s="20" t="s">
        <v>2436</v>
      </c>
      <c r="E74" s="20" t="s">
        <v>1875</v>
      </c>
    </row>
    <row r="75" spans="1:5" ht="20.100000000000001" customHeight="1" x14ac:dyDescent="0.2">
      <c r="A75"/>
      <c r="D75" s="20" t="s">
        <v>2437</v>
      </c>
      <c r="E75" s="20" t="s">
        <v>1876</v>
      </c>
    </row>
    <row r="76" spans="1:5" ht="20.100000000000001" customHeight="1" x14ac:dyDescent="0.2">
      <c r="A76"/>
      <c r="D76" s="20" t="s">
        <v>2438</v>
      </c>
      <c r="E76" s="20" t="s">
        <v>1875</v>
      </c>
    </row>
    <row r="77" spans="1:5" ht="20.100000000000001" customHeight="1" x14ac:dyDescent="0.2">
      <c r="A77"/>
      <c r="D77" s="20" t="s">
        <v>2439</v>
      </c>
      <c r="E77" s="20" t="s">
        <v>1876</v>
      </c>
    </row>
    <row r="78" spans="1:5" ht="20.100000000000001" customHeight="1" x14ac:dyDescent="0.2">
      <c r="A78"/>
    </row>
    <row r="79" spans="1:5" ht="20.100000000000001" customHeight="1" x14ac:dyDescent="0.2">
      <c r="A79"/>
    </row>
    <row r="80" spans="1:5" ht="20.100000000000001" customHeight="1" x14ac:dyDescent="0.2">
      <c r="A80"/>
    </row>
    <row r="81" spans="1:20" ht="20.100000000000001" customHeight="1" x14ac:dyDescent="0.2">
      <c r="A81"/>
      <c r="D81" s="2" t="s">
        <v>2440</v>
      </c>
    </row>
    <row r="82" spans="1:20" ht="20.100000000000001" customHeight="1" x14ac:dyDescent="0.2">
      <c r="A82"/>
      <c r="D82" s="17" t="s">
        <v>2441</v>
      </c>
    </row>
    <row r="83" spans="1:20" ht="20.100000000000001" customHeight="1" x14ac:dyDescent="0.2">
      <c r="A83"/>
      <c r="D83" s="26" t="str" cm="1">
        <f t="array" ref="D83:D87">"⚠️" &amp; Common_SourceData.Common_SourceData_ClimateZones_Variation()</f>
        <v>⚠️VARIATION OF SOURCE DATA:</v>
      </c>
    </row>
    <row r="84" spans="1:20" ht="20.100000000000001" customHeight="1" x14ac:dyDescent="0.2">
      <c r="A84"/>
      <c r="D84" s="26" t="str">
        <v>⚠️Added warm / cool temperate moist / dry - low frost and high temp classes to accommodate climate scenarios excluded by VEERG criteria.</v>
      </c>
    </row>
    <row r="85" spans="1:20" ht="20.100000000000001" customHeight="1" x14ac:dyDescent="0.2">
      <c r="A85"/>
      <c r="D85" s="26" t="str">
        <v>⚠️Fixed typo in MAT value for warm temperate dry - changed 10 to 11.</v>
      </c>
    </row>
    <row r="86" spans="1:20" ht="20.100000000000001" customHeight="1" x14ac:dyDescent="0.2">
      <c r="A86"/>
      <c r="D86" s="26" t="str">
        <v>⚠️Added min and max columns for MAT, MAP, frost days per year, elevation, MAP:PET to calculate zones from real climate data.</v>
      </c>
    </row>
    <row r="87" spans="1:20" ht="20.100000000000001" customHeight="1" x14ac:dyDescent="0.2">
      <c r="A87"/>
      <c r="D87" s="26" t="str">
        <v>⚠️GAF accepts rainfall as a proxy for precipitation.</v>
      </c>
    </row>
    <row r="88" spans="1:20" ht="20.100000000000001" customHeight="1" x14ac:dyDescent="0.2">
      <c r="A88"/>
    </row>
    <row r="89" spans="1:20" ht="20.100000000000001" customHeight="1" x14ac:dyDescent="0.2">
      <c r="A89"/>
      <c r="D89" s="20" t="s">
        <v>40</v>
      </c>
      <c r="E89" s="20" t="s">
        <v>42</v>
      </c>
      <c r="F89" s="20" t="s">
        <v>43</v>
      </c>
      <c r="G89" s="20" t="s">
        <v>44</v>
      </c>
      <c r="H89" s="20" t="s">
        <v>45</v>
      </c>
      <c r="I89" s="20" t="s">
        <v>46</v>
      </c>
      <c r="J89" s="20" t="s">
        <v>47</v>
      </c>
      <c r="K89" s="20" t="s">
        <v>48</v>
      </c>
      <c r="L89" s="20" t="s">
        <v>49</v>
      </c>
      <c r="M89" s="20" t="s">
        <v>50</v>
      </c>
      <c r="N89" s="20" t="s">
        <v>51</v>
      </c>
      <c r="O89" s="20" t="s">
        <v>52</v>
      </c>
      <c r="P89" s="20" t="s">
        <v>53</v>
      </c>
      <c r="Q89" s="20" t="s">
        <v>54</v>
      </c>
      <c r="R89" s="20" t="s">
        <v>55</v>
      </c>
      <c r="S89" s="20" t="s">
        <v>56</v>
      </c>
      <c r="T89" s="20"/>
    </row>
    <row r="90" spans="1:20" ht="20.100000000000001" customHeight="1" x14ac:dyDescent="0.2">
      <c r="A90"/>
      <c r="D90" s="20" t="s">
        <v>2426</v>
      </c>
      <c r="E90" s="20" t="s">
        <v>2442</v>
      </c>
      <c r="F90" s="20" t="s">
        <v>2443</v>
      </c>
      <c r="G90" s="20" t="s">
        <v>2444</v>
      </c>
      <c r="H90" s="20" t="s">
        <v>2445</v>
      </c>
      <c r="I90" s="20" t="s">
        <v>2443</v>
      </c>
      <c r="J90" s="20">
        <v>18.001000000000001</v>
      </c>
      <c r="K90" s="20">
        <v>999999</v>
      </c>
      <c r="L90" s="20">
        <v>-999999</v>
      </c>
      <c r="M90" s="20">
        <v>999999</v>
      </c>
      <c r="N90" s="20">
        <v>-999999</v>
      </c>
      <c r="O90" s="20">
        <v>7</v>
      </c>
      <c r="P90" s="20">
        <v>1000</v>
      </c>
      <c r="Q90" s="20">
        <v>999999</v>
      </c>
      <c r="R90" s="20">
        <v>-999999</v>
      </c>
      <c r="S90" s="20">
        <v>999999</v>
      </c>
      <c r="T90" s="20"/>
    </row>
    <row r="91" spans="1:20" ht="20.100000000000001" customHeight="1" x14ac:dyDescent="0.2">
      <c r="A91"/>
      <c r="D91" s="20" t="s">
        <v>2427</v>
      </c>
      <c r="E91" s="20" t="s">
        <v>2442</v>
      </c>
      <c r="F91" s="20" t="s">
        <v>2446</v>
      </c>
      <c r="G91" s="20" t="s">
        <v>2444</v>
      </c>
      <c r="H91" s="20" t="s">
        <v>2447</v>
      </c>
      <c r="I91" s="20" t="s">
        <v>2443</v>
      </c>
      <c r="J91" s="20">
        <v>18.001000000000001</v>
      </c>
      <c r="K91" s="20">
        <v>999999</v>
      </c>
      <c r="L91" s="20">
        <v>2000.001</v>
      </c>
      <c r="M91" s="20">
        <v>999999</v>
      </c>
      <c r="N91" s="20">
        <v>-999999</v>
      </c>
      <c r="O91" s="20">
        <v>7</v>
      </c>
      <c r="P91" s="20">
        <v>-999999</v>
      </c>
      <c r="Q91" s="20">
        <v>999.99900000000002</v>
      </c>
      <c r="R91" s="20">
        <v>-999999</v>
      </c>
      <c r="S91" s="20">
        <v>999999</v>
      </c>
      <c r="T91" s="20"/>
    </row>
    <row r="92" spans="1:20" ht="20.100000000000001" customHeight="1" x14ac:dyDescent="0.2">
      <c r="A92"/>
      <c r="D92" s="20" t="s">
        <v>2428</v>
      </c>
      <c r="E92" s="20" t="s">
        <v>2442</v>
      </c>
      <c r="F92" s="20" t="s">
        <v>2448</v>
      </c>
      <c r="G92" s="20" t="s">
        <v>2444</v>
      </c>
      <c r="H92" s="20" t="s">
        <v>2447</v>
      </c>
      <c r="I92" s="20" t="s">
        <v>2443</v>
      </c>
      <c r="J92" s="20">
        <v>18.001000000000001</v>
      </c>
      <c r="K92" s="20">
        <v>999999</v>
      </c>
      <c r="L92" s="20">
        <v>1000.001</v>
      </c>
      <c r="M92" s="20">
        <v>2000</v>
      </c>
      <c r="N92" s="20">
        <v>-999999</v>
      </c>
      <c r="O92" s="20">
        <v>7</v>
      </c>
      <c r="P92" s="20">
        <v>-999999</v>
      </c>
      <c r="Q92" s="20">
        <v>999.99900000000002</v>
      </c>
      <c r="R92" s="20">
        <v>-999999</v>
      </c>
      <c r="S92" s="20">
        <v>999999</v>
      </c>
      <c r="T92" s="20"/>
    </row>
    <row r="93" spans="1:20" ht="20.100000000000001" customHeight="1" x14ac:dyDescent="0.2">
      <c r="A93"/>
      <c r="D93" s="20" t="s">
        <v>2429</v>
      </c>
      <c r="E93" s="20" t="s">
        <v>2442</v>
      </c>
      <c r="F93" s="20" t="s">
        <v>2449</v>
      </c>
      <c r="G93" s="20" t="s">
        <v>2444</v>
      </c>
      <c r="H93" s="20" t="s">
        <v>2447</v>
      </c>
      <c r="I93" s="20" t="s">
        <v>2443</v>
      </c>
      <c r="J93" s="20">
        <v>18.001000000000001</v>
      </c>
      <c r="K93" s="20">
        <v>999999</v>
      </c>
      <c r="L93" s="20">
        <v>-999999</v>
      </c>
      <c r="M93" s="20">
        <v>1000</v>
      </c>
      <c r="N93" s="20">
        <v>-999999</v>
      </c>
      <c r="O93" s="20">
        <v>7</v>
      </c>
      <c r="P93" s="20">
        <v>-999999</v>
      </c>
      <c r="Q93" s="20">
        <v>999.99900000000002</v>
      </c>
      <c r="R93" s="20">
        <v>-999999</v>
      </c>
      <c r="S93" s="20">
        <v>999999</v>
      </c>
      <c r="T93" s="20"/>
    </row>
    <row r="94" spans="1:20" ht="20.100000000000001" customHeight="1" x14ac:dyDescent="0.2">
      <c r="A94"/>
      <c r="D94" s="20" t="s">
        <v>2430</v>
      </c>
      <c r="E94" s="20" t="s">
        <v>2450</v>
      </c>
      <c r="F94" s="20" t="s">
        <v>2443</v>
      </c>
      <c r="G94" s="20" t="s">
        <v>2443</v>
      </c>
      <c r="H94" s="20" t="s">
        <v>2443</v>
      </c>
      <c r="I94" s="20" t="s">
        <v>2451</v>
      </c>
      <c r="J94" s="20">
        <v>10.000999999999999</v>
      </c>
      <c r="K94" s="20">
        <v>999999</v>
      </c>
      <c r="L94" s="20">
        <v>-999999</v>
      </c>
      <c r="M94" s="20">
        <v>999999</v>
      </c>
      <c r="N94" s="20">
        <v>-999999</v>
      </c>
      <c r="O94" s="20">
        <v>999999</v>
      </c>
      <c r="P94" s="20">
        <v>-999999</v>
      </c>
      <c r="Q94" s="20">
        <v>999999</v>
      </c>
      <c r="R94" s="20">
        <v>1.0009999999999999</v>
      </c>
      <c r="S94" s="20">
        <v>999999</v>
      </c>
      <c r="T94" s="20"/>
    </row>
    <row r="95" spans="1:20" ht="20.100000000000001" customHeight="1" x14ac:dyDescent="0.2">
      <c r="A95"/>
      <c r="D95" s="20" t="s">
        <v>2431</v>
      </c>
      <c r="E95" s="20" t="s">
        <v>2450</v>
      </c>
      <c r="F95" s="20" t="s">
        <v>2443</v>
      </c>
      <c r="G95" s="20" t="s">
        <v>2443</v>
      </c>
      <c r="H95" s="20" t="s">
        <v>2443</v>
      </c>
      <c r="I95" s="20" t="s">
        <v>2452</v>
      </c>
      <c r="J95" s="20">
        <v>10.000999999999999</v>
      </c>
      <c r="K95" s="20">
        <v>999999</v>
      </c>
      <c r="L95" s="20">
        <v>-999999</v>
      </c>
      <c r="M95" s="20">
        <v>999999</v>
      </c>
      <c r="N95" s="20">
        <v>-999999</v>
      </c>
      <c r="O95" s="20">
        <v>999999</v>
      </c>
      <c r="P95" s="20">
        <v>-999999</v>
      </c>
      <c r="Q95" s="20">
        <v>999999</v>
      </c>
      <c r="R95" s="20">
        <v>-999999</v>
      </c>
      <c r="S95" s="20">
        <v>1</v>
      </c>
      <c r="T95" s="20"/>
    </row>
    <row r="96" spans="1:20" ht="20.100000000000001" customHeight="1" x14ac:dyDescent="0.2">
      <c r="A96"/>
      <c r="D96" s="20" t="s">
        <v>2432</v>
      </c>
      <c r="E96" s="20" t="s">
        <v>2453</v>
      </c>
      <c r="F96" s="20" t="s">
        <v>2443</v>
      </c>
      <c r="G96" s="20" t="s">
        <v>2443</v>
      </c>
      <c r="H96" s="20" t="s">
        <v>2443</v>
      </c>
      <c r="I96" s="20" t="s">
        <v>2451</v>
      </c>
      <c r="J96" s="20">
        <v>-999999</v>
      </c>
      <c r="K96" s="20">
        <v>10</v>
      </c>
      <c r="L96" s="20">
        <v>-999999</v>
      </c>
      <c r="M96" s="20">
        <v>999999</v>
      </c>
      <c r="N96" s="20">
        <v>-999999</v>
      </c>
      <c r="O96" s="20">
        <v>999999</v>
      </c>
      <c r="P96" s="20">
        <v>-999999</v>
      </c>
      <c r="Q96" s="20">
        <v>999999</v>
      </c>
      <c r="R96" s="20">
        <v>1.0009999999999999</v>
      </c>
      <c r="S96" s="20">
        <v>999999</v>
      </c>
      <c r="T96" s="20"/>
    </row>
    <row r="97" spans="1:20" ht="20.100000000000001" customHeight="1" x14ac:dyDescent="0.2">
      <c r="A97"/>
      <c r="D97" s="20" t="s">
        <v>2433</v>
      </c>
      <c r="E97" s="20" t="s">
        <v>2453</v>
      </c>
      <c r="F97" s="20" t="s">
        <v>2443</v>
      </c>
      <c r="G97" s="20" t="s">
        <v>2443</v>
      </c>
      <c r="H97" s="20" t="s">
        <v>2443</v>
      </c>
      <c r="I97" s="20" t="s">
        <v>2452</v>
      </c>
      <c r="J97" s="20">
        <v>-999999</v>
      </c>
      <c r="K97" s="20">
        <v>10</v>
      </c>
      <c r="L97" s="20">
        <v>-999999</v>
      </c>
      <c r="M97" s="20">
        <v>999999</v>
      </c>
      <c r="N97" s="20">
        <v>-999999</v>
      </c>
      <c r="O97" s="20">
        <v>999999</v>
      </c>
      <c r="P97" s="20">
        <v>-999999</v>
      </c>
      <c r="Q97" s="20">
        <v>999999</v>
      </c>
      <c r="R97" s="20">
        <v>-999999</v>
      </c>
      <c r="S97" s="20">
        <v>1</v>
      </c>
      <c r="T97" s="20"/>
    </row>
    <row r="98" spans="1:20" ht="20.100000000000001" customHeight="1" x14ac:dyDescent="0.2">
      <c r="A98"/>
    </row>
    <row r="99" spans="1:20" ht="20.100000000000001" customHeight="1" x14ac:dyDescent="0.2">
      <c r="A99"/>
      <c r="D99" s="9" t="s">
        <v>2454</v>
      </c>
    </row>
    <row r="100" spans="1:20" ht="20.100000000000001" customHeight="1" x14ac:dyDescent="0.2">
      <c r="A100"/>
      <c r="D100" s="9" t="s">
        <v>2455</v>
      </c>
    </row>
    <row r="101" spans="1:20" ht="20.100000000000001" customHeight="1" x14ac:dyDescent="0.2">
      <c r="A101"/>
      <c r="D101" s="9" t="s">
        <v>2456</v>
      </c>
    </row>
    <row r="102" spans="1:20" ht="20.100000000000001" customHeight="1" x14ac:dyDescent="0.2">
      <c r="A102"/>
      <c r="D102" s="9" t="s">
        <v>2457</v>
      </c>
    </row>
    <row r="103" spans="1:20" ht="20.100000000000001" customHeight="1" x14ac:dyDescent="0.2">
      <c r="A103"/>
      <c r="D103" s="9"/>
    </row>
    <row r="104" spans="1:20" ht="20.100000000000001" customHeight="1" x14ac:dyDescent="0.2">
      <c r="A104"/>
    </row>
    <row r="105" spans="1:20" ht="20.100000000000001" customHeight="1" x14ac:dyDescent="0.2">
      <c r="A105"/>
      <c r="D105" s="2" t="s">
        <v>2458</v>
      </c>
    </row>
    <row r="106" spans="1:20" ht="20.100000000000001" customHeight="1" x14ac:dyDescent="0.2">
      <c r="A106"/>
      <c r="D106" s="17" t="s">
        <v>2441</v>
      </c>
    </row>
    <row r="107" spans="1:20" ht="20.100000000000001" customHeight="1" x14ac:dyDescent="0.2">
      <c r="A107"/>
      <c r="D107" s="26" t="str" cm="1">
        <f t="array" ref="D107">"⚠️" &amp; Common_SourceData.Common_SourceData_TemperatureZones_Variation()</f>
        <v>⚠️VARIATION OF SOURCE DATA: Added extra MAT min and MAT max columns to calculate zone from real temperature data.</v>
      </c>
    </row>
    <row r="108" spans="1:20" ht="20.100000000000001" customHeight="1" x14ac:dyDescent="0.2">
      <c r="A108"/>
    </row>
    <row r="109" spans="1:20" ht="20.100000000000001" customHeight="1" x14ac:dyDescent="0.2">
      <c r="A109"/>
      <c r="D109" s="20" t="s">
        <v>57</v>
      </c>
      <c r="E109" s="20" t="s">
        <v>42</v>
      </c>
      <c r="F109" s="20" t="s">
        <v>58</v>
      </c>
      <c r="G109" s="20" t="s">
        <v>59</v>
      </c>
    </row>
    <row r="110" spans="1:20" ht="20.100000000000001" customHeight="1" x14ac:dyDescent="0.2">
      <c r="A110"/>
      <c r="D110" s="20" t="s">
        <v>2459</v>
      </c>
      <c r="E110" s="20" t="s">
        <v>2460</v>
      </c>
      <c r="F110" s="20">
        <v>26</v>
      </c>
      <c r="G110" s="20">
        <v>999999</v>
      </c>
    </row>
    <row r="111" spans="1:20" ht="20.100000000000001" customHeight="1" x14ac:dyDescent="0.2">
      <c r="A111"/>
      <c r="D111" s="20" t="s">
        <v>2461</v>
      </c>
      <c r="E111" s="20" t="s">
        <v>2462</v>
      </c>
      <c r="F111" s="20">
        <v>15</v>
      </c>
      <c r="G111" s="20">
        <v>25.998999999999999</v>
      </c>
    </row>
    <row r="112" spans="1:20" ht="20.100000000000001" customHeight="1" x14ac:dyDescent="0.2">
      <c r="A112"/>
      <c r="D112" s="20" t="s">
        <v>2463</v>
      </c>
      <c r="E112" s="20" t="s">
        <v>2464</v>
      </c>
      <c r="F112" s="20">
        <v>-999999</v>
      </c>
      <c r="G112" s="20">
        <v>14.999000000000001</v>
      </c>
    </row>
    <row r="113" spans="1:66" ht="20.100000000000001" customHeight="1" x14ac:dyDescent="0.2">
      <c r="A113"/>
    </row>
    <row r="114" spans="1:66" ht="20.100000000000001" customHeight="1" x14ac:dyDescent="0.2">
      <c r="A114"/>
    </row>
    <row r="115" spans="1:66" ht="20.100000000000001" customHeight="1" x14ac:dyDescent="0.2">
      <c r="A115"/>
      <c r="D115" s="2" t="s">
        <v>2465</v>
      </c>
      <c r="BN115" s="22"/>
    </row>
    <row r="116" spans="1:66" ht="20.100000000000001" customHeight="1" x14ac:dyDescent="0.2">
      <c r="A116"/>
      <c r="D116" s="17" t="s">
        <v>2441</v>
      </c>
      <c r="BN116" s="22"/>
    </row>
    <row r="117" spans="1:66" ht="20.100000000000001" customHeight="1" x14ac:dyDescent="0.2">
      <c r="A117"/>
      <c r="D117" s="26" t="str" cm="1">
        <f t="array" ref="D117">"⚠️" &amp; Common_SourceData.Common_SourceData_RainfallZones_Variation()</f>
        <v>⚠️VARIATION OF SOURCE DATA: Added extra Rainfall min and Rainfall max columns to calculate zone from real rainfall data.</v>
      </c>
      <c r="BN117" s="22"/>
    </row>
    <row r="118" spans="1:66" ht="20.100000000000001" customHeight="1" x14ac:dyDescent="0.2">
      <c r="A118"/>
      <c r="BN118" s="22"/>
    </row>
    <row r="119" spans="1:66" ht="20.100000000000001" customHeight="1" x14ac:dyDescent="0.2">
      <c r="A119"/>
      <c r="D119" s="20" t="s">
        <v>60</v>
      </c>
      <c r="E119" s="20" t="s">
        <v>61</v>
      </c>
      <c r="F119" s="20" t="s">
        <v>49</v>
      </c>
      <c r="G119" s="20" t="s">
        <v>50</v>
      </c>
      <c r="BN119" s="22"/>
    </row>
    <row r="120" spans="1:66" ht="20.100000000000001" customHeight="1" x14ac:dyDescent="0.2">
      <c r="A120"/>
      <c r="D120" s="20" t="s">
        <v>2466</v>
      </c>
      <c r="E120" s="20" t="s">
        <v>2467</v>
      </c>
      <c r="F120" s="20">
        <v>600.00099999999998</v>
      </c>
      <c r="G120" s="20">
        <v>999999</v>
      </c>
      <c r="BN120" s="22"/>
    </row>
    <row r="121" spans="1:66" ht="20.100000000000001" customHeight="1" x14ac:dyDescent="0.2">
      <c r="A121"/>
      <c r="D121" s="20" t="s">
        <v>2468</v>
      </c>
      <c r="E121" s="20" t="s">
        <v>2469</v>
      </c>
      <c r="F121" s="20">
        <v>-999999</v>
      </c>
      <c r="G121" s="20">
        <v>600</v>
      </c>
      <c r="BN121" s="22"/>
    </row>
    <row r="122" spans="1:66" ht="20.100000000000001" customHeight="1" x14ac:dyDescent="0.2">
      <c r="A122"/>
      <c r="BN122" s="22"/>
    </row>
    <row r="123" spans="1:66" ht="20.100000000000001" customHeight="1" x14ac:dyDescent="0.2">
      <c r="A123"/>
    </row>
    <row r="124" spans="1:66" ht="20.100000000000001" customHeight="1" x14ac:dyDescent="0.2">
      <c r="A124"/>
      <c r="D124" s="2" t="s">
        <v>2470</v>
      </c>
    </row>
    <row r="125" spans="1:66" ht="20.100000000000001" customHeight="1" x14ac:dyDescent="0.2">
      <c r="A125"/>
      <c r="D125" s="17" t="s">
        <v>2441</v>
      </c>
    </row>
    <row r="126" spans="1:66" ht="20.100000000000001" customHeight="1" x14ac:dyDescent="0.2">
      <c r="A126"/>
    </row>
    <row r="127" spans="1:66" ht="20.100000000000001" customHeight="1" x14ac:dyDescent="0.2">
      <c r="A127"/>
      <c r="D127" s="20" t="s">
        <v>62</v>
      </c>
      <c r="E127" s="20" t="s">
        <v>63</v>
      </c>
    </row>
    <row r="128" spans="1:66" ht="20.100000000000001" customHeight="1" x14ac:dyDescent="0.2">
      <c r="A128"/>
      <c r="D128" s="20" t="s">
        <v>2471</v>
      </c>
      <c r="E128" s="20" t="s">
        <v>2472</v>
      </c>
    </row>
    <row r="129" spans="1:77" ht="20.100000000000001" customHeight="1" x14ac:dyDescent="0.2">
      <c r="A129"/>
      <c r="D129" s="20" t="s">
        <v>2473</v>
      </c>
      <c r="E129" s="20" t="s">
        <v>2474</v>
      </c>
    </row>
    <row r="130" spans="1:77" ht="20.100000000000001" customHeight="1" x14ac:dyDescent="0.2">
      <c r="A130"/>
    </row>
    <row r="131" spans="1:77" ht="20.100000000000001" customHeight="1" x14ac:dyDescent="0.2">
      <c r="A131"/>
    </row>
    <row r="132" spans="1:77" ht="20.100000000000001" customHeight="1" x14ac:dyDescent="0.2">
      <c r="A132"/>
      <c r="D132" s="2" t="s">
        <v>2475</v>
      </c>
      <c r="E132" s="8"/>
    </row>
    <row r="133" spans="1:77" ht="20.100000000000001" customHeight="1" x14ac:dyDescent="0.2">
      <c r="A133"/>
      <c r="D133" s="17" t="s">
        <v>2476</v>
      </c>
      <c r="E133" s="8"/>
    </row>
    <row r="134" spans="1:77" ht="20.100000000000001" customHeight="1" x14ac:dyDescent="0.2">
      <c r="A134"/>
      <c r="D134" t="s">
        <v>64</v>
      </c>
      <c r="E134" t="s">
        <v>65</v>
      </c>
    </row>
    <row r="135" spans="1:77" ht="20.100000000000001" customHeight="1" x14ac:dyDescent="0.2">
      <c r="A135"/>
      <c r="D135" t="s">
        <v>2477</v>
      </c>
      <c r="E135">
        <v>1</v>
      </c>
    </row>
    <row r="136" spans="1:77" ht="20.100000000000001" customHeight="1" x14ac:dyDescent="0.2">
      <c r="A136"/>
      <c r="D136" s="1" t="s">
        <v>2478</v>
      </c>
      <c r="E136" s="20">
        <v>0</v>
      </c>
    </row>
    <row r="137" spans="1:77" ht="20.100000000000001" customHeight="1" x14ac:dyDescent="0.2">
      <c r="A137"/>
    </row>
    <row r="138" spans="1:77" ht="20.100000000000001" customHeight="1" x14ac:dyDescent="0.2">
      <c r="A138"/>
      <c r="BN138" s="22"/>
      <c r="BO138" s="22"/>
      <c r="BP138" s="22"/>
      <c r="BQ138" s="22"/>
      <c r="BR138" s="22"/>
      <c r="BS138" s="22"/>
      <c r="BT138" s="22"/>
      <c r="BU138" s="22"/>
      <c r="BV138" s="22"/>
      <c r="BW138" s="22"/>
      <c r="BX138" s="22"/>
      <c r="BY138" s="22"/>
    </row>
    <row r="139" spans="1:77" ht="20.100000000000001" customHeight="1" x14ac:dyDescent="0.2">
      <c r="A139"/>
      <c r="D139" s="2" t="s">
        <v>2479</v>
      </c>
      <c r="BN139" s="22"/>
      <c r="BO139" s="22"/>
      <c r="BP139" s="22"/>
      <c r="BQ139" s="22"/>
      <c r="BR139" s="22"/>
      <c r="BS139" s="22"/>
      <c r="BT139" s="22"/>
      <c r="BU139" s="22"/>
      <c r="BV139" s="22"/>
      <c r="BW139" s="22"/>
      <c r="BX139" s="22"/>
      <c r="BY139" s="22"/>
    </row>
    <row r="140" spans="1:77" ht="20.100000000000001" customHeight="1" x14ac:dyDescent="0.2">
      <c r="A140"/>
      <c r="D140" s="17" t="s">
        <v>2480</v>
      </c>
      <c r="BN140" s="22"/>
      <c r="BO140" s="22"/>
      <c r="BP140" s="22"/>
      <c r="BQ140" s="22"/>
      <c r="BR140" s="22"/>
      <c r="BS140" s="22"/>
      <c r="BT140" s="22"/>
      <c r="BU140" s="22"/>
      <c r="BV140" s="22"/>
      <c r="BW140" s="22"/>
      <c r="BX140" s="22"/>
      <c r="BY140" s="22"/>
    </row>
    <row r="141" spans="1:77" ht="20.100000000000001" customHeight="1" x14ac:dyDescent="0.2">
      <c r="A141"/>
      <c r="D141" s="26" t="s">
        <v>2481</v>
      </c>
      <c r="BN141" s="22"/>
    </row>
    <row r="142" spans="1:77" ht="20.100000000000001" customHeight="1" x14ac:dyDescent="0.2">
      <c r="A142"/>
      <c r="D142" s="20" t="s">
        <v>66</v>
      </c>
      <c r="E142" s="20" t="s">
        <v>65</v>
      </c>
      <c r="BN142" s="22"/>
    </row>
    <row r="143" spans="1:77" ht="20.100000000000001" customHeight="1" x14ac:dyDescent="0.2">
      <c r="A143"/>
      <c r="D143" s="20" t="s">
        <v>490</v>
      </c>
      <c r="E143" s="20">
        <v>0</v>
      </c>
      <c r="BN143" s="22"/>
    </row>
    <row r="144" spans="1:77" ht="20.100000000000001" customHeight="1" x14ac:dyDescent="0.2">
      <c r="A144"/>
      <c r="D144" s="1" t="s">
        <v>494</v>
      </c>
      <c r="E144" s="20">
        <v>0</v>
      </c>
      <c r="BN144" s="22"/>
    </row>
    <row r="145" spans="1:66" ht="20.100000000000001" customHeight="1" x14ac:dyDescent="0.2">
      <c r="A145"/>
      <c r="D145" s="1" t="s">
        <v>355</v>
      </c>
      <c r="E145" s="20">
        <v>1</v>
      </c>
      <c r="BN145" s="22"/>
    </row>
    <row r="146" spans="1:66" ht="20.100000000000001" customHeight="1" x14ac:dyDescent="0.2">
      <c r="A146"/>
      <c r="D146" s="1" t="s">
        <v>502</v>
      </c>
      <c r="E146" s="20">
        <v>1</v>
      </c>
      <c r="BN146" s="22"/>
    </row>
    <row r="147" spans="1:66" ht="20.100000000000001" customHeight="1" x14ac:dyDescent="0.2">
      <c r="A147"/>
      <c r="D147" s="1" t="s">
        <v>504</v>
      </c>
      <c r="E147" s="20">
        <v>1</v>
      </c>
      <c r="BN147" s="22"/>
    </row>
    <row r="148" spans="1:66" ht="20.100000000000001" customHeight="1" x14ac:dyDescent="0.2">
      <c r="A148"/>
      <c r="BN148" s="22"/>
    </row>
    <row r="149" spans="1:66" ht="20.100000000000001" customHeight="1" x14ac:dyDescent="0.2">
      <c r="A149"/>
      <c r="BN149" s="22"/>
    </row>
    <row r="150" spans="1:66" ht="20.100000000000001" customHeight="1" x14ac:dyDescent="0.2">
      <c r="A150"/>
      <c r="D150" s="2" t="s">
        <v>2482</v>
      </c>
      <c r="BN150" s="22"/>
    </row>
    <row r="151" spans="1:66" ht="20.100000000000001" customHeight="1" x14ac:dyDescent="0.2">
      <c r="A151"/>
      <c r="D151" s="17" t="s">
        <v>2483</v>
      </c>
      <c r="BN151" s="22"/>
    </row>
    <row r="152" spans="1:66" ht="20.100000000000001" customHeight="1" x14ac:dyDescent="0.2">
      <c r="A152"/>
      <c r="BN152" s="22"/>
    </row>
    <row r="153" spans="1:66" ht="20.100000000000001" customHeight="1" x14ac:dyDescent="0.2">
      <c r="A153"/>
      <c r="D153" s="20" t="s">
        <v>67</v>
      </c>
      <c r="E153" s="20" t="s">
        <v>68</v>
      </c>
      <c r="BC153" s="25"/>
      <c r="BD153" s="25"/>
      <c r="BE153" s="25"/>
      <c r="BF153" s="25"/>
      <c r="BG153" s="25"/>
      <c r="BH153" s="25"/>
      <c r="BI153" s="25"/>
      <c r="BJ153" s="25"/>
      <c r="BK153" s="25"/>
      <c r="BL153" s="25"/>
      <c r="BM153" s="25"/>
    </row>
    <row r="154" spans="1:66" ht="20.100000000000001" customHeight="1" x14ac:dyDescent="0.2">
      <c r="A154"/>
      <c r="D154" s="20" t="s">
        <v>2484</v>
      </c>
      <c r="E154" s="20">
        <v>1</v>
      </c>
      <c r="BC154" s="25"/>
      <c r="BD154" s="25"/>
      <c r="BE154" s="25"/>
      <c r="BF154" s="25"/>
      <c r="BG154" s="25"/>
      <c r="BH154" s="25"/>
      <c r="BI154" s="25"/>
      <c r="BJ154" s="25"/>
      <c r="BK154" s="25"/>
      <c r="BL154" s="25"/>
      <c r="BM154" s="25"/>
    </row>
    <row r="155" spans="1:66" ht="20.100000000000001" customHeight="1" x14ac:dyDescent="0.2">
      <c r="A155"/>
      <c r="D155" s="20" t="s">
        <v>2485</v>
      </c>
      <c r="E155" s="20">
        <v>2</v>
      </c>
      <c r="BC155" s="25"/>
      <c r="BD155" s="25"/>
      <c r="BE155" s="25"/>
      <c r="BF155" s="25"/>
      <c r="BG155" s="25"/>
      <c r="BH155" s="25"/>
      <c r="BI155" s="25"/>
      <c r="BJ155" s="25"/>
      <c r="BK155" s="25"/>
      <c r="BL155" s="25"/>
      <c r="BM155" s="25"/>
    </row>
    <row r="156" spans="1:66" ht="20.100000000000001" customHeight="1" x14ac:dyDescent="0.2">
      <c r="A156"/>
      <c r="D156" s="20" t="s">
        <v>2486</v>
      </c>
      <c r="E156" s="20">
        <v>3</v>
      </c>
    </row>
    <row r="157" spans="1:66" ht="20.100000000000001" customHeight="1" x14ac:dyDescent="0.2">
      <c r="A157"/>
      <c r="D157" s="20" t="s">
        <v>2487</v>
      </c>
      <c r="E157" s="20">
        <v>4</v>
      </c>
    </row>
    <row r="158" spans="1:66" ht="20.100000000000001" customHeight="1" x14ac:dyDescent="0.2">
      <c r="A158"/>
      <c r="D158" s="20" t="s">
        <v>1076</v>
      </c>
      <c r="E158" s="20">
        <v>5</v>
      </c>
    </row>
    <row r="159" spans="1:66" ht="20.100000000000001" customHeight="1" x14ac:dyDescent="0.2">
      <c r="A159"/>
    </row>
    <row r="160" spans="1:66" ht="20.100000000000001" customHeight="1" x14ac:dyDescent="0.2">
      <c r="A160"/>
    </row>
    <row r="161" spans="4:68" ht="20.100000000000001" customHeight="1" x14ac:dyDescent="0.2">
      <c r="D161" s="2" t="s">
        <v>2475</v>
      </c>
      <c r="E161" s="8"/>
    </row>
    <row r="162" spans="4:68" ht="20.100000000000001" customHeight="1" x14ac:dyDescent="0.2">
      <c r="D162" s="17" t="s">
        <v>2476</v>
      </c>
      <c r="E162" s="8"/>
    </row>
    <row r="163" spans="4:68" ht="20.100000000000001" customHeight="1" x14ac:dyDescent="0.2">
      <c r="D163" s="17" t="s">
        <v>2488</v>
      </c>
      <c r="E163" s="8"/>
    </row>
    <row r="164" spans="4:68" ht="20.100000000000001" customHeight="1" x14ac:dyDescent="0.2">
      <c r="D164" s="8" t="s">
        <v>1362</v>
      </c>
      <c r="E164" s="8">
        <v>0.24</v>
      </c>
    </row>
    <row r="165" spans="4:68" ht="20.100000000000001" customHeight="1" x14ac:dyDescent="0.2">
      <c r="BN165" s="22"/>
      <c r="BO165" s="22"/>
      <c r="BP165" s="22"/>
    </row>
    <row r="166" spans="4:68" ht="20.100000000000001" customHeight="1" x14ac:dyDescent="0.2">
      <c r="BN166" s="22"/>
      <c r="BO166" s="22"/>
      <c r="BP166" s="22"/>
    </row>
    <row r="167" spans="4:68" ht="20.100000000000001" customHeight="1" x14ac:dyDescent="0.2">
      <c r="D167" s="2" t="s">
        <v>2013</v>
      </c>
      <c r="BN167" s="22"/>
      <c r="BO167" s="22"/>
      <c r="BP167" s="22"/>
    </row>
    <row r="168" spans="4:68" ht="20.100000000000001" customHeight="1" x14ac:dyDescent="0.2">
      <c r="D168" s="17" t="s">
        <v>2476</v>
      </c>
      <c r="BN168" s="22"/>
      <c r="BO168" s="22"/>
      <c r="BP168" s="22"/>
    </row>
    <row r="169" spans="4:68" ht="20.100000000000001" customHeight="1" x14ac:dyDescent="0.2">
      <c r="D169" s="17" t="s">
        <v>2489</v>
      </c>
      <c r="BN169" s="22"/>
      <c r="BO169" s="22"/>
      <c r="BP169" s="22"/>
    </row>
    <row r="170" spans="4:68" ht="20.100000000000001" customHeight="1" x14ac:dyDescent="0.2">
      <c r="D170" s="1" t="s">
        <v>2490</v>
      </c>
      <c r="E170" s="1">
        <v>1.0999999999999999E-2</v>
      </c>
      <c r="BN170" s="22"/>
      <c r="BO170" s="22"/>
      <c r="BP170" s="22"/>
    </row>
    <row r="171" spans="4:68" ht="20.100000000000001" customHeight="1" x14ac:dyDescent="0.2">
      <c r="BN171" s="22"/>
      <c r="BO171" s="22"/>
      <c r="BP171" s="22"/>
    </row>
    <row r="172" spans="4:68" ht="20.100000000000001" customHeight="1" x14ac:dyDescent="0.2">
      <c r="BN172" s="22"/>
      <c r="BO172" s="22"/>
      <c r="BP172" s="22"/>
    </row>
    <row r="173" spans="4:68" ht="20.100000000000001" customHeight="1" x14ac:dyDescent="0.2">
      <c r="D173" s="2" t="s">
        <v>2491</v>
      </c>
      <c r="BN173" s="22"/>
      <c r="BO173" s="22"/>
      <c r="BP173" s="22"/>
    </row>
    <row r="174" spans="4:68" ht="20.100000000000001" customHeight="1" x14ac:dyDescent="0.2">
      <c r="D174" s="17" t="s">
        <v>2492</v>
      </c>
      <c r="BN174" s="22"/>
      <c r="BO174" s="22"/>
      <c r="BP174" s="22"/>
    </row>
    <row r="175" spans="4:68" ht="20.100000000000001" customHeight="1" x14ac:dyDescent="0.2">
      <c r="D175" s="1">
        <v>0.6784</v>
      </c>
      <c r="E175" s="9" t="s">
        <v>1273</v>
      </c>
      <c r="BN175" s="22"/>
      <c r="BO175" s="22"/>
      <c r="BP175" s="22"/>
    </row>
    <row r="176" spans="4:68" ht="20.100000000000001" customHeight="1" x14ac:dyDescent="0.2">
      <c r="BN176" s="22"/>
      <c r="BO176" s="22"/>
      <c r="BP176" s="22"/>
    </row>
    <row r="177" spans="4:68" ht="20.100000000000001" customHeight="1" x14ac:dyDescent="0.2">
      <c r="BN177" s="22"/>
      <c r="BO177" s="22"/>
      <c r="BP177" s="22"/>
    </row>
    <row r="178" spans="4:68" ht="20.100000000000001" customHeight="1" x14ac:dyDescent="0.2">
      <c r="D178" s="2" t="s">
        <v>2493</v>
      </c>
      <c r="BN178" s="22"/>
      <c r="BO178" s="22"/>
      <c r="BP178" s="22"/>
    </row>
    <row r="179" spans="4:68" ht="20.100000000000001" customHeight="1" x14ac:dyDescent="0.2">
      <c r="D179" s="17" t="s">
        <v>2494</v>
      </c>
      <c r="BN179" s="22"/>
      <c r="BO179" s="22"/>
      <c r="BP179" s="22"/>
    </row>
    <row r="180" spans="4:68" ht="20.100000000000001" customHeight="1" x14ac:dyDescent="0.2">
      <c r="D180" s="9" t="s">
        <v>2495</v>
      </c>
    </row>
    <row r="181" spans="4:68" ht="20.100000000000001" customHeight="1" x14ac:dyDescent="0.2">
      <c r="D181" s="26" t="s">
        <v>2496</v>
      </c>
    </row>
    <row r="182" spans="4:68" ht="20.100000000000001" customHeight="1" x14ac:dyDescent="0.2">
      <c r="D182" s="26" t="s">
        <v>2497</v>
      </c>
    </row>
    <row r="183" spans="4:68" ht="20.100000000000001" customHeight="1" x14ac:dyDescent="0.2">
      <c r="D183" s="26" t="s">
        <v>2498</v>
      </c>
    </row>
    <row r="184" spans="4:68" ht="20.100000000000001" customHeight="1" x14ac:dyDescent="0.2">
      <c r="D184" s="26" t="s">
        <v>2499</v>
      </c>
    </row>
    <row r="185" spans="4:68" ht="20.100000000000001" customHeight="1" x14ac:dyDescent="0.2">
      <c r="D185" s="26" t="s">
        <v>2500</v>
      </c>
    </row>
    <row r="186" spans="4:68" ht="20.100000000000001" customHeight="1" x14ac:dyDescent="0.2">
      <c r="D186" s="20" t="s">
        <v>69</v>
      </c>
      <c r="E186" s="20" t="s">
        <v>70</v>
      </c>
      <c r="F186" s="20" t="s">
        <v>71</v>
      </c>
      <c r="G186" s="20" t="s">
        <v>72</v>
      </c>
      <c r="H186" s="20" t="s">
        <v>73</v>
      </c>
    </row>
    <row r="187" spans="4:68" ht="20.100000000000001" customHeight="1" x14ac:dyDescent="0.2">
      <c r="D187" s="20" t="s">
        <v>2501</v>
      </c>
      <c r="E187" s="20">
        <v>5.8999999999999999E-3</v>
      </c>
      <c r="F187" s="20" t="s">
        <v>174</v>
      </c>
      <c r="G187" s="20" t="s">
        <v>2443</v>
      </c>
      <c r="H187" s="20" t="s">
        <v>2443</v>
      </c>
    </row>
    <row r="188" spans="4:68" ht="20.100000000000001" customHeight="1" x14ac:dyDescent="0.2">
      <c r="D188" s="20" t="s">
        <v>2502</v>
      </c>
      <c r="E188" s="20">
        <v>7.0000000000000001E-3</v>
      </c>
      <c r="F188" s="20" t="s">
        <v>733</v>
      </c>
      <c r="G188" s="20" t="s">
        <v>2443</v>
      </c>
      <c r="H188" s="20" t="s">
        <v>2443</v>
      </c>
    </row>
    <row r="189" spans="4:68" ht="20.100000000000001" customHeight="1" x14ac:dyDescent="0.2">
      <c r="D189" s="20" t="s">
        <v>2503</v>
      </c>
      <c r="E189" s="20">
        <v>1.8E-3</v>
      </c>
      <c r="F189" s="20" t="s">
        <v>174</v>
      </c>
      <c r="G189" s="20" t="s">
        <v>490</v>
      </c>
      <c r="H189" s="20" t="s">
        <v>2468</v>
      </c>
    </row>
    <row r="190" spans="4:68" ht="20.100000000000001" customHeight="1" x14ac:dyDescent="0.2">
      <c r="D190" s="20" t="s">
        <v>2503</v>
      </c>
      <c r="E190" s="20">
        <v>1.8E-3</v>
      </c>
      <c r="F190" s="20" t="s">
        <v>174</v>
      </c>
      <c r="G190" s="20" t="s">
        <v>490</v>
      </c>
      <c r="H190" s="20" t="s">
        <v>2466</v>
      </c>
    </row>
    <row r="191" spans="4:68" ht="20.100000000000001" customHeight="1" x14ac:dyDescent="0.2">
      <c r="D191" s="20" t="s">
        <v>2504</v>
      </c>
      <c r="E191" s="20">
        <v>2.8999999999999998E-3</v>
      </c>
      <c r="F191" s="20" t="s">
        <v>733</v>
      </c>
      <c r="G191" s="20" t="s">
        <v>490</v>
      </c>
      <c r="H191" s="20" t="s">
        <v>2468</v>
      </c>
    </row>
    <row r="192" spans="4:68" ht="20.100000000000001" customHeight="1" x14ac:dyDescent="0.2">
      <c r="D192" s="20" t="s">
        <v>2505</v>
      </c>
      <c r="E192" s="20">
        <v>8.0000000000000002E-3</v>
      </c>
      <c r="F192" s="20" t="s">
        <v>733</v>
      </c>
      <c r="G192" s="20" t="s">
        <v>490</v>
      </c>
      <c r="H192" s="20" t="s">
        <v>2466</v>
      </c>
    </row>
    <row r="193" spans="4:8" ht="20.100000000000001" customHeight="1" x14ac:dyDescent="0.2">
      <c r="D193" s="20" t="s">
        <v>2506</v>
      </c>
      <c r="E193" s="20">
        <v>1.9900000000000001E-2</v>
      </c>
      <c r="F193" s="20" t="s">
        <v>2506</v>
      </c>
      <c r="G193" s="20" t="s">
        <v>2443</v>
      </c>
      <c r="H193" s="20" t="s">
        <v>2443</v>
      </c>
    </row>
    <row r="194" spans="4:8" ht="20.100000000000001" customHeight="1" x14ac:dyDescent="0.2">
      <c r="D194" s="20" t="s">
        <v>667</v>
      </c>
      <c r="E194" s="20">
        <v>5.3E-3</v>
      </c>
      <c r="F194" s="20" t="s">
        <v>667</v>
      </c>
      <c r="G194" s="20" t="s">
        <v>2443</v>
      </c>
      <c r="H194" s="20" t="s">
        <v>2443</v>
      </c>
    </row>
    <row r="195" spans="4:8" ht="20.100000000000001" customHeight="1" x14ac:dyDescent="0.2">
      <c r="D195" s="20" t="s">
        <v>2507</v>
      </c>
      <c r="E195" s="20">
        <v>6.4000000000000003E-3</v>
      </c>
      <c r="F195" s="20" t="s">
        <v>2507</v>
      </c>
      <c r="G195" s="20" t="s">
        <v>2443</v>
      </c>
      <c r="H195" s="20" t="s">
        <v>2443</v>
      </c>
    </row>
    <row r="196" spans="4:8" ht="20.100000000000001" customHeight="1" x14ac:dyDescent="0.2">
      <c r="D196" s="20" t="s">
        <v>2508</v>
      </c>
      <c r="E196" s="20">
        <v>3.0000000000000001E-3</v>
      </c>
      <c r="F196" s="20" t="s">
        <v>1860</v>
      </c>
      <c r="G196" s="20" t="s">
        <v>2509</v>
      </c>
      <c r="H196" s="20" t="s">
        <v>2443</v>
      </c>
    </row>
    <row r="197" spans="4:8" ht="20.100000000000001" customHeight="1" x14ac:dyDescent="0.2">
      <c r="D197" s="20" t="s">
        <v>2510</v>
      </c>
      <c r="E197" s="20">
        <v>5.0000000000000001E-3</v>
      </c>
      <c r="F197" s="20" t="s">
        <v>1860</v>
      </c>
      <c r="G197" s="20" t="s">
        <v>2511</v>
      </c>
      <c r="H197" s="20" t="s">
        <v>2443</v>
      </c>
    </row>
    <row r="198" spans="4:8" ht="20.100000000000001" customHeight="1" x14ac:dyDescent="0.2">
      <c r="D198" s="20" t="s">
        <v>2512</v>
      </c>
      <c r="E198" s="20">
        <v>2.5999999999999999E-3</v>
      </c>
      <c r="F198" s="20" t="s">
        <v>2512</v>
      </c>
      <c r="G198" s="20" t="s">
        <v>2443</v>
      </c>
      <c r="H198" s="20" t="s">
        <v>2443</v>
      </c>
    </row>
    <row r="199" spans="4:8" ht="20.100000000000001" customHeight="1" x14ac:dyDescent="0.2">
      <c r="D199" s="20" t="s">
        <v>2513</v>
      </c>
      <c r="E199" s="20">
        <v>1.8E-3</v>
      </c>
      <c r="F199" s="20" t="s">
        <v>2513</v>
      </c>
      <c r="G199" s="20" t="s">
        <v>2443</v>
      </c>
      <c r="H199" s="20" t="s">
        <v>2443</v>
      </c>
    </row>
    <row r="202" spans="4:8" ht="20.100000000000001" customHeight="1" x14ac:dyDescent="0.2">
      <c r="D202" s="2" t="s">
        <v>2514</v>
      </c>
    </row>
    <row r="203" spans="4:8" ht="20.100000000000001" customHeight="1" x14ac:dyDescent="0.2">
      <c r="D203" s="17" t="s">
        <v>2515</v>
      </c>
    </row>
    <row r="204" spans="4:8" ht="20.100000000000001" customHeight="1" x14ac:dyDescent="0.2">
      <c r="D204" s="26" t="s">
        <v>2516</v>
      </c>
    </row>
    <row r="205" spans="4:8" ht="20.100000000000001" customHeight="1" x14ac:dyDescent="0.2">
      <c r="D205" s="9" t="s">
        <v>2517</v>
      </c>
    </row>
    <row r="206" spans="4:8" ht="20.100000000000001" customHeight="1" x14ac:dyDescent="0.2">
      <c r="D206" s="20" t="s">
        <v>40</v>
      </c>
      <c r="E206" s="20" t="s">
        <v>74</v>
      </c>
    </row>
    <row r="207" spans="4:8" ht="20.100000000000001" customHeight="1" x14ac:dyDescent="0.2">
      <c r="D207" s="20" t="s">
        <v>1875</v>
      </c>
      <c r="E207" s="20">
        <v>6.0000000000000001E-3</v>
      </c>
    </row>
    <row r="208" spans="4:8" ht="20.100000000000001" customHeight="1" x14ac:dyDescent="0.2">
      <c r="D208" s="1" t="s">
        <v>1876</v>
      </c>
      <c r="E208" s="20">
        <v>2E-3</v>
      </c>
    </row>
    <row r="211" spans="4:5" ht="20.100000000000001" customHeight="1" x14ac:dyDescent="0.2">
      <c r="D211" s="1" t="s">
        <v>2518</v>
      </c>
    </row>
    <row r="212" spans="4:5" ht="20.100000000000001" customHeight="1" x14ac:dyDescent="0.2">
      <c r="D212" s="20" t="s">
        <v>75</v>
      </c>
      <c r="E212" s="20" t="s">
        <v>76</v>
      </c>
    </row>
    <row r="213" spans="4:5" ht="20.100000000000001" customHeight="1" x14ac:dyDescent="0.2">
      <c r="D213" s="20" t="s">
        <v>2519</v>
      </c>
      <c r="E213" s="20" t="s">
        <v>336</v>
      </c>
    </row>
    <row r="214" spans="4:5" ht="20.100000000000001" customHeight="1" x14ac:dyDescent="0.2">
      <c r="D214" s="1" t="s">
        <v>2520</v>
      </c>
      <c r="E214" s="20" t="s">
        <v>336</v>
      </c>
    </row>
    <row r="215" spans="4:5" ht="20.100000000000001" customHeight="1" x14ac:dyDescent="0.2">
      <c r="D215" s="1" t="s">
        <v>2521</v>
      </c>
      <c r="E215" s="20" t="s">
        <v>337</v>
      </c>
    </row>
    <row r="216" spans="4:5" ht="20.100000000000001" customHeight="1" x14ac:dyDescent="0.2">
      <c r="D216" s="1" t="s">
        <v>2522</v>
      </c>
      <c r="E216" s="20" t="s">
        <v>337</v>
      </c>
    </row>
    <row r="217" spans="4:5" ht="20.100000000000001" customHeight="1" x14ac:dyDescent="0.2">
      <c r="D217" s="1" t="s">
        <v>2523</v>
      </c>
      <c r="E217" s="20" t="s">
        <v>337</v>
      </c>
    </row>
    <row r="218" spans="4:5" ht="20.100000000000001" customHeight="1" x14ac:dyDescent="0.2">
      <c r="D218" s="1" t="s">
        <v>2524</v>
      </c>
      <c r="E218" s="20" t="s">
        <v>338</v>
      </c>
    </row>
    <row r="219" spans="4:5" ht="20.100000000000001" customHeight="1" x14ac:dyDescent="0.2">
      <c r="D219" s="1" t="s">
        <v>2525</v>
      </c>
      <c r="E219" s="20" t="s">
        <v>338</v>
      </c>
    </row>
    <row r="220" spans="4:5" ht="20.100000000000001" customHeight="1" x14ac:dyDescent="0.2">
      <c r="D220" s="1" t="s">
        <v>2526</v>
      </c>
      <c r="E220" s="20" t="s">
        <v>338</v>
      </c>
    </row>
    <row r="221" spans="4:5" ht="20.100000000000001" customHeight="1" x14ac:dyDescent="0.2">
      <c r="D221" s="1" t="s">
        <v>2527</v>
      </c>
      <c r="E221" s="20" t="s">
        <v>335</v>
      </c>
    </row>
    <row r="222" spans="4:5" ht="20.100000000000001" customHeight="1" x14ac:dyDescent="0.2">
      <c r="D222" s="1" t="s">
        <v>2528</v>
      </c>
      <c r="E222" s="20" t="s">
        <v>335</v>
      </c>
    </row>
    <row r="223" spans="4:5" ht="20.100000000000001" customHeight="1" x14ac:dyDescent="0.2">
      <c r="D223" s="1" t="s">
        <v>2529</v>
      </c>
      <c r="E223" s="20" t="s">
        <v>335</v>
      </c>
    </row>
    <row r="224" spans="4:5" ht="20.100000000000001" customHeight="1" x14ac:dyDescent="0.2">
      <c r="D224" s="1" t="s">
        <v>2530</v>
      </c>
      <c r="E224" s="20" t="s">
        <v>336</v>
      </c>
    </row>
    <row r="227" spans="4:19" ht="20.100000000000001" customHeight="1" x14ac:dyDescent="0.2">
      <c r="D227" s="2" t="s">
        <v>2531</v>
      </c>
    </row>
    <row r="228" spans="4:19" ht="20.100000000000001" customHeight="1" x14ac:dyDescent="0.2">
      <c r="D228" s="17" t="s">
        <v>2532</v>
      </c>
    </row>
    <row r="229" spans="4:19" ht="20.100000000000001" customHeight="1" x14ac:dyDescent="0.2">
      <c r="D229" s="26" t="s">
        <v>2533</v>
      </c>
    </row>
    <row r="231" spans="4:19" ht="20.100000000000001" customHeight="1" x14ac:dyDescent="0.2">
      <c r="D231" s="20" t="s">
        <v>77</v>
      </c>
      <c r="E231" s="20" t="s">
        <v>78</v>
      </c>
      <c r="F231" s="27" t="s">
        <v>79</v>
      </c>
      <c r="G231" s="20" t="s">
        <v>80</v>
      </c>
      <c r="H231" s="20" t="s">
        <v>81</v>
      </c>
      <c r="I231" s="20" t="s">
        <v>82</v>
      </c>
      <c r="J231" s="20" t="s">
        <v>83</v>
      </c>
      <c r="K231" s="20" t="s">
        <v>84</v>
      </c>
      <c r="L231" s="20" t="s">
        <v>85</v>
      </c>
      <c r="M231" s="20" t="s">
        <v>86</v>
      </c>
      <c r="N231" s="20" t="s">
        <v>87</v>
      </c>
      <c r="O231" s="20" t="s">
        <v>88</v>
      </c>
      <c r="P231" s="20" t="s">
        <v>89</v>
      </c>
      <c r="Q231" s="20" t="s">
        <v>90</v>
      </c>
      <c r="R231" s="20" t="s">
        <v>91</v>
      </c>
      <c r="S231" s="20" t="s">
        <v>92</v>
      </c>
    </row>
    <row r="232" spans="4:19" ht="20.100000000000001" customHeight="1" x14ac:dyDescent="0.2">
      <c r="D232" s="20" t="s">
        <v>2463</v>
      </c>
      <c r="E232" s="20" t="s">
        <v>2534</v>
      </c>
      <c r="F232" s="20">
        <v>0.66</v>
      </c>
      <c r="G232" s="20">
        <v>0.1</v>
      </c>
      <c r="H232" s="20">
        <v>0.1</v>
      </c>
      <c r="I232" s="20">
        <v>1E-3</v>
      </c>
      <c r="J232" s="20">
        <v>5.0000000000000001E-3</v>
      </c>
      <c r="K232" s="20">
        <v>0.02</v>
      </c>
      <c r="L232" s="20">
        <v>0.03</v>
      </c>
      <c r="M232" s="20">
        <v>0.04</v>
      </c>
      <c r="N232" s="20">
        <v>1.4999999999999999E-2</v>
      </c>
      <c r="O232" s="20">
        <v>1.4999999999999999E-2</v>
      </c>
      <c r="P232" s="20">
        <v>0</v>
      </c>
      <c r="Q232" s="20">
        <v>0</v>
      </c>
      <c r="R232" s="20">
        <v>4.7000000000000002E-3</v>
      </c>
      <c r="S232" s="20">
        <v>10</v>
      </c>
    </row>
    <row r="233" spans="4:19" ht="20.100000000000001" customHeight="1" x14ac:dyDescent="0.2">
      <c r="D233" s="1" t="s">
        <v>2463</v>
      </c>
      <c r="E233" s="20">
        <v>11</v>
      </c>
      <c r="F233" s="20">
        <v>0.68</v>
      </c>
      <c r="G233" s="20">
        <v>0.1</v>
      </c>
      <c r="H233" s="20">
        <v>0.11</v>
      </c>
      <c r="I233" s="20">
        <v>1E-3</v>
      </c>
      <c r="J233" s="20">
        <v>5.0000000000000001E-3</v>
      </c>
      <c r="K233" s="20">
        <v>0.02</v>
      </c>
      <c r="L233" s="20">
        <v>0.03</v>
      </c>
      <c r="M233" s="20">
        <v>0.04</v>
      </c>
      <c r="N233" s="20">
        <v>1.4999999999999999E-2</v>
      </c>
      <c r="O233" s="20">
        <v>1.4999999999999999E-2</v>
      </c>
      <c r="P233" s="20">
        <v>0</v>
      </c>
      <c r="Q233" s="20">
        <v>0</v>
      </c>
      <c r="R233" s="20">
        <v>4.7000000000000002E-3</v>
      </c>
      <c r="S233" s="20">
        <v>11</v>
      </c>
    </row>
    <row r="234" spans="4:19" ht="20.100000000000001" customHeight="1" x14ac:dyDescent="0.2">
      <c r="D234" s="1" t="s">
        <v>2463</v>
      </c>
      <c r="E234" s="20">
        <v>12</v>
      </c>
      <c r="F234" s="20">
        <v>0.7</v>
      </c>
      <c r="G234" s="20">
        <v>0.1</v>
      </c>
      <c r="H234" s="20">
        <v>0.13</v>
      </c>
      <c r="I234" s="20">
        <v>1E-3</v>
      </c>
      <c r="J234" s="20">
        <v>5.0000000000000001E-3</v>
      </c>
      <c r="K234" s="20">
        <v>0.02</v>
      </c>
      <c r="L234" s="20">
        <v>0.03</v>
      </c>
      <c r="M234" s="20">
        <v>0.04</v>
      </c>
      <c r="N234" s="20">
        <v>1.4999999999999999E-2</v>
      </c>
      <c r="O234" s="20">
        <v>1.4999999999999999E-2</v>
      </c>
      <c r="P234" s="20">
        <v>0</v>
      </c>
      <c r="Q234" s="20">
        <v>0</v>
      </c>
      <c r="R234" s="20">
        <v>4.7000000000000002E-3</v>
      </c>
      <c r="S234" s="20">
        <v>12</v>
      </c>
    </row>
    <row r="235" spans="4:19" ht="20.100000000000001" customHeight="1" x14ac:dyDescent="0.2">
      <c r="D235" s="1" t="s">
        <v>2463</v>
      </c>
      <c r="E235" s="20">
        <v>13</v>
      </c>
      <c r="F235" s="20">
        <v>0.71</v>
      </c>
      <c r="G235" s="20">
        <v>0.1</v>
      </c>
      <c r="H235" s="20">
        <v>0.14000000000000001</v>
      </c>
      <c r="I235" s="20">
        <v>1E-3</v>
      </c>
      <c r="J235" s="20">
        <v>5.0000000000000001E-3</v>
      </c>
      <c r="K235" s="20">
        <v>0.02</v>
      </c>
      <c r="L235" s="20">
        <v>0.03</v>
      </c>
      <c r="M235" s="20">
        <v>0.04</v>
      </c>
      <c r="N235" s="20">
        <v>1.4999999999999999E-2</v>
      </c>
      <c r="O235" s="20">
        <v>1.4999999999999999E-2</v>
      </c>
      <c r="P235" s="20">
        <v>0</v>
      </c>
      <c r="Q235" s="20">
        <v>0</v>
      </c>
      <c r="R235" s="20">
        <v>4.7000000000000002E-3</v>
      </c>
      <c r="S235" s="20">
        <v>13</v>
      </c>
    </row>
    <row r="236" spans="4:19" ht="20.100000000000001" customHeight="1" x14ac:dyDescent="0.2">
      <c r="D236" s="1" t="s">
        <v>2463</v>
      </c>
      <c r="E236" s="20">
        <v>14</v>
      </c>
      <c r="F236" s="20">
        <v>0.73</v>
      </c>
      <c r="G236" s="20">
        <v>0.1</v>
      </c>
      <c r="H236" s="20">
        <v>0.15</v>
      </c>
      <c r="I236" s="20">
        <v>1E-3</v>
      </c>
      <c r="J236" s="20">
        <v>5.0000000000000001E-3</v>
      </c>
      <c r="K236" s="20">
        <v>0.02</v>
      </c>
      <c r="L236" s="20">
        <v>0.03</v>
      </c>
      <c r="M236" s="20">
        <v>0.04</v>
      </c>
      <c r="N236" s="20">
        <v>1.4999999999999999E-2</v>
      </c>
      <c r="O236" s="20">
        <v>1.4999999999999999E-2</v>
      </c>
      <c r="P236" s="20">
        <v>0</v>
      </c>
      <c r="Q236" s="20">
        <v>0</v>
      </c>
      <c r="R236" s="20">
        <v>4.7000000000000002E-3</v>
      </c>
      <c r="S236" s="20">
        <v>14</v>
      </c>
    </row>
    <row r="237" spans="4:19" ht="20.100000000000001" customHeight="1" x14ac:dyDescent="0.2">
      <c r="D237" s="1" t="s">
        <v>2461</v>
      </c>
      <c r="E237" s="20">
        <v>15</v>
      </c>
      <c r="F237" s="20">
        <v>0.74</v>
      </c>
      <c r="G237" s="20">
        <v>0.1</v>
      </c>
      <c r="H237" s="20">
        <v>0.17</v>
      </c>
      <c r="I237" s="20">
        <v>5.0000000000000001E-3</v>
      </c>
      <c r="J237" s="20">
        <v>0.01</v>
      </c>
      <c r="K237" s="20">
        <v>0.02</v>
      </c>
      <c r="L237" s="20">
        <v>0.03</v>
      </c>
      <c r="M237" s="20">
        <v>0.04</v>
      </c>
      <c r="N237" s="20">
        <v>1.4999999999999999E-2</v>
      </c>
      <c r="O237" s="20">
        <v>1.4999999999999999E-2</v>
      </c>
      <c r="P237" s="20">
        <v>0</v>
      </c>
      <c r="Q237" s="20">
        <v>0</v>
      </c>
      <c r="R237" s="20">
        <v>4.7000000000000002E-3</v>
      </c>
      <c r="S237" s="20">
        <v>15</v>
      </c>
    </row>
    <row r="238" spans="4:19" ht="20.100000000000001" customHeight="1" x14ac:dyDescent="0.2">
      <c r="D238" s="1" t="s">
        <v>2461</v>
      </c>
      <c r="E238" s="20">
        <v>16</v>
      </c>
      <c r="F238" s="20">
        <v>0.75</v>
      </c>
      <c r="G238" s="20">
        <v>0.1</v>
      </c>
      <c r="H238" s="20">
        <v>0.18</v>
      </c>
      <c r="I238" s="20">
        <v>5.0000000000000001E-3</v>
      </c>
      <c r="J238" s="20">
        <v>0.01</v>
      </c>
      <c r="K238" s="20">
        <v>0.02</v>
      </c>
      <c r="L238" s="20">
        <v>0.03</v>
      </c>
      <c r="M238" s="20">
        <v>0.04</v>
      </c>
      <c r="N238" s="20">
        <v>1.4999999999999999E-2</v>
      </c>
      <c r="O238" s="20">
        <v>1.4999999999999999E-2</v>
      </c>
      <c r="P238" s="20">
        <v>0</v>
      </c>
      <c r="Q238" s="20">
        <v>0</v>
      </c>
      <c r="R238" s="20">
        <v>4.7000000000000002E-3</v>
      </c>
      <c r="S238" s="20">
        <v>16</v>
      </c>
    </row>
    <row r="239" spans="4:19" ht="20.100000000000001" customHeight="1" x14ac:dyDescent="0.2">
      <c r="D239" s="1" t="s">
        <v>2461</v>
      </c>
      <c r="E239" s="20">
        <v>17</v>
      </c>
      <c r="F239" s="20">
        <v>0.76</v>
      </c>
      <c r="G239" s="20">
        <v>0.1</v>
      </c>
      <c r="H239" s="20">
        <v>0.2</v>
      </c>
      <c r="I239" s="20">
        <v>5.0000000000000001E-3</v>
      </c>
      <c r="J239" s="20">
        <v>0.01</v>
      </c>
      <c r="K239" s="20">
        <v>0.02</v>
      </c>
      <c r="L239" s="20">
        <v>0.03</v>
      </c>
      <c r="M239" s="20">
        <v>0.04</v>
      </c>
      <c r="N239" s="20">
        <v>1.4999999999999999E-2</v>
      </c>
      <c r="O239" s="20">
        <v>1.4999999999999999E-2</v>
      </c>
      <c r="P239" s="20">
        <v>0</v>
      </c>
      <c r="Q239" s="20">
        <v>0</v>
      </c>
      <c r="R239" s="20">
        <v>4.7000000000000002E-3</v>
      </c>
      <c r="S239" s="20">
        <v>17</v>
      </c>
    </row>
    <row r="240" spans="4:19" ht="20.100000000000001" customHeight="1" x14ac:dyDescent="0.2">
      <c r="D240" s="1" t="s">
        <v>2461</v>
      </c>
      <c r="E240" s="20">
        <v>18</v>
      </c>
      <c r="F240" s="20">
        <v>0.77</v>
      </c>
      <c r="G240" s="20">
        <v>0.1</v>
      </c>
      <c r="H240" s="20">
        <v>0.22</v>
      </c>
      <c r="I240" s="20">
        <v>5.0000000000000001E-3</v>
      </c>
      <c r="J240" s="20">
        <v>0.01</v>
      </c>
      <c r="K240" s="20">
        <v>0.02</v>
      </c>
      <c r="L240" s="20">
        <v>0.03</v>
      </c>
      <c r="M240" s="20">
        <v>0.04</v>
      </c>
      <c r="N240" s="20">
        <v>1.4999999999999999E-2</v>
      </c>
      <c r="O240" s="20">
        <v>1.4999999999999999E-2</v>
      </c>
      <c r="P240" s="20">
        <v>0</v>
      </c>
      <c r="Q240" s="20">
        <v>0</v>
      </c>
      <c r="R240" s="20">
        <v>4.7000000000000002E-3</v>
      </c>
      <c r="S240" s="20">
        <v>18</v>
      </c>
    </row>
    <row r="241" spans="4:19" ht="20.100000000000001" customHeight="1" x14ac:dyDescent="0.2">
      <c r="D241" s="1" t="s">
        <v>2461</v>
      </c>
      <c r="E241" s="20">
        <v>19</v>
      </c>
      <c r="F241" s="20">
        <v>0.77</v>
      </c>
      <c r="G241" s="20">
        <v>0.1</v>
      </c>
      <c r="H241" s="20">
        <v>0.24</v>
      </c>
      <c r="I241" s="20">
        <v>5.0000000000000001E-3</v>
      </c>
      <c r="J241" s="20">
        <v>0.01</v>
      </c>
      <c r="K241" s="20">
        <v>0.02</v>
      </c>
      <c r="L241" s="20">
        <v>0.03</v>
      </c>
      <c r="M241" s="20">
        <v>0.04</v>
      </c>
      <c r="N241" s="20">
        <v>1.4999999999999999E-2</v>
      </c>
      <c r="O241" s="20">
        <v>1.4999999999999999E-2</v>
      </c>
      <c r="P241" s="20">
        <v>0</v>
      </c>
      <c r="Q241" s="20">
        <v>0</v>
      </c>
      <c r="R241" s="20">
        <v>4.7000000000000002E-3</v>
      </c>
      <c r="S241" s="20">
        <v>19</v>
      </c>
    </row>
    <row r="242" spans="4:19" ht="20.100000000000001" customHeight="1" x14ac:dyDescent="0.2">
      <c r="D242" s="1" t="s">
        <v>2461</v>
      </c>
      <c r="E242" s="20">
        <v>20</v>
      </c>
      <c r="F242" s="20">
        <v>0.78</v>
      </c>
      <c r="G242" s="20">
        <v>0.1</v>
      </c>
      <c r="H242" s="20">
        <v>0.26</v>
      </c>
      <c r="I242" s="20">
        <v>5.0000000000000001E-3</v>
      </c>
      <c r="J242" s="20">
        <v>0.01</v>
      </c>
      <c r="K242" s="20">
        <v>0.02</v>
      </c>
      <c r="L242" s="20">
        <v>0.03</v>
      </c>
      <c r="M242" s="20">
        <v>0.04</v>
      </c>
      <c r="N242" s="20">
        <v>1.4999999999999999E-2</v>
      </c>
      <c r="O242" s="20">
        <v>1.4999999999999999E-2</v>
      </c>
      <c r="P242" s="20">
        <v>0</v>
      </c>
      <c r="Q242" s="20">
        <v>0</v>
      </c>
      <c r="R242" s="20">
        <v>4.7000000000000002E-3</v>
      </c>
      <c r="S242" s="20">
        <v>20</v>
      </c>
    </row>
    <row r="243" spans="4:19" ht="20.100000000000001" customHeight="1" x14ac:dyDescent="0.2">
      <c r="D243" s="1" t="s">
        <v>2461</v>
      </c>
      <c r="E243" s="20">
        <v>21</v>
      </c>
      <c r="F243" s="20">
        <v>0.78</v>
      </c>
      <c r="G243" s="20">
        <v>0.1</v>
      </c>
      <c r="H243" s="20">
        <v>0.28999999999999998</v>
      </c>
      <c r="I243" s="20">
        <v>5.0000000000000001E-3</v>
      </c>
      <c r="J243" s="20">
        <v>0.01</v>
      </c>
      <c r="K243" s="20">
        <v>0.02</v>
      </c>
      <c r="L243" s="20">
        <v>0.03</v>
      </c>
      <c r="M243" s="20">
        <v>0.04</v>
      </c>
      <c r="N243" s="20">
        <v>1.4999999999999999E-2</v>
      </c>
      <c r="O243" s="20">
        <v>1.4999999999999999E-2</v>
      </c>
      <c r="P243" s="20">
        <v>0</v>
      </c>
      <c r="Q243" s="20">
        <v>0</v>
      </c>
      <c r="R243" s="20">
        <v>4.7000000000000002E-3</v>
      </c>
      <c r="S243" s="20">
        <v>21</v>
      </c>
    </row>
    <row r="244" spans="4:19" ht="20.100000000000001" customHeight="1" x14ac:dyDescent="0.2">
      <c r="D244" s="1" t="s">
        <v>2461</v>
      </c>
      <c r="E244" s="20">
        <v>22</v>
      </c>
      <c r="F244" s="20">
        <v>0.78</v>
      </c>
      <c r="G244" s="20">
        <v>0.1</v>
      </c>
      <c r="H244" s="20">
        <v>0.31</v>
      </c>
      <c r="I244" s="20">
        <v>5.0000000000000001E-3</v>
      </c>
      <c r="J244" s="20">
        <v>0.01</v>
      </c>
      <c r="K244" s="20">
        <v>0.02</v>
      </c>
      <c r="L244" s="20">
        <v>0.03</v>
      </c>
      <c r="M244" s="20">
        <v>0.04</v>
      </c>
      <c r="N244" s="20">
        <v>1.4999999999999999E-2</v>
      </c>
      <c r="O244" s="20">
        <v>1.4999999999999999E-2</v>
      </c>
      <c r="P244" s="20">
        <v>0</v>
      </c>
      <c r="Q244" s="20">
        <v>0</v>
      </c>
      <c r="R244" s="20">
        <v>4.7000000000000002E-3</v>
      </c>
      <c r="S244" s="20">
        <v>22</v>
      </c>
    </row>
    <row r="245" spans="4:19" ht="20.100000000000001" customHeight="1" x14ac:dyDescent="0.2">
      <c r="D245" s="1" t="s">
        <v>2461</v>
      </c>
      <c r="E245" s="20">
        <v>23</v>
      </c>
      <c r="F245" s="20">
        <v>0.79</v>
      </c>
      <c r="G245" s="20">
        <v>0.1</v>
      </c>
      <c r="H245" s="20">
        <v>0.34</v>
      </c>
      <c r="I245" s="20">
        <v>5.0000000000000001E-3</v>
      </c>
      <c r="J245" s="20">
        <v>0.01</v>
      </c>
      <c r="K245" s="20">
        <v>0.02</v>
      </c>
      <c r="L245" s="20">
        <v>0.03</v>
      </c>
      <c r="M245" s="20">
        <v>0.04</v>
      </c>
      <c r="N245" s="20">
        <v>1.4999999999999999E-2</v>
      </c>
      <c r="O245" s="20">
        <v>1.4999999999999999E-2</v>
      </c>
      <c r="P245" s="20">
        <v>0</v>
      </c>
      <c r="Q245" s="20">
        <v>0</v>
      </c>
      <c r="R245" s="20">
        <v>4.7000000000000002E-3</v>
      </c>
      <c r="S245" s="20">
        <v>23</v>
      </c>
    </row>
    <row r="246" spans="4:19" ht="20.100000000000001" customHeight="1" x14ac:dyDescent="0.2">
      <c r="D246" s="1" t="s">
        <v>2461</v>
      </c>
      <c r="E246" s="20">
        <v>24</v>
      </c>
      <c r="F246" s="20">
        <v>0.79</v>
      </c>
      <c r="G246" s="20">
        <v>0.1</v>
      </c>
      <c r="H246" s="20">
        <v>0.37</v>
      </c>
      <c r="I246" s="20">
        <v>5.0000000000000001E-3</v>
      </c>
      <c r="J246" s="20">
        <v>0.01</v>
      </c>
      <c r="K246" s="20">
        <v>0.02</v>
      </c>
      <c r="L246" s="20">
        <v>0.03</v>
      </c>
      <c r="M246" s="20">
        <v>0.04</v>
      </c>
      <c r="N246" s="20">
        <v>1.4999999999999999E-2</v>
      </c>
      <c r="O246" s="20">
        <v>1.4999999999999999E-2</v>
      </c>
      <c r="P246" s="20">
        <v>0</v>
      </c>
      <c r="Q246" s="20">
        <v>0</v>
      </c>
      <c r="R246" s="20">
        <v>4.7000000000000002E-3</v>
      </c>
      <c r="S246" s="20">
        <v>24</v>
      </c>
    </row>
    <row r="247" spans="4:19" ht="20.100000000000001" customHeight="1" x14ac:dyDescent="0.2">
      <c r="D247" s="1" t="s">
        <v>2461</v>
      </c>
      <c r="E247" s="20">
        <v>25</v>
      </c>
      <c r="F247" s="20">
        <v>0.79</v>
      </c>
      <c r="G247" s="20">
        <v>0.1</v>
      </c>
      <c r="H247" s="20">
        <v>0.41</v>
      </c>
      <c r="I247" s="20">
        <v>5.0000000000000001E-3</v>
      </c>
      <c r="J247" s="20">
        <v>0.01</v>
      </c>
      <c r="K247" s="20">
        <v>0.02</v>
      </c>
      <c r="L247" s="20">
        <v>0.03</v>
      </c>
      <c r="M247" s="20">
        <v>0.04</v>
      </c>
      <c r="N247" s="20">
        <v>1.4999999999999999E-2</v>
      </c>
      <c r="O247" s="20">
        <v>1.4999999999999999E-2</v>
      </c>
      <c r="P247" s="20">
        <v>0</v>
      </c>
      <c r="Q247" s="20">
        <v>0</v>
      </c>
      <c r="R247" s="20">
        <v>4.7000000000000002E-3</v>
      </c>
      <c r="S247" s="20">
        <v>25</v>
      </c>
    </row>
    <row r="248" spans="4:19" ht="20.100000000000001" customHeight="1" x14ac:dyDescent="0.2">
      <c r="D248" s="1" t="s">
        <v>2459</v>
      </c>
      <c r="E248" s="20">
        <v>26</v>
      </c>
      <c r="F248" s="20">
        <v>0.79</v>
      </c>
      <c r="G248" s="20">
        <v>0.1</v>
      </c>
      <c r="H248" s="20">
        <v>0.44</v>
      </c>
      <c r="I248" s="20">
        <v>0.01</v>
      </c>
      <c r="J248" s="20">
        <v>1.4999999999999999E-2</v>
      </c>
      <c r="K248" s="20">
        <v>0.02</v>
      </c>
      <c r="L248" s="20">
        <v>0.03</v>
      </c>
      <c r="M248" s="20">
        <v>0.04</v>
      </c>
      <c r="N248" s="20">
        <v>1.4999999999999999E-2</v>
      </c>
      <c r="O248" s="20">
        <v>1.4999999999999999E-2</v>
      </c>
      <c r="P248" s="20">
        <v>0</v>
      </c>
      <c r="Q248" s="20">
        <v>0</v>
      </c>
      <c r="R248" s="20">
        <v>4.7000000000000002E-3</v>
      </c>
      <c r="S248" s="20">
        <v>26</v>
      </c>
    </row>
    <row r="249" spans="4:19" ht="20.100000000000001" customHeight="1" x14ac:dyDescent="0.2">
      <c r="D249" s="1" t="s">
        <v>2459</v>
      </c>
      <c r="E249" s="20">
        <v>27</v>
      </c>
      <c r="F249" s="20">
        <v>0.8</v>
      </c>
      <c r="G249" s="20">
        <v>0.1</v>
      </c>
      <c r="H249" s="20">
        <v>0.48</v>
      </c>
      <c r="I249" s="20">
        <v>0.01</v>
      </c>
      <c r="J249" s="20">
        <v>1.4999999999999999E-2</v>
      </c>
      <c r="K249" s="20">
        <v>0.02</v>
      </c>
      <c r="L249" s="20">
        <v>0.03</v>
      </c>
      <c r="M249" s="20">
        <v>0.04</v>
      </c>
      <c r="N249" s="20">
        <v>1.4999999999999999E-2</v>
      </c>
      <c r="O249" s="20">
        <v>1.4999999999999999E-2</v>
      </c>
      <c r="P249" s="20">
        <v>0</v>
      </c>
      <c r="Q249" s="20">
        <v>0</v>
      </c>
      <c r="R249" s="20">
        <v>4.7000000000000002E-3</v>
      </c>
      <c r="S249" s="20">
        <v>27</v>
      </c>
    </row>
    <row r="250" spans="4:19" ht="20.100000000000001" customHeight="1" x14ac:dyDescent="0.2">
      <c r="D250" s="1" t="s">
        <v>2459</v>
      </c>
      <c r="E250" s="20" t="s">
        <v>2535</v>
      </c>
      <c r="F250" s="20">
        <v>0.8</v>
      </c>
      <c r="G250" s="20">
        <v>0.1</v>
      </c>
      <c r="H250" s="20">
        <v>0.5</v>
      </c>
      <c r="I250" s="20">
        <v>0.01</v>
      </c>
      <c r="J250" s="20">
        <v>1.4999999999999999E-2</v>
      </c>
      <c r="K250" s="20">
        <v>0.02</v>
      </c>
      <c r="L250" s="20">
        <v>0.03</v>
      </c>
      <c r="M250" s="20">
        <v>0.04</v>
      </c>
      <c r="N250" s="20">
        <v>1.4999999999999999E-2</v>
      </c>
      <c r="O250" s="20">
        <v>1.4999999999999999E-2</v>
      </c>
      <c r="P250" s="20">
        <v>0</v>
      </c>
      <c r="Q250" s="20">
        <v>0</v>
      </c>
      <c r="R250" s="20">
        <v>4.7000000000000002E-3</v>
      </c>
      <c r="S250" s="20">
        <v>28</v>
      </c>
    </row>
    <row r="253" spans="4:19" ht="20.100000000000001" customHeight="1" x14ac:dyDescent="0.2">
      <c r="D253" s="2" t="s">
        <v>1873</v>
      </c>
    </row>
    <row r="254" spans="4:19" ht="20.100000000000001" customHeight="1" x14ac:dyDescent="0.2">
      <c r="D254" s="17" t="s">
        <v>1874</v>
      </c>
    </row>
    <row r="255" spans="4:19" ht="20.100000000000001" customHeight="1" x14ac:dyDescent="0.2">
      <c r="D255" s="1" t="s">
        <v>94</v>
      </c>
    </row>
    <row r="256" spans="4:19" ht="20.100000000000001" customHeight="1" x14ac:dyDescent="0.2">
      <c r="D256" s="9" t="s">
        <v>2517</v>
      </c>
    </row>
    <row r="257" spans="4:66" ht="20.100000000000001" customHeight="1" x14ac:dyDescent="0.2">
      <c r="D257" s="20" t="s">
        <v>93</v>
      </c>
      <c r="E257" s="20" t="s">
        <v>94</v>
      </c>
    </row>
    <row r="258" spans="4:66" ht="20.100000000000001" customHeight="1" x14ac:dyDescent="0.2">
      <c r="D258" s="20" t="s">
        <v>1875</v>
      </c>
      <c r="E258" s="20">
        <v>6.0000000000000001E-3</v>
      </c>
    </row>
    <row r="259" spans="4:66" ht="20.100000000000001" customHeight="1" x14ac:dyDescent="0.2">
      <c r="D259" s="1" t="s">
        <v>1876</v>
      </c>
      <c r="E259" s="20">
        <v>5.0000000000000001E-3</v>
      </c>
    </row>
    <row r="263" spans="4:66" ht="20.100000000000001" customHeight="1" x14ac:dyDescent="0.2">
      <c r="D263" s="2" t="s">
        <v>192</v>
      </c>
    </row>
    <row r="264" spans="4:66" ht="20.100000000000001" customHeight="1" x14ac:dyDescent="0.2">
      <c r="D264" s="1" t="s">
        <v>193</v>
      </c>
    </row>
    <row r="265" spans="4:66" ht="20.100000000000001" customHeight="1" x14ac:dyDescent="0.2">
      <c r="D265" s="20" t="s">
        <v>269</v>
      </c>
      <c r="E265" s="20" t="s">
        <v>194</v>
      </c>
      <c r="F265" s="20" t="s">
        <v>195</v>
      </c>
      <c r="G265" s="20" t="s">
        <v>188</v>
      </c>
      <c r="V265" s="1"/>
      <c r="BN265" s="22"/>
    </row>
    <row r="266" spans="4:66" ht="20.100000000000001" customHeight="1" x14ac:dyDescent="0.2">
      <c r="D266" s="20" t="s">
        <v>240</v>
      </c>
      <c r="E266" s="20" t="s">
        <v>196</v>
      </c>
      <c r="F266" s="20" t="s">
        <v>197</v>
      </c>
      <c r="G266" s="20">
        <v>5</v>
      </c>
      <c r="V266" s="1"/>
      <c r="BN266" s="22"/>
    </row>
    <row r="267" spans="4:66" ht="20.100000000000001" customHeight="1" x14ac:dyDescent="0.2">
      <c r="D267" s="20" t="s">
        <v>247</v>
      </c>
      <c r="E267" s="20" t="s">
        <v>198</v>
      </c>
      <c r="F267" s="20" t="s">
        <v>189</v>
      </c>
      <c r="G267" s="20">
        <v>4</v>
      </c>
      <c r="V267" s="1"/>
      <c r="BN267" s="22"/>
    </row>
    <row r="268" spans="4:66" ht="20.100000000000001" customHeight="1" x14ac:dyDescent="0.2">
      <c r="D268" s="20" t="s">
        <v>248</v>
      </c>
      <c r="E268" s="20" t="s">
        <v>199</v>
      </c>
      <c r="F268" s="20" t="s">
        <v>200</v>
      </c>
      <c r="G268" s="20">
        <v>3</v>
      </c>
      <c r="V268" s="1"/>
      <c r="BN268" s="22"/>
    </row>
    <row r="269" spans="4:66" ht="20.100000000000001" customHeight="1" x14ac:dyDescent="0.2">
      <c r="D269" s="20" t="s">
        <v>267</v>
      </c>
      <c r="E269" s="20" t="s">
        <v>201</v>
      </c>
      <c r="F269" s="20" t="s">
        <v>202</v>
      </c>
      <c r="G269" s="20">
        <v>2</v>
      </c>
      <c r="V269" s="1"/>
      <c r="BN269" s="22"/>
    </row>
    <row r="270" spans="4:66" ht="20.100000000000001" customHeight="1" x14ac:dyDescent="0.2">
      <c r="D270" s="20" t="s">
        <v>268</v>
      </c>
      <c r="E270" s="20" t="s">
        <v>203</v>
      </c>
      <c r="F270" s="20" t="s">
        <v>204</v>
      </c>
      <c r="G270" s="20">
        <v>1</v>
      </c>
      <c r="V270" s="1"/>
      <c r="BN270" s="22"/>
    </row>
    <row r="273" spans="4:66" ht="20.100000000000001" customHeight="1" x14ac:dyDescent="0.2">
      <c r="D273" s="1" t="s">
        <v>205</v>
      </c>
    </row>
    <row r="274" spans="4:66" ht="20.100000000000001" customHeight="1" x14ac:dyDescent="0.2">
      <c r="D274" s="20" t="s">
        <v>269</v>
      </c>
      <c r="E274" s="20" t="s">
        <v>194</v>
      </c>
      <c r="F274" s="20" t="s">
        <v>195</v>
      </c>
      <c r="G274" s="20" t="s">
        <v>188</v>
      </c>
      <c r="V274" s="1"/>
      <c r="BN274" s="22"/>
    </row>
    <row r="275" spans="4:66" ht="20.100000000000001" customHeight="1" x14ac:dyDescent="0.2">
      <c r="D275" s="20" t="s">
        <v>265</v>
      </c>
      <c r="E275" s="20" t="s">
        <v>206</v>
      </c>
      <c r="F275" s="20" t="s">
        <v>190</v>
      </c>
      <c r="G275" s="20">
        <v>5</v>
      </c>
      <c r="V275" s="1"/>
      <c r="BN275" s="22"/>
    </row>
    <row r="276" spans="4:66" ht="20.100000000000001" customHeight="1" x14ac:dyDescent="0.2">
      <c r="D276" s="20" t="s">
        <v>241</v>
      </c>
      <c r="E276" s="20" t="s">
        <v>207</v>
      </c>
      <c r="F276" s="20" t="s">
        <v>208</v>
      </c>
      <c r="G276" s="20">
        <v>4</v>
      </c>
      <c r="V276" s="1"/>
      <c r="BN276" s="22"/>
    </row>
    <row r="277" spans="4:66" ht="20.100000000000001" customHeight="1" x14ac:dyDescent="0.2">
      <c r="D277" s="20" t="s">
        <v>244</v>
      </c>
      <c r="E277" s="20" t="s">
        <v>209</v>
      </c>
      <c r="F277" s="20" t="s">
        <v>210</v>
      </c>
      <c r="G277" s="20">
        <v>3</v>
      </c>
      <c r="V277" s="1"/>
      <c r="BN277" s="22"/>
    </row>
    <row r="278" spans="4:66" ht="20.100000000000001" customHeight="1" x14ac:dyDescent="0.2">
      <c r="D278" s="20" t="s">
        <v>260</v>
      </c>
      <c r="E278" s="20" t="s">
        <v>211</v>
      </c>
      <c r="F278" s="20" t="s">
        <v>212</v>
      </c>
      <c r="G278" s="20">
        <v>2</v>
      </c>
      <c r="V278" s="1"/>
      <c r="BN278" s="22"/>
    </row>
    <row r="279" spans="4:66" ht="20.100000000000001" customHeight="1" x14ac:dyDescent="0.2">
      <c r="D279" s="20" t="s">
        <v>266</v>
      </c>
      <c r="E279" s="20" t="s">
        <v>213</v>
      </c>
      <c r="F279" s="20" t="s">
        <v>214</v>
      </c>
      <c r="G279" s="20">
        <v>1</v>
      </c>
      <c r="V279" s="1"/>
      <c r="BN279" s="22"/>
    </row>
    <row r="282" spans="4:66" ht="20.100000000000001" customHeight="1" x14ac:dyDescent="0.2">
      <c r="D282" s="1" t="s">
        <v>215</v>
      </c>
    </row>
    <row r="283" spans="4:66" ht="20.100000000000001" customHeight="1" x14ac:dyDescent="0.2">
      <c r="D283" s="20" t="s">
        <v>269</v>
      </c>
      <c r="E283" s="20" t="s">
        <v>194</v>
      </c>
      <c r="F283" s="20" t="s">
        <v>195</v>
      </c>
      <c r="G283" s="20" t="s">
        <v>188</v>
      </c>
      <c r="V283" s="1"/>
      <c r="BN283" s="22"/>
    </row>
    <row r="284" spans="4:66" ht="20.100000000000001" customHeight="1" x14ac:dyDescent="0.2">
      <c r="D284" s="20" t="s">
        <v>242</v>
      </c>
      <c r="E284" s="20" t="s">
        <v>216</v>
      </c>
      <c r="F284" s="20" t="s">
        <v>217</v>
      </c>
      <c r="G284" s="20">
        <v>5</v>
      </c>
      <c r="V284" s="1"/>
      <c r="BN284" s="22"/>
    </row>
    <row r="285" spans="4:66" ht="20.100000000000001" customHeight="1" x14ac:dyDescent="0.2">
      <c r="D285" s="20" t="s">
        <v>245</v>
      </c>
      <c r="E285" s="20" t="s">
        <v>218</v>
      </c>
      <c r="F285" s="20" t="s">
        <v>219</v>
      </c>
      <c r="G285" s="20">
        <v>4</v>
      </c>
      <c r="V285" s="1"/>
      <c r="BN285" s="22"/>
    </row>
    <row r="286" spans="4:66" ht="20.100000000000001" customHeight="1" x14ac:dyDescent="0.2">
      <c r="D286" s="20" t="s">
        <v>243</v>
      </c>
      <c r="E286" s="20" t="s">
        <v>220</v>
      </c>
      <c r="F286" s="20" t="s">
        <v>191</v>
      </c>
      <c r="G286" s="20">
        <v>3</v>
      </c>
      <c r="V286" s="1"/>
      <c r="BN286" s="22"/>
    </row>
    <row r="287" spans="4:66" ht="20.100000000000001" customHeight="1" x14ac:dyDescent="0.2">
      <c r="D287" s="20" t="s">
        <v>254</v>
      </c>
      <c r="E287" s="20" t="s">
        <v>221</v>
      </c>
      <c r="F287" s="20" t="s">
        <v>222</v>
      </c>
      <c r="G287" s="20">
        <v>2</v>
      </c>
      <c r="V287" s="1"/>
      <c r="BN287" s="22"/>
    </row>
    <row r="288" spans="4:66" ht="20.100000000000001" customHeight="1" x14ac:dyDescent="0.2">
      <c r="D288" s="20" t="s">
        <v>255</v>
      </c>
      <c r="E288" s="20" t="s">
        <v>223</v>
      </c>
      <c r="F288" s="20" t="s">
        <v>224</v>
      </c>
      <c r="G288" s="20">
        <v>1</v>
      </c>
      <c r="V288" s="1"/>
      <c r="BN288" s="22"/>
    </row>
    <row r="291" spans="4:66" ht="20.100000000000001" customHeight="1" x14ac:dyDescent="0.2">
      <c r="D291" s="1" t="s">
        <v>225</v>
      </c>
    </row>
    <row r="292" spans="4:66" ht="20.100000000000001" customHeight="1" x14ac:dyDescent="0.2">
      <c r="D292" s="20" t="s">
        <v>269</v>
      </c>
      <c r="E292" s="20" t="s">
        <v>194</v>
      </c>
      <c r="F292" s="20" t="s">
        <v>195</v>
      </c>
      <c r="G292" s="20" t="s">
        <v>188</v>
      </c>
      <c r="V292" s="1"/>
      <c r="BN292" s="22"/>
    </row>
    <row r="293" spans="4:66" ht="20.100000000000001" customHeight="1" x14ac:dyDescent="0.2">
      <c r="D293" s="20" t="s">
        <v>270</v>
      </c>
      <c r="E293" s="20" t="s">
        <v>226</v>
      </c>
      <c r="F293" s="20" t="s">
        <v>227</v>
      </c>
      <c r="G293" s="20">
        <v>5</v>
      </c>
      <c r="V293" s="1"/>
      <c r="BN293" s="22"/>
    </row>
    <row r="294" spans="4:66" ht="20.100000000000001" customHeight="1" x14ac:dyDescent="0.2">
      <c r="D294" s="20" t="s">
        <v>271</v>
      </c>
      <c r="E294" s="20" t="s">
        <v>228</v>
      </c>
      <c r="F294" s="20" t="s">
        <v>229</v>
      </c>
      <c r="G294" s="20">
        <v>4</v>
      </c>
      <c r="V294" s="1"/>
      <c r="BN294" s="22"/>
    </row>
    <row r="295" spans="4:66" ht="20.100000000000001" customHeight="1" x14ac:dyDescent="0.2">
      <c r="D295" s="20" t="s">
        <v>272</v>
      </c>
      <c r="E295" s="20" t="s">
        <v>230</v>
      </c>
      <c r="F295" s="20" t="s">
        <v>231</v>
      </c>
      <c r="G295" s="20">
        <v>3</v>
      </c>
      <c r="V295" s="1"/>
      <c r="BN295" s="22"/>
    </row>
    <row r="296" spans="4:66" ht="20.100000000000001" customHeight="1" x14ac:dyDescent="0.2">
      <c r="D296" s="20" t="s">
        <v>273</v>
      </c>
      <c r="E296" s="20" t="s">
        <v>232</v>
      </c>
      <c r="F296" s="20" t="s">
        <v>233</v>
      </c>
      <c r="G296" s="20">
        <v>2</v>
      </c>
      <c r="V296" s="1"/>
      <c r="BN296" s="22"/>
    </row>
    <row r="297" spans="4:66" ht="20.100000000000001" customHeight="1" x14ac:dyDescent="0.2">
      <c r="D297" s="20" t="s">
        <v>274</v>
      </c>
      <c r="E297" s="20" t="s">
        <v>234</v>
      </c>
      <c r="F297" s="20" t="s">
        <v>235</v>
      </c>
      <c r="G297" s="20">
        <v>1</v>
      </c>
      <c r="V297" s="1"/>
      <c r="BN297" s="22"/>
    </row>
  </sheetData>
  <pageMargins left="0.7" right="0.7" top="0.75" bottom="0.75" header="0.3" footer="0.3"/>
  <pageSetup paperSize="9" orientation="portrait" r:id="rId1"/>
  <tableParts count="21">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 r:id="rId19"/>
    <tablePart r:id="rId20"/>
    <tablePart r:id="rId21"/>
    <tablePart r:id="rId22"/>
  </tableParts>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417A14-4503-48D8-A485-FCC399BFEAAD}">
  <sheetPr>
    <tabColor theme="2" tint="-0.499984740745262"/>
  </sheetPr>
  <dimension ref="A1:A60"/>
  <sheetViews>
    <sheetView zoomScaleNormal="100" workbookViewId="0">
      <pane xSplit="1" topLeftCell="B1" activePane="topRight" state="frozen"/>
      <selection pane="topRight" activeCell="A11" sqref="A11"/>
    </sheetView>
  </sheetViews>
  <sheetFormatPr defaultRowHeight="20.100000000000001" customHeight="1" x14ac:dyDescent="0.2"/>
  <cols>
    <col min="1" max="1" width="36.7109375" customWidth="1"/>
  </cols>
  <sheetData>
    <row r="1" spans="1:1" ht="30" customHeight="1" x14ac:dyDescent="0.35">
      <c r="A1" s="10" t="e" vm="1">
        <v>#VALUE!</v>
      </c>
    </row>
    <row r="3" spans="1:1" ht="20.100000000000001" customHeight="1" x14ac:dyDescent="0.2">
      <c r="A3" s="5" t="str">
        <f>HYPERLINK("#'Home'!A1", "Home")</f>
        <v>Home</v>
      </c>
    </row>
    <row r="4" spans="1:1" ht="20.100000000000001" customHeight="1" x14ac:dyDescent="0.2">
      <c r="A4" s="5" t="str">
        <f>HYPERLINK("#'Results - Activity period'!A1", "Results - Activity period")</f>
        <v>Results - Activity period</v>
      </c>
    </row>
    <row r="5" spans="1:1" ht="20.100000000000001" customHeight="1" x14ac:dyDescent="0.2">
      <c r="A5" s="5" t="str">
        <f>HYPERLINK("#'Results - Product EI'!A1", "Results - Product Emissions Intensity")</f>
        <v>Results - Product Emissions Intensity</v>
      </c>
    </row>
    <row r="8" spans="1:1" ht="20.100000000000001" customHeight="1" x14ac:dyDescent="0.2">
      <c r="A8" s="7" t="s">
        <v>0</v>
      </c>
    </row>
    <row r="9" spans="1:1" ht="20.100000000000001" customHeight="1" x14ac:dyDescent="0.2">
      <c r="A9" s="5" t="str">
        <f>HYPERLINK("#'Input - Enterprise'!A1", "Enterprise")</f>
        <v>Enterprise</v>
      </c>
    </row>
    <row r="10" spans="1:1" ht="20.100000000000001" customHeight="1" x14ac:dyDescent="0.2">
      <c r="A10" s="5" t="str">
        <f>HYPERLINK("#'Input - Site'!A1", "Site")</f>
        <v>Site</v>
      </c>
    </row>
    <row r="11" spans="1:1" ht="20.100000000000001" customHeight="1" x14ac:dyDescent="0.2">
      <c r="A11" s="5" t="str">
        <f>HYPERLINK("#'Input - Pasture Beef'!A1", "Pasture Beef")</f>
        <v>Pasture Beef</v>
      </c>
    </row>
    <row r="12" spans="1:1" ht="20.100000000000001" customHeight="1" x14ac:dyDescent="0.2">
      <c r="A12" s="5" t="str">
        <f>HYPERLINK("#'Input - Livestock sales'!A1", "Livestock sales")</f>
        <v>Livestock sales</v>
      </c>
    </row>
    <row r="13" spans="1:1" ht="20.100000000000001" customHeight="1" x14ac:dyDescent="0.2">
      <c r="A13" s="5" t="str">
        <f>HYPERLINK("#'Input - Beef cattle purchases'!A1", "Beef cattle purchases")</f>
        <v>Beef cattle purchases</v>
      </c>
    </row>
    <row r="14" spans="1:1" ht="20.100000000000001" customHeight="1" x14ac:dyDescent="0.2">
      <c r="A14" s="5" t="str">
        <f>HYPERLINK("#'Input - Pasture'!A1", "Pasture")</f>
        <v>Pasture</v>
      </c>
    </row>
    <row r="15" spans="1:1" ht="20.100000000000001" customHeight="1" x14ac:dyDescent="0.2">
      <c r="A15" s="5" t="str">
        <f>HYPERLINK("#'Input - Fert Prod System'!A1", "Fert Prod System")</f>
        <v>Fert Prod System</v>
      </c>
    </row>
    <row r="16" spans="1:1" ht="20.100000000000001" customHeight="1" x14ac:dyDescent="0.2">
      <c r="A16" s="5" t="str">
        <f>HYPERLINK("#'Input - Fertiliser'!A1", "Fertiliser")</f>
        <v>Fertiliser</v>
      </c>
    </row>
    <row r="17" spans="1:1" ht="20.100000000000001" customHeight="1" x14ac:dyDescent="0.2">
      <c r="A17" s="5" t="str">
        <f>HYPERLINK("#'Input - Fuel'!A1", "Fuel")</f>
        <v>Fuel</v>
      </c>
    </row>
    <row r="18" spans="1:1" ht="20.100000000000001" customHeight="1" x14ac:dyDescent="0.2">
      <c r="A18" s="5" t="str">
        <f>HYPERLINK("#'Input - Electricity'!A1", "Electricity")</f>
        <v>Electricity</v>
      </c>
    </row>
    <row r="19" spans="1:1" ht="20.100000000000001" customHeight="1" x14ac:dyDescent="0.2">
      <c r="A19" s="5" t="str">
        <f>HYPERLINK("#'Input - Common farm inputs'!A1", "Common farm inputs")</f>
        <v>Common farm inputs</v>
      </c>
    </row>
    <row r="20" spans="1:1" ht="20.100000000000001" customHeight="1" x14ac:dyDescent="0.2">
      <c r="A20" s="5" t="str">
        <f>HYPERLINK("#'Input - Crop pasture farm input'!A1", "Crop pasture farm input")</f>
        <v>Crop pasture farm input</v>
      </c>
    </row>
    <row r="21" spans="1:1" ht="20.100000000000001" customHeight="1" x14ac:dyDescent="0.2">
      <c r="A21" s="5" t="str">
        <f>HYPERLINK("#'Input - Livestock farm Inputs'!A1", "Livestock farm Inputs")</f>
        <v>Livestock farm Inputs</v>
      </c>
    </row>
    <row r="22" spans="1:1" ht="20.100000000000001" customHeight="1" x14ac:dyDescent="0.2">
      <c r="A22" s="5" t="str">
        <f>HYPERLINK("#'Input - Freight'!A1", "Freight")</f>
        <v>Freight</v>
      </c>
    </row>
    <row r="23" spans="1:1" ht="20.100000000000001" customHeight="1" x14ac:dyDescent="0.2">
      <c r="A23" s="5" t="str">
        <f>HYPERLINK("#'Input - Solid waste'!A1", "Solid waste")</f>
        <v>Solid waste</v>
      </c>
    </row>
    <row r="24" spans="1:1" ht="20.100000000000001" customHeight="1" x14ac:dyDescent="0.2">
      <c r="A24" s="5" t="str">
        <f>HYPERLINK("#'Input - Manure sent off-site'!A1", "Manure sent off-site")</f>
        <v>Manure sent off-site</v>
      </c>
    </row>
    <row r="25" spans="1:1" ht="20.100000000000001" customHeight="1" x14ac:dyDescent="0.2">
      <c r="A25" s="5" t="str">
        <f>HYPERLINK("#'Input - Data quality'!A1", "Data quality")</f>
        <v>Data quality</v>
      </c>
    </row>
    <row r="28" spans="1:1" ht="20.100000000000001" customHeight="1" x14ac:dyDescent="0.2">
      <c r="A28" s="6" t="s">
        <v>2</v>
      </c>
    </row>
    <row r="29" spans="1:1" ht="20.100000000000001" customHeight="1" x14ac:dyDescent="0.2">
      <c r="A29" s="5" t="str">
        <f>HYPERLINK("#'3.2.1.1-2 Enteric Methane'!A1", "3.2.1.1-2 Enteric Methane")</f>
        <v>3.2.1.1-2 Enteric Methane</v>
      </c>
    </row>
    <row r="30" spans="1:1" ht="20.100000000000001" customHeight="1" x14ac:dyDescent="0.2">
      <c r="A30" s="5" t="str">
        <f>HYPERLINK("#'4.2.1.1-2 Methane'!A1", "4.2.1.1-2 Manure methane")</f>
        <v>4.2.1.1-2 Manure methane</v>
      </c>
    </row>
    <row r="31" spans="1:1" ht="20.100000000000001" customHeight="1" x14ac:dyDescent="0.2">
      <c r="A31" s="5" t="str">
        <f>HYPERLINK("#'4.2.1.3-4 Soil direct N20'!A1", "4.2.1.3-4 Soil direct N2O")</f>
        <v>4.2.1.3-4 Soil direct N2O</v>
      </c>
    </row>
    <row r="32" spans="1:1" ht="20.100000000000001" customHeight="1" x14ac:dyDescent="0.2">
      <c r="A32" s="5" t="str">
        <f>HYPERLINK("#'4.2.1.5-6 Soil Atmos Dep'!A1", "4.2.1.5-6 Soil atm. deposition")</f>
        <v>4.2.1.5-6 Soil atm. deposition</v>
      </c>
    </row>
    <row r="33" spans="1:1" ht="20.100000000000001" customHeight="1" x14ac:dyDescent="0.2">
      <c r="A33" s="5" t="str">
        <f>HYPERLINK("#'4.2.1.7-8 Soil leach runoff'!A1", "4.2.1.7-8 Soil leach &amp; runoff")</f>
        <v>4.2.1.7-8 Soil leach &amp; runoff</v>
      </c>
    </row>
    <row r="34" spans="1:1" ht="20.100000000000001" customHeight="1" x14ac:dyDescent="0.2">
      <c r="A34" s="5" t="str">
        <f>HYPERLINK("#'5.1.1.1-2 Inorganic fert N2O'!A1", "5.1.1.1-2 Inorganic fert N2O")</f>
        <v>5.1.1.1-2 Inorganic fert N2O</v>
      </c>
    </row>
    <row r="35" spans="1:1" ht="20.100000000000001" customHeight="1" x14ac:dyDescent="0.2">
      <c r="A35" s="5" t="str">
        <f>HYPERLINK("#'5.1.1.3-4 Inorganic fert CO2'!A1", "5.1.1.3-4 Inorganic fert CO2")</f>
        <v>5.1.1.3-4 Inorganic fert CO2</v>
      </c>
    </row>
    <row r="36" spans="1:1" ht="20.100000000000001" customHeight="1" x14ac:dyDescent="0.2">
      <c r="A36" s="5" t="str">
        <f>HYPERLINK("#'5.2.1.1-2 Organic Fert N2O'!A1", "5.2.1.1-2 Organic fert N2O")</f>
        <v>5.2.1.1-2 Organic fert N2O</v>
      </c>
    </row>
    <row r="37" spans="1:1" ht="20.100000000000001" customHeight="1" x14ac:dyDescent="0.2">
      <c r="A37" s="5" t="str">
        <f>HYPERLINK("#'5.3.1.1-2 Lime CO2'!A1", "5.3.1.1-2 Lime CO2")</f>
        <v>5.3.1.1-2 Lime CO2</v>
      </c>
    </row>
    <row r="38" spans="1:1" ht="20.100000000000001" customHeight="1" x14ac:dyDescent="0.2">
      <c r="A38" s="5" t="str">
        <f>HYPERLINK("#'5.4.1.1-4 Atmos deposition'!A1", "5.4.1.1-4 Atmos. deposition")</f>
        <v>5.4.1.1-4 Atmos. deposition</v>
      </c>
    </row>
    <row r="39" spans="1:1" ht="20.100000000000001" customHeight="1" x14ac:dyDescent="0.2">
      <c r="A39" s="5" t="str">
        <f>HYPERLINK("#'5.5.1.1-2 Leaching and runoff'!A1", "5.5.1.1-2 Leaching &amp; runoff")</f>
        <v>5.5.1.1-2 Leaching &amp; runoff</v>
      </c>
    </row>
    <row r="40" spans="1:1" ht="20.100000000000001" customHeight="1" x14ac:dyDescent="0.2">
      <c r="A40" s="5" t="str">
        <f>HYPERLINK("#'6.2.1.1-2 Pasture residue N2O'!A1", "6.2.1.1-2 Pasture residue N2O")</f>
        <v>6.2.1.1-2 Pasture residue N2O</v>
      </c>
    </row>
    <row r="41" spans="1:1" ht="20.100000000000001" customHeight="1" x14ac:dyDescent="0.2">
      <c r="A41" s="5" t="str">
        <f>HYPERLINK("#'6.3.1.1-2 Leach runoff pasture'!A1", "6.3.1.1-2 Leach &amp; runoff (pasture)")</f>
        <v>6.3.1.1-2 Leach &amp; runoff (pasture)</v>
      </c>
    </row>
    <row r="42" spans="1:1" ht="20.100000000000001" customHeight="1" x14ac:dyDescent="0.2">
      <c r="A42" s="5" t="str">
        <f>HYPERLINK("#'8.1.1.1-2 Transport fuel'!A1", "8.1.1.1-2 Transport fuel")</f>
        <v>8.1.1.1-2 Transport fuel</v>
      </c>
    </row>
    <row r="43" spans="1:1" ht="20.100000000000001" customHeight="1" x14ac:dyDescent="0.2">
      <c r="A43" s="5" t="str">
        <f>HYPERLINK("#'8.2.1.1-2 Stationary fuel'!A1", "8.2.1.1-2 Stationary fuel")</f>
        <v>8.2.1.1-2 Stationary fuel</v>
      </c>
    </row>
    <row r="44" spans="1:1" ht="20.100000000000001" customHeight="1" x14ac:dyDescent="0.2">
      <c r="A44" s="5" t="str">
        <f>HYPERLINK("#'10.1.1-2 Solid waste treatment'!A1", "10.1.1.1-2 Solid waste")</f>
        <v>10.1.1.1-2 Solid waste</v>
      </c>
    </row>
    <row r="45" spans="1:1" ht="20.100000000000001" customHeight="1" x14ac:dyDescent="0.2">
      <c r="A45" s="5" t="str">
        <f>HYPERLINK("#'14.1.1-2 Purchased electricity'!A1", "14.1.1-2 Purchased electricity")</f>
        <v>14.1.1-2 Purchased electricity</v>
      </c>
    </row>
    <row r="46" spans="1:1" ht="20.100000000000001" customHeight="1" x14ac:dyDescent="0.2">
      <c r="A46" s="5" t="str">
        <f>HYPERLINK("#'15 Scope 3'!A1", "15 Scope 3")</f>
        <v>15 Scope 3</v>
      </c>
    </row>
    <row r="47" spans="1:1" ht="20.100000000000001" customHeight="1" x14ac:dyDescent="0.2">
      <c r="A47" s="5" t="str">
        <f>HYPERLINK("#'Calcs - Manure sent off-site'!A1", "Calcs - Manure sent off-site")</f>
        <v>Calcs - Manure sent off-site</v>
      </c>
    </row>
    <row r="50" spans="1:1" ht="20.100000000000001" customHeight="1" x14ac:dyDescent="0.2">
      <c r="A50" s="85" t="s">
        <v>1</v>
      </c>
    </row>
    <row r="51" spans="1:1" ht="20.100000000000001" customHeight="1" x14ac:dyDescent="0.2">
      <c r="A51" s="5" t="str">
        <f>HYPERLINK("#'Constants - Pasture Beef'!A1", "Constants - Pasture Beef")</f>
        <v>Constants - Pasture Beef</v>
      </c>
    </row>
    <row r="52" spans="1:1" ht="20.100000000000001" customHeight="1" x14ac:dyDescent="0.2">
      <c r="A52" s="5" t="str">
        <f>HYPERLINK("#'Constants - Ag Residue'!A1", "Constants - Ag residue")</f>
        <v>Constants - Ag residue</v>
      </c>
    </row>
    <row r="53" spans="1:1" ht="20.100000000000001" customHeight="1" x14ac:dyDescent="0.2">
      <c r="A53" s="5" t="str">
        <f>HYPERLINK("#'Constants - Common Livestock'!A1", "Constants - Common Livestock")</f>
        <v>Constants - Common Livestock</v>
      </c>
    </row>
    <row r="54" spans="1:1" ht="20.100000000000001" customHeight="1" x14ac:dyDescent="0.2">
      <c r="A54" s="5" t="str">
        <f>HYPERLINK("#'Constants - Electricity'!A1", "Constants - Electricity")</f>
        <v>Constants - Electricity</v>
      </c>
    </row>
    <row r="55" spans="1:1" ht="20.100000000000001" customHeight="1" x14ac:dyDescent="0.2">
      <c r="A55" s="5" t="str">
        <f>HYPERLINK("#'Constants - Fertiliser'!A1", "Constants - Fertiliser")</f>
        <v>Constants - Fertiliser</v>
      </c>
    </row>
    <row r="56" spans="1:1" ht="20.100000000000001" customHeight="1" x14ac:dyDescent="0.2">
      <c r="A56" s="5" t="str">
        <f>HYPERLINK("#'Constants - Fuel'!A1", "Constants - Fuel")</f>
        <v>Constants - Fuel</v>
      </c>
    </row>
    <row r="57" spans="1:1" ht="20.100000000000001" customHeight="1" x14ac:dyDescent="0.2">
      <c r="A57" s="5" t="str">
        <f>HYPERLINK("#'Constants - Scope 3'!A1", "Constants - Scope 3")</f>
        <v>Constants - Scope 3</v>
      </c>
    </row>
    <row r="58" spans="1:1" ht="20.100000000000001" customHeight="1" x14ac:dyDescent="0.2">
      <c r="A58" s="5" t="str">
        <f>HYPERLINK("#'Constants - Solid Waste'!A1", "Constants - Solid Waste")</f>
        <v>Constants - Solid Waste</v>
      </c>
    </row>
    <row r="59" spans="1:1" ht="20.100000000000001" customHeight="1" x14ac:dyDescent="0.2">
      <c r="A59" s="5" t="str">
        <f>HYPERLINK("#'Constants - Common'!A1", "Constants - Common")</f>
        <v>Constants - Common</v>
      </c>
    </row>
    <row r="60" spans="1:1" ht="20.100000000000001" customHeight="1" x14ac:dyDescent="0.2">
      <c r="A60" s="86" t="str">
        <f>HYPERLINK("#'Acknowledgements'!A1", "Acknowledgements")</f>
        <v>Acknowledgements</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09eef6d6-daa8-4301-8f9f-b1ec38079286" xsi:nil="true"/>
    <lcf76f155ced4ddcb4097134ff3c332f xmlns="7291119c-fce9-4911-96ae-b800be5dccd8">
      <Terms xmlns="http://schemas.microsoft.com/office/infopath/2007/PartnerControls"/>
    </lcf76f155ced4ddcb4097134ff3c332f>
  </documentManagement>
</p:properties>
</file>

<file path=customXml/item2.xml><?xml version="1.0" encoding="utf-8"?>
<AFEJSONBlob xmlns="http://schemas.advancedformulaenvironment.officeapps.live.com/afejsonblob/1.0">ewAiAHMAYwBoAGUAbQBhACIAOgAiAGgAdAB0AHAAOgAvAC8AcwBjAGgAZQBtAGEAcwAuAGEAZAB2AGEAbgBjAGUAZABmAG8AcgBtAHUAbABhAGUAbgB2AGkAcgBvAG4AbQBlAG4AdAAuAG8AZgBmAGkAYwBlAGEAcABwAHMALgBsAGkAdgBlAC4AYwBvAG0ALwBhAGYAZQBwAHIAbwBqAGUAYwB0AHMALwAwAC4AMgAiACwAIgBwAHIAbwBqAGUAYwB0AE4AYQBtAGUAcwAiADoAWwAiAEMAbwBtAG0AbwBuAF8ARQBxAHUAYQB0AGkAbwBuAHMALgBDAG8AbQBtAG8AbgBfAEMAbwBuAHYAZQByAHQATgAyAE8AVABvAEMATwAyAGUAIgAsACIAQwBvAG0AbQBvAG4AXwBFAHEAdQBhAHQAaQBvAG4AcwAuAEMAbwBtAG0AbwBuAF8AQwBvAG4AdgBlAHIAdABOADIATwBUAG8AQwBPADIAZQBfAFQAaQB0AGwAZQAiACwAIgBDAG8AbQBtAG8AbgBfAEUAcQB1AGEAdABpAG8AbgBzAC4AQwBvAG0AbQBvAG4AXwBDAG8AbgB2AGUAcgB0AE4AMgBPAFQAbwBDAE8AMgBlAF8AVgBhAHIAaQBhAGIAbABlACIALAAiAEMAbwBtAG0AbwBuAF8ARQBxAHUAYQB0AGkAbwBuAHMALgBDAG8AbQBtAG8AbgBfAEMAbwBuAHYAZQByAHQATgAyAE8AVABvAEMATwAyAGUAXwBVAG4AaQB0ACIALAAiAEMAbwBtAG0AbwBuAF8ARQBxAHUAYQB0AGkAbwBuAHMALgBDAG8AbQBtAG8AbgBfAEMAbwBuAHYAZQByAHQATgAyAE8AVABvAEMATwAyAGUAXwBOAEkAUgBSAGUAZgBlAHIAZQBuAGMAZQAiACwAIgBDAG8AbQBtAG8AbgBfAEUAcQB1AGEAdABpAG8AbgBzAC4AQwBvAG0AbQBvAG4AXwBDAG8AbgB2AGUAcgB0AE4AMgBPAFQAbwBDAE8AMgBlAF8ATABhAHQAZQB4AEUAcQB1AGEAdABpAG8AbgAiACwAIgBDAG8AbQBtAG8AbgBfAEUAcQB1AGEAdABpAG8AbgBzAC4AQwBvAG0AbQBvAG4AXwBDAG8AbgB2AGUAcgB0AE4AMgBPAFQAbwBDAE8AMgBlAF8AQQByAGcAdQBtAGUAbgB0AHMAIgAsACIAQwBvAG0AbQBvAG4AXwBFAHEAdQBhAHQAaQBvAG4AcwAuAEMAbwBtAG0AbwBuAF8AQwBvAG4AdgBlAHIAdABDAEgANABUAG8AQwBPADIAZQAiACwAIgBDAG8AbQBtAG8AbgBfAEUAcQB1AGEAdABpAG8AbgBzAC4AQwBvAG0AbQBvAG4AXwBDAG8AbgB2AGUAcgB0AEMASAA0AFQAbwBDAE8AMgBlAF8AVABpAHQAbABlACIALAAiAEMAbwBtAG0AbwBuAF8ARQBxAHUAYQB0AGkAbwBuAHMALgBDAG8AbQBtAG8AbgBfAEMAbwBuAHYAZQByAHQAQwBIADQAVABvAEMATwAyAGUAXwBWAGEAcgBpAGEAYgBsAGUAIgAsACIAQwBvAG0AbQBvAG4AXwBFAHEAdQBhAHQAaQBvAG4AcwAuAEMAbwBtAG0AbwBuAF8AQwBvAG4AdgBlAHIAdABDAEgANABUAG8AQwBPADIAZQBfAFUAbgBpAHQAIgAsACIAQwBvAG0AbQBvAG4AXwBFAHEAdQBhAHQAaQBvAG4AcwAuAEMAbwBtAG0AbwBuAF8AQwBvAG4AdgBlAHIAdABDAEgANABUAG8AQwBPADIAZQBfAE4ASQBSAFIAZQBmAGUAcgBlAG4AYwBlACIALAAiAEMAbwBtAG0AbwBuAF8ARQBxAHUAYQB0AGkAbwBuAHMALgBDAG8AbQBtAG8AbgBfAEMAbwBuAHYAZQByAHQAQwBIADQAVABvAEMATwAyAGUAXwBMAGEAdABlAHgARQBxAHUAYQB0AGkAbwBuACIALAAiAEMAbwBtAG0AbwBuAF8ARQBxAHUAYQB0AGkAbwBuAHMALgBDAG8AbQBtAG8AbgBfAEMAbwBuAHYAZQByAHQAQwBIADQAVABvAEMATwAyAGUAXwBBAHIAZwB1AG0AZQBuAHQAcwAiACwAIgBDAG8AbQBtAG8AbgBfAEkAbgBwAHUAdABGAHUAbgBjAHQAaQBvAG4AcwAuAFUAdABpAGwAaQB0AHkAXwBHAGUAdABBAHIAcgBhAHkAVABhAGIAbABlAFIAbwB3AFMAdABhAHIAdABOAHUAbQBiAGUAcgAiACwAIgBDAG8AbQBtAG8AbgBfAEkAbgBwAHUAdABGAHUAbgBjAHQAaQBvAG4AcwAuAFUAdABpAGwAaQB0AHkAXwBHAGUAdABBAHIAcgBhAHkAVABhAGIAbABlAEMAbwBsAHUAbQBuAFMAdABhAHIAdABOAHUAbQBiAGUAcgAiACwAIgBDAG8AbQBtAG8AbgBfAEkAbgBwAHUAdABGAHUAbgBjAHQAaQBvAG4AcwAuAFUAdABpAGwAaQB0AHkAXwBEAGkAcwBwAGwAYQB5AEEAcgByAGEAeQBJAG4AVABhAGIAbABlACIALAAiAEMAbwBtAG0AbwBuAF8ASQBuAHAAdQB0AEYAdQBuAGMAdABpAG8AbgBzAC4AVQB0AGkAbABpAHQAeQBfAEwAbwBvAGsAdQBwAFYAYQBsAHUAZQBJAG4AVABhAGIAbABlACIALAAiAEMAbwBtAG0AbwBuAF8ASQBuAHAAdQB0AEYAdQBuAGMAdABpAG8AbgBzAC4AVQB0AGkAbABpAHQAeQBfAEwAbwBvAGsAdQBwAFYAYQBsAHUAZQBJAG4AVABhAGIAbABlAE4AdQBtAGIAZQByACIALAAiAEMAbwBtAG0AbwBuAF8ASQBuAHAAdQB0AEYAdQBuAGMAdABpAG8AbgBzAC4AVQB0AGkAbABpAHQAeQBfAEwAbwBvAGsAdQBwAFYAYQBsAHUAZQBJAG4AVABhAGIAbABlAFQAdwBvAEMAbwBsAHUAbQBuAHMAIgAsACIAQwBvAG0AbQBvAG4AXwBJAG4AcAB1AHQARgB1AG4AYwB0AGkAbwBuAHMALgBVAHQAaQBsAGkAdAB5AF8ATABvAG8AawB1AHAAVgBhAGwAdQBlAEkAbgBUAGEAYgBsAGUATwBuAGUAQwBvAGwAdQBtAG4AQQBuAGQASABlAGEAZABlAHIAIgAsACIAQwBvAG0AbQBvAG4AXwBJAG4AcAB1AHQARgB1AG4AYwB0AGkAbwBuAHMALgBVAHQAaQBsAGkAdAB5AF8AUwBwAGwAaQB0AFMAdAByAGkAbgBnAEkAbgB0AG8AQQByAHIAYQB5ACIALAAiAEMAbwBtAG0AbwBuAF8ASQBuAHAAdQB0AEYAdQBuAGMAdABpAG8AbgBzAC4AVQB0AGkAbABpAHQAeQBfAEcAZQB0AEMAbABpAG0AYQB0AGUAWgBvAG4AZQAiACwAIgBDAG8AbQBtAG8AbgBfAEkAbgBwAHUAdABGAHUAbgBjAHQAaQBvAG4AcwAuAFUAdABpAGwAaQB0AHkAXwBMAG8AbwBrAHUAcABJAHQAZQBtAEYAcgBvAG0ATQBpAG4ATQBhAHgAIgAsACIAQwBvAG0AbQBvAG4AXwBJAG4AcAB1AHQARgB1AG4AYwB0AGkAbwBuAHMALgBVAHQAaQBsAGkAdAB5AF8AUwB1AG0AUQB1AGEAbgB0AGkAdAB5AEYAcgBvAG0AQwByAGkAdABlAHIAaQBhACIALAAiAEMAbwBtAG0AbwBuAF8ASQBuAHAAdQB0AEYAdQBuAGMAdABpAG8AbgBzAC4AZwBlAHQATwB2AGUAcgBsAGEAcABwAGkAbgBnAFIAZQBwAG8AcgB0AGkAbgBnAFAAZQByAGkAbwBkAHMAIgAsACIAQwBvAG0AbQBvAG4AXwBJAG4AcAB1AHQARgB1AG4AYwB0AGkAbwBuAHMALgBVAHQAaQBsAGkAdAB5AF8ARABpAHMAcABsAGEAeQBGAHUAbgBjAHQAaQBvAG4ATgBhAG0AZQAiACwAIgBDAG8AbQBtAG8AbgBfAEkAbgBwAHUAdABGAHUAbgBjAHQAaQBvAG4AcwAuAFUAdABpAGwAaQB0AHkAXwBMAG8AbwBrAHUAcABOADIATwBFAEYARgByAG8AbQBQAHIAbwBkAEkAcgByAGkAZwBhAHQAaQBvAG4AUgBhAGkAbgBmAGEAbABsACIALAAiAEMAbwBtAG0AbwBuAF8ASQBuAHAAdQB0AEYAdQBuAGMAdABpAG8AbgBzAC4AQwBvAG0AbQBvAG4AQwByAG8AcABwAGkAbgBnAF8ARwBlAHQARgByAGEAYwBXAEUAVAAiACwAIgBDAG8AbQBtAG8AbgBfAEkAbgBwAHUAdABGAHUAbgBjAHQAaQBvAG4AcwAuAFUAdABpAGwAaQB0AHkAXwBDAG8AbgB2AGUAcgB0AFMAdABhAHQAZQBDAG8AbQBtAG8AbgBOAGEAbQBlAFQAbwBBAGIAYgByAGUAdgBpAGEAdABpAG8AbgAiACwAIgBDAG8AbQBtAG8AbgBfAEkAbgBwAHUAdABGAHUAbgBjAHQAaQBvAG4AcwAuAFUAdABpAGwAaQB0AHkAXwBTAG8AdQByAGMAZQBIAHkAcABlAHIAbABpAG4AawBEAGkAZgBmAGUAcgBlAG4AdABTAGgAZQBlAHQAIgAsACIAQwBvAG0AbQBvAG4AXwBJAG4AcAB1AHQARgB1AG4AYwB0AGkAbwBuAHMALgBVAHQAaQBsAGkAdAB5AF8AUgBlAHMAdQBsAHQAcwBJAHQAZQBtAEYAcgBvAG0ARQBxAHUAYQB0AGkAbwBuAFQAaQB0AGwAZQBBAG4AZABTAG8AdQByAGMAZQAiACwAIgBDAG8AbQBtAG8AbgBfAFMAbwB1AHIAYwBlAEQAYQB0AGEALgBDAG8AbQBtAG8AbgBfAFMAbwB1AHIAYwBlAEQAYQB0AGEAXwBEAGUAbgBzAGkAdAB5AE8AZgBNAGUAdABoAGEAbgBlAF8AVABpAHQAbABlACIALAAiAEMAbwBtAG0AbwBuAF8AUwBvAHUAcgBjAGUARABhAHQAYQAuAEMAbwBtAG0AbwBuAF8AUwBvAHUAcgBjAGUARABhAHQAYQBfAEQAZQBuAHMAaQB0AHkATwBmAE0AZQB0AGgAYQBuAGUAXwBVAG4AaQB0ACIALAAiAEMAbwBtAG0AbwBuAF8AUwBvAHUAcgBjAGUARABhAHQAYQAuAEMAbwBtAG0AbwBuAF8AUwBvAHUAcgBjAGUARABhAHQAYQBfAEQAZQBuAHMAaQB0AHkATwBmAE0AZQB0AGgAYQBuAGUAXwBTAG8AdQByAGMAZQAiACwAIgBDAG8AbQBtAG8AbgBfAFMAbwB1AHIAYwBlAEQAYQB0AGEALgBDAG8AbQBtAG8AbgBfAFMAbwB1AHIAYwBlAEQAYQB0AGEAXwBEAGUAbgBzAGkAdAB5AE8AZgBNAGUAdABoAGEAbgBlAF8ARABhAHQAYQAiACwAIgBDAG8AbQBtAG8AbgBfAFMAbwB1AHIAYwBlAEQAYQB0AGEALgBDAG8AbQBtAG8AbgBfAFMAbwB1AHIAYwBlAEQAYQB0AGEAXwBDAG8AbgB2AGUAcgB0AE4AMgBvAEUAbABlAG0AZQBuAHQAYQBsAFQAbwBNAG8AbABlAGMAdQBsAGEAcgBDAGcAXwBUAGkAdABsAGUAIgAsACIAQwBvAG0AbQBvAG4AXwBTAG8AdQByAGMAZQBEAGEAdABhAC4AQwBvAG0AbQBvAG4AXwBTAG8AdQByAGMAZQBEAGEAdABhAF8AQwBvAG4AdgBlAHIAdABOADIAbwBFAGwAZQBtAGUAbgB0AGEAbABUAG8ATQBvAGwAZQBjAHUAbABhAHIAQwBnAF8AVgBhAHIAaQBhAGIAbABlACIALAAiAEMAbwBtAG0AbwBuAF8AUwBvAHUAcgBjAGUARABhAHQAYQAuAEMAbwBtAG0AbwBuAF8AUwBvAHUAcgBjAGUARABhAHQAYQBfAEMAbwBuAHYAZQByAHQATgAyAG8ARQBsAGUAbQBlAG4AdABhAGwAVABvAE0AbwBsAGUAYwB1AGwAYQByAEMAZwBfAFUAbgBpAHQAIgAsACIAQwBvAG0AbQBvAG4AXwBTAG8AdQByAGMAZQBEAGEAdABhAC4AQwBvAG0AbQBvAG4AXwBTAG8AdQByAGMAZQBEAGEAdABhAF8AQwBvAG4AdgBlAHIAdABOADIAbwBFAGwAZQBtAGUAbgB0AGEAbABUAG8ATQBvAGwAZQBjAHUAbABhAHIAQwBnAF8AUwBvAHUAcgBjAGUAIgAsACIAQwBvAG0AbQBvAG4AXwBTAG8AdQByAGMAZQBEAGEAdABhAC4AQwBvAG0AbQBvAG4AXwBTAG8AdQByAGMAZQBEAGEAdABhAF8AQwBvAG4AdgBlAHIAdABOADIAbwBFAGwAZQBtAGUAbgB0AGEAbABUAG8ATQBvAGwAZQBjAHUAbABhAHIAQwBnAF8ARABhAHQAYQAiACwAIgBDAG8AbQBtAG8AbgBfAFMAbwB1AHIAYwBlAEQAYQB0AGEALgBDAG8AbQBtAG8AbgBfAFMAbwB1AHIAYwBlAEQAYQB0AGEAXwBDAG8AbgB2AGUAcgB0AEcAYQBzAEUAbABlAG0AZQBuAHQAYQBsAFQAbwBNAG8AbABlAGMAdQBsAGEAcgBfAFQAaQB0AGwAZQAiACwAIgBDAG8AbQBtAG8AbgBfAFMAbwB1AHIAYwBlAEQAYQB0AGEALgBDAG8AbQBtAG8AbgBfAFMAbwB1AHIAYwBlAEQAYQB0AGEAXwBDAG8AbgB2AGUAcgB0AEcAYQBzAEUAbABlAG0AZQBuAHQAYQBsAFQAbwBNAG8AbABlAGMAdQBsAGEAcgBfAFYAYQByAGkAYQBiAGwAZQAiACwAIgBDAG8AbQBtAG8AbgBfAFMAbwB1AHIAYwBlAEQAYQB0AGEALgBDAG8AbQBtAG8AbgBfAFMAbwB1AHIAYwBlAEQAYQB0AGEAXwBDAG8AbgB2AGUAcgB0AEcAYQBzAEUAbABlAG0AZQBuAHQAYQBsAFQAbwBNAG8AbABlAGMAdQBsAGEAcgBfAFUAbgBpAHQAIgAsACIAQwBvAG0AbQBvAG4AXwBTAG8AdQByAGMAZQBEAGEAdABhAC4AQwBvAG0AbQBvAG4AXwBTAG8AdQByAGMAZQBEAGEAdABhAF8AQwBvAG4AdgBlAHIAdABHAGEAcwBFAGwAZQBtAGUAbgB0AGEAbABUAG8ATQBvAGwAZQBjAHUAbABhAHIAXwBTAG8AdQByAGMAZQAiACwAIgBDAG8AbQBtAG8AbgBfAFMAbwB1AHIAYwBlAEQAYQB0AGEALgBDAG8AbQBtAG8AbgBfAFMAbwB1AHIAYwBlAEQAYQB0AGEAXwBDAG8AbgB2AGUAcgB0AEcAYQBzAEUAbABlAG0AZQBuAHQAYQBsAFQAbwBNAG8AbABlAGMAdQBsAGEAcgBfAEQAYQB0AGEAIgAsACIAQwBvAG0AbQBvAG4AXwBTAG8AdQByAGMAZQBEAGEAdABhAC4AQwBvAG0AbQBvAG4AXwBTAG8AdQByAGMAZQBEAGEAdABhAF8ARwBXAFAAXwBUAGkAdABsAGUAIgAsACIAQwBvAG0AbQBvAG4AXwBTAG8AdQByAGMAZQBEAGEAdABhAC4AQwBvAG0AbQBvAG4AXwBTAG8AdQByAGMAZQBEAGEAdABhAF8ARwBXAFAAXwBWAGEAcgBpAGEAYgBsAGUAIgAsACIAQwBvAG0AbQBvAG4AXwBTAG8AdQByAGMAZQBEAGEAdABhAC4AQwBvAG0AbQBvAG4AXwBTAG8AdQByAGMAZQBEAGEAdABhAF8ARwBXAFAAXwBVAG4AaQB0ACIALAAiAEMAbwBtAG0AbwBuAF8AUwBvAHUAcgBjAGUARABhAHQAYQAuAEMAbwBtAG0AbwBuAF8AUwBvAHUAcgBjAGUARABhAHQAYQBfAEcAVwBQAF8AUwBvAHUAcgBjAGUAIgAsACIAQwBvAG0AbQBvAG4AXwBTAG8AdQByAGMAZQBEAGEAdABhAC4AQwBvAG0AbQBvAG4AXwBTAG8AdQByAGMAZQBEAGEAdABhAF8ARwBXAFAAXwBEAGEAdABhACIALAAiAEMAbwBtAG0AbwBuAF8AUwBvAHUAcgBjAGUARABhAHQAYQAuAEMAbwBtAG0AbwBuAF8AUwBvAHUAcgBjAGUARABhAHQAYQBfAEEAdQBzAHQAcgBhAGwAaQBhAG4AUwB0AGEAdABlAHMAVABlAHIAcgBpAHQAbwByAGkAZQBzAF8AVABpAHQAbABlACIALAAiAEMAbwBtAG0AbwBuAF8AUwBvAHUAcgBjAGUARABhAHQAYQAuAEMAbwBtAG0AbwBuAF8AUwBvAHUAcgBjAGUARABhAHQAYQBfAEEAdQBzAHQAcgBhAGwAaQBhAG4AUwB0AGEAdABlAHMAVABlAHIAcgBpAHQAbwByAGkAZQBzAF8AVgBhAHIAaQBhAGIAbABlACIALAAiAEMAbwBtAG0AbwBuAF8AUwBvAHUAcgBjAGUARABhAHQAYQAuAEMAbwBtAG0AbwBuAF8AUwBvAHUAcgBjAGUARABhAHQAYQBfAEEAdQBzAHQAcgBhAGwAaQBhAG4AUwB0AGEAdABlAHMAVABlAHIAcgBpAHQAbwByAGkAZQBzAF8AVQBuAGkAdAAiACwAIgBDAG8AbQBtAG8AbgBfAFMAbwB1AHIAYwBlAEQAYQB0AGEALgBDAG8AbQBtAG8AbgBfAFMAbwB1AHIAYwBlAEQAYQB0AGEAXwBBAHUAcwB0AHIAYQBsAGkAYQBuAFMAdABhAHQAZQBzAFQAZQByAHIAaQB0AG8AcgBpAGUAcwBfAFMAbwB1AHIAYwBlACIALAAiAEMAbwBtAG0AbwBuAF8AUwBvAHUAcgBjAGUARABhAHQAYQAuAEMAbwBtAG0AbwBuAF8AUwBvAHUAcgBjAGUARABhAHQAYQBfAEEAdQBzAHQAcgBhAGwAaQBhAG4AUwB0AGEAdABlAHMAVABlAHIAcgBpAHQAbwByAGkAZQBzAF8ARABhAHQAYQAiACwAIgBDAG8AbQBtAG8AbgBfAFMAbwB1AHIAYwBlAEQAYQB0AGEALgBDAG8AbQBtAG8AbgBfAFMAbwB1AHIAYwBlAEQAYQB0AGEAXwBXAEEAUwBBADQAQQByAGUAYQBzAF8AVABpAHQAbABlACIALAAiAEMAbwBtAG0AbwBuAF8AUwBvAHUAcgBjAGUARABhAHQAYQAuAEMAbwBtAG0AbwBuAF8AUwBvAHUAcgBjAGUARABhAHQAYQBfAFcAQQBTAEEANABBAHIAZQBhAHMAXwBWAGEAcgBpAGEAYgBsAGUAIgAsACIAQwBvAG0AbQBvAG4AXwBTAG8AdQByAGMAZQBEAGEAdABhAC4AQwBvAG0AbQBvAG4AXwBTAG8AdQByAGMAZQBEAGEAdABhAF8AVwBBAFMAQQA0AEEAcgBlAGEAcwBfAFUAbgBpAHQAIgAsACIAQwBvAG0AbQBvAG4AXwBTAG8AdQByAGMAZQBEAGEAdABhAC4AQwBvAG0AbQBvAG4AXwBTAG8AdQByAGMAZQBEAGEAdABhAF8AVwBBAFMAQQA0AEEAcgBlAGEAcwBfAFMAbwB1AHIAYwBlACIALAAiAEMAbwBtAG0AbwBuAF8AUwBvAHUAcgBjAGUARABhAHQAYQAuAEMAbwBtAG0AbwBuAF8AUwBvAHUAcgBjAGUARABhAHQAYQBfAFcAQQBTAEEANABBAHIAZQBhAHMAXwBEAGEAdABhACIALAAiAEMAbwBtAG0AbwBuAF8AUwBvAHUAcgBjAGUARABhAHQAYQAuAEMAbwBtAG0AbwBuAF8AUwBvAHUAcgBjAGUARABhAHQAYQBfAFcAZQB0AEEAbgBkAEQAcgB5AFoAbwBuAGUAcwBfAFQAaQB0AGwAZQAiACwAIgBDAG8AbQBtAG8AbgBfAFMAbwB1AHIAYwBlAEQAYQB0AGEALgBDAG8AbQBtAG8AbgBfAFMAbwB1AHIAYwBlAEQAYQB0AGEAXwBXAGUAdABBAG4AZABEAHIAeQBaAG8AbgBlAHMAXwBWAGEAcgBpAGEAYgBsAGUAIgAsACIAQwBvAG0AbQBvAG4AXwBTAG8AdQByAGMAZQBEAGEAdABhAC4AQwBvAG0AbQBvAG4AXwBTAG8AdQByAGMAZQBEAGEAdABhAF8AVwBlAHQAQQBuAGQARAByAHkAWgBvAG4AZQBzAF8AVQBuAGkAdAAiACwAIgBDAG8AbQBtAG8AbgBfAFMAbwB1AHIAYwBlAEQAYQB0AGEALgBDAG8AbQBtAG8AbgBfAFMAbwB1AHIAYwBlAEQAYQB0AGEAXwBXAGUAdABBAG4AZABEAHIAeQBaAG8AbgBlAHMAXwBTAG8AdQByAGMAZQAiACwAIgBDAG8AbQBtAG8AbgBfAFMAbwB1AHIAYwBlAEQAYQB0AGEALgBDAG8AbQBtAG8AbgBfAFMAbwB1AHIAYwBlAEQAYQB0AGEAXwBXAGUAdABBAG4AZABEAHIAeQBaAG8AbgBlAHMAXwBWAGEAcgBpAGEAdABpAG8AbgAiACwAIgBDAG8AbQBtAG8AbgBfAFMAbwB1AHIAYwBlAEQAYQB0AGEALgBDAG8AbQBtAG8AbgBfAFMAbwB1AHIAYwBlAEQAYQB0AGEAXwBXAGUAdABBAG4AZABEAHIAeQBaAG8AbgBlAHMAXwBEAGEAdABhACIALAAiAEMAbwBtAG0AbwBuAF8AUwBvAHUAcgBjAGUARABhAHQAYQAuAEMAbwBtAG0AbwBuAF8AUwBvAHUAcgBjAGUARABhAHQAYQBfAEMAbABpAG0AYQB0AGUAWgBvAG4AZQBzAF8AVABpAHQAbABlACIALAAiAEMAbwBtAG0AbwBuAF8AUwBvAHUAcgBjAGUARABhAHQAYQAuAEMAbwBtAG0AbwBuAF8AUwBvAHUAcgBjAGUARABhAHQAYQBfAEMAbABpAG0AYQB0AGUAWgBvAG4AZQBzAF8AVgBhAHIAaQBhAGIAbABlACIALAAiAEMAbwBtAG0AbwBuAF8AUwBvAHUAcgBjAGUARABhAHQAYQAuAEMAbwBtAG0AbwBuAF8AUwBvAHUAcgBjAGUARABhAHQAYQBfAEMAbABpAG0AYQB0AGUAWgBvAG4AZQBzAF8AVQBuAGkAdAAiACwAIgBDAG8AbQBtAG8AbgBfAFMAbwB1AHIAYwBlAEQAYQB0AGEALgBDAG8AbQBtAG8AbgBfAFMAbwB1AHIAYwBlAEQAYQB0AGEAXwBDAGwAaQBtAGEAdABlAFoAbwBuAGUAcwBfAFMAbwB1AHIAYwBlACIALAAiAEMAbwBtAG0AbwBuAF8AUwBvAHUAcgBjAGUARABhAHQAYQAuAEMAbwBtAG0AbwBuAF8AUwBvAHUAcgBjAGUARABhAHQAYQBfAEMAbABpAG0AYQB0AGUAWgBvAG4AZQBzAF8AVgBhAHIAaQBhAHQAaQBvAG4AIgAsACIAQwBvAG0AbQBvAG4AXwBTAG8AdQByAGMAZQBEAGEAdABhAC4AQwBvAG0AbQBvAG4AXwBTAG8AdQByAGMAZQBEAGEAdABhAF8AQwBsAGkAbQBhAHQAZQBaAG8AbgBlAHMAXwBEAGEAdABhACIALAAiAEMAbwBtAG0AbwBuAF8AUwBvAHUAcgBjAGUARABhAHQAYQAuAEMAbwBtAG0AbwBuAF8AUwBvAHUAcgBjAGUARABhAHQAYQBfAEMAbABpAG0AYQB0AGUAWgBvAG4AZQBzAF8AQQBwAHAAZQBuAGQAaQBjAGUAcwAiACwAIgBDAG8AbQBtAG8AbgBfAFMAbwB1AHIAYwBlAEQAYQB0AGEALgBDAG8AbQBtAG8AbgBfAFMAbwB1AHIAYwBlAEQAYQB0AGEAXwBUAGUAbQBwAGUAcgBhAHQAdQByAGUAWgBvAG4AZQBzAF8AVABpAHQAbABlACIALAAiAEMAbwBtAG0AbwBuAF8AUwBvAHUAcgBjAGUARABhAHQAYQAuAEMAbwBtAG0AbwBuAF8AUwBvAHUAcgBjAGUARABhAHQAYQBfAFQAZQBtAHAAZQByAGEAdAB1AHIAZQBaAG8AbgBlAHMAXwBWAGEAcgBpAGEAYgBsAGUAIgAsACIAQwBvAG0AbQBvAG4AXwBTAG8AdQByAGMAZQBEAGEAdABhAC4AQwBvAG0AbQBvAG4AXwBTAG8AdQByAGMAZQBEAGEAdABhAF8AVABlAG0AcABlAHIAYQB0AHUAcgBlAFoAbwBuAGUAcwBfAFUAbgBpAHQAIgAsACIAQwBvAG0AbQBvAG4AXwBTAG8AdQByAGMAZQBEAGEAdABhAC4AQwBvAG0AbQBvAG4AXwBTAG8AdQByAGMAZQBEAGEAdABhAF8AVABlAG0AcABlAHIAYQB0AHUAcgBlAFoAbwBuAGUAcwBfAFMAbwB1AHIAYwBlACIALAAiAEMAbwBtAG0AbwBuAF8AUwBvAHUAcgBjAGUARABhAHQAYQAuAEMAbwBtAG0AbwBuAF8AUwBvAHUAcgBjAGUARABhAHQAYQBfAFQAZQBtAHAAZQByAGEAdAB1AHIAZQBaAG8AbgBlAHMAXwBWAGEAcgBpAGEAdABpAG8AbgAiACwAIgBDAG8AbQBtAG8AbgBfAFMAbwB1AHIAYwBlAEQAYQB0AGEALgBDAG8AbQBtAG8AbgBfAFMAbwB1AHIAYwBlAEQAYQB0AGEAXwBUAGUAbQBwAGUAcgBhAHQAdQByAGUAWgBvAG4AZQBzAF8ARABhAHQAYQAiACwAIgBDAG8AbQBtAG8AbgBfAFMAbwB1AHIAYwBlAEQAYQB0AGEALgBDAG8AbQBtAG8AbgBfAFMAbwB1AHIAYwBlAEQAYQB0AGEAXwBSAGEAaQBuAGYAYQBsAGwAWgBvAG4AZQBzAF8AVABpAHQAbABlACIALAAiAEMAbwBtAG0AbwBuAF8AUwBvAHUAcgBjAGUARABhAHQAYQAuAEMAbwBtAG0AbwBuAF8AUwBvAHUAcgBjAGUARABhAHQAYQBfAFIAYQBpAG4AZgBhAGwAbABaAG8AbgBlAHMAXwBWAGEAcgBpAGEAYgBsAGUAIgAsACIAQwBvAG0AbQBvAG4AXwBTAG8AdQByAGMAZQBEAGEAdABhAC4AQwBvAG0AbQBvAG4AXwBTAG8AdQByAGMAZQBEAGEAdABhAF8AUgBhAGkAbgBmAGEAbABsAFoAbwBuAGUAcwBfAFUAbgBpAHQAIgAsACIAQwBvAG0AbQBvAG4AXwBTAG8AdQByAGMAZQBEAGEAdABhAC4AQwBvAG0AbQBvAG4AXwBTAG8AdQByAGMAZQBEAGEAdABhAF8AUgBhAGkAbgBmAGEAbABsAFoAbwBuAGUAcwBfAFMAbwB1AHIAYwBlACIALAAiAEMAbwBtAG0AbwBuAF8AUwBvAHUAcgBjAGUARABhAHQAYQAuAEMAbwBtAG0AbwBuAF8AUwBvAHUAcgBjAGUARABhAHQAYQBfAFIAYQBpAG4AZgBhAGwAbABaAG8AbgBlAHMAXwBWAGEAcgBpAGEAdABpAG8AbgAiACwAIgBDAG8AbQBtAG8AbgBfAFMAbwB1AHIAYwBlAEQAYQB0AGEALgBDAG8AbQBtAG8AbgBfAFMAbwB1AHIAYwBlAEQAYQB0AGEAXwBSAGEAaQBuAGYAYQBsAGwAWgBvAG4AZQBzAF8ARABhAHQAYQAiACwAIgBDAG8AbQBtAG8AbgBfAFMAbwB1AHIAYwBlAEQAYQB0AGEALgBDAG8AbQBtAG8AbgBfAFMAbwB1AHIAYwBlAEQAYQB0AGEAXwBMAGUAYQBjAGgAaQBuAGcAWgBvAG4AZQBzAF8AVABpAHQAbABlACIALAAiAEMAbwBtAG0AbwBuAF8AUwBvAHUAcgBjAGUARABhAHQAYQAuAEMAbwBtAG0AbwBuAF8AUwBvAHUAcgBjAGUARABhAHQAYQBfAEwAZQBhAGMAaABpAG4AZwBaAG8AbgBlAHMAXwBWAGEAcgBpAGEAYgBsAGUAIgAsACIAQwBvAG0AbQBvAG4AXwBTAG8AdQByAGMAZQBEAGEAdABhAC4AQwBvAG0AbQBvAG4AXwBTAG8AdQByAGMAZQBEAGEAdABhAF8ATABlAGEAYwBoAGkAbgBnAFoAbwBuAGUAcwBfAFUAbgBpAHQAIgAsACIAQwBvAG0AbQBvAG4AXwBTAG8AdQByAGMAZQBEAGEAdABhAC4AQwBvAG0AbQBvAG4AXwBTAG8AdQByAGMAZQBEAGEAdABhAF8ATABlAGEAYwBoAGkAbgBnAFoAbwBuAGUAcwBfAFMAbwB1AHIAYwBlACIALAAiAEMAbwBtAG0AbwBuAF8AUwBvAHUAcgBjAGUARABhAHQAYQAuAEMAbwBtAG0AbwBuAF8AUwBvAHUAcgBjAGUARABhAHQAYQBfAEwAZQBhAGMAaABpAG4AZwBaAG8AbgBlAHMAXwBWAGEAcgBpAGEAdABpAG8AbgAiACwAIgBDAG8AbQBtAG8AbgBfAFMAbwB1AHIAYwBlAEQAYQB0AGEALgBDAG8AbQBtAG8AbgBfAFMAbwB1AHIAYwBlAEQAYQB0AGEAXwBMAGUAYQBjAGgAaQBuAGcAWgBvAG4AZQBzAF8ARABhAHQAYQAiACwAIgBDAG8AbQBtAG8AbgBfAFMAbwB1AHIAYwBlAEQAYQB0AGEALgBDAG8AbQBtAG8AbgBfAFMAbwB1AHIAYwBlAEQAYQB0AGEAXwBGAHIAYQBjAFcARQBUAF8AVABpAHQAbABlACIALAAiAEMAbwBtAG0AbwBuAF8AUwBvAHUAcgBjAGUARABhAHQAYQAuAEMAbwBtAG0AbwBuAF8AUwBvAHUAcgBjAGUARABhAHQAYQBfAEYAcgBhAGMAVwBFAFQAXwBVAG4AaQB0ACIALAAiAEMAbwBtAG0AbwBuAF8AUwBvAHUAcgBjAGUARABhAHQAYQAuAEMAbwBtAG0AbwBuAF8AUwBvAHUAcgBjAGUARABhAHQAYQBfAEYAcgBhAGMAVwBFAFQAXwBTAG8AdQByAGMAZQAiACwAIgBDAG8AbQBtAG8AbgBfAFMAbwB1AHIAYwBlAEQAYQB0AGEALgBDAG8AbQBtAG8AbgBfAFMAbwB1AHIAYwBlAEQAYQB0AGEAXwBGAHIAYQBjAFcARQBUAF8ATgBJAFIAUgBlAGYAZQByAGUAbgBjAGUAIgAsACIAQwBvAG0AbQBvAG4AXwBTAG8AdQByAGMAZQBEAGEAdABhAC4AQwBvAG0AbQBvAG4AXwBTAG8AdQByAGMAZQBEAGEAdABhAF8ARgByAGEAYwBXAEUAVABfAEQAYQB0AGEAIgAsACIAQwBvAG0AbQBvAG4AXwBTAG8AdQByAGMAZQBEAGEAdABhAC4AQwBvAG0AbQBvAG4AXwBTAG8AdQByAGMAZQBEAGEAdABhAF8ARgByAGEAYwBXAEUAVABfAFYAYQByAGkAYQB0AGkAbwBuACIALAAiAEMAbwBtAG0AbwBuAF8AUwBvAHUAcgBjAGUARABhAHQAYQAuAEMAbwBtAG0AbwBuAF8AUwBvAHUAcgBjAGUARABhAHQAYQBfAEQAYQB0AGEAUwBjAG8AcgBlAHMAXwBTAGMAbwBwAGUAMwBfAFQAaQB0AGwAZQAiACwAIgBDAG8AbQBtAG8AbgBfAFMAbwB1AHIAYwBlAEQAYQB0AGEALgBDAG8AbQBtAG8AbgBfAFMAbwB1AHIAYwBlAEQAYQB0AGEAXwBEAGEAdABhAFMAYwBvAHIAZQBzAF8AUwBjAG8AcABlADMAXwBWAGEAcgBpAGEAYgBsAGUAIgAsACIAQwBvAG0AbQBvAG4AXwBTAG8AdQByAGMAZQBEAGEAdABhAC4AQwBvAG0AbQBvAG4AXwBTAG8AdQByAGMAZQBEAGEAdABhAF8ARABhAHQAYQBTAGMAbwByAGUAcwBfAFMAYwBvAHAAZQAzAF8AVQBuAGkAdAAiACwAIgBDAG8AbQBtAG8AbgBfAFMAbwB1AHIAYwBlAEQAYQB0AGEALgBDAG8AbQBtAG8AbgBfAFMAbwB1AHIAYwBlAEQAYQB0AGEAXwBEAGEAdABhAFMAYwBvAHIAZQBzAF8AUwBjAG8AcABlADMAXwBTAG8AdQByAGMAZQAiACwAIgBDAG8AbQBtAG8AbgBfAFMAbwB1AHIAYwBlAEQAYQB0AGEALgBDAG8AbQBtAG8AbgBfAFMAbwB1AHIAYwBlAEQAYQB0AGEAXwBEAGEAdABhAFMAYwBvAHIAZQBzAF8AUwBjAG8AcABlADMAXwBWAGEAcgBpAGEAdABpAG8AbgAiACwAIgBDAG8AbQBtAG8AbgBfAFMAbwB1AHIAYwBlAEQAYQB0AGEALgBDAG8AbQBtAG8AbgBfAFMAbwB1AHIAYwBlAEQAYQB0AGEAXwBEAGEAdABhAFMAYwBvAHIAZQBzAF8AUwBjAG8AcABlADMAXwBEAGEAdABhACIALAAiAEMAbwBtAG0AbwBuAF8AUwBvAHUAcgBjAGUARABhAHQAYQAuAEMAbwBtAG0AbwBuAF8AUwBvAHUAcgBjAGUARABhAHQAYQBfAEYAcgBhAGMATABFAEEAQwBIAF8AVABpAHQAbABlACIALAAiAEMAbwBtAG0AbwBuAF8AUwBvAHUAcgBjAGUARABhAHQAYQAuAEMAbwBtAG0AbwBuAF8AUwBvAHUAcgBjAGUARABhAHQAYQBfAEYAcgBhAGMATABFAEEAQwBIAF8AVQBuAGkAdAAiACwAIgBDAG8AbQBtAG8AbgBfAFMAbwB1AHIAYwBlAEQAYQB0AGEALgBDAG8AbQBtAG8AbgBfAFMAbwB1AHIAYwBlAEQAYQB0AGEAXwBGAHIAYQBjAEwARQBBAEMASABfAFMAbwB1AHIAYwBlACIALAAiAEMAbwBtAG0AbwBuAF8AUwBvAHUAcgBjAGUARABhAHQAYQAuAEMAbwBtAG0AbwBuAF8AUwBvAHUAcgBjAGUARABhAHQAYQBfAEYAcgBhAGMATABFAEEAQwBIAF8ATgBJAFIAUgBlAGYAZQByAGUAbgBjAGUAIgAsACIAQwBvAG0AbQBvAG4AXwBTAG8AdQByAGMAZQBEAGEAdABhAC4AQwBvAG0AbQBvAG4AXwBTAG8AdQByAGMAZQBEAGEAdABhAF8ARgByAGEAYwBMAEUAQQBDAEgAXwBEAGEAdABhACIALAAiAEMAbwBtAG0AbwBuAF8AUwBvAHUAcgBjAGUARABhAHQAYQAuAEMAbwBtAG0AbwBuAF8AUwBvAHUAcgBjAGUARABhAHQAYQBfAEYAcgBhAGMATABFAEEAQwBIAF8AVgBhAHIAaQBhAHQAaQBvAG4AIgAsACIAQwBvAG0AbQBvAG4AXwBTAG8AdQByAGMAZQBEAGEAdABhAC4AQwBvAG0AbQBvAG4AXwBTAG8AdQByAGMAZQBEAGEAdABhAF8ARQBGAGwAZQBhAGMAaABfAFQAaQB0AGwAZQAiACwAIgBDAG8AbQBtAG8AbgBfAFMAbwB1AHIAYwBlAEQAYQB0AGEALgBDAG8AbQBtAG8AbgBfAFMAbwB1AHIAYwBlAEQAYQB0AGEAXwBFAEYAbABlAGEAYwBoAF8AVQBuAGkAdAAiACwAIgBDAG8AbQBtAG8AbgBfAFMAbwB1AHIAYwBlAEQAYQB0AGEALgBDAG8AbQBtAG8AbgBfAFMAbwB1AHIAYwBlAEQAYQB0AGEAXwBFAEYAbABlAGEAYwBoAF8AUwBvAHUAcgBjAGUAIgAsACIAQwBvAG0AbQBvAG4AXwBTAG8AdQByAGMAZQBEAGEAdABhAC4AQwBvAG0AbQBvAG4AXwBTAG8AdQByAGMAZQBEAGEAdABhAF8ARQBGAGwAZQBhAGMAaABfAE4ASQBSAFIAZQBmAGUAcgBlAG4AYwBlACIALAAiAEMAbwBtAG0AbwBuAF8AUwBvAHUAcgBjAGUARABhAHQAYQAuAEMAbwBtAG0AbwBuAF8AUwBvAHUAcgBjAGUARABhAHQAYQBfAEUARgBsAGUAYQBjAGgAXwBEAGEAdABhACIALAAiAEMAbwBtAG0AbwBuAF8AUwBvAHUAcgBjAGUARABhAHQAYQAuAEMAbwBtAG0AbwBuAF8AUwBvAHUAcgBjAGUARABhAHQAYQBfAEUARgBsAGUAYQBjAGgAXwBWAGEAcgBpAGEAdABpAG8AbgAiACwAIgBDAG8AbQBtAG8AbgBfAFMAbwB1AHIAYwBlAEQAYQB0AGEALgBDAG8AbQBtAG8AbgBfAFMAbwB1AHIAYwBlAEQAYQB0AGEAXwBFAEYATgAyAE8AXwBUAGkAdABsAGUAIgAsACIAQwBvAG0AbQBvAG4AXwBTAG8AdQByAGMAZQBEAGEAdABhAC4AQwBvAG0AbQBvAG4AXwBTAG8AdQByAGMAZQBEAGEAdABhAF8ARQBGAE4AMgBPAF8AVQBuAGkAdAAiACwAIgBDAG8AbQBtAG8AbgBfAFMAbwB1AHIAYwBlAEQAYQB0AGEALgBDAG8AbQBtAG8AbgBfAFMAbwB1AHIAYwBlAEQAYQB0AGEAXwBFAEYATgAyAE8AXwBTAG8AdQByAGMAZQAiACwAIgBDAG8AbQBtAG8AbgBfAFMAbwB1AHIAYwBlAEQAYQB0AGEALgBDAG8AbQBtAG8AbgBfAFMAbwB1AHIAYwBlAEQAYQB0AGEAXwBFAEYATgAyAE8AXwBOAEkAUgBSAGUAZgBlAHIAZQBuAGMAZQAiACwAIgBDAG8AbQBtAG8AbgBfAFMAbwB1AHIAYwBlAEQAYQB0AGEALgBDAG8AbQBtAG8AbgBfAFMAbwB1AHIAYwBlAEQAYQB0AGEAXwBFAEYATgAyAE8AXwBEAGEAdABhACIALAAiAEMAbwBtAG0AbwBuAF8AUwBvAHUAcgBjAGUARABhAHQAYQAuAEMAbwBtAG0AbwBuAF8AUwBvAHUAcgBjAGUARABhAHQAYQBfAEUARgBOADIATwBfAFYAYQByAGkAYQB0AGkAbwBuACIALAAiAEMAbwBtAG0AbwBuAF8AUwBvAHUAcgBjAGUARABhAHQAYQAuAEMAbwBtAG0AbwBuAF8AUwBvAHUAcgBjAGUARABhAHQAYQBfAEYAcgBhAGMAVwBFAFQASQByAHIAaQBnAGEAdABpAG8AbgBfAFQAaQB0AGwAZQAiACwAIgBDAG8AbQBtAG8AbgBfAFMAbwB1AHIAYwBlAEQAYQB0AGEALgBDAG8AbQBtAG8AbgBfAFMAbwB1AHIAYwBlAEQAYQB0AGEAXwBGAHIAYQBjAFcARQBUAEkAcgByAGkAZwBhAHQAaQBvAG4AXwBVAG4AaQB0ACIALAAiAEMAbwBtAG0AbwBuAF8AUwBvAHUAcgBjAGUARABhAHQAYQAuAEMAbwBtAG0AbwBuAF8AUwBvAHUAcgBjAGUARABhAHQAYQBfAEYAcgBhAGMAVwBFAFQASQByAHIAaQBnAGEAdABpAG8AbgBfAFMAbwB1AHIAYwBlACIALAAiAEMAbwBtAG0AbwBuAF8AUwBvAHUAcgBjAGUARABhAHQAYQAuAEMAbwBtAG0AbwBuAF8AUwBvAHUAcgBjAGUARABhAHQAYQBfAEYAcgBhAGMAVwBFAFQASQByAHIAaQBnAGEAdABpAG8AbgBfAE4ASQBSAFIAZQBmAGUAcgBlAG4AYwBlACIALAAiAEMAbwBtAG0AbwBuAF8AUwBvAHUAcgBjAGUARABhAHQAYQAuAEMAbwBtAG0AbwBuAF8AUwBvAHUAcgBjAGUARABhAHQAYQBfAEYAcgBhAGMAVwBFAFQASQByAHIAaQBnAGEAdABpAG8AbgBfAEQAYQB0AGEAIgAsACIAQwBvAG0AbQBvAG4AXwBTAG8AdQByAGMAZQBEAGEAdABhAC4AQwBvAG0AbQBvAG4AXwBTAG8AdQByAGMAZQBEAGEAdABhAF8ARgByAGEAYwBXAEUAVABJAHIAcgBpAGcAYQB0AGkAbwBuAF8AVgBhAHIAaQBhAHQAaQBvAG4AIgAsACIAQwBvAG0AbQBvAG4AXwBTAG8AdQByAGMAZQBEAGEAdABhAC4AQwBvAG0AbQBvAG4AXwBTAG8AdQByAGMAZQBEAGEAdABhAF8ARQBGAFAAYQBzAHQAdQByAGUAUgBhAG4AZwBlAEEAbgBkAFAAYQBkAGQAbwBjAGsAXwBUAGkAdABsAGUAIgAsACIAQwBvAG0AbQBvAG4AXwBTAG8AdQByAGMAZQBEAGEAdABhAC4AQwBvAG0AbQBvAG4AXwBTAG8AdQByAGMAZQBEAGEAdABhAF8ARQBGAFAAYQBzAHQAdQByAGUAUgBhAG4AZwBlAEEAbgBkAFAAYQBkAGQAbwBjAGsAXwBVAG4AaQB0ACIALAAiAEMAbwBtAG0AbwBuAF8AUwBvAHUAcgBjAGUARABhAHQAYQAuAEMAbwBtAG0AbwBuAF8AUwBvAHUAcgBjAGUARABhAHQAYQBfAEUARgBQAGEAcwB0AHUAcgBlAFIAYQBuAGcAZQBBAG4AZABQAGEAZABkAG8AYwBrAF8AUwBvAHUAcgBjAGUAIgAsACIAQwBvAG0AbQBvAG4AXwBTAG8AdQByAGMAZQBEAGEAdABhAC4AQwBvAG0AbQBvAG4AXwBTAG8AdQByAGMAZQBEAGEAdABhAF8ARQBGAFAAYQBzAHQAdQByAGUAUgBhAG4AZwBlAEEAbgBkAFAAYQBkAGQAbwBjAGsAXwBOAEkAUgBSAGUAZgBlAHIAZQBuAGMAZQAiACwAIgBDAG8AbQBtAG8AbgBfAFMAbwB1AHIAYwBlAEQAYQB0AGEALgBDAG8AbQBtAG8AbgBfAFMAbwB1AHIAYwBlAEQAYQB0AGEAXwBFAEYAUABhAHMAdAB1AHIAZQBSAGEAbgBnAGUAQQBuAGQAUABhAGQAZABvAGMAawBfAEQAYQB0AGEAIgAsACIAQwBvAG0AbQBvAG4AXwBTAG8AdQByAGMAZQBEAGEAdABhAC4AQwBvAG0AbQBvAG4AXwBTAG8AdQByAGMAZQBEAGEAdABhAF8ARQBGAFAAYQBzAHQAdQByAGUAUgBhAG4AZwBlAEEAbgBkAFAAYQBkAGQAbwBjAGsAXwBWAGEAcgBpAGEAdABpAG8AbgAiACwAIgBDAG8AbQBtAG8AbgBfAFMAbwB1AHIAYwBlAEQAYQB0AGEALgBDAG8AbQBtAG8AbgBfAFMAbwB1AHIAYwBlAEQAYQB0AGEAXwBNAG8AbgB0AGgAcwBUAG8AUwBlAGEAcwBvAG4AcwBfAFQAaQB0AGwAZQAiACwAIgBDAG8AbQBtAG8AbgBfAFMAbwB1AHIAYwBlAEQAYQB0AGEALgBDAG8AbQBtAG8AbgBfAFMAbwB1AHIAYwBlAEQAYQB0AGEAXwBNAG8AbgB0AGgAcwBUAG8AUwBlAGEAcwBvAG4AcwBfAFUAbgBpAHQAIgAsACIAQwBvAG0AbQBvAG4AXwBTAG8AdQByAGMAZQBEAGEAdABhAC4AQwBvAG0AbQBvAG4AXwBTAG8AdQByAGMAZQBEAGEAdABhAF8ATQBvAG4AdABoAHMAVABvAFMAZQBhAHMAbwBuAHMAXwBTAG8AdQByAGMAZQAiACwAIgBDAG8AbQBtAG8AbgBfAFMAbwB1AHIAYwBlAEQAYQB0AGEALgBDAG8AbQBtAG8AbgBfAFMAbwB1AHIAYwBlAEQAYQB0AGEAXwBNAG8AbgB0AGgAcwBUAG8AUwBlAGEAcwBvAG4AcwBfAE4ASQBSAFIAZQBmAGUAcgBlAG4AYwBlACIALAAiAEMAbwBtAG0AbwBuAF8AUwBvAHUAcgBjAGUARABhAHQAYQAuAEMAbwBtAG0AbwBuAF8AUwBvAHUAcgBjAGUARABhAHQAYQBfAE0AbwBuAHQAaABzAFQAbwBTAGUAYQBzAG8AbgBzAF8ARABhAHQAYQAiACwAIgBDAG8AbQBtAG8AbgBfAFMAbwB1AHIAYwBlAEQAYQB0AGEALgBDAG8AbQBtAG8AbgBfAFMAbwB1AHIAYwBlAEQAYQB0AGEAXwBNAG8AbgB0AGgAcwBUAG8AUwBlAGEAcwBvAG4AcwBfAFYAYQByAGkAYQB0AGkAbwBuACIAXQAsACIAbABvAGMAYQBsAGUAIgA6AHsAIgBsAGkAcwB0AFMAZQBwAGEAcgBhAHQAbwByACIAOgAiACwAIgAsACIAcgBvAHcAUwBlAHAAYQByAGEAdABvAHIAIgA6ACIAOwAiACwAIgBjAG8AbAB1AG0AbgBTAGUAcABhAHIAYQB0AG8AcgAiADoAIgAsACIALAAiAHQAaABvAHUAcwBhAG4AZABzAFMAZQBwAGEAcgBhAHQAbwByACIAOgAiACwAIgAsACIAdABoAG8AdQBzAGEAbgBkAHMAUABvAHMAaQB0AGkAbwBuAHMAIgA6AFsAMwBdACwAIgBkAGUAYwBpAG0AYQBsAFMAZQBwAGEAcgBhAHQAbwByACIAOgAiAC4AIgAsACIAZABhAHQAZQBPAHIAZABlAHIAIgA6ACIARABNAFkAIgAsACIAYwB1AHIAcgBlAG4AYwB5AFMAeQBtAGIAbwBsACIAOgAiACQAIgAsACIAaQBzAEMAdQByAHIAZQBuAGMAeQBTAHkAbQBiAG8AbABMAGUAYQBkACIAOgB0AHIAdQBlACwAIgBpAHMAQwB1AHIAcgBlAG4AYwB5AFMAZQBwAEIAeQBTAHAAYQBjAGUAIgA6AGYAYQBsAHMAZQAsACIAcgBvAHcATABlAHQAdABlAHIAIgA6ACIAUgAiACwAIgBjAG8AbAB1AG0AbgBMAGUAdAB0AGUAcgAiADoAIgBDACIALAAiAHIAYwBMAGUAZgB0AEIAcgBhAGMAawBlAHQAIgA6ACIAWwAiACwAIgByAGMAUgBpAGcAaAB0AEIAcgBhAGMAawBlAHQAIgA6ACIAXQAiACwAIgBzAHQAYQB0AGUAbQBlAG4AdABTAGUAcABhAHIAYQB0AG8AcgAiADoAIgA7ACIALAAiAGwAbwBjAGEAbABlAE4AYQBtAGUAIgA6ACIAZQBuAC0AdQBzACIAfQAsACIAZgBpAGwAZQBzACIAOgBbAHsAIgBwAGEAdABoACIAOgAiAC8AcAByAG8AagBlAGMAdABzAC8AVwBvAHIAawBiAG8AbwBrACIALAAiAHQAZQB4AHQAIgA6ACIALwAvACAALQAtAC0AIABXAG8AcgBrAGIAbwBvAGsAIABtAG8AZAB1AGwAZQAgAC0ALQAtAFwAbgAvAC8AIABBACAAZgBpAGwAZQAgAG8AZgAgAG4AYQBtAGUAIABkAGUAZgBpAG4AaQB0AGkAbwBuAHMAIABvAGYAIAB0AGgAZQAgAGYAbwByAG0AOgBcAG4ALwAvACAAIAAgACAAbgBhAG0AZQAgAD0AIABkAGUAZgBpAG4AaQB0AGkAbwBuADsAXABuACIAfQAsAHsAIgBwAGEAdABoACIAOgAiAC8AcAByAG8AagBlAGMAdABzAC8AQwBvAG0AbQBvAG4AXwBFAHEAdQBhAHQAaQBvAG4AcwAiACwAIgB0AGUAeAB0ACIAOgAiAFwAbgAvACoAIABcAG4ALQAtAC0ALQAtAC0ALQAtAC0ALQAtAC0ALQAtAC0ALQAtAC0ALQAtAC0ALQAtAC0ALQAtAC0ALQAtAC0ALQAtAC0ALQAtAC0ALQAtAFwAbgBDAG8AbQBtAG8AbgBfAEMAbwBuAHYAZQByAHQATgAyAE8AVABvAEMATwAyAGUAXABuAEMAbwBuAHYAZQByAHQAIABuAGkAdAByAG8AdQBzACAAbwB4AGkAZABlACAAZQBtAGkAcwBzAGkAbwBuAHMAIAB0AG8AIABjAGEAcgBiAG8AbgAgAGQAaQBvAHgAaQBkAGUAIABlAHEAdQBpAHYAYQBsAGUAbgB0ACAAZQBtAGkAcwBzAGkAbwBuAHMAXABuAEUATgAyAE8AIABDAE8AMgBlAFwAbgB0ACAAQwBPADIAZQBcAG4ARQBOADIATwA6ACAAbgBpAHQAcgBvAHUAcwAgAG8AeABpAGQAZQAgAGUAbQBpAHMAcwBpAG8AbgBzACAAKAB0ACAATgAyAE8AKQBcAG4ARwBXAFAATgAyAE8AOgAgAGcAbABvAGIAYQBsACAAdwBhAHIAbQBpAG4AZwAgAHAAbwB0AGUAbgB0AGkAYQBsACAAZgBvAHIAIABuAGkAdAByAG8AdQBzACAAbwB4AGkAZABlACAAKAB0ACAAQwBPADIALQBlACAALwAgAHQAIABOADIATwApAFwAbgAtAC0ALQAtAC0ALQAtAC0ALQAtAC0ALQAtAC0ALQAtAC0ALQAtAC0ALQAtAC0ALQAtAC0ALQAtAC0ALQAtAC0ALQAtAC0ALQAtAC0AXABuACoALwBcAG4AXABuAFwAbgBDAG8AbQBtAG8AbgBfAEMAbwBuAHYAZQByAHQATgAyAE8AVABvAEMATwAyAGUAXABuACAAIAA9AEwAQQBNAEIARABBACgAXABuACAAIAAgACAARQBfAE4AMgBPACwAIABHAFcAUABfAE4AMgBPACwAXABuACAAIAAgACAARQBfAE4AMgBPACAAKgAgAEcAVwBQAF8ATgAyAE8AXABuACAAIAApAFwAbgA7AFwAbgBcAG4AQwBvAG0AbQBvAG4AXwBDAG8AbgB2AGUAcgB0AE4AMgBPAFQAbwBDAE8AMgBlAF8AVABpAHQAbABlAFwAbgAgACAAPQBMAEEATQBCAEQAQQAoAFwAIgBDAG8AbgB2AGUAcgB0ACAAbgBpAHQAcgBvAHUAcwAgAG8AeABpAGQAZQAgAGUAbQBpAHMAcwBpAG8AbgBzACAAdABvACAAYwBhAHIAYgBvAG4AIABkAGkAbwB4AGkAZABlACAAZQBxAHUAaQB2AGEAbABlAG4AdAAgAGUAbQBpAHMAcwBpAG8AbgBzAFwAIgApADsAXABuAFwAbgBDAG8AbQBtAG8AbgBfAEMAbwBuAHYAZQByAHQATgAyAE8AVABvAEMATwAyAGUAXwBWAGEAcgBpAGEAYgBsAGUAXABuACAAIAA9AEwAQQBNAEIARABBACgAXAAiAEUATgAyAE8AIABDAE8AMgBlAFwAIgApADsAXABuAFwAbgBDAG8AbQBtAG8AbgBfAEMAbwBuAHYAZQByAHQATgAyAE8AVABvAEMATwAyAGUAXwBVAG4AaQB0AFwAbgAgACAAPQBMAEEATQBCAEQAQQAoAFwAIgB0ACAAQwBPADIAZQBcACIAKQA7AFwAbgBcAG4AQwBvAG0AbQBvAG4AXwBDAG8AbgB2AGUAcgB0AE4AMgBPAFQAbwBDAE8AMgBlAF8ATgBJAFIAUgBlAGYAZQByAGUAbgBjAGUAXABuACAAIAA9AEwAQQBNAEIARABBACgAXAAiAFwAIgApADsAXABuAFwAbgBDAG8AbQBtAG8AbgBfAEMAbwBuAHYAZQByAHQATgAyAE8AVABvAEMATwAyAGUAXwBMAGEAdABlAHgARQBxAHUAYQB0AGkAbwBuAFwAbgAgACAAPQBMAEEATQBCAEQAQQAoAFwAIgBDAE8AMgBfAGUAIAA9ACAARQBfAHsATgAyAE8AfQAgAFwAXAB0AGkAbQBlAHMAIABHAFcAUABfAHsATgAyAE8AfQBcACIAKQA7AFwAbgBcAG4AQwBvAG0AbQBvAG4AXwBDAG8AbgB2AGUAcgB0AE4AMgBPAFQAbwBDAE8AMgBlAF8AQQByAGcAdQBtAGUAbgB0AHMAXABuACAAIAA9AEwAQQBNAEIARABBACgAXABuACAAIAAgACAATQBBAEsARQBBAFIAUgBBAFkAKAAyACwAIAAyACwAIABcAG4AIAAgACAAIAAgACAATABBAE0AQgBEAEEAKAByACwAYwAsACAAXABuACAAIAAgACAAIAAgACAAIABJAE4ARABFAFgAKAB7AFwAbgAgACAAIAAgACAAIAAgACAAIAAgAFwAIgBFAE4AMgBPAFwAIgAsAFwAIgBOAGkAdAByAG8AdQBzACAAbwB4AGkAZABlACAAZQBtAGkAcwBzAGkAbwBuAHMAIAAoAHQAIABOADIATwApAFwAIgA7AFwAbgAgACAAIAAgACAAIAAgACAAIAAgAFwAIgBHAFcAUABOADIATwBcACIALABcACIARwBsAG8AYgBhAGwAIAB3AGEAcgBtAGkAbgBnACAAcABvAHQAZQBuAHQAaQBhAGwAIABmAG8AcgAgAG4AaQB0AHIAbwB1AHMAIABvAHgAaQBkAGUAIAAoAHQAIABDAE8AMgAtAGUAIAAvACAAdAAgAE4AMgBPACkAXAAiAFwAbgAgACAAIAAgACAAIAAgACAAfQAsACAAcgAsACAAYwApAFwAbgAgACAAIAAgACAAIAApAFwAbgAgACAAIAAgACkAXABuACAAIAApADsAXABuAFwAbgAvACoAIABcAG4ALQAtAC0ALQAtAC0ALQAtAC0ALQAtAC0ALQAtAC0ALQAtAC0ALQAtAC0ALQAtAC0ALQAtAC0ALQAtAC0ALQAtAC0ALQAtAC0ALQAtAFwAbgBDAG8AbQBtAG8AbgBfAEMAbwBuAHYAZQByAHQAQwBIADQAVABvAEMATwAyAGUAXABuAEMAbwBuAHYAZQByAHQAIABtAGUAdABoAGEAbgBlACAAZQBtAGkAcwBzAGkAbwBuAHMAIAB0AG8AIABjAGEAcgBiAG8AbgAgAGQAaQBvAHgAaQBkAGUAIABlAHEAdQBpAHYAYQBsAGUAbgB0ACAAZQBtAGkAcwBzAGkAbwBuAHMAXABuAEUAQwBIADQAIABDAE8AMgBlAFwAbgB0ACAAQwBPADIAZQBcAG4ARQBDAEgANAA6ACAAbQBlAHQAaABhAG4AZQAgAGUAbQBpAHMAcwBpAG8AbgBzACAAKAB0ACAAQwBIADQAKQBcAG4ARwBXAFAAQwBIADQAOgAgAGcAbABvAGIAYQBsACAAdwBhAHIAbQBpAG4AZwAgAHAAbwB0AGUAbgB0AGkAYQBsACAAZgBvAHIAIABtAGUAdABoAGEAbgBlACAAKAB0ACAAQwBPADIALQBlACAALwAgAHQAIABDAEgANAApAFwAbgAtAC0ALQAtAC0ALQAtAC0ALQAtAC0ALQAtAC0ALQAtAC0ALQAtAC0ALQAtAC0ALQAtAC0ALQAtAC0ALQAtAC0ALQAtAC0ALQAtAC0AXABuACoALwBcAG4AXABuAFwAbgBDAG8AbQBtAG8AbgBfAEMAbwBuAHYAZQByAHQAQwBIADQAVABvAEMATwAyAGUAXABuACAAIAA9AEwAQQBNAEIARABBACgAXABuACAAIAAgACAARQBfAEMASAA0ACwAIABHAFcAUABfAEMASAA0ACwAXABuACAAIAAgACAARQBfAEMASAA0ACAAKgAgAEcAVwBQAF8AQwBIADQAXABuACAAIAApAFwAbgA7AFwAbgBcAG4AQwBvAG0AbQBvAG4AXwBDAG8AbgB2AGUAcgB0AEMASAA0AFQAbwBDAE8AMgBlAF8AVABpAHQAbABlAFwAbgAgACAAPQBMAEEATQBCAEQAQQAoAFwAIgBDAG8AbgB2AGUAcgB0ACAAbQBlAHQAaABhAG4AZQAgAGUAbQBpAHMAcwBpAG8AbgBzACAAdABvACAAYwBhAHIAYgBvAG4AIABkAGkAbwB4AGkAZABlACAAZQBxAHUAaQB2AGEAbABlAG4AdAAgAGUAbQBpAHMAcwBpAG8AbgBzAFwAIgApADsAXABuAFwAbgBDAG8AbQBtAG8AbgBfAEMAbwBuAHYAZQByAHQAQwBIADQAVABvAEMATwAyAGUAXwBWAGEAcgBpAGEAYgBsAGUAXABuACAAIAA9AEwAQQBNAEIARABBACgAXAAiAEUAQwBIADQAIABDAE8AMgBlAFwAIgApADsAXABuAFwAbgBDAG8AbQBtAG8AbgBfAEMAbwBuAHYAZQByAHQAQwBIADQAVABvAEMATwAyAGUAXwBVAG4AaQB0AFwAbgAgACAAPQBMAEEATQBCAEQAQQAoAFwAIgB0ACAAQwBPADIAZQBcACIAKQA7AFwAbgBcAG4AQwBvAG0AbQBvAG4AXwBDAG8AbgB2AGUAcgB0AEMASAA0AFQAbwBDAE8AMgBlAF8ATgBJAFIAUgBlAGYAZQByAGUAbgBjAGUAXABuACAAIAA9AEwAQQBNAEIARABBACgAXAAiAFwAIgApADsAXABuAFwAbgBDAG8AbQBtAG8AbgBfAEMAbwBuAHYAZQByAHQAQwBIADQAVABvAEMATwAyAGUAXwBMAGEAdABlAHgARQBxAHUAYQB0AGkAbwBuAFwAbgAgACAAPQBMAEEATQBCAEQAQQAoAFwAIgBDAE8AMgBfAGUAIAA9ACAARQBfAHsAQwBIADQAfQAgAFwAXAB0AGkAbQBlAHMAIABHAFcAUABfAHsAQwBIADQAfQBcACIAKQA7AFwAbgBcAG4AQwBvAG0AbQBvAG4AXwBDAG8AbgB2AGUAcgB0AEMASAA0AFQAbwBDAE8AMgBlAF8AQQByAGcAdQBtAGUAbgB0AHMAXABuACAAIAA9AEwAQQBNAEIARABBACgAXABuACAAIAAgACAATQBBAEsARQBBAFIAUgBBAFkAKAAyACwAIAAyACwAIABcAG4AIAAgACAAIAAgACAATABBAE0AQgBEAEEAKAByACwAYwAsACAAXABuACAAIAAgACAAIAAgACAAIABJAE4ARABFAFgAKAB7AFwAbgAgACAAIAAgACAAIAAgACAAIAAgAFwAIgBFAEMASAA0AFwAIgAsAFwAIgBNAGUAdABoAGEAbgBlACAAZQBtAGkAcwBzAGkAbwBuAHMAIAAoAHQAIABDAEgANAApAFwAIgA7AFwAbgAgACAAIAAgACAAIAAgACAAIAAgAFwAIgBHAFcAUABDAEgANABcACIALABcACIARwBsAG8AYgBhAGwAIAB3AGEAcgBtAGkAbgBnACAAcABvAHQAZQBuAHQAaQBhAGwAIABmAG8AcgAgAG0AZQB0AGgAYQBuAGUAIAAoAHQAIABDAE8AMgAtAGUAIAAvACAAdAAgAEMASAA0ACkAXAAiAFwAbgAgACAAIAAgACAAIAAgACAAfQAsACAAcgAsACAAYwApAFwAbgAgACAAIAAgACAAIAApAFwAbgAgACAAIAAgACkAXABuACAAIAApADsAIgB9ACwAewAiAHAAYQB0AGgAIgA6ACIALwBwAHIAbwBqAGUAYwB0AHMALwBDAG8AbQBtAG8AbgBfAEkAbgBwAHUAdABGAHUAbgBjAHQAaQBvAG4AcwAiACwAIgB0AGUAeAB0ACIAOgAiAFUAdABpAGwAaQB0AHkAXwBHAGUAdABBAHIAcgBhAHkAVABhAGIAbABlAFIAbwB3AFMAdABhAHIAdABOAHUAbQBiAGUAcgBcAG4APQBMAEEATQBCAEQAQQAoAFwAbgAgACAAIAAgAFQAYQBiAGwAZQBoAGUAYQBkAGUAcgBDAGUAbABsACwAUgBvAHcAcwBCAGUAdAB3AGUAZQBuAEgAZQBhAGQAZQByAGEAbgBkAEEAcgByAGEAeQAsAFwAbgAgACAAIAAgAFIATwBXACgAVABhAGIAbABlAGgAZQBhAGQAZQByAEMAZQBsAGwAKQAgACsAIABSAG8AdwBzAEIAZQB0AHcAZQBlAG4ASABlAGEAZABlAHIAYQBuAGQAQQByAHIAYQB5ACAALQAgADEAXABuACkAOwBcAG4AXABuAFUAdABpAGwAaQB0AHkAXwBHAGUAdABBAHIAcgBhAHkAVABhAGIAbABlAEMAbwBsAHUAbQBuAFMAdABhAHIAdABOAHUAbQBiAGUAcgBcAG4APQBMAEEATQBCAEQAQQAoAFwAbgAgACAAVABhAGIAbABlAEgAZQBhAGQAZQByAEMAZQBsAGwALABcAG4AIAAgAEMATwBMAFUATQBOACgAVABhAGIAbABlAEgAZQBhAGQAZQByAEMAZQBsAGwAKQBcAG4AKQA7AFwAbgBcAG4AVQB0AGkAbABpAHQAeQBfAEQAaQBzAHAAbABhAHkAQQByAHIAYQB5AEkAbgBUAGEAYgBsAGUAXABuAD0ATABBAE0AQgBEAEEAKABcAG4AIABBAHIAcgBhAHkARABhAHQAYQAsACAAVABhAGIAbABlAGgAZQBhAGQAZQByAEMAZQBsAGwALAAgAFIAbwB3AHMAQgBlAHQAdwBlAGUAbgBIAGUAYQBkAGUAcgBhAG4AZABBAHIAcgBhAHkALAAgAFsAQwBvAGwAdQBtAG4AcwBCAGUAdAB3AGUAZQBuAEgAZQBhAGQAZQByAEEAbgBkAEEAcgByAGEAeQBdACwAXABuACAASQBGAEUAUgBSAE8AUgAoAFwAbgAgACAAIAAgACAASQBOAEQARQBYACgAXABuACAAIAAgACAAIAAgACAAIAAgACAAIAAgAFUATgBJAFEAVQBFACgAQQByAHIAYQB5AEQAYQB0AGEAKQAsACAAXABuACAAIAAgACAAIAAgACAAIAAgACAAIAAgAFIATwBXACgAKQAtAFUAdABpAGwAaQB0AHkAXwBHAGUAdABBAHIAcgBhAHkAVABhAGIAbABlAFIAbwB3AFMAdABhAHIAdABOAHUAbQBiAGUAcgAoAFQAYQBiAGwAZQBoAGUAYQBkAGUAcgBDAGUAbABsACwAIABSAG8AdwBzAEIAZQB0AHcAZQBlAG4ASABlAGEAZABlAHIAYQBuAGQAQQByAHIAYQB5ACkALAAgAFwAbgAgACAAIAAgACAAIAAgACAAIAAgACAAIABDAE8ATABVAE0ATgAoACkALQBVAHQAaQBsAGkAdAB5AF8ARwBlAHQAQQByAHIAYQB5AFQAYQBiAGwAZQBDAG8AbAB1AG0AbgBTAHQAYQByAHQATgB1AG0AYgBlAHIAKABUAGEAYgBsAGUAaABlAGEAZABlAHIAQwBlAGwAbAApACAAKwBcAG4AIAAgACAAIAAgACAAIAAgACAAIAAgACAASQBGACgASQBTAE8ATQBJAFQAVABFAEQAKABDAG8AbAB1AG0AbgBzAEIAZQB0AHcAZQBlAG4ASABlAGEAZABlAHIAQQBuAGQAQQByAHIAYQB5ACkALAAgADEALAAgAEMAbwBsAHUAbQBuAHMAQgBlAHQAdwBlAGUAbgBIAGUAYQBkAGUAcgBBAG4AZABBAHIAcgBhAHkAKQBcAG4AIAAgACAAIAAgACAAIAAgACkALAAgAFwAIgBcACIAXABuACAAIAAgACAAKQBcAG4AKQA7AFwAbgBcAG4AVQB0AGkAbABpAHQAeQBfAEwAbwBvAGsAdQBwAFYAYQBsAHUAZQBJAG4AVABhAGIAbABlAFwAbgA9AEwAQQBNAEIARABBACgAXABuACAAIAAgACAATABvAG8AawB1AHAAVgBhAGwAdQBlACwAIABMAG8AbwBrAHUAcABBAHIAcgBhAHkALAAgAFIAZQB0AHUAcgBuAEEAcgByAGEAeQAsAFwAbgAgACAAIAAgAFgATABPAE8ASwBVAFAAKABMAG8AbwBrAHUAcABWAGEAbAB1AGUALAAgAEwAbwBvAGsAdQBwAEEAcgByAGEAeQAsACAAUgBlAHQAdQByAG4AQQByAHIAYQB5ACwAIABcACIAXAAiACkAXABuACkAOwBcAG4AXABuAFUAdABpAGwAaQB0AHkAXwBMAG8AbwBrAHUAcABWAGEAbAB1AGUASQBuAFQAYQBiAGwAZQBOAHUAbQBiAGUAcgBcAG4APQBMAEEATQBCAEQAQQAoAFwAbgAgACAAIAAgAEwAbwBvAGsAdQBwAFYAYQBsAHUAZQAsACAATABvAG8AawB1AHAAQQByAHIAYQB5ACwAIABSAGUAdAB1AHIAbgBBAHIAcgBhAHkALABcAG4AIAAgACAAIABJAEYAKABJAFMATgBVAE0AQgBFAFIAKABcAG4AIAAgACAAIAAgACAAIAAgAFgATABPAE8ASwBVAFAAKABMAG8AbwBrAHUAcABWAGEAbAB1AGUALAAgAEwAbwBvAGsAdQBwAEEAcgByAGEAeQAsACAAUgBlAHQAdQByAG4AQQByAHIAYQB5ACwAIABcACIAXAAiACkAXABuACAAIAAgACAAKQAsACAAWABMAE8ATwBLAFUAUAAoAEwAbwBvAGsAdQBwAFYAYQBsAHUAZQAsACAATABvAG8AawB1AHAAQQByAHIAYQB5ACwAIABSAGUAdAB1AHIAbgBBAHIAcgBhAHkALAAgAFwAIgBcACIAKQAsACAAMAApAFwAbgApADsAXABuAFwAbgBVAHQAaQBsAGkAdAB5AF8ATABvAG8AawB1AHAAVgBhAGwAdQBlAEkAbgBUAGEAYgBsAGUAVAB3AG8AQwBvAGwAdQBtAG4AcwBcAG4APQBMAEEATQBCAEQAQQAoAFwAbgAgACAAIAAgAEwAbwBvAGsAdQBwAFYAYQBsAHUAZQAxACwAIABMAG8AbwBrAHUAcABWAGEAbAB1AGUAMgAsACAATABvAG8AawB1AHAAQQByAHIAYQB5ADEALAAgAEwAbwBvAGsAdQBwAEEAcgByAGEAeQAyACwAIABSAGUAdAB1AHIAbgBBAHIAcgBhAHkALAAgAFsAVgBhAGwAdQBlAEkARgBGAGEAbABzAGUAXQAsAFwAbgAgACAAIAAgAFgATABPAE8ASwBVAFAAKAAxACwAIAAoAEwAbwBvAGsAdQBwAEEAcgByAGEAeQAxAD0ATABvAG8AawB1AHAAVgBhAGwAdQBlADEAKQAqACgATABvAG8AawB1AHAAQQByAHIAYQB5ADIAPQBMAG8AbwBrAHUAcABWAGEAbAB1AGUAMgApACwAIABSAGUAdAB1AHIAbgBBAHIAcgBhAHkALAAgAEkARgAoAEkAUwBPAE0ASQBUAFQARQBEACgAVgBhAGwAdQBlAEkARgBGAGEAbABzAGUAKQAsACAAXAAiAFwAIgAsACAAVgBhAGwAdQBlAEkARgBGAGEAbABzAGUAKQApAFwAbgApADsAXABuAFwAbgBVAHQAaQBsAGkAdAB5AF8ATABvAG8AawB1AHAAVgBhAGwAdQBlAEkAbgBUAGEAYgBsAGUATwBuAGUAQwBvAGwAdQBtAG4AQQBuAGQASABlAGEAZABlAHIAXABuAD0ATABBAE0AQgBEAEEAKABcAG4AIAAgACAAIABMAG8AbwBrAHUAcABWAGEAbAB1AGUAMQAsACAATABvAG8AawB1AHAAVgBhAGwAdQBlADIALAAgAEwAbwBvAGsAdQBwAEEAcgByAGEAeQAxACwAIABMAG8AbwBrAHUAcABBAHIAcgBhAHkAMgAsACAAUgBlAHQAdQByAG4AQQByAHIAYQB5ACwAIABbAFYAYQBsAHUAZQBJAGYARgBhAGwAcwBlAF0ALABcAG4AIAAgACAAIABJAEYARQBSAFIATwBSACgAXABuACAAIAAgACAAIAAgACAAIABYAEwATwBPAEsAVQBQACgATABvAG8AawB1AHAAVgBhAGwAdQBlADEALAAgAEwAbwBvAGsAdQBwAEEAcgByAGEAeQAxACwAXABuACAAIAAgACAAIAAgACAAIAAgACAAIAAgAFgATABPAE8ASwBVAFAAKABMAG8AbwBrAHUAcABWAGEAbAB1AGUAMgAsACAATABvAG8AawB1AHAAQQByAHIAYQB5ADIALAAgAFIAZQB0AHUAcgBuAEEAcgByAGEAeQApAFwAbgAgACAAIAAgACAAIAAgACAAKQAsAFwAbgAgACAAIAAgACAAIAAgACAASQBGACgASQBTAE8ATQBJAFQAVABFAEQAKABWAGEAbAB1AGUASQBmAEYAYQBsAHMAZQApACwAIABcACIAXAAiACwAIABWAGEAbAB1AGUASQBmAEYAYQBsAHMAZQApAFwAbgAgACAAIAAgACkAXABuACkAOwBcAG4AXABuAFUAdABpAGwAaQB0AHkAXwBTAHAAbABpAHQAUwB0AHIAaQBuAGcASQBuAHQAbwBBAHIAcgBhAHkAXABuAD0ATABBAE0AQgBEAEEAKABcAG4AIAAgACAAIABDAGUAbABsACwAIABEAGUAbABpAG0AaQB0AGUAcgAsACAAWwBDAGgAYQByAGEAYwB0AGUAcgBUAG8AUgBlAG0AbwB2AGUAMQBdACwAIABbAEMAaABhAHIAYQBjAHQAZQByAFQAbwBSAGUAbQBvAHYAZQAyAF0ALABcAG4AIAAgACAAIAAgACAAIAAgAEYASQBMAFQARQBSAFgATQBMACgAXABuACAAIAAgACAAIAAgACAAIABcACIAXAB1ADAAMAAzAGMAdABcAHUAMAAwADMAZQBcAHUAMAAwADMAYwBzAFwAdQAwADAAMwBlAFwAIgAgAFwAdQAwADAAMgA2AFwAbgAgACAAIAAgACAAIAAgACAAUwBVAEIAUwBUAEkAVABVAFQARQAoAFwAbgAgACAAIAAgACAAIAAgACAAIAAgACAAIABTAFUAQgBTAFQASQBUAFUAVABFACgAUwBVAEIAUwBUAEkAVABVAFQARQAoAEMAZQBsAGwALABDAGgAYQByAGEAYwB0AGUAcgBUAG8AUgBlAG0AbwB2AGUAMQAsAFwAIgBcACIAKQAsAEMAaABhAHIAYQBjAHQAZQByAFQAbwBSAGUAbQBvAHYAZQAyACwAXAAiAFwAIgApACwAXABuACAAIAAgACAAIAAgACAAIAAgACAAIAAgAEQAZQBsAGkAbQBpAHQAZQByACwAXAAiAFwAdQAwADAAMwBjAC8AcwBcAHUAMAAwADMAZQBcAHUAMAAwADMAYwBzAFwAdQAwADAAMwBlAFwAIgBcAG4AIAAgACAAIAAgACAAIAAgACkAIABcAHUAMAAwADIANgBcAG4AIAAgACAAIAAgACAAIAAgAFwAIgBcAHUAMAAwADMAYwAvAHMAXAB1ADAAMAAzAGUAXAB1ADAAMAAzAGMALwB0AFwAdQAwADAAMwBlAFwAIgAsAFwAbgAgACAAIAAgACAAIAAgACAAXAAiAC8ALwBzAFwAIgBcAG4AIAAgACAAIAApAFwAbgApADsAXABuAFwAbgBVAHQAaQBsAGkAdAB5AF8ARwBlAHQAQwBsAGkAbQBhAHQAZQBaAG8AbgBlAFwAbgA9AEwAQQBNAEIARABBACgAXABuACAAIAAgACAAYQB2AGcAVABlAG0AcAAsAGEAdgBnAFIAYQBpAG4ALABmAHIAbwBzAHQARABhAHkAcwAsAGUAbABlAHYALABtAGEAcABfAHAAZQB0ACwAXABuACAAIAAgACAAbQBpAG4AVABlAG0AcABBAHIAcgBhAHkALABtAGEAeABUAGUAbQBwAEEAcgByAGEAeQAsAFwAbgAgACAAIAAgAG0AaQBuAFIAYQBpAG4AZgBhAGwAbABBAHIAcgBhAHkALABtAGEAeABSAGEAaQBuAGYAYQBsAGwAQQByAHIAYQB5ACwAXABuACAAIAAgACAAbQBpAG4ARgByAG8AcwB0AEEAcgByAGEAeQAsAG0AYQB4AEYAcgBvAHMAdABBAHIAcgBhAHkALABcAG4AIAAgACAAIABtAGkAbgBFAGwAZQB2AGEAdABpAG8AbgBBAHIAcgBhAHkALABtAGEAeABFAGwAZQB2AGEAdABpAG8AbgBBAHIAcgBhAHkALABcAG4AIAAgACAAIABtAGkAbgBQAEUAVABBAHIAcgBhAHkALABtAGEAeABQAEUAVABBAHIAcgBhAHkALABcAG4AIAAgACAAIABjAGwAaQBtAGEAdABlAFoAbwBuAGUAQQByAHIAYQB5ACwAXABuACAAIAAgACAATABFAFQAKABcAG4AIAAgACAAIAAgACAAIAAgAG0AYQBzAGsALABcAG4AIAAgACAAIAAgACAAIAAgACgAVgBBAEwAVQBFACgAbQBpAG4AVABlAG0AcABBAHIAcgBhAHkAKQBcAHUAMAAwADMAYwA9AGEAdgBnAFQAZQBtAHAAKQAqAFwAbgAgACAAIAAgACAAIAAgACAAKABWAEEATABVAEUAKABtAGEAeABUAGUAbQBwAEEAcgByAGEAeQApAFwAdQAwADAAMwBlAD0AYQB2AGcAVABlAG0AcAApACoAXABuACAAIAAgACAAIAAgACAAIAAoAFYAQQBMAFUARQAoAG0AaQBuAFIAYQBpAG4AZgBhAGwAbABBAHIAcgBhAHkAKQBcAHUAMAAwADMAYwA9AGEAdgBnAFIAYQBpAG4AKQAqAFwAbgAgACAAIAAgACAAIAAgACAAKABWAEEATABVAEUAKABtAGEAeABSAGEAaQBuAGYAYQBsAGwAQQByAHIAYQB5ACkAXAB1ADAAMAAzAGUAPQBhAHYAZwBSAGEAaQBuACkAKgBcAG4AIAAgACAAIAAgACAAIAAgACgAVgBBAEwAVQBFACgAbQBpAG4ARgByAG8AcwB0AEEAcgByAGEAeQApAFwAdQAwADAAMwBjAD0AZgByAG8AcwB0AEQAYQB5AHMAKQAqAFwAbgAgACAAIAAgACAAIAAgACAAKABWAEEATABVAEUAKABtAGEAeABGAHIAbwBzAHQAQQByAHIAYQB5ACkAXAB1ADAAMAAzAGUAPQBmAHIAbwBzAHQARABhAHkAcwApACoAXABuACAAIAAgACAAIAAgACAAIAAoAFYAQQBMAFUARQAoAG0AaQBuAEUAbABlAHYAYQB0AGkAbwBuAEEAcgByAGEAeQApAFwAdQAwADAAMwBjAD0AZQBsAGUAdgApACoAXABuACAAIAAgACAAIAAgACAAIAAoAFYAQQBMAFUARQAoAG0AYQB4AEUAbABlAHYAYQB0AGkAbwBuAEEAcgByAGEAeQApAFwAdQAwADAAMwBlAD0AZQBsAGUAdgApACoAXABuACAAIAAgACAAIAAgACAAIAAoAFYAQQBMAFUARQAoAG0AaQBuAFAARQBUAEEAcgByAGEAeQApAFwAdQAwADAAMwBjAD0AbQBhAHAAXwBwAGUAdAApACoAXABuACAAIAAgACAAIAAgACAAIAAoAFYAQQBMAFUARQAoAG0AYQB4AFAARQBUAEEAcgByAGEAeQApAFwAdQAwADAAMwBlAD0AbQBhAHAAXwBwAGUAdAApACwAXABuACAAIAAgACAAIAAgACAAIABUAEEASwBFACgAXABuACAAIAAgACAAIAAgACAAIAAgACAAIAAgAEYASQBMAFQARQBSACgAYwBsAGkAbQBhAHQAZQBaAG8AbgBlAEEAcgByAGEAeQAsAG0AYQBzAGsALAAgAFwAIgBOAG8AIABtAGEAdABjAGgAXAAiACkALABcAG4AIAAgACAAIAAgACAAIAAgACAAIAAgACAAMQBcAG4AIAAgACAAIAAgACAAIAAgACkAXABuACAAIAAgACAAKQBcAG4AKQA7AFwAbgBcAG4AVQB0AGkAbABpAHQAeQBfAEwAbwBvAGsAdQBwAEkAdABlAG0ARgByAG8AbQBNAGkAbgBNAGEAeABcAG4APQBMAEEATQBCAEQAQQAoAFwAbgAgACAAIAAgAEwAbwBvAGsAdQBwAFYAYQBsAHUAZQAsACAATQBpAG4AQQByAHIAYQB5ACwAIABNAGEAeABBAHIAcgBhAHkALAAgAEkAdABlAG0AQQByAHIAYQB5ACwAXABuACAAIAAgACAATABFAFQAKABcAG4AIAAgACAAIAAgACAAIAAgAG0AYQBzAGsALABcAG4AIAAgACAAIAAgACAAIAAgACgAVgBBAEwAVQBFACgATQBpAG4AQQByAHIAYQB5ACkAXAB1ADAAMAAzAGMAPQBMAG8AbwBrAHUAcABWAGEAbAB1AGUAKQAqAFwAbgAgACAAIAAgACAAIAAgACAAKABWAEEATABVAEUAKABNAGEAeABBAHIAcgBhAHkAKQBcAHUAMAAwADMAZQA9AEwAbwBvAGsAdQBwAFYAYQBsAHUAZQApACwAXABuACAAIAAgACAAIAAgACAAIABGAEkATABUAEUAUgAoAEkAdABlAG0AQQByAHIAYQB5ACwAIABtAGEAcwBrACwAIABcACIATgBvACAAbQBhAHQAYwBoAFwAIgApAFwAbgAgACAAIAAgACkAXABuACkAOwBcAG4AXABuAFwAbgBVAHQAaQBsAGkAdAB5AF8AUwB1AG0AUQB1AGEAbgB0AGkAdAB5AEYAcgBvAG0AQwByAGkAdABlAHIAaQBhAFwAbgA9AEwAQQBNAEIARABBACgAXABuACAAIABDAHIAaQB0AGUAcgBpAGEAMQAsACAAQwByAGkAdABlAHIAaQBhADEAVAB5AHAAZQBBAHIAcgBhAHkALAAgAFEAdQBhAG4AdABpAHQAeQAsACAAWwBNAHUAbAB0AGkAcABsAGkAZQByAF0ALAAgAFsAQwByAGkAdABlAHIAaQBhADIAXQAsAFsAQwByAGkAdABlAHIAaQBhADIAQQByAHIAYQB5AF0ALABcAG4AIAAgAEwARQBUACgAXABuACAAIAAgACAAbQB1AGwAdABpAHAAbABpAGUAcgAsACAASQBGACgASQBTAE8ATQBJAFQAVABFAEQAKABNAHUAbAB0AGkAcABsAGkAZQByACkALAAxACwATQB1AGwAdABpAHAAbABpAGUAcgApACwAXABuACAAIAAgACAAcQB1AGEAbgB0AGkAdAB5ACwAIABRAHUAYQBuAHQAaQB0AHkAKgBNAHUAbAB0AGkAcABsAGkAZQByACwAXABuACAAIAAgACAAYwByAGkAdABlAHIAaQBhADEALAAtAC0AKABDAHIAaQB0AGUAcgBpAGEAMQBUAHkAcABlAEEAcgByAGEAeQA9AEMAcgBpAHQAZQByAGkAYQAxACkALABcAG4AIAAgACAAIABjAHIAaQB0AGUAcgBpAGEAMgAsAEkARgAoAEkAUwBPAE0ASQBUAFQARQBEACgAQwByAGkAdABlAHIAaQBhADIAKQAsADEALAAtAC0AKABDAHIAaQB0AGUAcgBpAGEAMgBBAHIAcgBhAHkAPQBDAHIAaQB0AGUAcgBpAGEAMgApACkALABcAG4AIAAgACAAIABTAFUATQBQAFIATwBEAFUAQwBUACgAYwByAGkAdABlAHIAaQBhADEAKgBjAHIAaQB0AGUAcgBpAGEAMgAqAHEAdQBhAG4AdABpAHQAeQApAFwAbgAgACAAKQBcAG4AKQA7AFwAbgBcAG4AZwBlAHQATwB2AGUAcgBsAGEAcABwAGkAbgBnAFIAZQBwAG8AcgB0AGkAbgBnAEMAeQBjAGwAZQBzAFwAbgA9AEwAQQBNAEIARABBACgAXABuACAAIAAgACAAUAByAG8AZAB1AGMAdABpAG8AbgBDAHkAYwBsAGUAUwB0AGEAcgB0ACwAUAByAG8AZAB1AGMAdABpAG8AbgBDAHkAYwBsAGUARQBuAGQALABSAGUAcABvAHIAdABpAG4AZwBDAHkAYwBsAGUAUwB0AGEAcgB0ACwAXABuACAAIAAgACAATABFAFQAKABcAG4AIAAgACAAIAAgACAAIAAgAFMALABQAHIAbwBkAHUAYwB0AGkAbwBuAEMAeQBjAGwAZQBTAHQAYQByAHQALABcAG4AIAAgACAAIAAgACAAIAAgAEUALABQAHIAbwBkAHUAYwB0AGkAbwBuAEMAeQBjAGwAZQBFAG4AZAAsAFwAbgAgACAAIAAgACAAIAAgACAAbQAsAE0ATwBOAFQASAAoAFIAZQBwAG8AcgB0AGkAbgBnAEMAeQBjAGwAZQBTAHQAYQByAHQAKQAsAFwAbgAgACAAIAAgACAAIAAgACAAZAAsAEQAQQBZACgAUgBlAHAAbwByAHQAaQBuAGcAQwB5AGMAbABlAFMAdABhAHIAdAApACwAXABuACAAIAAgACAAIAAgACAAIABQAGUAcgBpAG8AZABFAG4AZAAsAEwAQQBNAEIARABBACgAcwB0ACwARQBEAEEAVABFACgAcwB0ACwAMQAyACkALQAxACkALABcAG4AIAAgACAAIAAgACAAIAAgAEEALABTAC0AMwA2ADUALABcAG4AIAAgACAAIAAgACAAIAAgAHkAYQAsAFkARQBBAFIAKABBACkALABcAG4AIAAgACAAIAAgACAAIAAgAHkAYgAsAFkARQBBAFIAKABFACkALABcAG4AIAAgACAAIAAgACAAIAAgAGYAaQByAHMAdABZAGUAYQByACwAeQBhACsAKABQAGUAcgBpAG8AZABFAG4AZAAoAEQAQQBUAEUAKAB5AGEALABtACwAZAApACkAXAB1ADAAMAAzAGMAIABTACkALABcAG4AIAAgACAAIAAgACAAIAAgAGwAYQBzAHQAWQBlAGEAcgAsAHkAYgAtACgARABBAFQARQAoAHkAYgAsAG0ALABkACkAXAB1ADAAMAAzAGUAIABFACkALABcAG4AIAAgACAAIAAgACAAIAAgAE0AQQBYACgAMAAsAGwAYQBzAHQAWQBlAGEAcgAtAGYAaQByAHMAdABZAGUAYQByACsAMQApAFwAbgAgACAAIAAgACkAXABuACkAOwBcAG4AXABuAGcAZQB0AE8AdgBlAHIAbABhAHAAcABpAG4AZwBSAGUAcABvAHIAdABpAG4AZwBQAGUAcgBpAG8AZABzAFwAbgA9AEwAQQBNAEIARABBACgAXABuACAAIAAgACAAUAByAG8AZAB1AGMAdABpAG8AbgBDAHkAYwBsAGUAUwB0AGEAcgB0ACwAUAByAG8AZAB1AGMAdABpAG8AbgBDAHkAYwBsAGUARQBuAGQALABSAGUAcABvAHIAdABpAG4AZwBDAHkAYwBsAGUAUwB0AGEAcgB0ACwAXABuACAAIAAgACAATABFAFQAKABcAG4AIAAgACAAIAAgACAAIAAgAFMALABQAHIAbwBkAHUAYwB0AGkAbwBuAEMAeQBjAGwAZQBTAHQAYQByAHQALABcAG4AIAAgACAAIAAgACAAIAAgAEUALABQAHIAbwBkAHUAYwB0AGkAbwBuAEMAeQBjAGwAZQBFAG4AZAAsAFwAbgAgACAAIAAgACAAIAAgACAAbQAsAE0ATwBOAFQASAAoAFIAZQBwAG8AcgB0AGkAbgBnAEMAeQBjAGwAZQBTAHQAYQByAHQAKQAsAFwAbgAgACAAIAAgACAAIAAgACAAZAAsAEQAQQBZACgAUgBlAHAAbwByAHQAaQBuAGcAQwB5AGMAbABlAFMAdABhAHIAdAApACwAIAAvACoAaABlAGwAcABlAHIAOgAgAGUAbgBkACAAZABhAHQAZQAgAGYAbwByACAAYQAgAHIAZQBwAG8AcgB0AGkAbgBnACAAcABlAHIAaQBvAGQAIABzAHQAYQByAHQAaQBuAGcAIABhAHQAIABhACAAZwBpAHYAZQBuACAAZABhAHQAZQAqAC8AXABuACAAIAAgACAAIAAgACAAIABQAGUAcgBpAG8AZABFAG4AZAAsAEwAQQBNAEIARABBACgAcwB0ACwARQBEAEEAVABFACgAcwB0ACwAMQAyACkALQAxACkALAAgAC8AKgBvAG4AbAB5ACAAbgBlAGUAZAAgAHQAbwAgAGwAbwBvAGsAIABiAGEAYwBrACAAMwA2ADUAIABkAGEAeQBzACgAbQBhAHgAIABvAHYAZQByAGwAYQBwACAAdwBpAG4AZABvAHcAKQAqAC8AXABuACAAIAAgACAAIAAgACAAIABBACwAUwAtADMANgA1ACwAXABuACAAIAAgACAAIAAgACAAIAB5AGEALABZAEUAQQBSACgAQQApACwAXABuACAAIAAgACAAIAAgACAAIAB5AGIALABZAEUAQQBSACgARQApACwAIAAvACoAaQBmACAAdABoAGUAIABhAG4AYwBoAG8AcgAgAGYAbwByACAAeQBhACAAZQBuAGQAcwAgAGIAZQBmAG8AcgBlACAAUwAsAGkAdAAgAGMAYQBuAFwAdQAwADAAMgA3AHQAIABvAHYAZQByAGwAYQBwADsAIABtAG8AdgBlACAAdABvACAAbgBlAHgAdAAgAHkAZQBhAHIAKgAvAFwAbgAgACAAIAAgACAAIAAgACAAZgBpAHIAcwB0AFkAZQBhAHIALAB5AGEAKwAoAFAAZQByAGkAbwBkAEUAbgBkACgARABBAFQARQAoAHkAYQAsAG0ALABkACkAKQBcAHUAMAAwADMAYwBTACkALAAgAC8AKgBpAGYAIAB0AGgAZQAgAGEAbgBjAGgAbwByACAAZgBvAHIAIAB5AGIAIABzAHQAYQByAHQAcwAgAGEAZgB0AGUAcgAgAEUALABpAHQAIABjAGEAbgBcAHUAMAAwADIANwB0ACAAbwB2AGUAcgBsAGEAcAA7ACAAbQBvAHYAZQAgAHQAbwAgAHAAcgBlAHYAaQBvAHUAcwAgAHkAZQBhAHIAKgAvAFwAbgAgACAAIAAgACAAIAAgACAAbABhAHMAdABZAGUAYQByACwAeQBiAC0AKABEAEEAVABFACgAeQBiACwAbQAsAGQAKQBcAHUAMAAwADMAZQBFACkALABcAG4AIAAgACAAIAAgACAAIAAgAG4ALABNAEEAWAAoADAALABsAGEAcwB0AFkAZQBhAHIALQBmAGkAcgBzAHQAWQBlAGEAcgArADEAKQAsAFwAbgAgACAAIAAgACAAIAAgACAAeQByAHMALABTAEUAUQBVAEUATgBDAEUAKABuACwAMQAsAGYAaQByAHMAdABZAGUAYQByACwAMQApACwAXABuACAAIAAgACAAIAAgACAAIABzAHQAYQByAHQAcwAsAEQAQQBUAEUAKAB5AHIAcwAsAG0ALABkACkALABcAG4AIAAgACAAIAAgACAAIAAgAGUAbgBkAHMALABNAEEAUAAoAHMAdABhAHIAdABzACwAUABlAHIAaQBvAGQARQBuAGQAKQAsAFwAbgAgACAAIAAgACAAIAAgACAAdABhAGcALABJAEYAKABzAHQAYQByAHQAcwA9AFIAZQBwAG8AcgB0AGkAbgBnAEMAeQBjAGwAZQBTAHQAYQByAHQALABcACIAIAAoAFQAaABpAHMAIAByAGUAcABvAHIAdABpAG4AZwAgAGMAeQBjAGwAZQApAFwAIgAsAFwAIgBcACIAKQAsAFwAbgAgACAAIAAgACAAIAAgACAAcwB0AGEAcgB0AHMAVABlAHgAdAAsAFQARQBYAFQAKABzAHQAYQByAHQAcwAsAFwAIgBkAGQAIABtAG0AbQAgAHkAeQB5AHkAXAAiACkALABcAG4AIAAgACAAIAAgACAAIAAgAGUAbgBkAHMAVABlAHgAdAAsAFQARQBYAFQAKABlAG4AZABzACwAXAAiAGQAZAAgAG0AbQBtACAAeQB5AHkAeQBcACIAKQAsAFwAbgAgACAAIAAgACAAIAAgACAASQBGACgAbgA9ADAALABcACIAXAAiACwASABTAFQAQQBDAEsAKABzAHQAYQByAHQAcwBUAGUAeAB0ACAAXAB1ADAAMAAyADYAIABcACIAIAB0AG8AIABcACIAIABcAHUAMAAwADIANgAgAGUAbgBkAHMAVABlAHgAdAAgAFwAdQAwADAAMgA2ACAAdABhAGcAKQApAFwAbgAgACAAIAAgACkAXABuACkAOwBcAG4AXABuAFUAdABpAGwAaQB0AHkAXwBEAGkAcwBwAGwAYQB5AEYAdQBuAGMAdABpAG8AbgBOAGEAbQBlAFwAbgA9AEwAQQBNAEIARABBACgARgB1AG4AYwB0AGkAbwBuACwAIABUAEUAWABUAEIARQBGAE8AUgBFACgARgBPAFIATQBVAEwAQQBUAEUAWABUACgARgB1AG4AYwB0AGkAbwBuACkALAAgAFwAIgAoAFwAIgApACkAOwBcAG4AXABuAFUAdABpAGwAaQB0AHkAXwBMAG8AbwBrAHUAcABOADIATwBFAEYARgByAG8AbQBQAHIAbwBkAEkAcgByAGkAZwBhAHQAaQBvAG4AUgBhAGkAbgBmAGEAbABsAFwAbgA9AEwAQQBNAEIARABBACgAXABuACAAIAAgACAAUAByAG8AZAB1AGMAdABpAG8AbgBTAHkAcwB0AGUAbQAsACAASQByAHIAaQBnAGEAdABpAG8AbgBNAGUAdABoAG8AZAAsACAAUgBhAGkAbgBmAGEAbABsAFoAbwBuAGUALABcAG4AIAAgACAAIABQAHIAbwBkAHUAYwB0AGkAbwBuAFMAeQBzAHQAZQBtAEEAcgByAGEAeQAsACAASQByAHIAaQBnAGEAdABpAG8AbgBNAGUAdABoAG8AZABBAHIAcgBhAHkALAAgAFIAYQBpAG4AZgBhAGwAbABaAG8AbgBlAEEAcgByAGEAeQAsAFIAZQB0AHUAcgBuAEEAcgByAGEAeQAsAFwAbgAgACAAIAAgAEwARQBUACgAXABuACAAIAAgACAAIAAgACAAIABJAHIAcgBpAGcAYQB0AGkAbwBuAE0AZQB0AGgAbwBkACwAIABJAEYAKABJAHIAcgBpAGcAYQB0AGkAbwBuAE0AZQB0AGgAbwBkAD0AXAAiAE4AbwB0ACAAaQByAHIAaQBnAGEAdABlAGQAXAAiACwAIABcACIATgBvAHQAIABpAHIAcgBpAGcAYQB0AGUAZABcACIALAAgAFwAIgBBAG4AeQBcACIAKQAsAFwAbgAgACAAIAAgACAAIAAgACAAUgBhAGkAbgBmAGEAbABsAFoAbwBuAGUALAAgAEkARgAoAEkAcgByAGkAZwBhAHQAaQBvAG4ATQBlAHQAaABvAGQAIAA9ACAAXAAiAE4AbwB0ACAAaQByAHIAaQBnAGEAdABlAGQAXAAiACwAIABSAGEAaQBuAGYAYQBsAGwAWgBvAG4AZQAsACAAXAAiAEEAbgB5AFwAIgApACwAXABuACAAIAAgACAAIAAgACAAIABYAEwATwBPAEsAVQBQACgAMQAsACAAXABuACAAIAAgACAAIAAgACAAIAAgACAAIAAgACgAUAByAG8AZAB1AGMAdABpAG8AbgBTAHkAcwB0AGUAbQBBAHIAcgBhAHkAPQBQAHIAbwBkAHUAYwB0AGkAbwBuAFMAeQBzAHQAZQBtACkAKgBcAG4AIAAgACAAIAAgACAAIAAgACAAIAAgACAAKABJAHIAcgBpAGcAYQB0AGkAbwBuAE0AZQB0AGgAbwBkAEEAcgByAGEAeQA9AEkAcgByAGkAZwBhAHQAaQBvAG4ATQBlAHQAaABvAGQAKQAqAFwAbgAgACAAIAAgACAAIAAgACAAIAAgACAAIAAoAFIAYQBpAG4AZgBhAGwAbABaAG8AbgBlAEEAcgByAGEAeQA9AFIAYQBpAG4AZgBhAGwAbABaAG8AbgBlACkALAAgAFwAbgAgACAAIAAgACAAIAAgACAAIAAgACAAIABSAGUAdAB1AHIAbgBBAHIAcgBhAHkAKQBcAG4AIAAgACAAIAApAFwAbgApADsAXABuAFwAbgBDAG8AbQBtAG8AbgBDAHIAbwBwAHAAaQBuAGcAXwBHAGUAdABGAHIAYQBjAFcARQBUAFwAbgA9AEwAQQBNAEIARABBACgAXABuACAAIAAgACAATABlAGEAYwBoAGkAbgBnAFoAbwBuAGUALABcAG4AIAAgACAAIABQAHIAbwBkAHUAYwB0AGkAbwBuAFMAeQBzAHQAZQBtACwAXABuACAAIAAgACAATABlAGEAYwBoAGkAbgBnAFoAbwBuAGUATABvAG8AawB1AHAALABcAG4AIAAgACAAIABMAGUAYQBjAGgAaQBuAGcAWgBvAG4AZQBGAHIAYQBjAFcARQBUAEwAbwBvAGsAdQBwACwAXABuACAAIAAgACAAUAByAG8AZAB1AGMAdABpAG8AbgBTAHkAcwB0AGUAbQBMAG8AbwBrAHUAcAAsAFwAbgAgACAAIAAgAFAAcgBvAGQAdQBjAHQAaQBvAG4AUwB5AHMAdABlAG0ARgByAGEAYwBXAEUAVABMAG8AbwBrAHUAcAAsAFwAbgAgACAAIAAgAEwARQBUACgAXABuACAAIAAgACAAIAAgACAAIABMAGUAYQBjAGgAaQBuAGcAWgBvAG4AZQBGAHIAYQBjAFcARQBUACwAIABcAG4AIAAgACAAIAAgACAAIAAgAEMAbwBtAG0AbwBuAF8ASQBuAHAAdQB0AEYAdQBuAGMAdABpAG8AbgBzAC4AVQB0AGkAbABpAHQAeQBfAEwAbwBvAGsAdQBwAFYAYQBsAHUAZQBJAG4AVABhAGIAbABlAE4AdQBtAGIAZQByACgAXABuACAAIAAgACAAIAAgACAAIAAgACAAIAAgAEwAZQBhAGMAaABpAG4AZwBaAG8AbgBlACwATABlAGEAYwBoAGkAbgBnAFoAbwBuAGUATABvAG8AawB1AHAALABMAGUAYQBjAGgAaQBuAGcAWgBvAG4AZQBGAHIAYQBjAFcARQBUAEwAbwBvAGsAdQBwAFwAbgAgACAAIAAgACAAIAAgACAAKQAsAFwAbgAgACAAIAAgACAAIAAgACAAUAByAG8AZAB1AGMAdABpAG8AbgBTAHkAcwB0AGUAbQBGAHIAYQBjAFcARQBUACwAIABcAG4AIAAgACAAIAAgACAAIAAgAEMAbwBtAG0AbwBuAF8ASQBuAHAAdQB0AEYAdQBuAGMAdABpAG8AbgBzAC4AVQB0AGkAbABpAHQAeQBfAEwAbwBvAGsAdQBwAFYAYQBsAHUAZQBJAG4AVABhAGIAbABlAE4AdQBtAGIAZQByACgAXABuACAAIAAgACAAIAAgACAAIAAgACAAIAAgAFAAcgBvAGQAdQBjAHQAaQBvAG4AUwB5AHMAdABlAG0ALABQAHIAbwBkAHUAYwB0AGkAbwBuAFMAeQBzAHQAZQBtAEwAbwBvAGsAdQBwACwAUAByAG8AZAB1AGMAdABpAG8AbgBTAHkAcwB0AGUAbQBGAHIAYQBjAFcARQBUAEwAbwBvAGsAdQBwAFwAbgAgACAAIAAgACAAIAAgACAAKQAsAFwAbgAgACAAIAAgACAAIAAgACAASQBGACgATABlAGEAYwBoAGkAbgBnAFoAbwBuAGUARgByAGEAYwBXAEUAVAAgACsAIABQAHIAbwBkAHUAYwB0AGkAbwBuAFMAeQBzAHQAZQBtAEYAcgBhAGMAVwBFAFQAXAB1ADAAMAAzAGUAMAAsACAAMQAsACAAMAApAFwAbgAgACAAIAAgACkAKQA7AFwAbgBcAG4AXABuAFUAdABpAGwAaQB0AHkAXwBDAG8AbgB2AGUAcgB0AFMAdABhAHQAZQBDAG8AbQBtAG8AbgBOAGEAbQBlAFQAbwBBAGIAYgByAGUAdgBpAGEAdABpAG8AbgBcAG4APQBMAEEATQBCAEQAQQAoAFwAbgAgACAAIAAgAFMAdABhAHQAZQBDAG8AbQBtAG8AbgBOAGEAbQBlACwAXABuACAAIAAgACAAUwB0AGEAdABlAEMAbwBtAG0AbwBuAE4AYQBtAGUAQQByAHIAYQB5ACwAIABTAHQAYQB0AGUAQQBiAGIAcgBlAHYAaQBhAHQAaQBvAG4AQQByAHIAYQB5ACwAXABuACAAIAAgACAAWABMAE8ATwBLAFUAUAAoAFMAdABhAHQAZQBDAG8AbQBtAG8AbgBOAGEAbQBlACwAIABTAHQAYQB0AGUAQwBvAG0AbQBvAG4ATgBhAG0AZQBBAHIAcgBhAHkALAAgAFMAdABhAHQAZQBBAGIAYgByAGUAdgBpAGEAdABpAG8AbgBBAHIAcgBhAHkALAAgAFwAIgBcACIAKQBcAG4AKQA7AFwAbgBcAG4AVQB0AGkAbABpAHQAeQBfAFMAbwB1AHIAYwBlAEgAeQBwAGUAcgBsAGkAbgBrAFwAbgA9AEwAQQBNAEIARABBACgAVABhAHIAZwBlAHQAQwBlAGwAbAAsAFwAbgAgACAATABFAFQAKABcAG4AIAAgACAAIABzAGgALAAgAFQARQBYAFQAQQBGAFQARQBSACgAQwBFAEwATAAoAFwAIgBmAGkAbABlAG4AYQBtAGUAXAAiACwAIABUAGEAcgBnAGUAdABDAGUAbABsACkALAAgAFwAIgBdAFwAIgApACwAXABuACAAIAAgACAAYQBkAGQAcgAsACAAQwBFAEwATAAoAFwAIgBhAGQAZAByAGUAcwBzAFwAIgAsACAAVABhAHIAZwBlAHQAQwBlAGwAbAApACwAXABuACAAIAAgACAAXAAiACMAXAB1ADAAMAAyADcAXAAiACAAXAB1ADAAMAAyADYAIABzAGgAIABcAHUAMAAwADIANgAgAFwAIgBcAHUAMAAwADIANwAhAFwAIgAgAFwAdQAwADAAMgA2ACAAYQBkAGQAcgBcAG4AIAAgACkAXABuACkAOwBcAG4AXABuAFUAdABpAGwAaQB0AHkAXwBTAG8AdQByAGMAZQBIAHkAcABlAHIAbABpAG4AawBEAGkAZgBmAGUAcgBlAG4AdABTAGgAZQBlAHQAXABuAD0ATABBAE0AQgBEAEEAKABUAGEAcgBnAGUAdABDAGUAbABsACwAXABuACAAIABMAEUAVAAoAFwAbgAgACAAIAAgAHMAaAAsACAAVABFAFgAVABBAEYAVABFAFIAKABDAEUATABMACgAXAAiAGYAaQBsAGUAbgBhAG0AZQBcACIALAAgAFQAYQByAGcAZQB0AEMAZQBsAGwAKQAsACAAXAAiAF0AXAAiACkALABcAG4AIAAgACAAIABhAGQAZAByACwAIABDAEUATABMACgAXAAiAGEAZABkAHIAZQBzAHMAXAAiACwAIABUAGEAcgBnAGUAdABDAGUAbABsACkALABcAG4AIAAgACAAIABcACIAIwBcACIAIABcAHUAMAAwADIANgAgAGEAZABkAHIAXABuACAAIAApAFwAbgApADsAXABuAFwAbgBVAHQAaQBsAGkAdAB5AF8ARABpAHMAcABsAGEAeQBBAHIAZwB1AG0AZQBuAHQAcwBfADEAXwAyAFwAbgA9AEwAQQBNAEIARABBACgAXABuACAAIAAgACAAQQByAGcAdQBtAGUAbgB0AHMAQQByAHIAYQB5ACwAXABuACAAIAAgACAAQwBIAE8ATwBTAEUAQwBPAEwAUwAoAEEAcgBnAHUAbQBlAG4AdABzAEEAcgByAGEAeQAsACAAMQAsACAAMgApAFwAbgApADsAXABuAFwAbgBVAHQAaQBsAGkAdAB5AF8ARABpAHMAcABsAGEAeQBBAHIAZwB1AG0AZQBuAHQAcwBfADMAXwA0AFwAbgA9AEwAQQBNAEIARABBACgAXABuACAAIAAgACAAQQByAGcAdQBtAGUAbgB0AHMAQQByAHIAYQB5ACwAXABuACAAIAAgACAAQwBIAE8ATwBTAEUAQwBPAEwAUwAoAEEAcgBnAHUAbQBlAG4AdABzAEEAcgByAGEAeQAsACAAMwAsACAANAApAFwAbgApADsAXABuAFwAbgBDAG8AbQBtAG8AbgBfAEcAZQB0AE0AQwBGAFQAZQBtAHAAZQByAGEAdAB1AHIAZQBaAG8AbgBlAFwAbgA9AEwAQQBNAEIARABBACgAXABuACAAIAAgACAAVABlAG0AcABlAHIAYQB0AHUAcgBlACwAIABNAE0AUwAsACAAVABlAG0AcABlAHIAYQB0AHUAcgBlAEEAcgByAGEAeQAsACAATQBNAFMAQQByAHIAYQB5ACwAIABSAGUAdAB1AHIAbgBBAHIAcgBhAHkALABcAG4AIAAgACAAIABYAEwATwBPAEsAVQBQACgAXABuACAAIAAgACAAIAAgACAAIABNAEUARABJAEEATgAoAFwAbgAgACAAIAAgACAAIAAgACAAIAAgACAAIABSAE8AVQBOAEQAKABUAGUAbQBwAGUAcgBhAHQAdQByAGUALAAgADAAKQAsACAAXABuACAAIAAgACAAIAAgACAAIAAgACAAIAAgAE0ASQBOACgAVABlAG0AcABlAHIAYQB0AHUAcgBlAEEAcgByAGEAeQApACwAIABcAG4AIAAgACAAIAAgACAAIAAgACAAIAAgACAATQBBAFgAKABUAGUAbQBwAGUAcgBhAHQAdQByAGUAQQByAHIAYQB5ACkAXABuACAAIAAgACAAIAAgACAAIAApACwAXABuACAAIAAgACAAIAAgACAAIABUAGUAbQBwAGUAcgBhAHQAdQByAGUAQQByAHIAYQB5ACwAXABuACAAIAAgACAAIAAgACAAIABYAEwATwBPAEsAVQBQACgATQBNAFMALAAgAE0ATQBTAEEAcgByAGEAeQAsACAAUgBlAHQAdQByAG4AQQByAHIAYQB5ACkAXABuACAAIAAgACAAKQBcAG4AKQA7AFwAbgBcAG4AXABuAFUAdABpAGwAaQB0AHkAXwBSAGUAcwB1AGwAdABzAEkAdABlAG0ARgByAG8AbQBFAHEAdQBhAHQAaQBvAG4AVABpAHQAbABlAEEAbgBkAFMAbwB1AHIAYwBlAFwAbgA9AEwAQQBNAEIARABBACgAXABuACAAIAAgACAAVABpAHQAbABlAEMAZQBsAGwALAAgAFMAbwB1AHIAYwBlAEMAZQBsAGwALABcAG4AIAAgACAAIABTAFUAQgBTAFQASQBUAFUAVABFACgATABFAEYAVAAoAFMAbwB1AHIAYwBlAEMAZQBsAGwALAAgAEYASQBOAEQAKABcACIALABcACIALAAgAFMAbwB1AHIAYwBlAEMAZQBsAGwAKQAgAC0AMQApACwAIABcACIAVgBFAEUAUgBHACAAMgAwADIANgA6ACAAXAAiACwAIABcACIAXAAiACkAIABcAHUAMAAwADIANgAgAFwAIgAgAFwAIgAgAFwAdQAwADAAMgA2ACAAVABpAHQAbABlAEMAZQBsAGwAXABuACkAOwAiAH0ALAB7ACIAcABhAHQAaAAiADoAIgAvAHAAcgBvAGoAZQBjAHQAcwAvAEMAbwBtAG0AbwBuAF8AUwBvAHUAcgBjAGUARABhAHQAYQAiACwAIgB0AGUAeAB0ACIAOgAiAC8AKgBcAG4APQA9AD0APQA9AD0APQA9AD0APQA9AD0APQA9AD0APQA9AD0APQA9AD0APQA9AD0APQA9AD0APQA9AD0APQA9AD0APQA9AD0APQA9AD0APQA9AD0APQA9AD0APQA9AD0APQA9AD0APQA9AD0APQA9AD0APQA9AD0APQA9AD0APQA9AD0APQA9AD0APQA9AD0APQA9AD0APQBcAG4APQA9AD0APQA9AD0APQA9AD0APQA9AD0APQA9AD0APQA9AD0APQA9AD0APQA9AD0APQA9AD0APQA9AD0APQA9AD0APQA9AD0APQA9AD0APQA9AD0APQA9AD0APQA9AD0APQA9AD0APQA9AD0APQA9AD0APQA9AD0APQA9AD0APQA9AD0APQA9AD0APQA9AD0APQA9AD0APQBcAG4AUwBvAHUAcgBjAGUAIABkAGEAdABhACAAdABoAGEAdAAgAGkAcwAgAGMAbwBtAG0AbwBuACAAYQBjAHIAbwBzAHMAIABhAGwAbAAgAGUAbgB0AGUAcgBwAHIAaQBzAGUAIAB0AHkAcABlAHMAXABuAEUAeABjAGUAbAAgAG0AbwBkAHUAbABlACAAbgBhAG0AZQA6ACAAQwBvAG0AbQBvAG4AXwBTAG8AdQByAGMAZQBEAGEAdABhAFwAbgA9AD0APQA9AD0APQA9AD0APQA9AD0APQA9AD0APQA9AD0APQA9AD0APQA9AD0APQA9AD0APQA9AD0APQA9AD0APQA9AD0APQA9AD0APQA9AD0APQA9AD0APQA9AD0APQA9AD0APQA9AD0APQA9AD0APQA9AD0APQA9AD0APQA9AD0APQA9AD0APQA9AD0APQA9AD0APQA9AFwAbgA9AD0APQA9AD0APQA9AD0APQA9AD0APQA9AD0APQA9AD0APQA9AD0APQA9AD0APQA9AD0APQA9AD0APQA9AD0APQA9AD0APQA9AD0APQA9AD0APQA9AD0APQA9AD0APQA9AD0APQA9AD0APQA9AD0APQA9AD0APQA9AD0APQA9AD0APQA9AD0APQA9AD0APQA9AD0APQA9AFwAbgAqAC8AXABuAFwAbgAvACoAXABuAD0APQA9AD0APQA9AD0APQA9AD0APQA9AD0APQA9AD0APQA9AD0APQA9AD0APQA9AD0APQA9AD0APQA9AD0APQA9AD0APQA9AD0APQBcAG4APQA9AD0APQA9AD0APQA9AD0APQA9AD0APQA9AD0APQA9AD0APQA9AD0APQA9AD0APQA9AD0APQA9AD0APQA9AD0APQA9AD0APQA9AFwAbgBTAG8AdQByAGMAZQA6ACAATgBhAHQAaQBvAG4AYQBsACAASQBuAHYAZQBuAHQAbwByAHkAIABSAGUAcABvAHIAdAAgADIAMAAyADMAIABWAG8AbAB1AG0AZQAgADEAXABuAE4ASQBSAF8AMgAwADIAMwBfAFYAbwBsADEAXABuAD0APQA9AD0APQA9AD0APQA9AD0APQA9AD0APQA9AD0APQA9AD0APQA9AD0APQA9AD0APQA9AD0APQA9AD0APQA9AD0APQA9AD0APQBcAG4APQA9AD0APQA9AD0APQA9AD0APQA9AD0APQA9AD0APQA9AD0APQA9AD0APQA9AD0APQA9AD0APQA9AD0APQA9AD0APQA9AD0APQA9AFwAbgAqAC8AXABuAFwAbgAvACoAIABcAG4ALQAtAC0ALQAtAC0ALQAtAC0ALQAtAC0ALQAtAC0ALQAtAC0ALQAtAC0ALQAtAC0ALQAtAC0ALQAtAC0ALQAtAC0ALQAtAC0ALQAtAFwAbgBDAG8AbQBtAG8AbgBfAFMAbwB1AHIAYwBlAEQAYQB0AGEAXwBEAGUAbgBzAGkAdAB5AE8AZgBNAGUAdABoAGEAbgBlAFwAbgBwACAAPQAgAGQAZQBuAHMAaQB0AHkAIABvAGYAIABtAGUAdABoAGEAbgBlACAAKAAwAC4ANgA3ADgANAAgAGsAZwAvAG0AMwApAFwAbgBUAGEAawBlAG4AIABmAHIAbwBtACAAdABoAGUAIABOAGEAdABpAG8AbgBhAGwAIABHAHIAZQBlAG4AaABvAHUAcwBlACAAYQBuAGQAIABFAG4AZQByAGcAeQAgAFIAZQBwAG8AcgB0AGkAbgBnACAAXABuACgATQBlAGEAcwB1AHIAZQBtAGUAbgB0ACkAIABEAGUAdABlAHIAbQBpAG4AYQB0AGkAbwBuACAAMgAwADAAOABcAG4ALQAtAC0ALQAtAC0ALQAtAC0ALQAtAC0ALQAtAC0ALQAtAC0ALQAtAC0ALQAtAC0ALQAtAC0ALQAtAC0ALQAtAC0ALQAtAC0ALQAtAFwAbgAqAC8AXABuAFwAbgBDAG8AbQBtAG8AbgBfAFMAbwB1AHIAYwBlAEQAYQB0AGEAXwBEAGUAbgBzAGkAdAB5AE8AZgBNAGUAdABoAGEAbgBlAF8AVABpAHQAbABlAFwAbgAgACAAPQBMAEEATQBCAEQAQQAoAFwAIgBwACAAPQAgAGQAZQBuAHMAaQB0AHkAIABvAGYAIABtAGUAdABoAGEAbgBlAFwAIgApADsAXABuAFwAbgBDAG8AbQBtAG8AbgBfAFMAbwB1AHIAYwBlAEQAYQB0AGEAXwBEAGUAbgBzAGkAdAB5AE8AZgBNAGUAdABoAGEAbgBlAF8AVQBuAGkAdABcAG4AIAAgAD0ATABBAE0AQgBEAEEAKABcACIAawBnAC8AbQAzAFwAIgApADsAXABuAFwAbgBDAG8AbQBtAG8AbgBfAFMAbwB1AHIAYwBlAEQAYQB0AGEAXwBEAGUAbgBzAGkAdAB5AE8AZgBNAGUAdABoAGEAbgBlAF8AUwBvAHUAcgBjAGUAXABuACAAIAA9AEwAQQBNAEIARABBACgAXAAiAE4AYQB0AGkAbwBuAGEAbAAgAEkAbgB2AGUAbgB0AG8AcgB5ACAAUgBlAHAAbwByAHQAIAAyADAAMgAzACAAVgBvAGwAdQBtAGUAIAAxADoAIABFAHEAdQBhAHQAaQBvAG4AcwAgADMALgBCAC4AMQBhAF8AMgAsACAAMwAuAEIALgAxAGMAXwAyACwAIAAzAC4AQgAuADMAXwAxACwAIAAzAC4AQgAuADQAZwBfADIAXAAiACkAOwBcAG4AXABuAEMAbwBtAG0AbwBuAF8AUwBvAHUAcgBjAGUARABhAHQAYQBfAEQAZQBuAHMAaQB0AHkATwBmAE0AZQB0AGgAYQBuAGUAXwBEAGEAdABhAFwAbgAgACAAPQBMAEEATQBCAEQAQQAoADAALgA2ADcAOAA0ACkAOwBcAG4AXABuAC8AKgAgAFwAbgAtAC0ALQAtAC0ALQAtAC0ALQAtAC0ALQAtAC0ALQAtAC0ALQAtAC0ALQAtAC0ALQAtAC0ALQAtAC0ALQAtAC0ALQAtAC0ALQAtAC0AXABuAEMAbwBtAG0AbwBuAF8AUwBvAHUAcgBjAGUARABhAHQAYQBfAEMAbwBuAHYAZQByAHQATgAyAG8ARQBsAGUAbQBlAG4AdABhAGwAVABvAE0AbwBsAGUAYwB1AGwAYQByAEMAZwBcAG4AQwBnACAAPQAgADQANAAvADIAOAAgAGYAYQBjAHQAbwByACAAdABvACAAYwBvAG4AdgBlAHIAdAAgAGUAbABlAG0AZQBuAHQAYQBsACAAbQBhAHMAcwAgAG8AZgAgAE4AMgBPACAAdABvACAAbQBvAGwAZQBjAHUAbABhAHIAIABtAGEAcwBzAFwAbgAtAC0ALQAtAC0ALQAtAC0ALQAtAC0ALQAtAC0ALQAtAC0ALQAtAC0ALQAtAC0ALQAtAC0ALQAtAC0ALQAtAC0ALQAtAC0ALQAtAC0AXABuACoALwBcAG4AXABuAEMAbwBtAG0AbwBuAF8AUwBvAHUAcgBjAGUARABhAHQAYQBfAEMAbwBuAHYAZQByAHQATgAyAG8ARQBsAGUAbQBlAG4AdABhAGwAVABvAE0AbwBsAGUAYwB1AGwAYQByAEMAZwBfAFQAaQB0AGwAZQBcAG4AIAAgAD0ATABBAE0AQgBEAEEAKABcACIARgBhAGMAdABvAHIAIAB0AG8AIABjAG8AbgB2AGUAcgB0ACAAZQBsAGUAbQBlAG4AdABhAGwAIABtAGEAcwBzACAAbwBmACAATgAyAE8AIAB0AG8AIABtAG8AbABlAGMAdQBsAGEAcgAgAG0AYQBzAHMAXAAiACkAOwBcAG4AXABuAEMAbwBtAG0AbwBuAF8AUwBvAHUAcgBjAGUARABhAHQAYQBfAEMAbwBuAHYAZQByAHQATgAyAG8ARQBsAGUAbQBlAG4AdABhAGwAVABvAE0AbwBsAGUAYwB1AGwAYQByAEMAZwBfAFYAYQByAGkAYQBiAGwAZQBcAG4AIAAgAD0ATABBAE0AQgBEAEEAKABcACIAQwBnAE4AMgBPAFwAIgApADsAXABuAFwAbgBDAG8AbQBtAG8AbgBfAFMAbwB1AHIAYwBlAEQAYQB0AGEAXwBDAG8AbgB2AGUAcgB0AE4AMgBvAEUAbABlAG0AZQBuAHQAYQBsAFQAbwBNAG8AbABlAGMAdQBsAGEAcgBDAGcAXwBVAG4AaQB0AFwAbgAgACAAPQBMAEEATQBCAEQAQQAoAFwAIgBmAGEAYwB0AG8AcgBcACIAKQA7AFwAbgBcAG4AQwBvAG0AbQBvAG4AXwBTAG8AdQByAGMAZQBEAGEAdABhAF8AQwBvAG4AdgBlAHIAdABOADIAbwBFAGwAZQBtAGUAbgB0AGEAbABUAG8ATQBvAGwAZQBjAHUAbABhAHIAQwBnAF8AUwBvAHUAcgBjAGUAXABuACAAIAA9AEwAQQBNAEIARABBACgAXAAiAE4AYQB0AGkAbwBuAGEAbAAgAEkAbgB2AGUAbgB0AG8AcgB5ACAAUgBlAHAAbwByAHQAIAAyADAAMgAzACAAVgBvAGwAdQBtAGUAIAAxAFwAIgApADsAXABuAFwAbgBDAG8AbQBtAG8AbgBfAFMAbwB1AHIAYwBlAEQAYQB0AGEAXwBDAG8AbgB2AGUAcgB0AE4AMgBvAEUAbABlAG0AZQBuAHQAYQBsAFQAbwBNAG8AbABlAGMAdQBsAGEAcgBDAGcAXwBEAGEAdABhAFwAbgAgACAAPQBMAEEATQBCAEQAQQAoADQANAAvADIAOAApADsAXABuAFwAbgAvACoAIABcAG4ALQAtAC0ALQAtAC0ALQAtAC0ALQAtAC0ALQAtAC0ALQAtAC0ALQAtAC0ALQAtAC0ALQAtAC0ALQAtAC0ALQAtAC0ALQAtAC0ALQAtAFwAbgBDAG8AbQBtAG8AbgBfAFMAbwB1AHIAYwBlAEQAYQB0AGEAXwBDAG8AbgB2AGUAcgB0AEcAYQBzAEUAbABlAG0AZQBuAHQAYQBsAFQAbwBNAG8AbABlAGMAdQBsAGEAcgBcAG4ARgBhAGMAdABvAHIAIAB0AG8AIABjAG8AbgB2AGUAcgB0ACAAZQBsAGUAbQBlAG4AdABhAGwAIABtAGEAcwBzACAAbwBmACAAZwBhAHMAIAB0AG8AIABtAG8AbABlAGMAdQBsAGEAcgAgAG0AYQBzAHMAXABuAC0ALQAtAC0ALQAtAC0ALQAtAC0ALQAtAC0ALQAtAC0ALQAtAC0ALQAtAC0ALQAtAC0ALQAtAC0ALQAtAC0ALQAtAC0ALQAtAC0ALQBcAG4AKgAvAFwAbgBcAG4AQwBvAG0AbQBvAG4AXwBTAG8AdQByAGMAZQBEAGEAdABhAF8AQwBvAG4AdgBlAHIAdABHAGEAcwBFAGwAZQBtAGUAbgB0AGEAbABUAG8ATQBvAGwAZQBjAHUAbABhAHIAXwBUAGkAdABsAGUAXABuACAAIAA9AEwAQQBNAEIARABBACgAXAAiAEYAYQBjAHQAbwByACAAdABvACAAYwBvAG4AdgBlAHIAdAAgAGUAbABlAG0AZQBuAHQAYQBsACAAbQBhAHMAcwAgAG8AZgAgAGcAYQBzACAAdABvACAAbQBvAGwAZQBjAHUAbABhAHIAIABtAGEAcwBzAFwAIgApADsAXABuAFwAbgBDAG8AbQBtAG8AbgBfAFMAbwB1AHIAYwBlAEQAYQB0AGEAXwBDAG8AbgB2AGUAcgB0AEcAYQBzAEUAbABlAG0AZQBuAHQAYQBsAFQAbwBNAG8AbABlAGMAdQBsAGEAcgBfAFYAYQByAGkAYQBiAGwAZQBcAG4AIAAgAD0ATABBAE0AQgBEAEEAKABcACIAQwBnAFwAIgApADsAXABuAFwAbgBDAG8AbQBtAG8AbgBfAFMAbwB1AHIAYwBlAEQAYQB0AGEAXwBDAG8AbgB2AGUAcgB0AEcAYQBzAEUAbABlAG0AZQBuAHQAYQBsAFQAbwBNAG8AbABlAGMAdQBsAGEAcgBfAFUAbgBpAHQAXABuACAAIAA9AEwAQQBNAEIARABBACgAXAAiAGYAYQBjAHQAbwByAFwAIgApADsAXABuAFwAbgBDAG8AbQBtAG8AbgBfAFMAbwB1AHIAYwBlAEQAYQB0AGEAXwBDAG8AbgB2AGUAcgB0AEcAYQBzAEUAbABlAG0AZQBuAHQAYQBsAFQAbwBNAG8AbABlAGMAdQBsAGEAcgBfAFMAbwB1AHIAYwBlAFwAbgAgACAAPQBMAEEATQBCAEQAQQAoAFwAIgBYAFgAWABYAFgAWABYAFwAIgApADsAXABuAFwAbgBDAG8AbQBtAG8AbgBfAFMAbwB1AHIAYwBlAEQAYQB0AGEAXwBDAG8AbgB2AGUAcgB0AEcAYQBzAEUAbABlAG0AZQBuAHQAYQBsAFQAbwBNAG8AbABlAGMAdQBsAGEAcgBfAEQAYQB0AGEAXABuACAAIAA9AEwAQQBNAEIARABBACgAXABuACAAIAAgACAATQBBAEsARQBBAFIAUgBBAFkAKAA4ACwAIAA0ACwAIABcAG4AIAAgACAAIAAgACAATABBAE0AQgBEAEEAKAByACwAYwAsACAAXABuACAAIAAgACAAIAAgACAAIABJAE4ARABFAFgAKAB7AFwAbgAgACAAIAAgACAAIAAgACAAIAAgAFwAIgBHAGEAcwBcACIALAAgAFwAIgBDAG8AbgB2AGUAcgBzAGkAbwBuACAAZgBhAGMAdABvAHIAXAAiACwAIABcACIAQwBvAG4AdgBlAHIAcwBpAG8AbgAgAGYAYQBjAHQAbwByACAAMQBcACIALAAgAFwAIgBDAG8AbgB2AGUAcgBzAGkAbwBuACAAZgBhAGMAdABvAHIAIAAyAFwAIgA7AFwAbgAgACAAIAAgACAAIAAgACAAIAAgAFwAIgBDAE8AMgBcACIALAAgAFwAIgA0ADQALwAxADIAXAAiACwAIAA0ADQALAAgADEAMgA7AFwAbgAgACAAIAAgACAAIAAgACAAIAAgAFwAIgBDAEgANABcACIALAAgAFwAIgAxADYALwAxADIAXAAiACwAIAAxADYALAAgADEAMgA7AFwAbgAgACAAIAAgACAAIAAgACAAIAAgAFwAIgBOADIATwBcACIALAAgAFwAIgA0ADQALwAyADgAXAAiACwAIAA0ADQALAAgADIAOAA7AFwAbgAgACAAIAAgACAAIAAgACAAIAAgAFwAIgBOAG8AeABcACIALAAgAFwAIgA0ADYALwAxADQAXAAiACwAIAA0ADYALAAgADEANAA7AFwAbgAgACAAIAAgACAAIAAgACAAIAAgAFwAIgBDAE8AXAAiACwAIABcACIAMgA4AC8AMQAyAFwAIgAsACAAMgA4ACwAIAAxADIAOwBcAG4AIAAgACAAIAAgACAAIAAgACAAIABcACIAQwBPADIAIABMAGkAbQBlAFwAIgAsACAAXAAiADQANAAvADEAMgBcACIALAAgADQANAAsACAAMQAyADsAXABuACAAIAAgACAAIAAgACAAIAAgACAAXAAiAE4ATQBWAE8AQwBcACIALAAgAFwAIgAxADQALwAxADIAXAAiACwAIAAxADQALAAgADEAM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RwBXAFAATgAyAE8AXABuAEcAbABvAGIAYQBsACAAdwBhAHIAbQBpAG4AZwAgAHAAbwB0AGUAbgB0AGkAYQBsACAAZgBvAHIAIABnAHIAZQBlAG4AaABvAHUAcwBlACAAZwBhAHMAZQBzAFwAbgAtAC0ALQAtAC0ALQAtAC0ALQAtAC0ALQAtAC0ALQAtAC0ALQAtAC0ALQAtAC0ALQAtAC0ALQAtAC0ALQAtAC0ALQAtAC0ALQAtAC0AXABuACoALwBcAG4AXABuAEMAbwBtAG0AbwBuAF8AUwBvAHUAcgBjAGUARABhAHQAYQBfAEcAVwBQAF8AVABpAHQAbABlAFwAbgAgACAAPQBMAEEATQBCAEQAQQAoAFwAIgBHAGwAbwBiAGEAbAAgAHcAYQByAG0AaQBuAGcAIABwAG8AdABlAG4AdABpAGEAbAAgAGYAbwByACAAZwByAGUAZQBuAGgAbwB1AHMAZQAgAGcAYQBzAGUAcwBcACIAKQA7AFwAbgBcAG4AQwBvAG0AbQBvAG4AXwBTAG8AdQByAGMAZQBEAGEAdABhAF8ARwBXAFAAXwBWAGEAcgBpAGEAYgBsAGUAXABuACAAIAA9AEwAQQBNAEIARABBACgAXAAiAEcAVwBQAE4AMgBPAFwAIgApADsAXABuAFwAbgBDAG8AbQBtAG8AbgBfAFMAbwB1AHIAYwBlAEQAYQB0AGEAXwBHAFcAUABfAFUAbgBpAHQAXABuACAAIAA9AEwAQQBNAEIARABBACgAXAAiAGYAYQBjAHQAbwByAFwAIgApADsAXABuAFwAbgBDAG8AbQBtAG8AbgBfAFMAbwB1AHIAYwBlAEQAYQB0AGEAXwBHAFcAUABfAFMAbwB1AHIAYwBlAFwAbgAgACAAPQBMAEEATQBCAEQAQQAoAFwAIgBYAFgAWABYAFgAWABYAFwAIgApADsAXABuAFwAbgBDAG8AbQBtAG8AbgBfAFMAbwB1AHIAYwBlAEQAYQB0AGEAXwBHAFcAUABfAEQAYQB0AGEAXABuACAAIAA9AEwAQQBNAEIARABBACgAXABuACAAIAAgACAATQBBAEsARQBBAFIAUgBBAFkAKAA4ACwAIAAyACwAIABcAG4AIAAgACAAIAAgACAATABBAE0AQgBEAEEAKAByACwAYwAsACAAXABuACAAIAAgACAAIAAgACAAIABJAE4ARABFAFgAKAB7AFwAbgAgACAAIAAgACAAIAAgACAAIAAgAFwAIgBHAGEAcwBcACIALAAgAFwAIgBDAE8AMgAtAGUAIABmAGEAYwB0AG8AcgBcACIAOwBcAG4AIAAgACAAIAAgACAAIAAgACAAIABcACIAQwBPADIAXAAiACwAIAAxADsAXABuACAAIAAgACAAIAAgACAAIAAgACAAXAAiAEMASAA0AFwAIgAsACAAMgA4ADsAXABuACAAIAAgACAAIAAgACAAIAAgACAAXAAiAE4AMgBPAFwAIgAsACAAMgA2ADUAOwBcAG4AIAAgACAAIAAgACAAIAAgACAAIABcACIAQwBGADQAXAAiACwAIAA2ADYAMwAwADsAXABuACAAIAAgACAAIAAgACAAIAAgACAAXAAiAEMAMgBGADYAXAAiACwAIAAxADIAMgAwADAAOwBcAG4AIAAgACAAIAAgACAAIAAgACAAIABcACIAUwBGADYAXAAiACwAIAAyADIAOAAwADAAOwBcAG4AIAAgACAAIAAgACAAIAAgACAAIABcACIATgBGADMAXAAiACwAIAAxADcAMgAwADAAXABuACAAIAAgACAAIAAgACAAIAB9ACwAIAByACwAIABjACkAXABuACAAIAAgACAAIAAgACkAXABuACAAIAAgACAAKQBcAG4AIAAgACkAOwBcAG4AXABuAFwAbgAvACoAIABcAG4ALQAtAC0ALQAtAC0ALQAtAC0ALQAtAC0ALQAtAC0ALQAtAC0ALQAtAC0ALQAtAC0ALQAtAC0ALQAtAC0ALQAtAC0ALQAtAC0ALQAtAFwAbgBDAG8AbQBtAG8AbgBfAFMAbwB1AHIAYwBlAEQAYQB0AGEAXwBBAHUAcwB0AHIAYQBsAGkAYQBuAFMAdABhAHQAZQBzAFQAZQByAHIAaQB0AG8AcgBpAGUAcwBcAG4ALQAtAC0ALQAtAC0ALQAtAC0ALQAtAC0ALQAtAC0ALQAtAC0ALQAtAC0ALQAtAC0ALQAtAC0ALQAtAC0ALQAtAC0ALQAtAC0ALQAtAFwAbgAqAC8AXABuAFwAbgBDAG8AbQBtAG8AbgBfAFMAbwB1AHIAYwBlAEQAYQB0AGEAXwBBAHUAcwB0AHIAYQBsAGkAYQBuAFMAdABhAHQAZQBzAFQAZQByAHIAaQB0AG8AcgBpAGUAcwBfAFQAaQB0AGwAZQBcAG4AIAAgAD0ATABBAE0AQgBEAEEAKABcACIAQQB1AHMAdAByAGEAbABpAGEAbgAgAHMAdABhAHQAZQBzACAAYQBuAGQAIAB0AGUAcgByAGkAdABvAHIAaQBlAHMAXAAiACkAOwBcAG4AXABuAEMAbwBtAG0AbwBuAF8AUwBvAHUAcgBjAGUARABhAHQAYQBfAEEAdQBzAHQAcgBhAGwAaQBhAG4AUwB0AGEAdABlAHMAVABlAHIAcgBpAHQAbwByAGkAZQBzAF8AVgBhAHIAaQBhAGIAbABlAFwAbgAgACAAPQBMAEEATQBCAEQAQQAoAFwAIgBcACIAKQA7AFwAbgBcAG4AQwBvAG0AbQBvAG4AXwBTAG8AdQByAGMAZQBEAGEAdABhAF8AQQB1AHMAdAByAGEAbABpAGEAbgBTAHQAYQB0AGUAcwBUAGUAcgByAGkAdABvAHIAaQBlAHMAXwBVAG4AaQB0AFwAbgAgACAAPQBMAEEATQBCAEQAQQAoAFwAIgBcACIAKQA7AFwAbgBcAG4AQwBvAG0AbQBvAG4AXwBTAG8AdQByAGMAZQBEAGEAdABhAF8AQQB1AHMAdAByAGEAbABpAGEAbgBTAHQAYQB0AGUAcwBUAGUAcgByAGkAdABvAHIAaQBlAHMAXwBTAG8AdQByAGMAZQBcAG4AIAAgAD0ATABBAE0AQgBEAEEAKABcACIAXAAiACkAOwBcAG4AXABuAEMAbwBtAG0AbwBuAF8AUwBvAHUAcgBjAGUARABhAHQAYQBfAEEAdQBzAHQAcgBhAGwAaQBhAG4AUwB0AGEAdABlAHMAVABlAHIAcgBpAHQAbwByAGkAZQBzAF8ARABhAHQAYQBcAG4AIAAgACAAPQBMAEEATQBCAEQAQQAoAFwAbgAgACAAIAAgAE0AQQBLAEUAQQBSAFIAQQBZACgAOQAsACAAMwAsACAAXABuACAAIAAgACAAIAAgAEwAQQBNAEIARABBACgAcgAsAGMALAAgAFwAbgAgACAAIAAgACAAIAAgACAASQBOAEQARQBYACgAewBcAG4AIAAgACAAIAAgACAAIAAgACAAIABcACIAUwB0AGEAdABlAC8AVABlAHIAcgBpAHQAbwByAHkAXAAiACwAIABcACIAQwBvAG0AbQBvAG4AIABOAGEAbQBlAFwAIgAsACAAXAAiAEEAYgBiAHIAZQB2AGkAYQB0AGkAbwBuAFwAIgA7AFwAbgAgACAAIAAgACAAIAAgACAAIAAgAFwAIgBOAGUAdwAgAFMAbwB1AHQAaAAgAFcAYQBsAGUAcwBcACIALAAgAFwAIgBOAGUAdwAgAFMAbwB1AHQAaAAgAFcAYQBsAGUAcwBcACIALAAgAFwAIgBOAFMAVwBcACIAOwBcAG4AIAAgACAAIAAgACAAIAAgACAAIABcACIAQQB1AHMAdAByAGEAbABpAGEAbgAgAEMAYQBwAGkAdABhAGwAIABUAGUAcgByAGkAdABvAHIAeQBcACIALAAgAFwAIgBBAEMAVABcACIALAAgAFwAIgBBAEMAVABcACIAOwBcAG4AIAAgACAAIAAgACAAIAAgACAAIABcACIAVgBpAGMAdABvAHIAaQBhAFwAIgAsACAAXAAiAFYAaQBjAHQAbwByAGkAYQBcACIALAAgAFwAIgBWAEkAQwBcACIAOwBcAG4AIAAgACAAIAAgACAAIAAgACAAIABcACIAUQB1AGUAZQBuAHMAbABhAG4AZABcACIALAAgAFwAIgBRAHUAZQBlAG4AcwBsAGEAbgBkAFwAIgAsACAAXAAiAFEATABEAFwAIgA7AFwAbgAgACAAIAAgACAAIAAgACAAIAAgAFwAIgBTAG8AdQB0AGgAIABBAHUAcwB0AHIAYQBsAGkAYQBcACIALAAgAFwAIgBTAG8AdQB0AGgAIABBAHUAcwB0AHIAYQBsAGkAYQBcACIALAAgAFwAIgBTAEEAXAAiADsAXABuACAAIAAgACAAIAAgACAAIAAgACAAXAAiAFcAZQBzAHQAZQByAG4AIABBAHUAcwB0AHIAYQBsAGkAYQBcACIALAAgAFwAIgBXAGUAcwB0AGUAcgBuACAAQQB1AHMAdAByAGEAbABpAGEAXAAiACwAIABcACIAVwBBAFwAIgA7AFwAbgAgACAAIAAgACAAIAAgACAAIAAgAFwAIgBUAGEAcwBtAGEAbgBpAGEAXAAiACwAIABcACIAVABhAHMAbQBhAG4AaQBhAFwAIgAsACAAXAAiAFQAQQBTAFwAIgA7AFwAbgAgACAAIAAgACAAIAAgACAAIAAgAFwAIgBOAG8AcgB0AGgAZQByAG4AIABUAGUAcgByAGkAdABvAHIAeQBcACIALAAgAFwAIgBOAG8AcgB0AGgAZQByAG4AIABUAGUAcgByAGkAdABvAHIAeQBcACIALAAgAFwAIgBOAFQAXAAi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XAEEAUwBBADQAQQByAGUAYQBzAFwAbgAtAC0ALQAtAC0ALQAtAC0ALQAtAC0ALQAtAC0ALQAtAC0ALQAtAC0ALQAtAC0ALQAtAC0ALQAtAC0ALQAtAC0ALQAtAC0ALQAtAC0AXABuACoALwBcAG4AXABuAEMAbwBtAG0AbwBuAF8AUwBvAHUAcgBjAGUARABhAHQAYQBfAFcAQQBTAEEANABBAHIAZQBhAHMAXwBUAGkAdABsAGUAXABuACAAIAA9AEwAQQBNAEIARABBACgAXAAiAEEAQgBTACAAUwB0AGEAdABpAHMAdABjAGEAbAAgAEEAcgBlAGEAcwAgAEwAZQB2AGUAbAAgADQAIAAtACAAVwBlAHMAdABlAHIAbgAgAEEAdQBzAHQAcgBhAGwAaQBhAFwAIgApADsAXABuAFwAbgBDAG8AbQBtAG8AbgBfAFMAbwB1AHIAYwBlAEQAYQB0AGEAXwBXAEEAUwBBADQAQQByAGUAYQBzAF8AVgBhAHIAaQBhAGIAbABlAFwAbgAgACAAPQBMAEEATQBCAEQAQQAoAFwAIgBcACIAKQA7AFwAbgBcAG4AQwBvAG0AbQBvAG4AXwBTAG8AdQByAGMAZQBEAGEAdABhAF8AVwBBAFMAQQA0AEEAcgBlAGEAcwBfAFUAbgBpAHQAXABuACAAIAA9AEwAQQBNAEIARABBACgAXAAiAFwAIgApADsAXABuAFwAbgBDAG8AbQBtAG8AbgBfAFMAbwB1AHIAYwBlAEQAYQB0AGEAXwBXAEEAUwBBADQAQQByAGUAYQBzAF8AUwBvAHUAcgBjAGUAXABuACAAIAA9AEwAQQBNAEIARABBACgAXAAiAEEAdQBzAHQAcgBhAGwAaQBhAG4AIABCAHUAcgBlAGEAdQAgAG8AZgAgAFMAdABhAHQAaQBzAHQAaQBjAHMAIAAoAEEAQgBTACkAIAAtACAAUwB0AGEAdABpAHMAdABpAGMAYQBsACAAQQByAGUAYQBzACAATABlAHYAZQBsACAAMgAgAC0AIAAyADAAMgAxACAALQAgAFMAaABhAHAAZQBmAGkAbABlAFwAIgApADsAXABuAFwAbgBDAG8AbQBtAG8AbgBfAFMAbwB1AHIAYwBlAEQAYQB0AGEAXwBXAEEAUwBBADQAQQByAGUAYQBzAF8ARABhAHQAYQBcAG4AIAAgACAAPQBMAEEATQBCAEQAQQAoAFwAbgAgACAAIAAgAE0AQQBLAEUAQQBSAFIAQQBZACgAMQAxACwAIAAxACwAIABcAG4AIAAgACAAIAAgACAATABBAE0AQgBEAEEAKAByACwAYwAsACAAXABuACAAIAAgACAAIAAgACAAIABJAE4ARABFAFgAKAB7AFwAbgAgACAAIAAgACAAIAAgACAAIAAgAFwAIgBTAEEAIAA0ACAATgBhAG0AZQBcACIAOwBcAG4AIAAgACAAIAAgACAAIAAgACAAIABcACIAQgB1AG4AYgB1AHIAeQBcACIAOwBcAG4AIAAgACAAIAAgACAAIAAgACAAIABcACIATQBhAG4AZAB1AHIAYQBoAFwAIgA7AFwAbgAgACAAIAAgACAAIAAgACAAIAAgAFwAIgBQAGUAcgB0AGgAIAAtACAASQBuAG4AZQByAFwAIgA7AFwAbgAgACAAIAAgACAAIAAgACAAIAAgAFwAIgBQAGUAcgB0AGgAIAAtACAATgBvAHIAdABoACAARQBhAHMAdABcACIAOwBcAG4AIAAgACAAIAAgACAAIAAgACAAIABcACIAUABlAHIAdABoACAALQAgAE4AbwByAHQAaAAgAFcAZQBzAHQAXAAiADsAXABuACAAIAAgACAAIAAgACAAIAAgACAAXAAiAFAAZQByAHQAaAAgAC0AIABTAG8AdQB0AGgAIABFAGEAcwB0AFwAIgA7AFwAbgAgACAAIAAgACAAIAAgACAAIAAgAFwAIgBQAGUAcgB0AGgAIAAtACAAUwBvAHUAdABoACAAVwBlAHMAdABcACIAOwBcAG4AIAAgACAAIAAgACAAIAAgACAAIABcACIAVwBlAHMAdABlAHIAbgAgAEEAdQBzAHQAcgBhAGwAaQBhACAALQAgAFcAaABlAGEAdAAgAEIAZQBsAHQAXAAiADsAXABuACAAIAAgACAAIAAgACAAIAAgACAAXAAiAFcAZQBzAHQAZQByAG4AIABBAHUAcwB0AHIAYQBsAGkAYQAgAC0AIABPAHUAdABiAGEAYwBrACAAKABOAG8AcgB0AGgAKQBcACIAOwBcAG4AIAAgACAAIAAgACAAIAAgACAAIABcACIAVwBlAHMAdABlAHIAbgAgAEEAdQBzAHQAcgBhAGwAaQBhACAALQAgAE8AdQB0AGIAYQBjAGsAIAAoAFMAbwB1AHQAaAApA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VwBlAHQAQQBuAGQARAByAHkAWgBvAG4AZQBzAFwAbgAtAC0ALQAtAC0ALQAtAC0ALQAtAC0ALQAtAC0ALQAtAC0ALQAtAC0ALQAtAC0ALQAtAC0ALQAtAC0ALQAtAC0ALQAtAC0ALQAtAC0AXABuACoALwBcAG4AXABuAEMAbwBtAG0AbwBuAF8AUwBvAHUAcgBjAGUARABhAHQAYQBfAFcAZQB0AEEAbgBkAEQAcgB5AFoAbwBuAGUAcwBfAFQAaQB0AGwAZQBcAG4AIAAgAD0ATABBAE0AQgBEAEEAKABcACIAVgBFAEUAUgBHACAAQQB1AHMAdAByAGEAbABpAGEAbgAgAHcAZQB0ACAAYQBuAGQAIABkAHIAeQAgAHoAbwBuAGUAcwBcACIAKQA7AFwAbgBcAG4AQwBvAG0AbQBvAG4AXwBTAG8AdQByAGMAZQBEAGEAdABhAF8AVwBlAHQAQQBuAGQARAByAHkAWgBvAG4AZQBzAF8AVgBhAHIAaQBhAGIAbABlAFwAbgAgACAAPQBMAEEATQBCAEQAQQAoAFwAIgBcACIAKQA7AFwAbgBcAG4AQwBvAG0AbQBvAG4AXwBTAG8AdQByAGMAZQBEAGEAdABhAF8AVwBlAHQAQQBuAGQARAByAHkAWgBvAG4AZQBzAF8AVQBuAGkAdABcAG4AIAAgAD0ATABBAE0AQgBEAEEAKABcACIAXAAiACkAOwBcAG4AXABuAEMAbwBtAG0AbwBuAF8AUwBvAHUAcgBjAGUARABhAHQAYQBfAFcAZQB0AEEAbgBkAEQAcgB5AFoAbwBuAGUAcwBfAFMAbwB1AHIAYwBlAFwAbgAgACAAPQBMAEEATQBCAEQAQQAoAFwAIgBWAEUARQBSAEcAIAAyADAAMgA2ADoAIABUAGEAYgBsAGUAIAAxAC4AMgA6ACAAVAByAGEAbgBzAGwAYQB0AGkAbgBnACAAYwBsAGkAbQBhAHQAZQAgAHoAbwBuAGUAcwAgAHQAbwAgAHcAZQB0ACAAYQBuAGQAIABkAHIAeQAgAHoAbwBuAGUAcwBcACIAKQA7AFwAbgBcAG4AQwBvAG0AbQBvAG4AXwBTAG8AdQByAGMAZQBEAGEAdABhAF8AVwBlAHQAQQBuAGQARAByAHkAWgBvAG4AZQBzAF8AVgBhAHIAaQBhAHQAaQBvAG4AXABuACAAIAAgAD0ATABBAE0AQgBEAEEAKABcAG4AIAAgACAAIABNAEEASwBFAEEAUgBSAEEAWQAoADMALAAgADEALAAgAFwAbgAgACAAIAAgACAAIABMAEEATQBCAEQAQQAoAHIALABjACwAIABcAG4AIAAgACAAIAAgACAAIAAgAEkATgBEAEUAWAAoAHsAXABuACAAIAAgACAAIAAgACAAIAAgACAAXAAiAFYAQQBSAEkAQQBUAEkATwBOACAATwBGACAAUwBPAFUAUgBDAEUAIABEAEEAVABBADoAXAAiADsAXABuACAAIAAgACAAIAAgACAAIAAgACAAXAAiAEEAZABkAGUAZAAgAHcAYQByAG0AIAAvACAAYwBvAG8AbAAgAHQAZQBtAHAAZQByAGEAdABlACAAbQBvAGkAcwB0ACAALwAgAGQAcgB5ACAALQAgAGwAbwB3ACAAZgByAG8AcwB0ACAAYQBuAGQAIABoAGkAZwBoACAAdABlAG0AcAAgAGMAbABhAHMAcwBlAHMAIAB0AG8AIABhAGMAYwBvAG0AbQBvAGQAYQB0AGUAIABjAGwAaQBtAGEAdABlACAAcwBjAGUAbgBhAHIAaQBvAHMAIABlAHgAYwBsAHUAZABlAGQAIABiAHkAIABWAEUARQBSAEcAIABjAHIAaQB0AGUAcgBpAGEALgBcACIAOwBcAG4AIAAgACAAIAAgACAAIAAgACAAIABcACIARgBpAHgAZQBkACAAdAB5AHAAbwAgAC0AIABDAGgAYQBuAGcAZQBkACAAXAB1ADAAMAAyADcARgByAHkAXAB1ADAAMAAyADcAIAB0AG8AIABcAHUAMAAwADIANwBEAHIAeQBcAHUAMAAwADIANwAuAFwAIgBcAG4AIAAgACAAIAAgACAAIAAgAH0ALAAgAHIALAAgAGMAKQBcAG4AIAAgACAAIAAgACAAKQBcAG4AIAAgACAAIAApAFwAbgAgACAAKQA7AFwAbgBcAG4AQwBvAG0AbQBvAG4AXwBTAG8AdQByAGMAZQBEAGEAdABhAF8AVwBlAHQAQQBuAGQARAByAHkAWgBvAG4AZQBzAF8ARABhAHQAYQBcAG4AIAAgACAAPQBMAEEATQBCAEQAQQAoAFwAbgAgACAAIAAgAE0AQQBLAEUAQQBSAFIAQQBZACgAMQA1ACwAIAAyACwAIABcAG4AIAAgACAAIAAgACAATABBAE0AQgBEAEEAKAByACwAYwAsACAAXABuACAAIAAgACAAIAAgACAAIABJAE4ARABFAFgAKAB7AFwAbgAgACAAIAAgACAAIAAgACAAIAAgAFwAIgBDAGwAaQBtAGEAdABlACAAWgBvAG4AZQBcACIALAAgAFwAIgBXAGUAdAAgAG8AcgAgAEQAcgB5ACAAWgBvAG4AZQBcACIAOwBcAG4AIAAgACAAIAAgACAAIAAgACAAIABcACIAVAByAG8AcABpAGMAYQBsACAAbQBvAG4AdABhAG4AZQBcACIALAAgAFwAIgBXAGUAdAAgAGMAbABpAG0AYQB0AGUAIAB6AG8AbgBlAFwAIgA7AFwAbgAgACAAIAAgACAAIAAgACAAIAAgAFwAIgBUAHIAbwBwAGkAYwBhAGwAIAB3AGUAdABcACIALAAgAFwAIgBXAGUAdAAgAGMAbABpAG0AYQB0AGUAIAB6AG8AbgBlAFwAIgA7AFwAbgAgACAAIAAgACAAIAAgACAAIAAgAFwAIgBUAHIAbwBwAGkAYwBhAGwAIABtAG8AaQBzAHQAXAAiACwAIABcACIAVwBlAHQAIABjAGwAaQBtAGEAdABlACAAegBvAG4AZQBcACIAOwBcAG4AIAAgACAAIAAgACAAIAAgACAAIABcACIAVAByAG8AcABpAGMAYQBsACAAZAByAHkAXAAiACwAIABcACIARAByAHkAIABjAGwAaQBtAGEAdABlACAAegBvAG4AZQBcACIAOwBcAG4AIAAgACAAIAAgACAAIAAgACAAIABcACIAVwBhAHIAbQAgAHQAZQBtAHAAZQByAGEAdABlACAAbQBvAGkAcwB0AFwAIgAsACAAXAAiAFcAZQB0ACAAYwBsAGkAbQBhAHQAZQAgAHoAbwBuAGUAXAAiADsAXABuACAAIAAgACAAIAAgACAAIAAgACAAXAAiAFcAYQByAG0AIAB0AGUAbQBwAGUAcgBhAHQAZQAgAGQAcgB5AFwAIgAsACAAXAAiAEQAcgB5ACAAYwBsAGkAbQBhAHQAZQAgAHoAbwBuAGUAXAAiADsAXABuACAAIAAgACAAIAAgACAAIAAgACAAXAAiAEMAbwBvAGwAIAB0AGUAbQBwAGUAcgBhAHQAZQAgAG0AbwBpAHMAdABcACIALAAgAFwAIgBXAGUAdAAgAGMAbABpAG0AYQB0AGUAIAB6AG8AbgBlAFwAIgA7AFwAbgAgACAAIAAgACAAIAAgACAAIAAgAFwAIgBDAG8AbwBsACAAdABlAG0AcABlAHIAYQB0AGUAIABkAHIAeQBcACIALAAgAFwAIgBEAHIAeQAgAGMAbABpAG0AYQB0AGUAIAB6AG8AbgBlAFwAIgA7AFwAbgAgACAAIAAgACAAIAAgACAAIAAgAFwAIgBXAGEAcgBtACAAdABlAG0AcABlAHIAYQB0AGUAIABtAG8AaQBzAHQAIAAtACAAbABvAHcAIABmAHIAbwBzAHQAXAAiACwAIABcACIAVwBlAHQAIABjAGwAaQBtAGEAdABlACAAegBvAG4AZQBcACIAOwBcAG4AIAAgACAAIAAgACAAIAAgACAAIABcACIAVwBhAHIAbQAgAHQAZQBtAHAAZQByAGEAdABlACAAZAByAHkAIAAtACAAbABvAHcAIABmAHIAbwBzAHQAXAAiACwAIABcACIARAByAHkAIABjAGwAaQBtAGEAdABlACAAegBvAG4AZQBcACIAOwBcAG4AIAAgACAAIAAgACAAIAAgACAAIABcACIAVwBhAHIAbQAgAHQAZQBtAHAAZQByAGEAdABlACAAbQBvAGkAcwB0ACAALQAgAGgAaQBnAGgAIAB0AGUAbQBwAFwAIgAsACAAXAAiAFcAZQB0ACAAYwBsAGkAbQBhAHQAZQAgAHoAbwBuAGUAXAAiADsAXABuACAAIAAgACAAIAAgACAAIAAgACAAXAAiAFcAYQByAG0AIAB0AGUAbQBwAGUAcgBhAHQAZQAgAGQAcgB5ACAALQAgAGgAaQBnAGgAIAB0AGUAbQBwAFwAIgAsACAAXAAiAEQAcgB5ACAAYwBsAGkAbQBhAHQAZQAgAHoAbwBuAGUAXAAiADsAXABuACAAIAAgACAAIAAgACAAIAAgACAAXAAiAEMAbwBvAGwAIAB0AGUAbQBwAGUAcgBhAHQAZQAgAG0AbwBpAHMAdAAgAC0AIABsAG8AdwAgAGYAcgBvAHMAdABcACIALAAgAFwAIgBXAGUAdAAgAGMAbABpAG0AYQB0AGUAIAB6AG8AbgBlAFwAIgA7AFwAbgAgACAAIAAgACAAIAAgACAAIAAgAFwAIgBDAG8AbwBsACAAdABlAG0AcABlAHIAYQB0AGUAIABkAHIAeQAgAC0AIABsAG8AdwAgAGYAcgBvAHMAdABcACIALAAgAFwAIgBEAHIAeQAgAGMAbABpAG0AYQB0AGUAIAB6AG8AbgBlA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QwBsAGkAbQBhAHQAZQBaAG8AbgBlAHMAXABuAC0ALQAtAC0ALQAtAC0ALQAtAC0ALQAtAC0ALQAtAC0ALQAtAC0ALQAtAC0ALQAtAC0ALQAtAC0ALQAtAC0ALQAtAC0ALQAtAC0ALQBcAG4AKgAvAFwAbgBcAG4AQwBvAG0AbQBvAG4AXwBTAG8AdQByAGMAZQBEAGEAdABhAF8AQwBsAGkAbQBhAHQAZQBaAG8AbgBlAHMAXwBUAGkAdABsAGUAXABuACAAIAA9AEwAQQBNAEIARABBACgAXAAiAFYARQBFAFIARwAgAEEAdQBzAHQAcgBhAGwAaQBhAG4AIABjAGwAaQBtAGEAdABlACAAegBvAG4AZQBzAFwAIgApADsAXABuAFwAbgBDAG8AbQBtAG8AbgBfAFMAbwB1AHIAYwBlAEQAYQB0AGEAXwBDAGwAaQBtAGEAdABlAFoAbwBuAGUAcwBfAFYAYQByAGkAYQBiAGwAZQBcAG4AIAAgAD0ATABBAE0AQgBEAEEAKABcACIAXAAiACkAOwBcAG4AXABuAEMAbwBtAG0AbwBuAF8AUwBvAHUAcgBjAGUARABhAHQAYQBfAEMAbABpAG0AYQB0AGUAWgBvAG4AZQBzAF8AVQBuAGkAdABcAG4AIAAgAD0ATABBAE0AQgBEAEEAKABcACIAXAAiACkAOwBcAG4AXABuAEMAbwBtAG0AbwBuAF8AUwBvAHUAcgBjAGUARABhAHQAYQBfAEMAbABpAG0AYQB0AGUAWgBvAG4AZQBzAF8AUwBvAHUAcgBjAGUAXABuACAAIAA9AEwAQQBNAEIARABBACgAXAAiAFYARQBFAFIARwAgADIAMAAyADYAOgAgAFQAYQBiAGwAZQAgADEALgAzADoAIABDAGwAaQBtAGEAdABlACAAYQBuAGQAIABSAGEAaQBuAGYAYQBsAGwAIAB6AG8AbgBlACAAYwBsAGEAcwBzAGkAZgBpAGMAYQB0AGkAbwBuAHMAIABhAG4AZAAgAGQAZQBmAGkAbgBpAHQAaQBvAG4AcwBcACIAKQA7AFwAbgBcAG4AQwBvAG0AbQBvAG4AXwBTAG8AdQByAGMAZQBEAGEAdABhAF8AQwBsAGkAbQBhAHQAZQBaAG8AbgBlAHMAXwBWAGEAcgBpAGEAdABpAG8AbgBcAG4AIAAgACAAPQBMAEEATQBCAEQAQQAoAFwAbgAgACAAIAAgAE0AQQBLAEUAQQBSAFIAQQBZACgANQAsACAAMQAsACAAXABuACAAIAAgACAAIAAgAEwAQQBNAEIARABBACgAcgAsAGMALAAgAFwAbgAgACAAIAAgACAAIAAgACAASQBOAEQARQBYACgAewBcAG4AIAAgACAAIAAgACAAIAAgACAAIABcACIAVgBBAFIASQBBAFQASQBPAE4AIABPAEYAIABTAE8AVQBSAEMARQAgAEQAQQBUAEEAOgBcACIAOwBcAG4AIAAgACAAIAAgACAAIAAgACAAIABcACIAQQBkAGQAZQBkACAAdwBhAHIAbQAgAC8AIABjAG8AbwBsACAAdABlAG0AcABlAHIAYQB0AGUAIABtAG8AaQBzAHQAIAAvACAAZAByAHkAIAAtACAAbABvAHcAIABmAHIAbwBzAHQAIABhAG4AZAAgAGgAaQBnAGgAIAB0AGUAbQBwACAAYwBsAGEAcwBzAGUAcwAgAHQAbwAgAGEAYwBjAG8AbQBtAG8AZABhAHQAZQAgAGMAbABpAG0AYQB0AGUAIABzAGMAZQBuAGEAcgBpAG8AcwAgAGUAeABjAGwAdQBkAGUAZAAgAGIAeQAgAFYARQBFAFIARwAgAGMAcgBpAHQAZQByAGkAYQAuAFwAIgA7AFwAbgAgACAAIAAgACAAIAAgACAAIAAgAFwAIgBGAGkAeABlAGQAIAB0AHkAcABvACAAaQBuACAATQBBAFQAIAB2AGEAbAB1AGUAIABmAG8AcgAgAHcAYQByAG0AIAB0AGUAbQBwAGUAcgBhAHQAZQAgAGQAcgB5ACAALQAgAGMAaABhAG4AZwBlAGQAIAAxADAAIAB0AG8AIAAxADEALgBcACIAOwBcAG4AIAAgACAAIAAgACAAIAAgACAAIABcACIAQQBkAGQAZQBkACAAbQBpAG4AIABhAG4AZAAgAG0AYQB4ACAAYwBvAGwAdQBtAG4AcwAgAGYAbwByACAATQBBAFQALAAgAE0AQQBQACwAIABmAHIAbwBzAHQAIABkAGEAeQBzACAAcABlAHIAIAB5AGUAYQByACwAIABlAGwAZQB2AGEAdABpAG8AbgAsACAATQBBAFAAOgBQAEUAVAAgAHQAbwAgAGMAYQBsAGMAdQBsAGEAdABlACAAegBvAG4AZQBzACAAZgByAG8AbQAgAHIAZQBhAGwAIABjAGwAaQBtAGEAdABlACAAZABhAHQAYQAuAFwAIgA7AFwAbgAgACAAIAAgACAAIAAgACAAIAAgAFwAIgBHAEEARgAgAGEAYwBjAGUAcAB0AHMAIAByAGEAaQBuAGYAYQBsAGwAIABhAHMAIABhACAAcAByAG8AeAB5ACAAZgBvAHIAIABwAHIAZQBjAGkAcABpAHQAYQB0AGkAbwBuAC4AXAAiAFwAbgAgACAAIAAgACAAIAAgACAAfQAsACAAcgAsACAAYwApAFwAbgAgACAAIAAgACAAIAApAFwAbgAgACAAIAAgACkAXABuACAAIAApADsAXABuAFwAbgBDAG8AbQBtAG8AbgBfAFMAbwB1AHIAYwBlAEQAYQB0AGEAXwBDAGwAaQBtAGEAdABlAFoAbwBuAGUAcwBfAEQAYQB0AGEAXABuACAAIAAgAD0ATABBAE0AQgBEAEEAKABcAG4AIAAgACAAIABNAEEASwBFAEEAUgBSAEEAWQAoADkALAAgADEANgAsACAAXABuACAAIAAgACAAIAAgAEwAQQBNAEIARABBACgAcgAsAGMALAAgAFwAbgAgACAAIAAgACAAIAAgACAASQBOAEQARQBYACgAewBcAG4AIAAgACAAIAAgACAAIAAgACAAIABcACIAQwBsAGkAbQBhAHQAZQAgAFoAbwBuAGUAXAAiACwAIABcACIATQBBAFQAXAAiACwAIABcACIATQBBAFAAXAAiACwAIABcACIARgByAG8AcwB0ACAAZABhAHkAcwAgAHAAZQByACAAeQBlAGEAcgBcACIALAAgAFwAIgBFAGwAZQB2AGEAdABpAG8AbgBcACIALAAgAFwAIgBNAEEAUAA6AFAARQBUAFwAIgAsACAAXAAiAE0AaQBuACAAdABlAG0AcABcACIALAAgAFwAIgBNAGEAeAAgAHQAZQBtAHAAXAAiACwAIABcACIATQBpAG4AIAByAGEAaQBuAGYAYQBsAGwAXAAiACwAIABcACIATQBhAHgAIAByAGEAaQBuAGYAYQBsAGwAXAAiACwAIABcACIATQBpAG4AIABmAHIAbwBzAHQAIABkAGEAeQBzAFwAIgAsACAAXAAiAE0AYQB4ACAAZgByAG8AcwB0ACAAZABhAHkAcwBcACIALAAgAFwAIgBNAGkAbgAgAGUAbABlAHYAYQB0AGkAbwBuAFwAIgAsACAAXAAiAE0AYQB4ACAAZQBsAGUAdgBhAHQAaQBvAG4AXAAiACwAIABcACIATQBpAG4AIABNAEEAUAA6AFAARQBUAFwAIgAsACAAXAAiAE0AaQBuACAATQBBAFAAOgBQAEUAVABcACIAOwBcAG4AIAAgACAAIAAgACAAIAAgACAAIABcACIAVAByAG8AcABpAGMAYQBsACAAbQBvAG4AdABhAG4AZQBcACIALAAgAFwAIgBcAHUAMAAwADMAZQAgADEAOAAgAEMAXAAiACwAIABcACIAQQBuAHkAXAAiACwAIABcACIAZCIgADcAXAAiACwAIABcACIAXAB1ADAAMAAzAGUAIAAxADAAMAAwACAAbQBcACIALAAgAFwAIgBBAG4AeQBcACIALAAgADEAOAAuADAAMAAxACwAIAA5ADkAOQA5ADkAOQAsACAALQA5ADkAOQA5ADkAOQAsACAAOQA5ADkAOQA5ADkALAAgAC0AOQA5ADkAOQA5ADkALAAgADcALAAgADEAMAAwADAALAAgADkAOQA5ADkAOQA5ACwAIAAtADkAOQA5ADkAOQA5ACwAIAA5ADkAOQA5ADkAOQA7AFwAbgAgACAAIAAgACAAIAAgACAAIAAgAFwAIgBUAHIAbwBwAGkAYwBhAGwAIAB3AGUAdABcACIALAAgAFwAIgBcAHUAMAAwADMAZQAgADEAOAAgAEMAXAAiACwAIABcACIAXAB1ADAAMAAzAGUAIAAyADAAMAAwACAAbQBtAFwAIgAsACAAXAAiAGQiIAA3AFwAIgAsACAAXAAiAGQiIAAxADAAMAAwACAAbQBcACIALAAgAFwAIgBBAG4AeQBcACIALAAgADEAOAAuADAAMAAxACwAIAA5ADkAOQA5ADkAOQAsACAAMgAwADAAMAAuADAAMAAxACwAIAA5ADkAOQA5ADkAOQAsACAALQA5ADkAOQA5ADkAOQAsACAANwAsACAALQA5ADkAOQA5ADkAOQAsACAAOQA5ADkALgA5ADkAOQAsACAAIAAtADkAOQA5ADkAOQA5ACwAIAA5ADkAOQA5ADkAOQA7AFwAbgAgACAAIAAgACAAIAAgACAAIAAgAFwAIgBUAHIAbwBwAGkAYwBhAGwAIABtAG8AaQBzAHQAXAAiACwAIABcACIAXAB1ADAAMAAzAGUAIAAxADgAIABDAFwAIgAsACAAXAAiAFwAdQAwADAAMwBlACAAMQAwADAAMAAgAG0AbQAgAC0AIABkIiAAMgAwADAAMAAgAG0AbQBcACIALAAgAFwAIgBkIiAANwBcACIALAAgAFwAIgBkIiAAMQAwADAAMAAgAG0AXAAiACwAIABcACIAQQBuAHkAXAAiACwAIAAxADgALgAwADAAMQAsACAAOQA5ADkAOQA5ADkALAAgADEAMAAwADAALgAwADAAMQAsACAAMgAwADAAMAAsACAALQA5ADkAOQA5ADkAOQAsACAANwAsACAALQA5ADkAOQA5ADkAOQAsACAAOQA5ADkALgA5ADkAOQAsACAAIAAtADkAOQA5ADkAOQA5ACwAIAA5ADkAOQA5ADkAOQA7AFwAbgAgACAAIAAgACAAIAAgACAAIAAgAFwAIgBUAHIAbwBwAGkAYwBhAGwAIABkAHIAeQBcACIALAAgAFwAIgBcAHUAMAAwADMAZQAgADEAOAAgAEMAXAAiACwAIABcACIAZCIgADEAMAAwADAAIABtAG0AXAAiACwAIABcACIAZCIgADcAXAAiACwAIABcACIAZCIgADEAMAAwADAAIABtAFwAIgAsACAAXAAiAEEAbgB5AFwAIgAsACAAMQA4AC4AMAAwADEALAAgADkAOQA5ADkAOQA5ACwAIAAtADkAOQA5ADkAOQA5ACwAIAAxADAAMAAwACwAIAAtADkAOQA5ADkAOQA5ACwAIAA3ACwAIAAtADkAOQA5ADkAOQA5ACwAIAA5ADkAOQAuADkAOQA5ACwAIAAgAC0AOQA5ADkAOQA5ADkALAAgADkAOQA5ADkAOQA5ADsAXABuACAAIAAgACAAIAAgACAAIAAgACAAXAAiAFcAYQByAG0AIAB0AGUAbQBwAGUAcgBhAHQAZQAgAG0AbwBpAHMAdABcACIALAAgAFwAIgBcAHUAMAAwADMAZQAgADEAMAAgAEMAXAAiACwAIABcACIAQQBuAHkAXAAiACwAIABcACIAQQBuAHkAXAAiACwAIABcACIAQQBuAHkAXAAiACwAIABcACIAXAB1ADAAMAAzAGUAIAAxAFwAIgAsACAAMQAwAC4AMAAwADEALAAgADkAOQA5ADkAOQA5ACwAIAAtADkAOQA5ADkAOQA5ACwAIAA5ADkAOQA5ADkAOQAsACAALQA5ADkAOQA5ADkAOQAsACAAOQA5ADkAOQA5ADkALAAgAC0AOQA5ADkAOQA5ADkALAAgADkAOQA5ADkAOQA5ACwAIAAxAC4AMAAwADEALAAgADkAOQA5ADkAOQA5ADsAXABuACAAIAAgACAAIAAgACAAIAAgACAAXAAiAFcAYQByAG0AIAB0AGUAbQBwAGUAcgBhAHQAZQAgAGQAcgB5AFwAIgAsACAAXAAiAFwAdQAwADAAMwBlACAAMQAwACAAQwBcACIALAAgAFwAIgBBAG4AeQBcACIALAAgAFwAIgBBAG4AeQBcACIALAAgAFwAIgBBAG4AeQBcACIALAAgAFwAIgBkIiAAMQBcACIALAAgADEAMAAuADAAMAAxACwAIAA5ADkAOQA5ADkAOQAsACAALQA5ADkAOQA5ADkAOQAsACAAOQA5ADkAOQA5ADkALAAgAC0AOQA5ADkAOQA5ADkALAAgADkAOQA5ADkAOQA5ACwAIAAtADkAOQA5ADkAOQA5ACwAIAA5ADkAOQA5ADkAOQAsACAAIAAtADkAOQA5ADkAOQA5ACwAIAAxADsAXABuACAAIAAgACAAIAAgACAAIAAgACAAXAAiAEMAbwBvAGwAIAB0AGUAbQBwAGUAcgBhAHQAZQAgAG0AbwBpAHMAdABcACIALAAgAFwAIgBcAHUAMAAwADMAZQAgADAAIABDACAALQAgAGQiIAAxADAAIABDAFwAIgAsACAAXAAiAEEAbgB5AFwAIgAsACAAXAAiAEEAbgB5AFwAIgAsACAAXAAiAEEAbgB5AFwAIgAsACAAXAAiAFwAdQAwADAAMwBlACAAMQBcACIALAAgAC0AOQA5ADkAOQA5ADkALAAgADEAMAAsACAALQA5ADkAOQA5ADkAOQAsACAAOQA5ADkAOQA5ADkALAAgAC0AOQA5ADkAOQA5ADkALAAgADkAOQA5ADkAOQA5ACwAIAAtADkAOQA5ADkAOQA5ACwAIAA5ADkAOQA5ADkAOQAsACAAMQAuADAAMAAxACwAIAA5ADkAOQA5ADkAOQA7AFwAbgAgACAAIAAgACAAIAAgACAAIAAgAFwAIgBDAG8AbwBsACAAdABlAG0AcABlAHIAYQB0AGUAIABkAHIAeQBcACIALAAgAFwAIgBcAHUAMAAwADMAZQAgADAAIABDACAALQAgAGQiIAAxADAAIABDAFwAIgAsACAAXAAiAEEAbgB5AFwAIgAsACAAXAAiAEEAbgB5AFwAIgAsACAAXAAiAEEAbgB5AFwAIgAsACAAXAAiAGQiIAAxAFwAIgAsACAALQA5ADkAOQA5ADkAOQAsACAAMQAwACwAIAAtADkAOQA5ADkAOQA5ACwAIAA5ADkAOQA5ADkAOQAsACAALQA5ADkAOQA5ADkAOQAsACAAOQA5ADkAOQA5ADkALAAgAC0AOQA5ADkAOQA5ADkALAAgADkAOQA5ADkAOQA5ACwAIAAgAC0AOQA5ADkAOQA5ADkALAAgADEAXABuACAAIAAgACAAIAAgACAAIAB9ACwAIAByACwAIABjACkAXABuACAAIAAgACAAIAAgACkAXABuACAAIAAgACAAKQBcAG4AIAAgACkAOwBcAG4AXABuAEMAbwBtAG0AbwBuAF8AUwBvAHUAcgBjAGUARABhAHQAYQBfAEMAbABpAG0AYQB0AGUAWgBvAG4AZQBzAF8AQQBwAHAAZQBuAGQAaQBjAGUAcwBcAG4AIAAgACAAPQBMAEEATQBCAEQAQQAoAFwAbgAgACAAIAAgAE0AQQBLAEUAQQBSAFIAQQBZACgANAAsACAAMQAsACAAXABuACAAIAAgACAAIAAgAEwAQQBNAEIARABBACgAcgAsAGMALAAgAFwAbgAgACAAIAAgACAAIAAgACAASQBOAEQARQBYACgAewBcAG4AIAAgACAAIAAgACAAIAAgACAAIABcACIATgBvAHQAZQA6AFwAIgA7AFwAbgAgACAAIAAgACAAIAAgACAAIAAgAFwAIgBNAEEAVAAgAD0AIABtAGUAYQBuACAAYQBuAG4AdQBhAGwAIAB0AGUAbQBwAGUAcgBhAHQAdQByAGUAXAAiADsAXABuACAAIAAgACAAIAAgACAAIAAgACAAXAAiAE0AQQBQACAAPQAgAG0AZQBhAG4AIABhAG4AbgB1AGEAbAAgAHAAcgBlAGMAaQBwAGkAdABhAHQAaQBvAG4AXAAiADsAXABuACAAIAAgACAAIAAgACAAIAAgACAAXAAiAFAARQBUACAAPQAgAHAAbwB0AGUAbgB0AGkAYQBsACAAZQB2AGEAcABvAHQAcgBhAG4AcwBwAGkAcgBhAHQAaQBvAG4AXAAiAFwAbgAgACAAIAAgACAAIAAgACAAfQAsACAAcgAsACAAYwApAFwAbgAgACAAIAAgACAAIAApAFwAbgAgACAAIAAgACkAXABuACAAIAApADsAXABuAFwAbgBcAG4ALwAqACAAXABuAC0ALQAtAC0ALQAtAC0ALQAtAC0ALQAtAC0ALQAtAC0ALQAtAC0ALQAtAC0ALQAtAC0ALQAtAC0ALQAtAC0ALQAtAC0ALQAtAC0ALQBcAG4AQwBvAG0AbQBvAG4AXwBTAG8AdQByAGMAZQBEAGEAdABhAF8AVABlAG0AcABlAHIAYQB0AHUAcgBlAFoAbwBuAGUAcwBcAG4ALQAtAC0ALQAtAC0ALQAtAC0ALQAtAC0ALQAtAC0ALQAtAC0ALQAtAC0ALQAtAC0ALQAtAC0ALQAtAC0ALQAtAC0ALQAtAC0ALQAtAFwAbgAqAC8AXABuAFwAbgBDAG8AbQBtAG8AbgBfAFMAbwB1AHIAYwBlAEQAYQB0AGEAXwBUAGUAbQBwAGUAcgBhAHQAdQByAGUAWgBvAG4AZQBzAF8AVABpAHQAbABlAFwAbgAgACAAPQBMAEEATQBCAEQAQQAoAFwAIgBWAEUARQBSAEcAIABBAHUAcwB0AHIAYQBsAGkAYQBuACAAdABlAG0AcABlAHIAYQB0AHUAcgBlACAAegBvAG4AZQBzAFwAIgApADsAXABuAFwAbgBDAG8AbQBtAG8AbgBfAFMAbwB1AHIAYwBlAEQAYQB0AGEAXwBUAGUAbQBwAGUAcgBhAHQAdQByAGUAWgBvAG4AZQBzAF8AVgBhAHIAaQBhAGIAbABlAFwAbgAgACAAPQBMAEEATQBCAEQAQQAoAFwAIgBcACIAKQA7AFwAbgBcAG4AQwBvAG0AbQBvAG4AXwBTAG8AdQByAGMAZQBEAGEAdABhAF8AVABlAG0AcABlAHIAYQB0AHUAcgBlAFoAbwBuAGUAcwBfAFUAbgBpAHQAXABuACAAIAA9AEwAQQBNAEIARABBACgAXAAiAFwAIgApADsAXABuAFwAbgBDAG8AbQBtAG8AbgBfAFMAbwB1AHIAYwBlAEQAYQB0AGEAXwBUAGUAbQBwAGUAcgBhAHQAdQByAGUAWgBvAG4AZQBzAF8AUwBvAHUAcgBjAGUAXABuACAAIAA9AEwAQQBNAEIARABBACgAXAAiAFYARQBFAFIARwAgADIAMAAyADYAOgAgAFQAYQBiAGwAZQAgADEALgAzADoAIABDAGwAaQBtAGEAdABlACAAYQBuAGQAIABSAGEAaQBuAGYAYQBsAGwAIAB6AG8AbgBlACAAYwBsAGEAcwBzAGkAZgBpAGMAYQB0AGkAbwBuAHMAIABhAG4AZAAgAGQAZQBmAGkAbgBpAHQAaQBvAG4AcwBcACIAKQA7AFwAbgBcAG4AQwBvAG0AbQBvAG4AXwBTAG8AdQByAGMAZQBEAGEAdABhAF8AVABlAG0AcABlAHIAYQB0AHUAcgBlAFoAbwBuAGUAcwBfAFYAYQByAGkAYQB0AGkAbwBuAFwAbgAgACAAPQBMAEEATQBCAEQAQQAoAFwAIgBWAEEAUgBJAEEAVABJAE8ATgAgAE8ARgAgAFMATwBVAFIAQwBFACAARABBAFQAQQA6ACAAQQBkAGQAZQBkACAAZQB4AHQAcgBhACAATQBBAFQAIABtAGkAbgAgAGEAbgBkACAATQBBAFQAIABtAGEAeAAgAGMAbwBsAHUAbQBuAHMAIAB0AG8AIABjAGEAbABjAHUAbABhAHQAZQAgAHoAbwBuAGUAIABmAHIAbwBtACAAcgBlAGEAbAAgAHQAZQBtAHAAZQByAGEAdAB1AHIAZQAgAGQAYQB0AGEALgBcACIAKQA7AFwAbgBcAG4AQwBvAG0AbQBvAG4AXwBTAG8AdQByAGMAZQBEAGEAdABhAF8AVABlAG0AcABlAHIAYQB0AHUAcgBlAFoAbwBuAGUAcwBfAEQAYQB0AGEAXABuACAAIAAgAD0ATABBAE0AQgBEAEEAKABcAG4AIAAgACAAIABNAEEASwBFAEEAUgBSAEEAWQAoADQALAAgADQALAAgAFwAbgAgACAAIAAgACAAIABMAEEATQBCAEQAQQAoAHIALABjACwAIABcAG4AIAAgACAAIAAgACAAIAAgAEkATgBEAEUAWAAoAHsAXABuACAAIAAgACAAIAAgACAAIAAgACAAXAAiAFQAZQBtAHAAZQByAGEAdAB1AHIAZQAgAFoAbwBuAGUAXAAiACwAIABcACIATQBlAGQAaQBhAG4AIABBAG4AbgB1AGEAbAAgAFQAZQBtAHAAZQByAGEAdAB1AHIAZQAgACgATQBBAFQAKQBcACIALAAgAFwAIgBNAGkAbgAgAE0AQQBUAFwAIgAsACAAXAAiAE0AYQB4ACAATQBBAFQAXAAiADsAXABuACAAIAAgACAAIAAgACAAIAAgACAAXAAiAFcAYQByAG0AXAAiACwAIABcACIAZSIgADIANgAgAEMAXAAiACwAIAAyADYALAAgADkAOQA5ADkAOQA5ADsAXABuACAAIAAgACAAIAAgACAAIAAgACAAXAAiAFQAZQBtAHAAZQByAGEAdABlAFwAIgAsACAAXAAiADEANQAgAC0AIAAyADUAIABDAFwAIgAsACAAMQA1ACwAIAAyADUALgA5ADkAOQA7AFwAbgAgACAAIAAgACAAIAAgACAAIAAgAFwAIgBDAG8AbwBsAFwAIgAsACAAXAAiAGQiIAAxADQAIABDAFwAIgAsACAALQA5ADkAOQA5ADkAOQAsACAAMQA0AC4AOQA5ADk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FIAYQBpAG4AZgBhAGwAbABaAG8AbgBlAHMAXABuAC0ALQAtAC0ALQAtAC0ALQAtAC0ALQAtAC0ALQAtAC0ALQAtAC0ALQAtAC0ALQAtAC0ALQAtAC0ALQAtAC0ALQAtAC0ALQAtAC0ALQBcAG4AKgAvAFwAbgBcAG4AQwBvAG0AbQBvAG4AXwBTAG8AdQByAGMAZQBEAGEAdABhAF8AUgBhAGkAbgBmAGEAbABsAFoAbwBuAGUAcwBfAFQAaQB0AGwAZQBcAG4AIAAgAD0ATABBAE0AQgBEAEEAKABcACIAVgBFAEUAUgBHACAAQQB1AHMAdAByAGEAbABpAGEAbgAgAHIAYQBpAG4AZgBhAGwAbAAgAHoAbwBuAGUAcwBcACIAKQA7AFwAbgBcAG4AQwBvAG0AbQBvAG4AXwBTAG8AdQByAGMAZQBEAGEAdABhAF8AUgBhAGkAbgBmAGEAbABsAFoAbwBuAGUAcwBfAFYAYQByAGkAYQBiAGwAZQBcAG4AIAAgAD0ATABBAE0AQgBEAEEAKABcACIAXAAiACkAOwBcAG4AXABuAEMAbwBtAG0AbwBuAF8AUwBvAHUAcgBjAGUARABhAHQAYQBfAFIAYQBpAG4AZgBhAGwAbABaAG8AbgBlAHMAXwBVAG4AaQB0AFwAbgAgACAAPQBMAEEATQBCAEQAQQAoAFwAIgBcACIAKQA7AFwAbgBcAG4AQwBvAG0AbQBvAG4AXwBTAG8AdQByAGMAZQBEAGEAdABhAF8AUgBhAGkAbgBmAGEAbABsAFoAbwBuAGUAcwBfAFMAbwB1AHIAYwBlAFwAbgAgACAAPQBMAEEATQBCAEQAQQAoAFwAIgBWAEUARQBSAEcAIAAyADAAMgA2ADoAIABUAGEAYgBsAGUAIAAxAC4AMwA6ACAAQwBsAGkAbQBhAHQAZQAgAGEAbgBkACAAUgBhAGkAbgBmAGEAbABsACAAegBvAG4AZQAgAGMAbABhAHMAcwBpAGYAaQBjAGEAdABpAG8AbgBzACAAYQBuAGQAIABkAGUAZgBpAG4AaQB0AGkAbwBuAHMAXAAiACkAOwBcAG4AXABuAEMAbwBtAG0AbwBuAF8AUwBvAHUAcgBjAGUARABhAHQAYQBfAFIAYQBpAG4AZgBhAGwAbABaAG8AbgBlAHMAXwBWAGEAcgBpAGEAdABpAG8AbgBcAG4AIAAgAD0ATABBAE0AQgBEAEEAKABcACIAVgBBAFIASQBBAFQASQBPAE4AIABPAEYAIABTAE8AVQBSAEMARQAgAEQAQQBUAEEAOgAgAEEAZABkAGUAZAAgAGUAeAB0AHIAYQAgAFIAYQBpAG4AZgBhAGwAbAAgAG0AaQBuACAAYQBuAGQAIABSAGEAaQBuAGYAYQBsAGwAIABtAGEAeAAgAGMAbwBsAHUAbQBuAHMAIAB0AG8AIABjAGEAbABjAHUAbABhAHQAZQAgAHoAbwBuAGUAIABmAHIAbwBtACAAcgBlAGEAbAAgAHIAYQBpAG4AZgBhAGwAbAAgAGQAYQB0AGEALgBcACIAKQA7AFwAbgBcAG4AQwBvAG0AbQBvAG4AXwBTAG8AdQByAGMAZQBEAGEAdABhAF8AUgBhAGkAbgBmAGEAbABsAFoAbwBuAGUAcwBfAEQAYQB0AGEAXABuACAAIAAgAD0ATABBAE0AQgBEAEEAKABcAG4AIAAgACAAIABNAEEASwBFAEEAUgBSAEEAWQAoADMALAAgADQALAAgAFwAbgAgACAAIAAgACAAIABMAEEATQBCAEQAQQAoAHIALABjACwAIABcAG4AIAAgACAAIAAgACAAIAAgAEkATgBEAEUAWAAoAHsAXABuACAAIAAgACAAIAAgACAAIAAgACAAXAAiAFIAYQBpAG4AZgBhAGwAbAAgAFoAbwBuAGUAXAAiACwAIABcACIAQQBuAG4AdQBhAGwAIAByAGEAaQBuAGYAYQBsAGwAXAAiACwAIABcACIAUgBhAGkAbgBmAGEAbABsACAAbQBpAG4AXAAiACwAIABcACIAUgBhAGkAbgBmAGEAbABsACAAbQBhAHgAXAAiADsAXABuACAAIAAgACAAIAAgACAAIAAgACAAXAAiAEgAaQBnAGgAIAByAGEAaQBuAGYAYQBsAGwAXAAiACwAIABcACIAQQBuAG4AdQBhAGwAIAByAGEAaQBuAGYAYQBsAGwAIABcAHUAMAAwADMAZQAgADYAMAAwAG0AbQBcACIALAAgADYAMAAwAC4AMAAwADEALAAgADkAOQA5ADkAOQA5ADsAXABuACAAIAAgACAAIAAgACAAIAAgACAAXAAiAEwAbwB3ACAAcgBhAGkAbgBmAGEAbABsAFwAIgAsACAAXAAiAEEAbgBuAHUAYQBsACAAcgBhAGkAbgBmAGEAbABsACAAZCIgADYAMAAwAG0AbQBcACIALAAgAC0AOQA5ADkAOQA5ADkALAAgADYAMAAw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MAGUAYQBjAGgAaQBuAGcAWgBvAG4AZQBzAFwAbgAtAC0ALQAtAC0ALQAtAC0ALQAtAC0ALQAtAC0ALQAtAC0ALQAtAC0ALQAtAC0ALQAtAC0ALQAtAC0ALQAtAC0ALQAtAC0ALQAtAC0AXABuACoALwBcAG4AXABuAEMAbwBtAG0AbwBuAF8AUwBvAHUAcgBjAGUARABhAHQAYQBfAEwAZQBhAGMAaABpAG4AZwBaAG8AbgBlAHMAXwBUAGkAdABsAGUAXABuACAAIAA9AEwAQQBNAEIARABBACgAXAAiAFYARQBFAFIARwAgAEEAdQBzAHQAcgBhAGwAaQBhAG4AIABsAGUAYQBjAGgAaQBuAGcAIAB6AG8AbgBlAHMAXAAiACkAOwBcAG4AXABuAEMAbwBtAG0AbwBuAF8AUwBvAHUAcgBjAGUARABhAHQAYQBfAEwAZQBhAGMAaABpAG4AZwBaAG8AbgBlAHMAXwBWAGEAcgBpAGEAYgBsAGUAXABuACAAIAA9AEwAQQBNAEIARABBACgAXAAiAFwAIgApADsAXABuAFwAbgBDAG8AbQBtAG8AbgBfAFMAbwB1AHIAYwBlAEQAYQB0AGEAXwBMAGUAYQBjAGgAaQBuAGcAWgBvAG4AZQBzAF8AVQBuAGkAdABcAG4AIAAgAD0ATABBAE0AQgBEAEEAKABcACIAXAAiACkAOwBcAG4AXABuAEMAbwBtAG0AbwBuAF8AUwBvAHUAcgBjAGUARABhAHQAYQBfAEwAZQBhAGMAaABpAG4AZwBaAG8AbgBlAHMAXwBTAG8AdQByAGMAZQBcAG4AIAAgAD0ATABBAE0AQgBEAEEAKABcACIAVgBFAEUAUgBHACAAMgAwADIANgA6ACAAVABhAGIAbABlACAAMQAuADMAOgAgAEMAbABpAG0AYQB0AGUAIABhAG4AZAAgAFIAYQBpAG4AZgBhAGwAbAAgAHoAbwBuAGUAIABjAGwAYQBzAHMAaQBmAGkAYwBhAHQAaQBvAG4AcwAgAGEAbgBkACAAZABlAGYAaQBuAGkAdABpAG8AbgBzAFwAIgApADsAXABuAFwAbgBDAG8AbQBtAG8AbgBfAFMAbwB1AHIAYwBlAEQAYQB0AGEAXwBMAGUAYQBjAGgAaQBuAGcAWgBvAG4AZQBzAF8AVgBhAHIAaQBhAHQAaQBvAG4AXABuACAAIAA9AEwAQQBNAEIARABBACgAXAAiAFwAIgApADsAXABuAFwAbgBDAG8AbQBtAG8AbgBfAFMAbwB1AHIAYwBlAEQAYQB0AGEAXwBMAGUAYQBjAGgAaQBuAGcAWgBvAG4AZQBzAF8ARABhAHQAYQBcAG4AIAAgACAAPQBMAEEATQBCAEQAQQAoAFwAbgAgACAAIAAgAE0AQQBLAEUAQQBSAFIAQQBZACgAMwAsACAAMgAsACAAXABuACAAIAAgACAAIAAgAEwAQQBNAEIARABBACgAcgAsAGMALAAgAFwAbgAgACAAIAAgACAAIAAgACAASQBOAEQARQBYACgAewBcAG4AIAAgACAAIAAgACAAIAAgACAAIABcACIATABlAGEAYwBoAGkAbgBnACAAWgBvAG4AZQBcACIALAAgAFwAIgBMAGUAYQBjAGgAaQBuAGcAIABjAHIAaQB0AGUAcgBpAGEAXAAiADsAXABuACAAIAAgACAAIAAgACAAIAAgACAAXAAiAEwAZQBhAGMAaABpAG4AZwAgAG8AYwBjAHUAcgBzAFwAIgAsACAAXAAiAKMDKAA12F/cNdhO3DXYVtw12FvcKQBcAHUAMAAwADMAZQCjAygANdg43DXYR9wwACkAKwA12GDcNdhc3DXYVtw12FncIAA12GTcNdhO3DXYYdw12FLcNdhf3CAADiE12FzcNdhZ3DXYUdw12FbcNdhb3DXYVNwgADXYUNw12E7cNdhd3DXYTtw12FDcNdhW3DXYYdw12GbcXAAiADsAXABuACAAIAAgACAAIAAgACAAIAAgACAAXAAiAEwAZQBhAGMAaABpAG4AZwAgAGQAbwBlAHMAIABuAG8AdAAgAG8AYwBjAHUAcgBcACIALAAgAFwAIgCjAygANdhf3DXYTtw12FbcNdhb3CkAZCKjAygANdg43DXYR9wwACkAKwA12GDcNdhc3DXYVtw12FncIAA12GTcNdhO3DXYYdw12FLcNdhf3CAADiE12FzcNdhZ3DXYUdw12FbcNdhb3DXYVNwgADXYUNw12E7cNdhd3DXYTtw12FDcNdhW3DXYYdw12GbcXAAi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GAHIAYQBjAFcARQBUAFwAbgA1AC4ANQAuADIALgAzACAAQwBvAG4AcwB0AGEAbgB0ACAAUABhAHIAYQBtAGUAdABlAHIAcwBcAG4ARgByAGEAYwB0AGkAbwBuACAAbwBmACAATgAgAHQAaABhAHQAIABpAHMAIABhAHYAYQBpAGwAYQBiAGwAZQAgAGYAbwByACAAbABlAGEAYwBoAGkAbgBnACAAYQBuAGQAIAByAHUAbgBvAGYAZgBcAG4ALQAtAC0ALQAtAC0ALQAtAC0ALQAtAC0ALQAtAC0ALQAtAC0ALQAtAC0ALQAtAC0ALQAtAC0ALQAtAC0ALQAtAC0ALQAtAC0ALQAtAFwAbgAqAC8AXABuAFwAbgBDAG8AbQBtAG8AbgBfAFMAbwB1AHIAYwBlAEQAYQB0AGEAXwBGAHIAYQBjAFcARQBUAF8AVABpAHQAbABlAFwAbgAgACAAPQBMAEEATQBCAEQAQQAoAFwAIgBGAHIAYQBjAHQAaQBvAG4AIABvAGYAIABOACAAdABoAGEAdAAgAGkAcwAgAGEAdgBhAGkAbABhAGIAbABlACAAZgBvAHIAIABsAGUAYQBjAGgAaQBuAGcAIABhAG4AZAAgAHIAdQBuAG8AZgBmAFwAIgApADsAXABuAFwAbgBDAG8AbQBtAG8AbgBfAFMAbwB1AHIAYwBlAEQAYQB0AGEAXwBGAHIAYQBjAFcARQBUAF8AVQBuAGkAdABcAG4AIAAgAD0ATABBAE0AQgBEAEEAKABcACIAKABEAGkAbQBlAG4AcwBpAG8AbgBsAGUAcwBzAFwAIgApADsAXABuAFwAbgBDAG8AbQBtAG8AbgBfAFMAbwB1AHIAYwBlAEQAYQB0AGEAXwBGAHIAYQBjAFcARQBUAF8AUwBvAHUAcgBjAGUAXABuACAAIAA9AEwAQQBNAEIARABBACgAXAAiAFYARQBFAFIARwAgADIAMAAyADYAOgA1AC4ANQAuADIALgAzACAAQwBvAG4AcwB0AGEAbgB0ACAAUABhAHIAYQBtAGUAdABlAHIAcwBcACIAKQA7AFwAbgBcAG4AQwBvAG0AbQBvAG4AXwBTAG8AdQByAGMAZQBEAGEAdABhAF8ARgByAGEAYwBXAEUAVABfAE4ASQBSAFIAZQBmAGUAcgBlAG4AYwBlAFwAbgAgACAAPQBMAEEATQBCAEQAQQAoAFwAIgBcACIAKQA7AFwAbgBcAG4AQwBvAG0AbQBvAG4AXwBTAG8AdQByAGMAZQBEAGEAdABhAF8ARgByAGEAYwBXAEUAVABfAEQAYQB0AGEAXABuACAAIAA9AEwAQQBNAEIARABBACgAXABuACAAIAAgACAATQBBAEsARQBBAFIAUgBBAFkAKAAzACwAIAAyACwAIABcAG4AIAAgACAAIAAgACAATABBAE0AQgBEAEEAKAByACwAYwAsACAAXABuACAAIAAgACAAIAAgACAAIABJAE4ARABFAFgAKAB7AFwAbgAgACAAIAAgACAAIAAgACAAIAAgAFwAIgBJAHMAIABpAG4AIABsAGUAYQBjAGgAaQBuAGcAIAB6AG8AbgBlAFwAIgAsAFwAIgBGAHIAYQBjAFcARQBUAFwAIgA7AFwAbgAgACAAIAAgACAAIAAgACAAIAAgAFwAIgBZAGUAcwAgAC0AIABpAG4AIABsAGUAYQBjAGgAaQBuAGcAIAB6AG8AbgBlAFwAIgAsACAAMQA7AFwAbgAgACAAIAAgACAAIAAgACAAIAAgAFwAIgBOAG8AIAAtACAAbgBvAHQAIABpAG4AIABsAGUAYQBjAGgAaQBuAGcAIAB6AG8AbgBlAFwAIgAsACAAMABcAG4AIAAgACAAIAAgACAAIAAgAH0ALAAgAHIALAAgAGMAKQBcAG4AIAAgACAAIAAgACAAKQBcAG4AIAAgACAAIAApAFwAbgAgACAAKQA7AFwAbgBcAG4AIAAgAEMAbwBtAG0AbwBuAF8AUwBvAHUAcgBjAGUARABhAHQAYQBfAEYAcgBhAGMAVwBFAFQAXwBWAGEAcgBpAGEAdABpAG8AbgBcAG4AIAAgAD0ATABBAE0AQgBEAEEAKAAoAFwAIgBcACIAKQApADsAXABuAFwAbgBcAG4AXABuAC8AKgAgAFwAbgAtAC0ALQAtAC0ALQAtAC0ALQAtAC0ALQAtAC0ALQAtAC0ALQAtAC0ALQAtAC0ALQAtAC0ALQAtAC0ALQAtAC0ALQAtAC0ALQAtAC0AXABuAEMAbwBtAG0AbwBuAF8AUwBvAHUAcgBjAGUARABhAHQAYQBfAEQAYQB0AGEAUwBjAG8AcgBlAHMAXwBTAGMAbwBwAGUAMwBcAG4ALQAtAC0ALQAtAC0ALQAtAC0ALQAtAC0ALQAtAC0ALQAtAC0ALQAtAC0ALQAtAC0ALQAtAC0ALQAtAC0ALQAtAC0ALQAtAC0ALQAtAFwAbgAqAC8AXABuAFwAbgBDAG8AbQBtAG8AbgBfAFMAbwB1AHIAYwBlAEQAYQB0AGEAXwBEAGEAdABhAFMAYwBvAHIAZQBzAF8AUwBjAG8AcABlADMAXwBUAGkAdABsAGUAXABuACAAIAA9AEwAQQBNAEIARABBACgAXAAiAEEAdQBzAHQAcgBhAGwAaQBhAG4AIABkAGEAdABhACAAcwBjAG8AcgBlAHMAIABmAG8AcgAgAHMAYwBvAHAAZQAgADMAXAAiACkAOwBcAG4AXABuAEMAbwBtAG0AbwBuAF8AUwBvAHUAcgBjAGUARABhAHQAYQBfAEQAYQB0AGEAUwBjAG8AcgBlAHMAXwBTAGMAbwBwAGUAMwBfAFYAYQByAGkAYQBiAGwAZQBcAG4AIAAgAD0ATABBAE0AQgBEAEEAKABcACIAXAAiACkAOwBcAG4AXABuAEMAbwBtAG0AbwBuAF8AUwBvAHUAcgBjAGUARABhAHQAYQBfAEQAYQB0AGEAUwBjAG8AcgBlAHMAXwBTAGMAbwBwAGUAMwBfAFUAbgBpAHQAXABuACAAIAA9AEwAQQBNAEIARABBACgAXAAiAFwAIgApADsAXABuAFwAbgBDAG8AbQBtAG8AbgBfAFMAbwB1AHIAYwBlAEQAYQB0AGEAXwBEAGEAdABhAFMAYwBvAHIAZQBzAF8AUwBjAG8AcABlADMAXwBTAG8AdQByAGMAZQBcAG4AIAAgAD0ATABBAE0AQgBEAEEAKABcACIAVgBFAEUAUgBHACAAMgAwADIANgA6ACAAWABYAFgAWABYAFgAWABYAFwAIgApADsAXABuAFwAbgBDAG8AbQBtAG8AbgBfAFMAbwB1AHIAYwBlAEQAYQB0AGEAXwBEAGEAdABhAFMAYwBvAHIAZQBzAF8AUwBjAG8AcABlADMAXwBWAGEAcgBpAGEAdABpAG8AbgBcAG4AIAAgAD0ATABBAE0AQgBEAEEAKABcACIAXAAiACkAOwBcAG4AXABuAEMAbwBtAG0AbwBuAF8AUwBvAHUAcgBjAGUARABhAHQAYQBfAEQAYQB0AGEAUwBjAG8AcgBlAHMAXwBTAGMAbwBwAGUAMwBfAEQAYQB0AGEAXABuACAAIAAgAD0ATABBAE0AQgBEAEEAKABcAG4AIAAgACAAIABNAEEASwBFAEEAUgBSAEEAWQAoADYALAAgADIALAAgAFwAbgAgACAAIAAgACAAIABMAEEATQBCAEQAQQAoAHIALABjACwAIABcAG4AIAAgACAAIAAgACAAIAAgAEkATgBEAEUAWAAoAHsAXABuACAAIAAgACAAIAAgACAAIAAgACAAXAAiAEQAYQB0AGEAIABzAG8AdQByAGMAZQBcACIALAAgAFwAIgBEAGEAdABhACAAcwBjAG8AcgBlAFwAIgA7AFwAbgAgACAAIAAgACAAIAAgACAAIAAgAFwAIgBJAG4AdABlAHIAbgBhAHQAaQBvAG4AYQBsACAAcwBjAG8AcABlACAAMwAgAGQAYQB0AGEAYgBhAHMAZQBcACIALAAgADEAOwBcAG4AIAAgACAAIAAgACAAIAAgACAAIABcACIAQQB1AHMAdAByAGEAbABpAGEAbgAgAHMAYwBvAHAAZQAgADMAIABkAGEAdABhAGIAYQBzAGUAXAAiACwAIAAyADsAXABuACAAIAAgACAAIAAgACAAIAAgACAAXAAiAFMAdABhAHQAZQAgAG8AcgAgAHIAZQBnAGkAbwBuAGEAbAAgAHMAYwBvAHAAZQAgADMAIABkAGEAdABhAGIAYQBzAGUAXAAiACwAIAAzADsAXABuACAAIAAgACAAIAAgACAAIAAgACAAXAAiAEUAbQBpAHMAcwBpAG8AbgBzACAAaQBuAHQAZQBuAHMAaQB0AHkAIABjAGEAbABjAHUAbABhAHQAZQBkACAAZgByAG8AbQAgAGEAcABwAHIAbwB2AGUAZAAgAG0AZQB0AGgAbwBkAFwAIgAsACAANAA7AFwAbgAgACAAIAAgACAAIAAgACAAIAAgAFwAIgBWAGUAcgBpAGYAaQBlAGQAIABjAHIAZQBkAGUAbgB0AGkAYQBsACAAbQBhAHQAYwBoAGkAbgBnACAASQBTAE8AMQA0ADAANgA3AFwAIgAsACAANQBcAG4AIAAgACAAIAAgACAAIAAgAH0ALAAgAHIALAAgAGMAKQBcAG4AIAAgACAAIAAgACAAKQBcAG4AIAAgACAAIAApAFwAbgAgACAAKQA7AFwAbgBcAG4AXABuAC8AKgAgAFwAbgAtAC0ALQAtAC0ALQAtAC0ALQAtAC0ALQAtAC0ALQAtAC0ALQAtAC0ALQAtAC0ALQAtAC0ALQAtAC0ALQAtAC0ALQAtAC0ALQAtAC0AXABuAEMAbwBtAG0AbwBuAF8AUwBvAHUAcgBjAGUARABhAHQAYQBfAEYAcgBhAGMATABFAEEAQwBIAFwAbgA1AC4ANQAuADIALgAzACAAQwBvAG4AcwB0AGEAbgB0ACAAUABhAHIAYQBtAGUAdABlAHIAcwBcAG4ARgByAGEAYwB0AGkAbwBuACAAbwBmACAATgAgAHQAaABhAHQAIABpAHMAIABhAHYAYQBpAGwAYQBiAGwAZQAgAGYAbwByACAAbABlAGEAYwBoAGkAbgBnACAAYQBuAGQAIAByAHUAbgBvAGYAZgBcAG4ALQAtAC0ALQAtAC0ALQAtAC0ALQAtAC0ALQAtAC0ALQAtAC0ALQAtAC0ALQAtAC0ALQAtAC0ALQAtAC0ALQAtAC0ALQAtAC0ALQAtAFwAbgAqAC8AXABuAFwAbgBDAG8AbQBtAG8AbgBfAFMAbwB1AHIAYwBlAEQAYQB0AGEAXwBGAHIAYQBjAEwARQBBAEMASABfAFQAaQB0AGwAZQBcAG4AIAAgAD0ATABBAE0AQgBEAEEAKABcACIARgByAGEAYwB0AGkAbwBuACAAbwBmACAATgAgAHQAaABhAHQAIABpAHMAIABhAHYAYQBpAGwAYQBiAGwAZQAgAGYAbwByACAAbABlAGEAYwBoAGkAbgBnACAAYQBuAGQAIAByAHUAbgBvAGYAZgBcACIAKQA7AFwAbgBcAG4AQwBvAG0AbQBvAG4AXwBTAG8AdQByAGMAZQBEAGEAdABhAF8ARgByAGEAYwBMAEUAQQBDAEgAXwBVAG4AaQB0AFwAbgAgACAAPQBMAEEATQBCAEQAQQAoAFwAIgAoAEQAaQBtAGUAbgBzAGkAbwBuAGwAZQBzAHMAXAAiACkAOwBcAG4AXABuAEMAbwBtAG0AbwBuAF8AUwBvAHUAcgBjAGUARABhAHQAYQBfAEYAcgBhAGMATABFAEEAQwBIAF8AUwBvAHUAcgBjAGUAXABuACAAIAA9AEwAQQBNAEIARABBACgAXAAiAFYARQBFAFIARwAgADIAMAAyADYAOgA1AC4ANQAuADIALgAzACAAQwBvAG4AcwB0AGEAbgB0ACAAUABhAHIAYQBtAGUAdABlAHIAcwBcACIAKQA7AFwAbgBcAG4AQwBvAG0AbQBvAG4AXwBTAG8AdQByAGMAZQBEAGEAdABhAF8ARgByAGEAYwBMAEUAQQBDAEgAXwBOAEkAUgBSAGUAZgBlAHIAZQBuAGMAZQBcAG4AIAAgAD0ATABBAE0AQgBEAEEAKABcACIATgBhAHQAaQBvAG4AYQBsACAASQBuAHYAZQBuAHQAbwByAHkAIABSAGUAcABvAHIAdAAgAFYAbwBsAHUAbQBlACAAMQA6ACAATABlAGEAYwBoAGkAbgBnACAAYQBuAGQAIAByAHUAbgBvAGYAZgAgACgAMwAuAEQALgBiAC4AMgApAFwAIgApADsAXABuAFwAbgBDAG8AbQBtAG8AbgBfAFMAbwB1AHIAYwBlAEQAYQB0AGEAXwBGAHIAYQBjAEwARQBBAEMASABfAEQAYQB0AGEAXABuACAAIAA9AEwAQQBNAEIARABBACgAXABuACAAIAAgACAATQBBAEsARQBBAFIAUgBBAFkAKAAxACwAIAAyACwAIABcAG4AIAAgACAAIAAgACAATABBAE0AQgBEAEEAKAByACwAYwAsACAAXABuACAAIAAgACAAIAAgACAAIABJAE4ARABFAFgAKAB7AFwAbgAgACAAIAAgACAAIAAgACAAIAAgAFwAIgBGAHIAYQBjAEwARQBBAEMASABcACIALAAwAC4AMgA0AFwAbgAgACAAIAAgACAAIAAgACAAfQAsACAAcgAsACAAYwApAFwAbgAgACAAIAAgACAAIAApAFwAbgAgACAAIAAgACkAXABuACAAIAApADsAXABuAFwAbgAgACAAQwBvAG0AbQBvAG4AXwBTAG8AdQByAGMAZQBEAGEAdABhAF8ARgByAGEAYwBMAEUAQQBDAEgAXwBWAGEAcgBpAGEAdABpAG8AbgBcAG4AIAAgAD0ATABBAE0AQgBEAEEAKAAoAFwAIgBcACIAKQApADsAXABuAFwAbgBcAG4AXABuAC8AKgAgAFwAbgAtAC0ALQAtAC0ALQAtAC0ALQAtAC0ALQAtAC0ALQAtAC0ALQAtAC0ALQAtAC0ALQAtAC0ALQAtAC0ALQAtAC0ALQAtAC0ALQAtAC0AXABuAEMAbwBtAG0AbwBuAF8AUwBvAHUAcgBjAGUARABhAHQAYQBfAEUARgBsAGUAYQBjAGgAXABuADUALgA1AC4AMgAuADMAIABDAG8AbgBzAHQAYQBuAHQAIABQAGEAcgBhAG0AZQB0AGUAcgBzAFwAbgBFAG0AaQBzAHMAaQBvAG4AIABmAGEAYwB0AG8AcgAgAGYAbwByACAAbgBpAHQAcgBvAGcAZQBuACAAbABlAGEAYwBoAGkAbgBnACAAYQBuAGQAIAByAHUAbgBvAGYAZgBcAG4ALQAtAC0ALQAtAC0ALQAtAC0ALQAtAC0ALQAtAC0ALQAtAC0ALQAtAC0ALQAtAC0ALQAtAC0ALQAtAC0ALQAtAC0ALQAtAC0ALQAtAFwAbgAqAC8AXABuAFwAbgBDAG8AbQBtAG8AbgBfAFMAbwB1AHIAYwBlAEQAYQB0AGEAXwBFAEYAbABlAGEAYwBoAF8AVABpAHQAbABlAFwAbgAgACAAPQBMAEEATQBCAEQAQQAoAFwAIgBFAG0AaQBzAHMAaQBvAG4AIABmAGEAYwB0AG8AcgAgAGYAbwByACAAbgBpAHQAcgBvAGcAZQBuACAAbABlAGEAYwBoAGkAbgBnACAAYQBuAGQAIAByAHUAbgBvAGYAZgBcACIAKQA7AFwAbgBcAG4AQwBvAG0AbQBvAG4AXwBTAG8AdQByAGMAZQBEAGEAdABhAF8ARQBGAGwAZQBhAGMAaABfAFUAbgBpAHQAXABuACAAIAA9AEwAQQBNAEIARABBACgAXAAiACgAawBnACAATgAyAE8ALQBOACAALwAgAGsAZwAgAE4AXAAiACkAOwBcAG4AXABuAEMAbwBtAG0AbwBuAF8AUwBvAHUAcgBjAGUARABhAHQAYQBfAEUARgBsAGUAYQBjAGgAXwBTAG8AdQByAGMAZQBcAG4AIAAgAD0ATABBAE0AQgBEAEEAKABcACIAVgBFAEUAUgBHACAAMgAwADIANgA6ADUALgA1AC4AMgAuADMAIABDAG8AbgBzAHQAYQBuAHQAIABQAGEAcgBhAG0AZQB0AGUAcgBzAFwAIgApADsAXABuAFwAbgBDAG8AbQBtAG8AbgBfAFMAbwB1AHIAYwBlAEQAYQB0AGEAXwBFAEYAbABlAGEAYwBoAF8ATgBJAFIAUgBlAGYAZQByAGUAbgBjAGUAXABuACAAIAA9AEwAQQBNAEIARABBACgAXAAiAE4AYQB0AGkAbwBuAGEAbAAgAEkAbgB2AGUAbgB0AG8AcgB5ACAAUgBlAHAAbwByAHQAIABWAG8AbAB1AG0AZQAgADEAOgAgAEUAcQB1AGEAdABpAG8AbgAgADMALgBEAC4AQgBfADEAMABcACIAKQA7AFwAbgBcAG4AQwBvAG0AbQBvAG4AXwBTAG8AdQByAGMAZQBEAGEAdABhAF8ARQBGAGwAZQBhAGMAaABfAEQAYQB0AGEAXABuACAAIAA9AEwAQQBNAEIARABBACgAXABuACAAIAAgACAATQBBAEsARQBBAFIAUgBBAFkAKAAxACwAIAAyACwAIABcAG4AIAAgACAAIAAgACAATABBAE0AQgBEAEEAKAByACwAYwAsACAAXABuACAAIAAgACAAIAAgACAAIABJAE4ARABFAFgAKAB7AFwAbgAgACAAIAAgACAAIAAgACAAIAAgAFwAIgBFAEYAbABlAGEAYwBoAFwAIgAsADAALgAwADEAMQBcAG4AIAAgACAAIAAgACAAIAAgAH0ALAAgAHIALAAgAGMAKQBcAG4AIAAgACAAIAAgACAAKQBcAG4AIAAgACAAIAApAFwAbgAgACAAKQA7AFwAbgBcAG4AIAAgAEMAbwBtAG0AbwBuAF8AUwBvAHUAcgBjAGUARABhAHQAYQBfAEUARgBsAGUAYQBjAGgAXwBWAGEAcgBpAGEAdABpAG8AbgBcAG4AIAAgAD0ATABBAE0AQgBEAEEAKAAoAFwAIgBcACIAKQApADsAXABuAFwAbgBcAG4ALwAqACAAXABuAC0ALQAtAC0ALQAtAC0ALQAtAC0ALQAtAC0ALQAtAC0ALQAtAC0ALQAtAC0ALQAtAC0ALQAtAC0ALQAtAC0ALQAtAC0ALQAtAC0ALQBcAG4AQwBvAG0AbQBvAG4AXwBTAG8AdQByAGMAZQBEAGEAdABhAF8ARQBGAE4AMgBPAFwAbgBUAGEAYgBsAGUAIABBAC4AMgAuADIALgAxAFwAbgBOAGkAdAByAG8AdQBzACAAbwB4AGkAZABlACAAZQBtAGkAcwBzAGkAbwBuACAAZgBhAGMAdABvAHIAcwAgAGYAbwByACAAaQBuAG8AcgBnAGEAbgBpAGMAIABmAGUAcgB0AGkAbABpAHMAZQByACAAYQBwAHAAbABpAGMAYQB0AGkAbwBuACAAKABrAGcAIABOADIATwAtAE4ALwBrAGcAIABOACkAIAAoAEUARgBOADIATwApAFwAbgAtAC0ALQAtAC0ALQAtAC0ALQAtAC0ALQAtAC0ALQAtAC0ALQAtAC0ALQAtAC0ALQAtAC0ALQAtAC0ALQAtAC0ALQAtAC0ALQAtAC0AXABuACoALwBcAG4AXABuAEMAbwBtAG0AbwBuAF8AUwBvAHUAcgBjAGUARABhAHQAYQBfAEUARgBOADIATwBfAFQAaQB0AGwAZQBcAG4AIAAgAD0ATABBAE0AQgBEAEEAKABcACIATgBpAHQAcgBvAHUAcwAgAG8AeABpAGQAZQAgAGUAbQBpAHMAcwBpAG8AbgAgAGYAYQBjAHQAbwByAHMAIABmAG8AcgAgAGkAbgBvAHIAZwBhAG4AaQBjACAAZgBlAHIAdABpAGwAaQBzAGUAcgAgAGEAcABwAGwAaQBjAGEAdABpAG8AbgBcACIAKQA7AFwAbgBcAG4AQwBvAG0AbQBvAG4AXwBTAG8AdQByAGMAZQBEAGEAdABhAF8ARQBGAE4AMgBPAF8AVQBuAGkAdABcAG4AIAAgAD0ATABBAE0AQgBEAEEAKABcACIAKABrAGcAIABOADIATwAtAE4AIAAvACAAawBnACAATgBcACIAKQA7AFwAbgBcAG4AQwBvAG0AbQBvAG4AXwBTAG8AdQByAGMAZQBEAGEAdABhAF8ARQBGAE4AMgBPAF8AUwBvAHUAcgBjAGUAXABuACAAIAA9AEwAQQBNAEIARABBACgAXAAiAFYARQBFAFIARwAgADIAMAAyADYAOgAgAFQAYQBiAGwAZQAgAEEALgAyAC4AMgAuADEAXAAiACkAOwBcAG4AXABuAEMAbwBtAG0AbwBuAF8AUwBvAHUAcgBjAGUARABhAHQAYQBfAEUARgBOADIATwBfAE4ASQBSAFIAZQBmAGUAcgBlAG4AYwBlAFwAbgAgACAAPQBMAEEATQBCAEQAQQAoAFwAIgBcACIAKQA7AFwAbgBcAG4AQwBvAG0AbQBvAG4AXwBTAG8AdQByAGMAZQBEAGEAdABhAF8ARQBGAE4AMgBPAF8ARABhAHQAYQBcAG4AIAAgAD0ATABBAE0AQgBEAEEAKABcAG4AIAAgACAAIABNAEEASwBFAEEAUgBSAEEAWQAoADEANAAsACAANQAsACAAXABuACAAIAAgACAAIAAgAEwAQQBNAEIARABBACgAcgAsAGMALAAgAFwAbgAgACAAIAAgACAAIAAgACAASQBOAEQARQBYACgAewBcAG4AIAAgACAAIAAgACAAIAAgACAAIABcACIAUAByAG8AZAB1AGMAdABpAG8AbgAgAHMAeQBzAHQAZQBtACAAagBcACIALABcACIARQBGAE4AMgBPAFwAIgAsACAAXAAiAFAAcgBvAGQAdQBjAHQAaQBvAG4AIABzAHkAcwB0AGUAbQAgAG8AbgBsAHkAXAAiACwAIABcACIASQByAHIAaQBnAGEAdABpAG8AbgAgAG0AZQB0AGgAbwBkAFwAIgAsACAAXAAiAFIAYQBpAG4AZgBhAGwAbAAgAHoAbwBuAGUAXAAiADsAXABuACAAIAAgACAAIAAgACAAIAAgACAAXAAiAEkAcgByAGkAZwBhAHQAZQBkACAAcABhAHMAdAB1AHIAZQBcACIALAAwAC4AMAAwADUAOQAsACAAXAAiAFAAYQBzAHQAdQByAGUAXAAiACwAIABcACIAQQBuAHkAXAAiACwAIABcACIAQQBuAHkAXAAiADsAXABuACAAIAAgACAAIAAgACAAIAAgACAAXAAiAEkAcgByAGkAZwBhAHQAZQBkACAAYwByAG8AcABcACIALAAwAC4AMAAwADcALAAgAFwAIgBDAHIAbwBwAFwAIgAsACAAXAAiAEEAbgB5AFwAIgAsACAAXAAiAEEAbgB5AFwAIgA7AFwAbgAgACAAIAAgACAAIAAgACAAIAAgAFwAIgBOAG8AbgAtAGkAcgByAGkAZwBhAHQAZQBkACAAcABhAHMAdAB1AHIAZQBcACIALAAwAC4AMAAwADEAOAAsACAAXAAiAFAAYQBzAHQAdQByAGUAXAAiACwAIABcACIATgBvAHQAIABpAHIAcgBpAGcAYQB0AGUAZABcACIALAAgAFwAIgBMAG8AdwAgAHIAYQBpAG4AZgBhAGwAbABcACIAOwBcAG4AIAAgACAAIAAgACAAIAAgACAAIABcACIATgBvAG4ALQBpAHIAcgBpAGcAYQB0AGUAZAAgAHAAYQBzAHQAdQByAGUAXAAiACwAMAAuADAAMAAxADgALAAgAFwAIgBQAGEAcwB0AHUAcgBlAFwAIgAsACAAXAAiAE4AbwB0ACAAaQByAHIAaQBnAGEAdABlAGQAXAAiACwAIABcACIASABpAGcAaAAgAHIAYQBpAG4AZgBhAGwAbABcACIAOwBcAG4AIAAgACAAIAAgACAAIAAgACAAIABcACIATgBvAG4ALQBpAHIAcgBpAGcAYQB0AGUAZAAgAGMAcgBvAHAAIAAoAGwAbwB3ACAAcgBhAGkAbgBmAGEAbABsACkAXAAiACwAMAAuADAAMAAyADkALAAgAFwAIgBDAHIAbwBwAFwAIgAsACAAXAAiAE4AbwB0ACAAaQByAHIAaQBnAGEAdABlAGQAXAAiACwAIABcACIATABvAHcAIAByAGEAaQBuAGYAYQBsAGwAXAAiADsAXABuACAAIAAgACAAIAAgACAAIAAgACAAXAAiAE4AbwBuAC0AaQByAHIAaQBnAGEAdABlAGQAIABjAHIAbwBwACAAKABoAGkAZwBoACAAcgBhAGkAbgBmAGEAbABsACkAXAAiACwAMAAuADAAMAA4ACwAIABcACIAQwByAG8AcABcACIALAAgAFwAIgBOAG8AdAAgAGkAcgByAGkAZwBhAHQAZQBkAFwAIgAsACAAXAAiAEgAaQBnAGgAIAByAGEAaQBuAGYAYQBsAGwAXAAiADsAXABuACAAIAAgACAAIAAgACAAIAAgACAAXAAiAFMAdQBnAGEAcgBcACIALAAwAC4AMAAxADkAOQAsACAAXAAiAFMAdQBnAGEAcgBcACIALAAgAFwAIgBBAG4AeQBcACIALAAgAFwAIgBBAG4AeQBcACIAOwBcAG4AIAAgACAAIAAgACAAIAAgACAAIABcACIAQwBvAHQAdABvAG4AXAAiACwAMAAuADAAMAA1ADMALAAgAFwAIgBDAG8AdAB0AG8AbgBcACIALAAgAFwAIgBBAG4AeQBcACIALAAgAFwAIgBBAG4AeQBcACIAOwBcAG4AIAAgACAAIAAgACAAIAAgACAAIABcACIASABvAHIAdABpAGMAdQBsAHQAdQByAGEAbAAgAGMAcgBvAHAAcwBcACIALAAwAC4AMAAwADYANAAsACAAXAAiAEgAbwByAHQAaQBjAHUAbAB0AHUAcgBhAGwAIABjAHIAbwBwAHMAXAAiACwAIABcACIAQQBuAHkAXAAiACwAIABcACIAQQBuAHkAXAAiADsAXABuACAAIAAgACAAIAAgACAAIAAgACAAXAAiAFIAaQBjAGUAIAAoAGMAbwBuAHQAaQBuAHUAbwB1AHMAIABmAGwAbwBvAGQAaQBuAGcAKQBcACIALAAwAC4AMAAwADMALAAgAFwAIgBSAGkAYwBlAFwAIgAsACAAXAAiAEMAbwBuAHQAaQBuAHUAbwB1AHMAIABmAGwAbwBvAGQAaQBuAGcAXAAiACwAIABcACIAQQBuAHkAXAAiADsAXABuACAAIAAgACAAIAAgACAAIAAgACAAXAAiAFIAaQBjAGUAIAAoAHMAaQBuAGcAbABlACAAYQBuAGQAIABtAHUAbAB0AGkAcABsAGUAIABkAHIAYQBpAG4AYQBnAGUALAAgAG8AcgAgAGEAbAB0AGUAcgBuAGEAdABlACAAdwBlAHQAdABpAG4AZwAgAGEAbgBkACAAZAByAHkAaQBuAGcAKQBcACIALAAwAC4AMAAwADUALAAgAFwAIgBSAGkAYwBlAFwAIgAsACAAXAAiAFMAaQBuAGcAbABlACAAYQBuAGQAIABtAHUAbAB0AGkAcABsAGUAIABkAHIAYQBpAG4AYQBnAGUALAAgAG8AcgAgAGEAbAB0AGUAcgBuAGEAdABlACAAdwBlAHQAdABpAG4AZwAgAGEAbgBkACAAZAByAHkAaQBuAGcAXAAiACwAIABcACIAQQBuAHkAXAAiADsAXABuACAAIAAgACAAIAAgACAAIAAgACAAXAAiAEEAcQB1AGEAYwB1AGwAdAB1AHIAZQBcACIALAAwAC4AMAAwADIANgAsACAAXAAiAEEAcQB1AGEAYwB1AGwAdAB1AHIAZQBcACIALAAgAFwAIgBBAG4AeQBcACIALAAgAFwAIgBBAG4AeQBcACIAOwBcAG4AIAAgACAAIAAgACAAIAAgACAAIABcACIARgBvAHIAZQBzAHQAcgB5AFwAIgAsADAALgAwADAAMQA4ACwAIABcACIARgBvAHIAZQBzAHQAcgB5AFwAIgAsACAAXAAiAEEAbgB5AFwAIgAsACAAXAAiAEEAbgB5AFwAIgBcAG4AIAAgACAAIAAgACAAIAAgAH0ALAAgAHIALAAgAGMAKQBcAG4AIAAgACAAIAAgACAAKQBcAG4AIAAgACAAIAApAFwAbgAgACAAKQA7AFwAbgBcAG4AIAAgAEMAbwBtAG0AbwBuAF8AUwBvAHUAcgBjAGUARABhAHQAYQBfAEUARgBOADIATwBfAFYAYQByAGkAYQB0AGkAbwBuAFwAbgAgACAAPQBMAEEATQBCAEQAQQAoAFwAbgAgACAAIAAgAE0AQQBLAEUAQQBSAFIAQQBZACgANQAsACAAMQAsACAAXABuACAAIAAgACAAIAAgAEwAQQBNAEIARABBACgAcgAsAGMALAAgAFwAbgAgACAAIAAgACAAIAAgACAASQBOAEQARQBYACgAewBcAG4AIAAgACAAIAAgACAAIAAgACAAIABcACIAVgBBAFIASQBBAFQASQBPAE4AIABPAEYAIABTAE8AVQBSAEMARQAgAEQAQQBUAEEAOgBcACIAOwBcAG4AIAAgACAAIAAgACAAIAAgACAAIABcACIAUgBlAG0AbwB2AGUAZAAgAGQAdQBwAGwAaQBjAGEAdABlACAAXAB1ADAAMAAyADcAQQBxAHUAYQBjAHUAbAB0AHUAcgBlAFwAdQAwADAAMgA3ACAAcgBvAHcALgBcACIAOwBcAG4AIAAgACAAIAAgACAAIAAgACAAIABcACIAUgBlAG0AbwB2AGUAZAAgAGEAcwB0AGUAcgBpAHMAawBzACAAdABvACAAYQBpAGQAIABsAG8AbwBrAHUAcAAuAFwAIgA7AFwAbgAgACAAIAAgACAAIAAgACAAIAAgAFwAIgBBAGQAZABlAGQAIABcAHUAMAAwADIANwBwAHIAbwBkAHUAYwB0AGkAbwBuACAAcwB5AHMAdABlAG0AIABvAG4AbAB5AFwAdQAwADAAMgA3ACwAIABcAHUAMAAwADIANwByAGEAaQBuAGYAYQBsAGwAIAB6AG8AbgBlAFwAdQAwADAAMgA3ACAAYQBuAGQAIABcAHUAMAAwADIANwBpAHIAcgBpAGcAYQB0AGkAbwBuACAAbQBlAHQAaABvAGQAXAB1ADAAMAAyADcAIABjAG8AbAB1AG0AbgBzACAAdABvACAAYQBpAGQAIABsAG8AbwBrAHUAcAAuAFwAIgA7AFwAbgAgACAAIAAgACAAIAAgACAAIAAgAFwAIgBEAHUAcABsAGkAYwBhAHQAZQBkACAAXAB1ADAAMAAyADcAbgBvAG4ALQBpAHIAcgBpAGcAYQB0AGUAZAAgAHAAYQBzAHQAdQByAGUAXAB1ADAAMAAyADcAIAByAG8AdwAgAHcAaQB0AGgAIABzAGEAbQBlACAARQBGACAAZgBvAHIAIABsAG8AdwAgAGEAbgBkACAAaABpAGcAaAAgAHIAYQBpAG4AZgBhAGwAbAAgAHoAbwBuAGUAcwAgAHQAbwAgAGEAaQBkACAAbABvAG8AawB1AHAALgBcAC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EYAcgBhAGMAVwBFAFQASQByAHIAaQBnAGEAdABpAG8AbgBcAG4AVgBFAEUAUgBHACAAMgAwADIANgA6ACAAQwBoAGEAcAB0AGUAcgAgADEALAAgAHMAZQBjAHQAaQBvAG4AIAAxAC4AOAAuADIAIABMAGUAYQBjAGgAaQBuAGcALAAgAGMAbABpAG0AYQB0AGUAIABhAG4AZAAgAHIAYQBpAG4AZgBhAGwAbAAgAHoAbwBuAGUAcwBcAG4ASQBQAEMAQwA6ACAATgAyAE8AIABFAE0ASQBTAFMASQBPAE4AUwAgAEYAUgBPAE0AIABNAEEATgBBAEcARQBEACAAUwBPAEkATABTACwAIABBAE4ARAAgAEMATwAyACAARQBNAEkAUwBTAEkATwBOAFMAIABGAFIATwBNACAATABJAE0ARQAgAEEATgBEACAAVQBSAEUAQQAgAEEAUABQAEwASQBDAEEAVABJAE8ATgBcAG4ALQAtAC0ALQAtAC0ALQAtAC0ALQAtAC0ALQAtAC0ALQAtAC0ALQAtAC0ALQAtAC0ALQAtAC0ALQAtAC0ALQAtAC0ALQAtAC0ALQAtAFwAbgAqAC8AXABuAFwAbgBDAG8AbQBtAG8AbgBfAFMAbwB1AHIAYwBlAEQAYQB0AGEAXwBGAHIAYQBjAFcARQBUAEkAcgByAGkAZwBhAHQAaQBvAG4AXwBUAGkAdABsAGUAXABuACAAIAA9AEwAQQBNAEIARABBACgAXAAiAEYAcgBhAGMAVwBFAFQAIABmAG8AcgAgAGkAcgByAGkAZwBhAHQAaQBvAG4AIAB0AHkAcABlAHMAXAAiACkAOwBcAG4AXABuAEMAbwBtAG0AbwBuAF8AUwBvAHUAcgBjAGUARABhAHQAYQBfAEYAcgBhAGMAVwBFAFQASQByAHIAaQBnAGEAdABpAG8AbgBfAFUAbgBpAHQAXABuACAAIAA9AEwAQQBNAEIARABBACgAXAAiAGQAaQBtAGUAbgBzAGkAbwBuAGwAZQBzAHMAXAAiACkAOwBcAG4AXABuAEMAbwBtAG0AbwBuAF8AUwBvAHUAcgBjAGUARABhAHQAYQBfAEYAcgBhAGMAVwBFAFQASQByAHIAaQBnAGEAdABpAG8AbgBfAFMAbwB1AHIAYwBlAFwAbgAgACAAPQBMAEEATQBCAEQAQQAoAFwAIgBWAEUARQBSAEcAIAAyADAAMgA2ADoAIABDAGgAYQBwAHQAZQByACAAMQAsACAAcwBlAGMAdABpAG8AbgAgADEALgA4AC4AMgAgAEwAZQBhAGMAaABpAG4AZwAsACAAYwBsAGkAbQBhAHQAZQAgAGEAbgBkACAAcgBhAGkAbgBmAGEAbABsACAAegBvAG4AZQBzAFwAIgApADsAXABuAFwAbgBDAG8AbQBtAG8AbgBfAFMAbwB1AHIAYwBlAEQAYQB0AGEAXwBGAHIAYQBjAFcARQBUAEkAcgByAGkAZwBhAHQAaQBvAG4AXwBOAEkAUgBSAGUAZgBlAHIAZQBuAGMAZQBcAG4AIAAgAD0ATABBAE0AQgBEAEEAKABcACIASQBQAEMAQwAgADIAMAAxADkAIABSAGUAZgBpAG4AZQBtAGUAbgB0ACAAVgBvAGwAdQBtAGUAIAA0ADoAIABDAGgAYQBwAHQAZQByACAAMQAxADoAIABOADIATwAgAEUAbQBpAHMAcwBpAG8AbgBzACAAZgByAG8AbQAgAE0AYQBuAGEAZwBlAGQAIABTAG8AaQBsAHMALAAgAGEAbgBkACAAQwBPADIAIABFAG0AaQBzAHMAaQBvAG4AcwAgAGYAcgBvAG0AIABMAGkAbQBlACAAYQBuAGQAIABVAHIAZQBhACAAQQBwAHAAbABpAGMAYQB0AGkAbwBuAFwAIgApADsAXABuAFwAbgBDAG8AbQBtAG8AbgBfAFMAbwB1AHIAYwBlAEQAYQB0AGEAXwBGAHIAYQBjAFcARQBUAEkAcgByAGkAZwBhAHQAaQBvAG4AXwBEAGEAdABhAFwAbgAgACAAPQBMAEEATQBCAEQAQQAoAFwAbgAgACAAIAAgAE0AQQBLAEUAQQBSAFIAQQBZACgANgAsACAAMgAsACAAXABuACAAIAAgACAAIAAgAEwAQQBNAEIARABBACgAcgAsAGMALAAgAFwAbgAgACAAIAAgACAAIAAgACAASQBOAEQARQBYACgAewBcAG4AIAAgACAAIAAgACAAIAAgACAAIABcACIASQByAHIAaQBnAGEAdABpAG8AbgAgAHQAeQBwAGUAIABpAHIAXAAiACwAXAAiAEYAcgBhAGMAVwBFAFQAXAAiADsAXABuACAAIAAgACAAIAAgACAAIAAgACAAXAAiAE4AbwB0ACAAaQByAHIAaQBnAGEAdABlAGQAXAAiACwAIAAwADsAXABuACAAIAAgACAAIAAgACAAIAAgACAAXAAiAEQAcgBpAHAAIABpAHIAcgBpAGcAYQB0AGkAbwBuAFwAIgAsACAAMAA7AFwAbgAgACAAIAAgACAAIAAgACAAIAAgAFwAIgBTAHAAcgBpAG4AawBsAGUAcgAgAGkAcgByAGkAZwBhAHQAaQBvAG4AXAAiACwAIAAxADsAXABuACAAIAAgACAAIAAgACAAIAAgACAAXAAiAFMAdQByAGYAYQBjAGUAIABpAHIAcgBpAGcAYQB0AGkAbwBuAFwAIgAsACAAMQA7AFwAbgAgACAAIAAgACAAIAAgACAAIAAgAFwAIgBPAHQAaABlAHIAIABpAHIAcgBpAGcAYQB0AGkAbwBuAFwAIgAsACAAMQBcAG4AIAAgACAAIAAgACAAIAAgAH0ALAAgAHIALAAgAGMAKQBcAG4AIAAgACAAIAAgACAAKQBcAG4AIAAgACAAIAApAFwAbgAgACAAKQA7AFwAbgBcAG4AIAAgAEMAbwBtAG0AbwBuAF8AUwBvAHUAcgBjAGUARABhAHQAYQBfAEYAcgBhAGMAVwBFAFQASQByAHIAaQBnAGEAdABpAG8AbgBfAFYAYQByAGkAYQB0AGkAbwBuAFwAbgAgACAAPQBMAEEATQBCAEQAQQAoAFwAIgBWAEEAUgBJAEEAVABJAE8ATgAgAEYAUgBPAE0AIABTAE8AVQBSAEMARQAgAEQAQQBUAEEAOgAgAFQAYQBiAGwAZQAgAGMAcgBlAGEAdABlAGQAIABiAGEAcwBlAGQAIABvAG4AIABWAEUARQBSAEcAIAB0AGUAeAB0ACAAXAB1ADAAMAAyADcAQQByAGUAYQBzACAAYQByAGUAIABzAHUAYgBqAGUAYwB0ACAAdABvACAAbABlAGEAYwBoAGkAbgBnACAAKABpAC4AZQAuACwAIABpAG4AIAB0AGgAZQAgAGwAZQBhAGMAaABpAG4AZwAgAHoAbwBuAGUAKQAgAHcAaABlAG4ALgAuAC4AIAB0AGgAZQAgAGwAYQBuAGQAIABpAHMAIABpAHIAcgBpAGcAYQB0AGUAZAAgACgAZQB4AGMAZQBwAHQAIABkAHIAaQBwACAAaQByAHIAaQBnAGEAdABpAG8AbgApAC4AXAB1ADAAMAAyADcAXAAiACkAOwBcAG4AXABuAFwAbgAvACoAIABcAG4ALQAtAC0ALQAtAC0ALQAtAC0ALQAtAC0ALQAtAC0ALQAtAC0ALQAtAC0ALQAtAC0ALQAtAC0ALQAtAC0ALQAtAC0ALQAtAC0ALQAtAFwAbgBDAG8AbQBtAG8AbgBfAFMAbwB1AHIAYwBlAEQAYQB0AGEAXwBFAEYAUABhAHMAdAB1AHIAZQBSAGEAbgBnAGUAQQBuAGQAUABhAGQAZABvAGMAawBcAG4AVABhAGIAbABlACAAQQAuADIALgAyAC4AMgA6ACAARQBtAGkAcwBzAGkAbwBuACAAZgBhAGMAdABvAHIAIABmAG8AcgAgAHUAcgBpAG4AZQAgAGEAbgBkACAAZAB1AG4AZwAgAGQAZQBwAG8AcwBpAHQAZQBkACAAbwBuACAAcABhAHMAdAB1AHIAZQAsACAAcgBhAG4AZwBlACAAbwByACAAcABhAGQAZABvAGMAawAgACgAawBnACAATgAyAE8ALQBOAC8AawBnACAATgApACAAKABFAEYAUABSAFAAKQBcAG4ALQAtAC0ALQAtAC0ALQAtAC0ALQAtAC0ALQAtAC0ALQAtAC0ALQAtAC0ALQAtAC0ALQAtAC0ALQAtAC0ALQAtAC0ALQAtAC0ALQAtAFwAbgAqAC8AXABuAFwAbgBDAG8AbQBtAG8AbgBfAFMAbwB1AHIAYwBlAEQAYQB0AGEAXwBFAEYAUABhAHMAdAB1AHIAZQBSAGEAbgBnAGUAQQBuAGQAUABhAGQAZABvAGMAawBfAFQAaQB0AGwAZQBcAG4AIAAgAD0ATABBAE0AQgBEAEEAKABcACIARQBtAGkAcwBzAGkAbwBuACAAZgBhAGMAdABvAHIAIABmAG8AcgAgAHUAcgBpAG4AZQAgAGEAbgBkACAAZAB1AG4AZwAgAGQAZQBwAG8AcwBpAHQAZQBkACAAbwBuACAAcABhAHMAdAB1AHIAZQAsACAAcgBhAG4AZwBlACAAbwByACAAcABhAGQAZABvAGMAawBcACIAKQA7AFwAbgBcAG4AQwBvAG0AbQBvAG4AXwBTAG8AdQByAGMAZQBEAGEAdABhAF8ARQBGAFAAYQBzAHQAdQByAGUAUgBhAG4AZwBlAEEAbgBkAFAAYQBkAGQAbwBjAGsAXwBVAG4AaQB0AFwAbgAgACAAPQBMAEEATQBCAEQAQQAoAFwAIgBrAGcAIABOADIATwAgAC0AIABOACAALwAgAGsAZwAgAE4AXAAiACkAOwBcAG4AXABuAEMAbwBtAG0AbwBuAF8AUwBvAHUAcgBjAGUARABhAHQAYQBfAEUARgBQAGEAcwB0AHUAcgBlAFIAYQBuAGcAZQBBAG4AZABQAGEAZABkAG8AYwBrAF8AUwBvAHUAcgBjAGUAXABuACAAIAA9AEwAQQBNAEIARABBACgAXAAiAFYARQBFAFIARwAgADIAMAAyADYAOgAgAFQAYQBiAGwAZQAgAEEALgAyAC4AMgAuADIAXAAiACkAOwBcAG4AXABuAEMAbwBtAG0AbwBuAF8AUwBvAHUAcgBjAGUARABhAHQAYQBfAEUARgBQAGEAcwB0AHUAcgBlAFIAYQBuAGcAZQBBAG4AZABQAGEAZABkAG8AYwBrAF8ATgBJAFIAUgBlAGYAZQByAGUAbgBjAGUAXABuACAAIAA9AEwAQQBNAEIARABBACgAXAAiAFwAIgApADsAXABuAFwAbgBDAG8AbQBtAG8AbgBfAFMAbwB1AHIAYwBlAEQAYQB0AGEAXwBFAEYAUABhAHMAdAB1AHIAZQBSAGEAbgBnAGUAQQBuAGQAUABhAGQAZABvAGMAawBfAEQAYQB0AGEAXABuACAAIAA9AEwAQQBNAEIARABBACgAXABuACAAIAAgACAATQBBAEsARQBBAFIAUgBBAFkAKAAzACwAIAAyACwAIABcAG4AIAAgACAAIAAgACAATABBAE0AQgBEAEEAKAByACwAYwAsACAAXABuACAAIAAgACAAIAAgACAAIABJAE4ARABFAFgAKAB7AFwAbgAgACAAIAAgACAAIAAgACAAIAAgAFwAIgBDAGwAaQBtAGEAdABlACAAegBvAG4AZQBcACIALAAgAFwAIgBFAEYAUABSAFAAXAAiADsAXABuACAAIAAgACAAIAAgACAAIAAgACAAXAAiAFcAZQB0ACAAYwBsAGkAbQBhAHQAZQAgAHoAbwBuAGUAXAAiACwAIAAwAC4AMAAwADYAOwBcAG4AIAAgACAAIAAgACAAIAAgACAAIABcACIARAByAHkAIABjAGwAaQBtAGEAdABlACAAegBvAG4AZQBcACIALAAgADAALgAwADAAMgBcAG4AIAAgACAAIAAgACAAIAAgAH0ALAAgAHIALAAgAGMAKQBcAG4AIAAgACAAIAAgACAAKQBcAG4AIAAgACAAIAApAFwAbgAgACAAKQA7AFwAbgBcAG4AIAAgAEMAbwBtAG0AbwBuAF8AUwBvAHUAcgBjAGUARABhAHQAYQBfAEUARgBQAGEAcwB0AHUAcgBlAFIAYQBuAGcAZQBBAG4AZABQAGEAZABkAG8AYwBrAF8AVgBhAHIAaQBhAHQAaQBvAG4AXABuACAAIAA9AEwAQQBNAEIARABBACgAXAAiAFYAQQBSAEkAQQBUAEkATwBOACAARgBSAE8ATQAgAFMATwBVAFIAQwBFACAARABBAFQAQQA6ACAAQwBoAGEAbgBnAGUAZAAgAFwAdQAwADAAMgA3AEQAcgB5ACAAYwBsAGkAbQBhAHQAZQAgAHoAbwBuAGUAcwBcAHUAMAAwADIANwAgAHQAbwAgAHMAaQBuAGcAdQBsAGEAcgAgAFwAdQAwADAAMgA3AEQAcgB5ACAAYwBsAGkAbQBhAHQAZQAgAHoAbwBuAGUAXAB1ADAAMAAyADcAIAB0AG8AIABhAGkAZAAgAGwAbwBvAGsAdQBwAC4AXAAiACkAOwBcAG4AXABuAFwAbgAvACoAIABcAG4ALQAtAC0ALQAtAC0ALQAtAC0ALQAtAC0ALQAtAC0ALQAtAC0ALQAtAC0ALQAtAC0ALQAtAC0ALQAtAC0ALQAtAC0ALQAtAC0ALQAtAFwAbgBDAG8AbQBtAG8AbgBfAFMAbwB1AHIAYwBlAEQAYQB0AGEAXwBNAG8AbgB0AGgAcwBUAG8AUwBlAGEAcwBvAG4AcwBcAG4ALQAtAC0ALQAtAC0ALQAtAC0ALQAtAC0ALQAtAC0ALQAtAC0ALQAtAC0ALQAtAC0ALQAtAC0ALQAtAC0ALQAtAC0ALQAtAC0ALQAtAFwAbgAqAC8AXABuAFwAbgBDAG8AbQBtAG8AbgBfAFMAbwB1AHIAYwBlAEQAYQB0AGEAXwBNAG8AbgB0AGgAcwBUAG8AUwBlAGEAcwBvAG4AcwBfAFQAaQB0AGwAZQBcAG4AIAAgAD0ATABBAE0AQgBEAEEAKABcACIATQBvAG4AdABoAHMAIAB0AG8AIABTAGUAYQBzAG8AbgBzACAATQBhAHAAcABpAG4AZwBcACIAKQA7AFwAbgBcAG4AQwBvAG0AbQBvAG4AXwBTAG8AdQByAGMAZQBEAGEAdABhAF8ATQBvAG4AdABoAHMAVABvAFMAZQBhAHMAbwBuAHMAXwBVAG4AaQB0AFwAbgAgACAAPQBMAEEATQBCAEQAQQAoAFwAIgBcACIAKQA7AFwAbgBcAG4AQwBvAG0AbQBvAG4AXwBTAG8AdQByAGMAZQBEAGEAdABhAF8ATQBvAG4AdABoAHMAVABvAFMAZQBhAHMAbwBuAHMAXwBTAG8AdQByAGMAZQBcAG4AIAAgAD0ATABBAE0AQgBEAEEAKABcACIAXAAiACkAOwBcAG4AXABuAEMAbwBtAG0AbwBuAF8AUwBvAHUAcgBjAGUARABhAHQAYQBfAE0AbwBuAHQAaABzAFQAbwBTAGUAYQBzAG8AbgBzAF8ATgBJAFIAUgBlAGYAZQByAGUAbgBjAGUAXABuACAAIAA9AEwAQQBNAEIARABBACgAXAAiAFwAIgApADsAXABuAFwAbgBDAG8AbQBtAG8AbgBfAFMAbwB1AHIAYwBlAEQAYQB0AGEAXwBNAG8AbgB0AGgAcwBUAG8AUwBlAGEAcwBvAG4AcwBfAEQAYQB0AGEAXABuACAAIAA9AEwAQQBNAEIARABBACgAXABuACAAIAAgACAATQBBAEsARQBBAFIAUgBBAFkAKAAxADMALAAgADIALAAgAFwAbgAgACAAIAAgACAAIABMAEEATQBCAEQAQQAoAHIALABjACwAIABcAG4AIAAgACAAIAAgACAAIAAgAEkATgBEAEUAWAAoAHsAXABuACAAIAAgACAAIAAgACAAIAAgACAAXAAiAE0AbwBuAHQAaABcACIALAAgAFwAIgBTAGUAYQBzAG8AbgBcACIAOwBcAG4AIAAgACAAIAAgACAAIAAgACAAIABcACIASgBhAG4AdQBhAHIAeQBcACIALAAgAFwAIgBTAHUAbQBtAGUAcgBcACIAOwBcAG4AIAAgACAAIAAgACAAIAAgACAAIABcACIARgBlAGIAcgB1AGEAcgB5AFwAIgAsACAAXAAiAFMAdQBtAG0AZQByAFwAIgA7AFwAbgAgACAAIAAgACAAIAAgACAAIAAgAFwAIgBNAGEAcgBjAGgAXAAiACwAIABcACIAQQB1AHQAdQBtAG4AXAAiADsAXABuACAAIAAgACAAIAAgACAAIAAgACAAXAAiAEEAcAByAGkAbABcACIALAAgAFwAIgBBAHUAdAB1AG0AbgBcACIAOwBcAG4AIAAgACAAIAAgACAAIAAgACAAIABcACIATQBhAHkAXAAiACwAIABcACIAQQB1AHQAdQBtAG4AXAAiADsAXABuACAAIAAgACAAIAAgACAAIAAgACAAXAAiAEoAdQBuAGUAXAAiACwAIABcACIAVwBpAG4AdABlAHIAXAAiADsAXABuACAAIAAgACAAIAAgACAAIAAgACAAXAAiAEoAdQBsAHkAXAAiACwAIABcACIAVwBpAG4AdABlAHIAXAAiADsAXABuACAAIAAgACAAIAAgACAAIAAgACAAXAAiAEEAdQBnAHUAcwB0AFwAIgAsACAAXAAiAFcAaQBuAHQAZQByAFwAIgA7AFwAbgAgACAAIAAgACAAIAAgACAAIAAgAFwAIgBTAGUAcAB0AGUAbQBiAGUAcgBcACIALAAgAFwAIgBTAHAAcgBpAG4AZwBcACIAOwBcAG4AIAAgACAAIAAgACAAIAAgACAAIABcACIATwBjAHQAbwBiAGUAcgBcACIALAAgAFwAIgBTAHAAcgBpAG4AZwBcACIAOwBcAG4AIAAgACAAIAAgACAAIAAgACAAIABcACIATgBvAHYAZQBtAGIAZQByAFwAIgAsACAAXAAiAFMAcAByAGkAbgBnAFwAIgA7AFwAbgAgACAAIAAgACAAIAAgACAAIAAgAFwAIgBEAGUAYwBlAG0AYgBlAHIAXAAiACwAIABcACIAUwB1AG0AbQBlAHIAXAAiAFwAbgAgACAAIAAgACAAIAAgACAAfQAsACAAcgAsACAAYwApAFwAbgAgACAAIAAgACAAIAApAFwAbgAgACAAIAAgACkAXABuACAAIAApADsAXABuAFwAbgAgACAAQwBvAG0AbQBvAG4AXwBTAG8AdQByAGMAZQBEAGEAdABhAF8ATQBvAG4AdABoAHMAVABvAFMAZQBhAHMAbwBuAHMAXwBWAGEAcgBpAGEAdABpAG8AbgBcAG4AIAAgAD0ATABBAE0AQgBEAEEAKABcACIAXAAiACkAOwBcAG4AXABuAFwAbgBcAG4ALwAqACAAXABuAC0ALQAtAC0ALQAtAC0ALQAtAC0ALQAtAC0ALQAtAC0ALQAtAC0ALQAtAC0ALQAtAC0ALQAtAC0ALQAtAC0ALQAtAC0ALQAtAC0ALQBcAG4AQwBvAG0AbQBvAG4AXwBTAG8AdQByAGMAZQBEAGEAdABhAF8ATQBDAEYAVABlAG0AcABlAHIAYQB0AHUAcgBlAFoAbwBuAGUAXABuAC0ALQAtAC0ALQAtAC0ALQAtAC0ALQAtAC0ALQAtAC0ALQAtAC0ALQAtAC0ALQAtAC0ALQAtAC0ALQAtAC0ALQAtAC0ALQAtAC0ALQBcAG4AKgAvAFwAbgBcAG4AQwBvAG0AbQBvAG4AXwBTAG8AdQByAGMAZQBEAGEAdABhAF8ATQBDAEYAVABlAG0AcABlAHIAYQB0AHUAcgBlAFoAbwBuAGUAXwBUAGkAdABsAGUAXABuACAAIAA9AEwAQQBNAEIARABBACgAXAAiAE0AYQBuAHUAcgBlACAATQBhAG4AYQBnAGUAbQBlAG4AdAAgABMgIABNAGUAdABoAGEAbgBlACAAYwBvAG4AdgBlAHIAcwBpAG8AbgAgAGYAYQBjAHQAbwByACAAcABlAHIAIAB0AGUAbQBwAGUAcgBhAHQAdQByAGUAIAB6AG8AbgBlACAAKABmAHIAYQBjAHQAaQBvAG4AKQAgACgATQBDAEYAaQBtACkAXAAiACkAOwBcAG4AXABuAEMAbwBtAG0AbwBuAF8AUwBvAHUAcgBjAGUARABhAHQAYQBfAE0AQwBGAFQAZQBtAHAAZQByAGEAdAB1AHIAZQBaAG8AbgBlAF8AVQBuAGkAdABcAG4AIAAgAD0ATABBAE0AQgBEAEEAKABcACIAZgByAGEAYwB0AGkAbwBuAFwAIgApADsAXABuAFwAbgBDAG8AbQBtAG8AbgBfAFMAbwB1AHIAYwBlAEQAYQB0AGEAXwBNAEMARgBUAGUAbQBwAGUAcgBhAHQAdQByAGUAWgBvAG4AZQBfAFMAbwB1AHIAYwBlAFwAbgAgACAAPQBMAEEATQBCAEQAQQAoAFwAIgBWAEUARQBSAEcAIAAyADAAMgA2ADoAIABUAGEAYgBsAGUAIABBAC4AMQAuADgALgAxAFwAIgApADsAXABuAFwAbgBDAG8AbQBtAG8AbgBfAFMAbwB1AHIAYwBlAEQAYQB0AGEAXwBNAEMARgBUAGUAbQBwAGUAcgBhAHQAdQByAGUAWgBvAG4AZQBfAEQAYQB0AGEAXABuACAAIAA9AEwAQQBNAEIARABBACgAXABuACAAIAAgACAATQBBAEsARQBBAFIAUgBBAFkAKAAyADEALAAgADEANgAsACAAXABuACAAIAAgACAAIAAgAEwAQQBNAEIARABBACgAcgAsAGMALAAgAFwAbgAgACAAIAAgACAAIAAgACAASQBOAEQARQBYACgAewBcAG4AIAAgACAAIAAgACAAIAAgACAAIABcACIAVABlAG0AcABlAHIAYQB0AHUAcgBlACAAegBvAG4AZQBcACIALAAgAFwAIgBNAEEAVAAgACgAugBDACkAXAAiACwAIABcACIAVQBuAGMAbwB2AGUAcgBlAGQAIABhAG4AZQByAG8AYgBpAGMAIABsAGEAZwBvAG8AbgBcACIALAAgAFwAIgBDAG8AdgBlAHIAZQBkACAAbABhAGcAbwBvAG4AXAAiACwAIABcACIATABpAHEAdQBpAGQAIABTAGwAdQByAHIAeQAgACgAdwBpAHQAaABvAHUAdAAgAG4AYQB0AHUAcgBhAGwAIABjAHIAdQBzAHQAKQBcACIALAAgAFwAIgBEAGEAaQBsAHkAIABzAHAAcgBlAGEAZAAgACgAYgApAFwAIgAsACAAXAAiAEMAbwBtAHAAbwBzAHQAaQBuAGcAIAAoAHAAYQBzAHMAaQB2AGUAIAB3AGkAbgBkAHIAbwB3ACkAXAAiACwAIABcACIAUwBvAGwAaQBkACAAUwB0AG8AcgBhAGcAZQBcACIALAAgAFwAIgBQAGkAdAAgAFMAdABvAHIAYQBnAGUAIABcAHUAMAAwADMAYwAxACAAbQBvAG4AdABoAFwAIgAsACAAXAAiAEQAZQBlAHAAIABMAGkAdAB0AGUAcgBcACIALAAgAFwAIgBQAG8AdQBsAHQAcgB5ACAATQBhAG4AdQByAGUAIAAoAHcAaQB0AGgALwB3AGkAdABoAG8AdQB0ACAAbABpAHQAdABlAHIAKQBcACIALAAgAFwAIgBcACIALAAgAFwAIgBEAGkAcgBlAGMAdAAgAHAAcgBvAGMAZQBzAHMAaQBuAGcAIABpAG4AdABvACAAcABlAGwAbABlAHQAaQB6AGUAZAAgAGYAZQByAHQAaQBsAGkAcwBlAHIAXAAiACwAIABcACIARABpAHIAZQBjAHQAIABhAHAAcABsAGkAYwBhAHQAaQBvAG4AIAB0AG8AIABzAG8AaQBsAFwAIgAsACAAXAAiAFAAYQBzAHQAdQByAGUALAAgAFIAYQBuAGcAZQAgAGEAbgBkACAAUABhAGQAZABvAGMAawAgACgAYwApACgAZAApAFwAIgAsACAAXAAiAE0AQQBUACAAcgBhAHcAXAAiADsAXABuACAAIAAgACAAIAAgACAAIAAgACAAXAAiAEMAbwBvAGwAXAAiACwAIABcACIAZCIxADAAXAAiACwAIAAwAC4ANgA2ACwAIAAwAC4AMQAsACAAMAAuADEALAAgADAALgAwADAAMQAsACAAMAAuADAAMAA1ACwAIAAwAC4AMAAyACwAIAAwAC4AMAAzACwAIAAwAC4AMAA0ACwAIAAwAC4AMAAxADUALAAgADAALgAwADEANQAsACAAMAAsACAAMAAsACAAMAAuADAAMAA0ADcALAAgADEAMAA7AFwAbgAgACAAIAAgACAAIAAgACAAIAAgAFwAIgBDAG8AbwBsAFwAIgAsACAAMQAxACwAIAAwAC4ANgA4ACwAIAAwAC4AMQAsACAAMAAuADEAMQAsACAAMAAuADAAMAAxACwAIAAwAC4AMAAwADUALAAgADAALgAwADIALAAgADAALgAwADMALAAgADAALgAwADQALAAgADAALgAwADEANQAsACAAMAAuADAAMQA1ACwAIAAwACwAIAAwACwAIAAwAC4AMAAwADQANwAsACAAMQAxADsAXABuACAAIAAgACAAIAAgACAAIAAgACAAXAAiAEMAbwBvAGwAXAAiACwAIAAxADIALAAgADAALgA3ACwAIAAwAC4AMQAsACAAMAAuADEAMwAsACAAMAAuADAAMAAxACwAIAAwAC4AMAAwADUALAAgADAALgAwADIALAAgADAALgAwADMALAAgADAALgAwADQALAAgADAALgAwADEANQAsACAAMAAuADAAMQA1ACwAIAAwACwAIAAwACwAIAAwAC4AMAAwADQANwAsACAAMQAyADsAXABuACAAIAAgACAAIAAgACAAIAAgACAAXAAiAEMAbwBvAGwAXAAiACwAIAAxADMALAAgADAALgA3ADEALAAgADAALgAxACwAIAAwAC4AMQA0ACwAIAAwAC4AMAAwADEALAAgADAALgAwADAANQAsACAAMAAuADAAMgAsACAAMAAuADAAMwAsACAAMAAuADAANAAsACAAMAAuADAAMQA1ACwAIAAwAC4AMAAxADUALAAgADAALAAgADAALAAgADAALgAwADAANAA3ACwAIAAxADMAOwBcAG4AIAAgACAAIAAgACAAIAAgACAAIABcACIAQwBvAG8AbABcACIALAAgADEANAAsACAAMAAuADcAMwAsACAAMAAuADEALAAgADAALgAxADUALAAgADAALgAwADAAMQAsACAAMAAuADAAMAA1ACwAIAAwAC4AMAAyACwAIAAwAC4AMAAzACwAIAAwAC4AMAA0ACwAIAAwAC4AMAAxADUALAAgADAALgAwADEANQAsACAAMAAsACAAMAAsACAAMAAuADAAMAA0ADcALAAgADEANAA7AFwAbgAgACAAIAAgACAAIAAgACAAIAAgAFwAIgBUAGUAbQBwAGUAcgBhAHQAZQBcACIALAAgADEANQAsACAAMAAuADcANAAsACAAMAAuADEALAAgADAALgAxADcALAAgADAALgAwADAANQAsACAAMAAuADAAMQAsACAAMAAuADAAMgAsACAAMAAuADAAMwAsACAAMAAuADAANAAsACAAMAAuADAAMQA1ACwAIAAwAC4AMAAxADUALAAgADAALAAgADAALAAgADAALgAwADAANAA3ACwAIAAxADUAOwBcAG4AIAAgACAAIAAgACAAIAAgACAAIABcACIAVABlAG0AcABlAHIAYQB0AGUAXAAiACwAIAAxADYALAAgADAALgA3ADUALAAgADAALgAxACwAIAAwAC4AMQA4ACwAIAAwAC4AMAAwADUALAAgADAALgAwADEALAAgADAALgAwADIALAAgADAALgAwADMALAAgADAALgAwADQALAAgADAALgAwADEANQAsACAAMAAuADAAMQA1ACwAIAAwACwAIAAwACwAIAAwAC4AMAAwADQANwAsACAAMQA2ADsAXABuACAAIAAgACAAIAAgACAAIAAgACAAXAAiAFQAZQBtAHAAZQByAGEAdABlAFwAIgAsACAAMQA3ACwAIAAwAC4ANwA2ACwAIAAwAC4AMQAsACAAMAAuADIALAAgADAALgAwADAANQAsACAAMAAuADAAMQAsACAAMAAuADAAMgAsACAAMAAuADAAMwAsACAAMAAuADAANAAsACAAMAAuADAAMQA1ACwAIAAwAC4AMAAxADUALAAgADAALAAgADAALAAgADAALgAwADAANAA3ACwAIAAxADcAOwBcAG4AIAAgACAAIAAgACAAIAAgACAAIABcACIAVABlAG0AcABlAHIAYQB0AGUAXAAiACwAIAAxADgALAAgADAALgA3ADcALAAgADAALgAxACwAIAAwAC4AMgAyACwAIAAwAC4AMAAwADUALAAgADAALgAwADEALAAgADAALgAwADIALAAgADAALgAwADMALAAgADAALgAwADQALAAgADAALgAwADEANQAsACAAMAAuADAAMQA1ACwAIAAwACwAIAAwACwAIAAwAC4AMAAwADQANwAsACAAMQA4ADsAXABuACAAIAAgACAAIAAgACAAIAAgACAAXAAiAFQAZQBtAHAAZQByAGEAdABlAFwAIgAsACAAMQA5ACwAIAAwAC4ANwA3ACwAIAAwAC4AMQAsACAAMAAuADIANAAsACAAMAAuADAAMAA1ACwAIAAwAC4AMAAxACwAIAAwAC4AMAAyACwAIAAwAC4AMAAzACwAIAAwAC4AMAA0ACwAIAAwAC4AMAAxADUALAAgADAALgAwADEANQAsACAAMAAsACAAMAAsACAAMAAuADAAMAA0ADcALAAgADEAOQA7AFwAbgAgACAAIAAgACAAIAAgACAAIAAgAFwAIgBUAGUAbQBwAGUAcgBhAHQAZQBcACIALAAgADIAMAAsACAAMAAuADcAOAAsACAAMAAuADEALAAgADAALgAyADYALAAgADAALgAwADAANQAsACAAMAAuADAAMQAsACAAMAAuADAAMgAsACAAMAAuADAAMwAsACAAMAAuADAANAAsACAAMAAuADAAMQA1ACwAIAAwAC4AMAAxADUALAAgADAALAAgADAALAAgADAALgAwADAANAA3ACwAIAAyADAAOwBcAG4AIAAgACAAIAAgACAAIAAgACAAIABcACIAVABlAG0AcABlAHIAYQB0AGUAXAAiACwAIAAyADEALAAgADAALgA3ADgALAAgADAALgAxACwAIAAwAC4AMgA5ACwAIAAwAC4AMAAwADUALAAgADAALgAwADEALAAgADAALgAwADIALAAgADAALgAwADMALAAgADAALgAwADQALAAgADAALgAwADEANQAsACAAMAAuADAAMQA1ACwAIAAwACwAIAAwACwAIAAwAC4AMAAwADQANwAsACAAMgAxADsAXABuACAAIAAgACAAIAAgACAAIAAgACAAXAAiAFQAZQBtAHAAZQByAGEAdABlAFwAIgAsACAAMgAyACwAIAAwAC4ANwA4ACwAIAAwAC4AMQAsACAAMAAuADMAMQAsACAAMAAuADAAMAA1ACwAIAAwAC4AMAAxACwAIAAwAC4AMAAyACwAIAAwAC4AMAAzACwAIAAwAC4AMAA0ACwAIAAwAC4AMAAxADUALAAgADAALgAwADEANQAsACAAMAAsACAAMAAsACAAMAAuADAAMAA0ADcALAAgADIAMgA7AFwAbgAgACAAIAAgACAAIAAgACAAIAAgAFwAIgBUAGUAbQBwAGUAcgBhAHQAZQBcACIALAAgADIAMwAsACAAMAAuADcAOQAsACAAMAAuADEALAAgADAALgAzADQALAAgADAALgAwADAANQAsACAAMAAuADAAMQAsACAAMAAuADAAMgAsACAAMAAuADAAMwAsACAAMAAuADAANAAsACAAMAAuADAAMQA1ACwAIAAwAC4AMAAxADUALAAgADAALAAgADAALAAgADAALgAwADAANAA3ACwAIAAyADMAOwBcAG4AIAAgACAAIAAgACAAIAAgACAAIABcACIAVABlAG0AcABlAHIAYQB0AGUAXAAiACwAIAAyADQALAAgADAALgA3ADkALAAgADAALgAxACwAIAAwAC4AMwA3ACwAIAAwAC4AMAAwADUALAAgADAALgAwADEALAAgADAALgAwADIALAAgADAALgAwADMALAAgADAALgAwADQALAAgADAALgAwADEANQAsACAAMAAuADAAMQA1ACwAIAAwACwAIAAwACwAIAAwAC4AMAAwADQANwAsACAAMgA0ADsAXABuACAAIAAgACAAIAAgACAAIAAgACAAXAAiAFQAZQBtAHAAZQByAGEAdABlAFwAIgAsACAAMgA1ACwAIAAwAC4ANwA5ACwAIAAwAC4AMQAsACAAMAAuADQAMQAsACAAMAAuADAAMAA1ACwAIAAwAC4AMAAxACwAIAAwAC4AMAAyACwAIAAwAC4AMAAzACwAIAAwAC4AMAA0ACwAIAAwAC4AMAAxADUALAAgADAALgAwADEANQAsACAAMAAsACAAMAAsACAAMAAuADAAMAA0ADcALAAgADIANQA7AFwAbgAgACAAIAAgACAAIAAgACAAIAAgAFwAIgBXAGEAcgBtAFwAIgAsACAAMgA2ACwAIAAwAC4ANwA5ACwAIAAwAC4AMQAsACAAMAAuADQANAAsACAAMAAuADAAMQAsACAAMAAuADAAMQA1ACwAIAAwAC4AMAAyACwAIAAwAC4AMAAzACwAIAAwAC4AMAA0ACwAIAAwAC4AMAAxADUALAAgADAALgAwADEANQAsACAAMAAsACAAMAAsACAAMAAuADAAMAA0ADcALAAgADIANgA7AFwAbgAgACAAIAAgACAAIAAgACAAIAAgAFwAIgBXAGEAcgBtAFwAIgAsACAAMgA3ACwAIAAwAC4AOAAsACAAMAAuADEALAAgADAALgA0ADgALAAgADAALgAwADEALAAgADAALgAwADEANQAsACAAMAAuADAAMgAsACAAMAAuADAAMwAsACAAMAAuADAANAAsACAAMAAuADAAMQA1ACwAIAAwAC4AMAAxADUALAAgADAALAAgADAALAAgADAALgAwADAANAA3ACwAIAAyADcAOwBcAG4AIAAgACAAIAAgACAAIAAgACAAIABcACIAVwBhAHIAbQBcACIALAAgAFwAIgBlIjIAOABcACIALAAgADAALgA4ACwAIAAwAC4AMQAsACAAMAAuADUALAAgADAALgAwADEALAAgADAALgAwADEANQAsACAAMAAuADAAMgAsACAAMAAuADAAMwAsACAAMAAuADAANAAsACAAMAAuADAAMQA1ACwAIAAwAC4AMAAxADUALAAgADAALAAgADAALAAgADAALgAwADAANAA3ACwAIAAyADgAOwBcAG4AIAAgACAAIAAgACAAIAAgACAAIABcACIAXAAiACwAIABcACIAXAAiACwAIABcACIAQQBuAGEAZQByAG8AYgBpAGMAIABsAGEAZwBvAG8AbgBcACIALAAgAFwAIgBEAGkAZwBlAHMAdABlAHIAIAAvACAAYwBvAHYAZQByAGUAZAAgAGwAYQBnAG8AbwBuAHMAXAAiACwAIABcACIATABpAHEAdQBpAGQAIABzAHkAcwB0AGUAbQBzAFwAIgAsACAAXAAiAEQAYQBpAGwAeQAgAHMAcAByAGUAYQBkAFwAIgAsACAAXAAiAEMAbwBtAHAAbwBzAHQAaQBuAGcAIAAoAHAAYQBzAHMAaQB2AGUAIAB3AGkAbgBkAHIAbwB3ACkAXAAiACwAIABcACIAUwBvAGwAaQBkACAAcwB0AG8AcgBhAGcAZQBcACIALAAgAFwAIgBQAGkAdAAgAHMAdABvAHIAYQBnAGUAXAAiACwAIABcACIARABlAGUAcAAgAGwAaQB0AHQAZQByAFwAIgAsACAAXAAiAFAAbwB1AGwAdAByAHkAIABtAGEAbgB1AHIAZQAgAHcAaQB0AGgAIABiAGUAZABkAGkAbgBnAFwAIgAsACAAXAAiAFAAbwB1AGwAdAByAHkAIABtAGEAbgB1AHIAZQAgAHcAaQB0AGgAbwB1AHQAIABiAGUAZABkAGkAbgBnAFwAIgAsACAAXAAiAEQAaQByAGUAYwB0ACAAcAByAG8AYwBlAHMAcwBpAG4AZwBcACIALAAgAFwAIgBEAGkAcgBlAGMAdAAgAGEAcABwAGwAaQBjAGEAdABpAG8AbgBcACIALAAgAFwAIgBQAGEAcwB0AHUAcgBlACAAcgBhAG4AZwBlACAAYQBuAGQAIABwAGEAZABkAG8AYwBrAFwAIgAsACAAXAAiAE0AQQBUACAAcgBhAHcAXAAiACAAXABuACAAIAAgACAAIAAgACAAIAB9ACwAIAByACwAIABjACkAXABuACAAIAAgACAAIAAgACkAXABuACAAIAAgACAAKQBcAG4AIAAgACkAOwBcAG4AXABuAEMAbwBtAG0AbwBuAF8AUwBvAHUAcgBjAGUARABhAHQAYQBfAE0AQwBGAFQAZQBtAHAAZQByAGEAdAB1AHIAZQBaAG8AbgBlAF8AVgBhAHIAaQBhAHQAaQBvAG4AXABuACAAIAA9AEwAQQBNAEIARABBACgAXAAiAFYAQQBSAEkAQQBUAEkATwBOACAARgBSAE8ATQAgAFMATwBVAFIAQwBFADoAIABBAGQAZABlAGQAIAByAG8AdwAgAG8AZgAgAE4ASQBSACAATQBNAEEAIABkAGUAZgBpAG4AaQB0AGkAbwBuAHMAIAB0AG8AIABhAGkAZAAgAGwAbwBvAGsAdQBwAC4AIABEAHUAcABsAGkAYwBhAHQAZQBkACAAXAB1ADAAMAAyADcAUABvAHUAbAB0AHIAeQAgAHcAaQB0AGgAIABhAG4AZAAgAHcAaQB0AGgAbwB1AHQAIABsAGkAdAB0AGUAcgBcAHUAMAAwADIANwAgAGMAbwBsAHUAbQBuACAAdwBpAHQAaAAgAHMAZQBwAGEAcgBhAHQAZQAgAE4ASQBSACAAZABlAGYAaQBuAGkAdABpAG8AbgBzACAAdABvACAAYQBpAGQAIABsAG8AbwBrAHUAcAAuACAAQQBkAGQAZQBkACAAXAB1ADAAMAAyADcATQBBAFQAIAByAGEAdwBcAHUAMAAwADIANwAgAGMAbwBsAHUAbQBuACAAdABvACAAYQBsAGwAbwB3ACAAbABvAG8AawB1AHAAIABvAGYAIABuAHUAbQBiAGUAcgBzAC4AXAAiACkAOwBcAG4AXABuAFwAbgBcAG4ALwAqACAAXABuAC0ALQAtAC0ALQAtAC0ALQAtAC0ALQAtAC0ALQAtAC0ALQAtAC0ALQAtAC0ALQAtAC0ALQAtAC0ALQAtAC0ALQAtAC0ALQAtAC0ALQBcAG4AQwBvAG0AbQBvAG4AXwBTAG8AdQByAGMAZQBEAGEAdABhAF8ARQBGAE8AcgBnAGEAbgBpAGMARgBlAHIAdABpAGwAaQBzAGUAcgBBAG4AZABDAHIAbwBwAFIAZQBzAGkAZAB1AGUAcwBcAG4ALQAtAC0ALQAtAC0ALQAtAC0ALQAtAC0ALQAtAC0ALQAtAC0ALQAtAC0ALQAtAC0ALQAtAC0ALQAtAC0ALQAtAC0ALQAtAC0ALQAtAFwAbgAqAC8AXABuAFwAbgBDAG8AbQBtAG8AbgBfAFMAbwB1AHIAYwBlAEQAYQB0AGEAXwBFAEYATwByAGcAYQBuAGkAYwBGAGUAcgB0AGkAbABpAHMAZQByAEEAbgBkAEMAcgBvAHAAUgBlAHMAaQBkAHUAZQBzAF8AVABpAHQAbABlAFwAbgAgACAAPQBMAEEATQBCAEQAQQAoAFwAIgBFAG0AaQBzAHMAaQBvAG4AIABmAGEAYwB0AG8AcgAgAGYAbwByACAAbwByAGcAYQBuAGkAYwAgAGYAZQByAHQAaQBsAGkAcwBlAHIAIABhAG4AZAAgAGMAcgBvAHAAIAByAGUAcwBpAGQAdQBlAHMAIAByAGUAdAB1AHIAbgBlAGQAIAB0AG8AIAB0AGgAZQAgAHMAbwBpAGwAXAAiACkAOwBcAG4AXABuAEMAbwBtAG0AbwBuAF8AUwBvAHUAcgBjAGUARABhAHQAYQBfAEUARgBPAHIAZwBhAG4AaQBjAEYAZQByAHQAaQBsAGkAcwBlAHIAQQBuAGQAQwByAG8AcABSAGUAcwBpAGQAdQBlAHMAXwBWAGEAcgBpAGEAYgBsAGUAXABuACAAIAA9AEwAQQBNAEIARABBACgAXAAiAEUARgBOAGkAIABcAHUAMAAwADIANgAgAEUARgBOADIATwBpAFwAIgApADsAXABuAFwAbgBDAG8AbQBtAG8AbgBfAFMAbwB1AHIAYwBlAEQAYQB0AGEAXwBFAEYATwByAGcAYQBuAGkAYwBGAGUAcgB0AGkAbABpAHMAZQByAEEAbgBkAEMAcgBvAHAAUgBlAHMAaQBkAHUAZQBzAF8AVQBuAGkAdABcAG4AIAAgAD0ATABBAE0AQgBEAEEAKABcACIAawBnACAATgAyAE8AIAAtACAATgAgAC8AIABrAGcAIABOAFwAIgApADsAXABuAFwAbgBDAG8AbQBtAG8AbgBfAFMAbwB1AHIAYwBlAEQAYQB0AGEAXwBFAEYATwByAGcAYQBuAGkAYwBGAGUAcgB0AGkAbABpAHMAZQByAEEAbgBkAEMAcgBvAHAAUgBlAHMAaQBkAHUAZQBzAF8AUwBvAHUAcgBjAGUAXABuACAAIAA9AEwAQQBNAEIARABBACgAXAAiAFYARQBFAFIARwAgADIAMAAyADYAOgAgAFQAYQBiAGwAZQAgAEEALgAyAC4AMQAuADQAXAAiACkAOwBcAG4AXABuAEMAbwBtAG0AbwBuAF8AUwBvAHUAcgBjAGUARABhAHQAYQBfAEUARgBPAHIAZwBhAG4AaQBjAEYAZQByAHQAaQBsAGkAcwBlAHIAQQBuAGQAQwByAG8AcABSAGUAcwBpAGQAdQBlAHMAXwBOAEkAUgBSAGUAZgBlAHIAZQBuAGMAZQBcAG4AIAAgAD0ATABBAE0AQgBEAEEAKABcACIAXAAiACkAOwBcAG4AXABuAEMAbwBtAG0AbwBuAF8AUwBvAHUAcgBjAGUARABhAHQAYQBfAEUARgBPAHIAZwBhAG4AaQBjAEYAZQByAHQAaQBsAGkAcwBlAHIAQQBuAGQAQwByAG8AcABSAGUAcwBpAGQAdQBlAHMAXwBEAGEAdABhAFwAbgAgACAAPQBMAEEATQBCAEQAQQAoAFwAbgAgACAAIAAgAE0AQQBLAEUAQQBSAFIAQQBZACgAMwAsACAAMgAsACAAXABuACAAIAAgACAAIAAgAEwAQQBNAEIARABBACgAcgAsAGMALAAgAFwAbgAgACAAIAAgACAAIAAgACAASQBOAEQARQBYACgAewBcAG4AIAAgACAAIAAgACAAIAAgACAAIABcACIAQwBsAGkAbQBhAHQAZQAgAHoAbwBuAGUAXAAiACwAIABcACIARQBGAE4AaQAgAFwAdQAwADAAMgA2ACAARQBGAE4AMgBPAFwAIgA7AFwAbgAgACAAIAAgACAAIAAgACAAIAAgAFwAIgBXAGUAdAAgAGMAbABpAG0AYQB0AGUAIAB6AG8AbgBlAFwAIgAsACAAMAAuADAAMAA2ADsAXABuACAAIAAgACAAIAAgACAAIAAgACAAXAAiAEQAcgB5ACAAYwBsAGkAbQBhAHQAZQAgAHoAbwBuAGUAXAAiACwAIAAwAC4AMAAwADUAXABuACAAIAAgACAAIAAgACAAIAB9ACwAIAByACwAIABjACkAXABuACAAIAAgACAAIAAgACkAXABuACAAIAAgACAAKQBcAG4AIAAgACkAOwBcAG4AXABuAEMAbwBtAG0AbwBuAF8AUwBvAHUAcgBjAGUARABhAHQAYQBfAEUARgBPAHIAZwBhAG4AaQBjAEYAZQByAHQAaQBsAGkAcwBlAHIAQQBuAGQAQwByAG8AcABSAGUAcwBpAGQAdQBlAHMAXwBWAGEAcgBpAGEAdABpAG8AbgBcAG4AIAAgAD0ATABBAE0AQgBEAEEAKABcACIAXAAiACkAOwBcAG4AXABuAFwAbgBcAG4AXABuAFwAbgBcAG4AXABuAFwAbgBcAG4AXABuAFwAbgBcAG4AXABuAFwAbgBcAG4AXABuACIAfQAsAHsAIgBwAGEAdABoACIAOgAiAC8AcAByAG8AagBlAGMAdABzAC8ATQBNAFMAXwBQAGEAcwB0AHUAcgBlAEIAZQBlAGYAXwBNAGUAdABoAGEAbgBlAF8ARQBxAHUAYQB0AGkAbwBuAHMAIgAsACIAdABlAHgAdAAiADoAIgAvACoAXABuAD0APQA9AD0APQA9AD0APQA9AD0APQA9AD0APQA9AD0APQA9AD0APQA9AD0APQA9AD0APQA9AD0APQA9AD0APQA9AD0APQA9AD0APQA9AD0APQA9AD0APQA9AD0APQA9AD0APQA9AD0APQA9AD0APQA9AD0APQA9AD0APQA9AD0APQA9AD0APQA9AD0APQA9AD0APQA9AD0AXABuADQALgAyADoAIABQAGEAcwB0AHUAcgBlACAAQgBlAGUAZgBcAG4APQA9AD0APQA9AD0APQA9AD0APQA9AD0APQA9AD0APQA9AD0APQA9AD0APQA9AD0APQA9AD0APQA9AD0APQA9AD0APQA9AD0APQA9AD0APQA9AD0APQA9AD0APQA9AD0APQA9AD0APQA9AD0APQA9AD0APQA9AD0APQA9AD0APQA9AD0APQA9AD0APQA9AD0APQA9AD0APQBcAG4ANAAuADIALgAxAC4AMQAgAE0AZQB0AGgAbwBkACAAMQAgAC0AIABNAGEAbgB1AHIAZQAgAE0AZQB0AGgAYQBuAGUAIABCAGUAZQBmACAARwByAGEAegBpAG4AZwBcAG4APQA9AD0APQA9AD0APQA9AD0APQA9AD0APQA9AD0APQA9AD0APQA9AD0APQA9AD0APQA9AD0APQA9AD0APQA9AD0APQA9AD0APQA9AD0APQA9AD0APQA9AD0APQA9AD0APQA9AD0APQA9AD0APQA9AD0APQA9AD0APQA9AD0APQA9AD0APQA9AD0APQA9AD0APQA9AD0APQBcAG4AKgAvAFwAbgBcAG4ALwAqAFwAbgAtAC0ALQAtAC0ALQAtAC0ALQAtAC0ALQAtAC0ALQAtAC0ALQAtAC0ALQAtAC0ALQAtAC0ALQAtAC0ALQAtAC0ALQAtAC0ALQAtAC0AXABuAFYARQBFAFIARwBfADQAXwAyAF8AMQBfADEAXwBfADEAXwBUAG8AdABhAGwAQQBuAG4AdQBhAGwATQBlAHQAaABhAG4AZQBQAHIAbwBkAHUAYwB0AGkAbwBuAEYAcgBvAG0ATQBhAG4AdQByAGUATQBhAG4AYQBnAGUAbQBlAG4AdABcAG4AVABvAHQAYQBsACAAYQBuAG4AdQBhAGwAIABtAGUAdABoAGEAbgBlACAAcAByAG8AZAB1AGMAdABpAG8AbgAgAGYAcgBvAG0AIABtAGEAbgB1AHIAZQAgAG0AYQBuAGEAZwBlAG0AZQBuAHQAIABmAG8AcgAgAGcAcgBhAHoAaQBuAGcAIABiAGUAZQBmACAAYwBhAHQAdABsAGUAXABuAEUAXwBDAEgANABcAG4AdAAgAEMASAA0AFwAbgBFAF8AewBDAEgANAB9AD0AXABcAHMAdQBtAF8AewBqAH0AXABcAHMAdQBtAF8AewBrAH0AXABcAHMAdQBtAF8AewBsAH0AXABcAHMAdQBtAF8AewBtAH0AKABOAF8AewBqAGsAbAB9AFwAXAB0AGkAbQBlAHMAIABNAF8AewBqAGsAbABtAH0AXABcAHQAaQBtAGUAcwAgAEQAXwBqACkAXABcAHQAaQBtAGUAcwAgADEAMABeAHsALQAzAH0AXABuAE4AXwBqAGsAbAAgAD0AIABuAHUAbQBiAGUAcgAgAG8AZgAgAGIAZQBlAGYAIABjAGEAdAB0AGwAZQAgAGkAbgAgAGUAYQBjAGgAIAB0AGkAbQBlAC0AcABlAHIAaQBvAGQALAAgAGMAbABhAHMAcwAgAGEAbgBkACAAcwB1AGIAYwBsAGEAcwBzACAAKABoAGUAYQBkACkAXABuAE0AXwBqAGsAbABtACAAPQAgAG0AZQB0AGgAYQBuAGUAIABwAHIAbwBkAHUAYwB0AGkAbwBuACAAZgByAG8AbQAgAG0AYQBuAHUAcgBlACAAaQBuACAAZQBhAGMAaAAgAHQAaQBtAGUALQBwAGUAcgBpAG8AZAAsACAAYwBsAGEAcwBzACwAIABzAHUAYgBjAGwAYQBzAHMAIABhAG4AZAAgAE0ATQBTACAAKABrAGcALwBoAGUAYQBkAC8AZABhAHkAKQBcAG4ARABfAGoAIAA9ACAAbgB1AG0AYgBlAHIAIABvAGYAIABkAGEAeQBzACAAaQBuACAAZQBhAGMAaAAgAHQAaQBtAGUALQBwAGUAcgBpAG8AZAAgAGYAbwByACAAZQBhAGMAaAAgAGkAbgBwAHUAdAAgAGMAbABhAHMAcwAgACgAZABhAHkAcwApAFwAbgAtAC0ALQAtAC0ALQAtAC0ALQAtAC0ALQAtAC0ALQAtAC0ALQAtAC0ALQAtAC0ALQAtAC0ALQAtAC0ALQAtAC0ALQAtAC0ALQAtAC0AXABuACoALwBcAG4AXABuAFYARQBFAFIARwBfADQAXwAyAF8AMQBfADEAXwBfADEAXwBUAG8AdABhAGwAQQBuAG4AdQBhAGwATQBlAHQAaABhAG4AZQBQAHIAbwBkAHUAYwB0AGkAbwBuAEYAcgBvAG0ATQBhAG4AdQByAGUATQBhAG4AYQBnAGUAbQBlAG4AdABcAG4AIAAgAD0ATABBAE0AQgBEAEEAKABcAG4AIAAgACAAIABOAF8AagBrAGwALAAgAE0AXwBqAGsAbABtACwAIABEAF8AagAsAFwAbgAgACAAIAAgACgATgBfAGoAawBsACAAKgAgAE0AXwBqAGsAbABtACAAKgAgAEQAXwBqACkAIAAqACAAMQAwACAAXgAgAC0AMwBcAG4AIAAgACkAOwBcAG4AXABuAFYARQBFAFIARwBfADQAXwAyAF8AMQBfADEAXwBfADEAXwBUAG8AdABhAGwAQQBuAG4AdQBhAGwATQBlAHQAaABhAG4AZQBQAHIAbwBkAHUAYwB0AGkAbwBuAEYAcgBvAG0ATQBhAG4AdQByAGUATQBhAG4AYQBnAGUAbQBlAG4AdABfAFQAaQB0AGwAZQBcAG4AIAAgAD0ATABBAE0AQgBEAEEAKABcACIAVABvAHQAYQBsACAAYQBuAG4AdQBhAGwAIABtAGUAdABoAGEAbgBlACAAcAByAG8AZAB1AGMAdABpAG8AbgAgAGYAcgBvAG0AIABtAGEAbgB1AHIAZQAgAG0AYQBuAGEAZwBlAG0AZQBuAHQAIABmAG8AcgAgAGcAcgBhAHoAaQBuAGcAIABiAGUAZQBmACAAYwBhAHQAdABsAGUAXAAiACkAOwBcAG4AXABuAFYARQBFAFIARwBfADQAXwAyAF8AMQBfADEAXwBfADEAXwBUAG8AdABhAGwAQQBuAG4AdQBhAGwATQBlAHQAaABhAG4AZQBQAHIAbwBkAHUAYwB0AGkAbwBuAEYAcgBvAG0ATQBhAG4AdQByAGUATQBhAG4AYQBnAGUAbQBlAG4AdABfAFYAYQByAGkAYQBiAGwAZQBcAG4AIAAgAD0ATABBAE0AQgBEAEEAKABcACIARQBfAEMASAA0AFwAIgApADsAXABuAFwAbgBWAEUARQBSAEcAXwA0AF8AMgBfADEAXwAxAF8AXwAxAF8AVABvAHQAYQBsAEEAbgBuAHUAYQBsAE0AZQB0AGgAYQBuAGUAUAByAG8AZAB1AGMAdABpAG8AbgBGAHIAbwBtAE0AYQBuAHUAcgBlAE0AYQBuAGEAZwBlAG0AZQBuAHQAXwBVAG4AaQB0AFwAbgAgACAAPQBMAEEATQBCAEQAQQAoAFwAIgB0ACAAQwBIADQAXAAiACkAOwBcAG4AXABuAFYARQBFAFIARwBfADQAXwAyAF8AMQBfADEAXwBfADEAXwBUAG8AdABhAGwAQQBuAG4AdQBhAGwATQBlAHQAaABhAG4AZQBQAHIAbwBkAHUAYwB0AGkAbwBuAEYAcgBvAG0ATQBhAG4AdQByAGUATQBhAG4AYQBnAGUAbQBlAG4AdABfAFMAbwB1AHIAYwBlAFwAbgAgACAAPQBMAEEATQBCAEQAQQAoAFwAIgBWAEUARQBSAEcAIAAyADAAMgA2ADoAIAA0AC4AMgAuADEALgAxACwAIABFAHEAdQBhAHQAaQBvAG4AIAAoADEAKQBcACIAKQA7AFwAbgBcAG4AVgBFAEUAUgBHAF8ANABfADIAXwAxAF8AMQBfAF8AMQBfAFQAbwB0AGEAbABBAG4AbgB1AGEAbABNAGUAdABoAGEAbgBlAFAAcgBvAGQAdQBjAHQAaQBvAG4ARgByAG8AbQBNAGEAbgB1AHIAZQBNAGEAbgBhAGcAZQBtAGUAbgB0AF8ATgBJAFIAUgBlAGYAZQByAGUAbgBjAGUAXABuACAAIAA9AEwAQQBNAEIARABBACgAXAAiAFwAIgApADsAXABuAFwAbgBWAEUARQBSAEcAXwA0AF8AMgBfADEAXwAxAF8AXwAxAF8AVABvAHQAYQBsAEEAbgBuAHUAYQBsAE0AZQB0AGgAYQBuAGUAUAByAG8AZAB1AGMAdABpAG8AbgBGAHIAbwBtAE0AYQBuAHUAcgBlAE0AYQBuAGEAZwBlAG0AZQBuAHQAXwBMAGEAdABlAHgARQBxAHUAYQB0AGkAbwBuAFwAbgAgACAAPQBMAEEATQBCAEQAQQAoAFwAIgBFAF8AewBDAEgANAB9AD0AXABcAHMAdQBtAF8AewBqAH0AXABcAHMAdQBtAF8AewBrAH0AXABcAHMAdQBtAF8AewBsAH0AXABcAHMAdQBtAF8AewBtAH0AKABOAF8AewBqAGsAbAB9AFwAXAB0AGkAbQBlAHMAIABNAF8AewBqAGsAbABtAH0AXABcAHQAaQBtAGUAcwAgAEQAXwBqACkAXABcAHQAaQBtAGUAcwAgADEAMABeAHsALQAzAH0AXAAiACkAOwBcAG4AXABuAFYARQBFAFIARwBfADQAXwAyAF8AMQBfADEAXwBfADEAXwBUAG8AdABhAGwAQQBuAG4AdQBhAGwATQBlAHQAaABhAG4AZQBQAHIAbwBkAHUAYwB0AGkAbwBuAEYAcgBvAG0ATQBhAG4AdQByAGUATQBhAG4AYQBnAGUAbQBlAG4AdABfAEEAcgBnAHUAbQBlAG4AdABzAFwAbgAgACAAPQBMAEEATQBCAEQAQQAoAFwAbgAgACAAIAAgAE0AQQBLAEUAQQBSAFIAQQBZACgAMwAsACAANAAsAFwAbgAgACAAIAAgACAAIABMAEEATQBCAEQAQQAoAHIALABjACwAXABuACAAIAAgACAAIAAgACAAIABJAE4ARABFAFgAKAB7AFwAbgAgACAAIAAgACAAIAAgACAAIAAgAFwAIgBOAF8AagBrAGwAXAAiACwAIABcACIAbgB1AG0AYgBlAHIAIABvAGYAIABiAGUAZQBmACAAYwBhAHQAdABsAGUAIABpAG4AIABlAGEAYwBoACAAdABpAG0AZQAtAHAAZQByAGkAbwBkACwAIABjAGwAYQBzAHMAIABhAG4AZAAgAHMAdQBiAGMAbABhAHMAcwBcACIALAAgAFwAIgBoAGUAYQBkAFwAIgAsACAAXAAiAEkAbgBwAHUAdABcACIAOwBcAG4AIAAgACAAIAAgACAAIAAgACAAIABcACIATQBfAGoAawBsAG0AXAAiACwAIABcACIAbQBlAHQAaABhAG4AZQAgAHAAcgBvAGQAdQBjAHQAaQBvAG4AIABmAHIAbwBtACAAbQBhAG4AdQByAGUAIABpAG4AIABlAGEAYwBoACAAdABpAG0AZQAtAHAAZQByAGkAbwBkACwAIABjAGwAYQBzAHMALAAgAHMAdQBiAGMAbABhAHMAcwAgAGEAbgBkACAATQBNAFMAXAAiACwAIABcACIAawBnAC8AaABlAGEAZAAvAGQAYQB5AFwAIgAsACAAXAAiAEMAYQBsAGMAdQBsAGEAdABlAGQAIABmAHIAbwBtACAANAAuADIALgAxAC4AMQAgACgAMgApAFwAIgA7AFwAbgAgACAAIAAgACAAIAAgACAAIAAgAFwAIgBEAF8AagBcACIALAAgAFwAIgBuAHUAbQBiAGUAcgAgAG8AZgAgAGQAYQB5AHMAIABpAG4AIABlAGEAYwBoACAAdABpAG0AZQAtAHAAZQByAGkAbwBkACAAZgBvAHIAIABlAGEAYwBoACAAaQBuAHAAdQB0ACAAYwBsAGEAcwBzAFwAIgAsACAAXAAiAGQAYQB5AHMAXAAiACwAIABcACIASQBuAHAAdQB0AFwAIgBcAG4AIAAgACAAIAAgACAAIAAgAH0ALAAgAHIALAAgAGMAKQBcAG4AIAAgACAAIAAgACAAKQBcAG4AIAAgACAAIAApAFwAbgAgACAAKQA7AFwAbgBcAG4ALwAqAFwAbgAtAC0ALQAtAC0ALQAtAC0ALQAtAC0ALQAtAC0ALQAtAC0ALQAtAC0ALQAtAC0ALQAtAC0ALQAtAC0ALQAtAC0ALQAtAC0ALQAtAC0AXABuAFYARQBFAFIARwBfADQAXwAyAF8AMQBfADEAXwBfADIAXwBNAGUAdABoAGEAbgBlAFAAcgBvAGQAdQBjAHQAaQBvAG4ARgByAG8AbQBNAGEAbgB1AHIAZQBcAG4ATQBlAHQAaABhAG4AZQAgAHAAcgBvAGQAdQBjAHQAaQBvAG4AIABmAHIAbwBtACAAdABoAGUAIABtAGEAbgB1AHIAZQAgAG8AZgAgAGcAcgBhAHoAaQBuAGcAIABiAGUAZQBmACAAYwBhAHQAdABsAGUAXABuAE0AXwBqAGsAbABtAFwAbgBrAGcAIABDAEgANAAvAGgAZQBhAGQALwBkAGEAeQBcAG4ATQBfAHsAagBrAGwAbQB9AD0AVgBTAF8AewBqAGsAbAB9AFwAXAB0AGkAbQBlAHMAIABCAF8AbwBcAFwAdABpAG0AZQBzACAATQBNAFMAXwBtAFwAXAB0AGkAbQBlAHMAIABNAEMARgBfAHsAaQBtAH0AXABcAHQAaQBtAGUAcwAgAFwAXAByAGgAbwBcAG4AVgBTAF8AagBrAGwAIAA9ACAAdgBvAGwAYQB0AGkAbABlACAAcwBvAGwAaQBkACAAcAByAG8AZAB1AGMAdABpAG8AbgAgACgAawBnAC8AZABhAHkAKQBcAG4AQgBfAG8AIAA9ACAAZQBtAGkAcwBzAGkAbwBuAHMAIABwAG8AdABlAG4AdABpAGEAbAAgACgAbQAzACAAQwBIADQALwBrAGcAIABWAFMAKQBcAG4ATQBNAFMAXwBtACAAPQAgAGYAcgBhAGMAdABpAG8AbgAgAG8AZgAgAHcAYQBzAHQAZQAgAGkAbgAgAGUAYQBjAGgAIABtAGEAbgB1AHIAZQAgAG0AYQBuAGEAZwBlAG0AZQBuAHQAIABzAHkAcwB0AGUAbQBcAG4ATQBDAEYAXwBpAG0AIAA9ACAAbQBlAHQAaABhAG4AZQAgAGMAbwBuAHYAZQByAHMAaQBvAG4AIABmAGEAYwB0AG8AcgAgAGYAbwByACAAdABlAG0AcABlAHIAYQB0AHUAcgBlACAAegBvAG4AZQAgAGEAbgBkACAATQBNAFMAXABuAHIAaABvACAAPQAgAGQAZQBuAHMAaQB0AHkAIABvAGYAIABtAGUAdABoAGEAbgBlACAAKABrAGcALwBtADMAKQBcAG4ALQAtAC0ALQAtAC0ALQAtAC0ALQAtAC0ALQAtAC0ALQAtAC0ALQAtAC0ALQAtAC0ALQAtAC0ALQAtAC0ALQAtAC0ALQAtAC0ALQAtAFwAbgAqAC8AXABuAFwAbgBWAEUARQBSAEcAXwA0AF8AMgBfADEAXwAxAF8AXwAyAF8ATQBlAHQAaABhAG4AZQBQAHIAbwBkAHUAYwB0AGkAbwBuAEYAcgBvAG0ATQBhAG4AdQByAGUAXABuACAAIAA9AEwAQQBNAEIARABBACgAXABuACAAIAAgACAAVgBTAF8AagBrAGwALAAgAEIAXwBvACwAIABNAE0AUwBfAG0ALAAgAE0AQwBGAF8AaQBtACwAIAByAGgAbwAsAFwAbgAgACAAIAAgAFYAUwBfAGoAawBsACAAKgAgAEIAXwBvACAAKgAgAE0ATQBTAF8AbQAgACoAIABNAEMARgBfAGkAbQAgACoAIAByAGgAbwBcAG4AIAAgACkAOwBcAG4AXABuAFYARQBFAFIARwBfADQAXwAyAF8AMQBfADEAXwBfADIAXwBNAGUAdABoAGEAbgBlAFAAcgBvAGQAdQBjAHQAaQBvAG4ARgByAG8AbQBNAGEAbgB1AHIAZQBfAFQAaQB0AGwAZQBcAG4AIAAgAD0ATABBAE0AQgBEAEEAKABcACIATQBlAHQAaABhAG4AZQAgAHAAcgBvAGQAdQBjAHQAaQBvAG4AIABmAHIAbwBtACAAdABoAGUAIABtAGEAbgB1AHIAZQAgAG8AZgAgAGcAcgBhAHoAaQBuAGcAIABiAGUAZQBmACAAYwBhAHQAdABsAGUAXAAiACkAOwBcAG4AXABuAFYARQBFAFIARwBfADQAXwAyAF8AMQBfADEAXwBfADIAXwBNAGUAdABoAGEAbgBlAFAAcgBvAGQAdQBjAHQAaQBvAG4ARgByAG8AbQBNAGEAbgB1AHIAZQBfAFYAYQByAGkAYQBiAGwAZQBcAG4AIAAgAD0ATABBAE0AQgBEAEEAKABcACIATQBfAGoAawBsAG0AXAAiACkAOwBcAG4AXABuAFYARQBFAFIARwBfADQAXwAyAF8AMQBfADEAXwBfADIAXwBNAGUAdABoAGEAbgBlAFAAcgBvAGQAdQBjAHQAaQBvAG4ARgByAG8AbQBNAGEAbgB1AHIAZQBfAFUAbgBpAHQAXABuACAAIAA9AEwAQQBNAEIARABBACgAXAAiAGsAZwAgAEMASAA0AC8AaABlAGEAZAAvAGQAYQB5AFwAIgApADsAXABuAFwAbgBWAEUARQBSAEcAXwA0AF8AMgBfADEAXwAxAF8AXwAyAF8ATQBlAHQAaABhAG4AZQBQAHIAbwBkAHUAYwB0AGkAbwBuAEYAcgBvAG0ATQBhAG4AdQByAGUAXwBTAG8AdQByAGMAZQBcAG4AIAAgAD0ATABBAE0AQgBEAEEAKABcACIAVgBFAEUAUgBHACAAMgAwADIANgA6ACAANAAuADIALgAxAC4AMQAsACAARQBxAHUAYQB0AGkAbwBuACAAKAAyACkAXAAiACkAOwBcAG4AXABuAFYARQBFAFIARwBfADQAXwAyAF8AMQBfADEAXwBfADIAXwBNAGUAdABoAGEAbgBlAFAAcgBvAGQAdQBjAHQAaQBvAG4ARgByAG8AbQBNAGEAbgB1AHIAZQBfAE4ASQBSAFIAZQBmAGUAcgBlAG4AYwBlAFwAbgAgACAAPQBMAEEATQBCAEQAQQAoAFwAIgBcACIAKQA7AFwAbgBcAG4AVgBFAEUAUgBHAF8ANABfADIAXwAxAF8AMQBfAF8AMgBfAE0AZQB0AGgAYQBuAGUAUAByAG8AZAB1AGMAdABpAG8AbgBGAHIAbwBtAE0AYQBuAHUAcgBlAF8ATABhAHQAZQB4AEUAcQB1AGEAdABpAG8AbgBcAG4AIAAgAD0ATABBAE0AQgBEAEEAKABcACIATQBfAHsAagBrAGwAbQB9AD0AVgBTAF8AewBqAGsAbAB9AFwAXAB0AGkAbQBlAHMAIABCAF8AbwBcAFwAdABpAG0AZQBzACAATQBNAFMAXwBtAFwAXAB0AGkAbQBlAHMAIABNAEMARgBfAHsAaQBtAH0AXABcAHQAaQBtAGUAcwAgAFwAXAByAGgAbwBcACIAKQA7AFwAbgBcAG4AVgBFAEUAUgBHAF8ANABfADIAXwAxAF8AMQBfAF8AMgBfAE0AZQB0AGgAYQBuAGUAUAByAG8AZAB1AGMAdABpAG8AbgBGAHIAbwBtAE0AYQBuAHUAcgBlAF8AQQByAGcAdQBtAGUAbgB0AHMAXABuACAAIAA9AEwAQQBNAEIARABBACgAXABuACAAIAAgACAATQBBAEsARQBBAFIAUgBBAFkAKAA3ACwAIAA0ACwAXABuACAAIAAgACAAIAAgAEwAQQBNAEIARABBACgAcgAsAGMALABcAG4AIAAgACAAIAAgACAAIAAgAEkATgBEAEUAWAAoAHsAXABuACAAIAAgACAAIAAgACAAIAAgACAAXAAiAFYAUwBfAGoAawBsAFwAIgAsACAAXAAiAHYAbwBsAGEAdABpAGwAZQAgAHMAbwBsAGkAZAAgAHAAcgBvAGQAdQBjAHQAaQBvAG4AXAAiACwAIABcACIAawBnAC8AZABhAHkAXAAiACwAIABcACIAQwBhAGwAYwB1AGwAYQB0AGUAZAAgAGYAcgBvAG0AIAA0AC4AMgAuADEALgAxACAAKAAzACkAXAAiADsAXABuACAAIAAgACAAIAAgACAAIAAgACAAXAAiAEIAXwBvAFwAIgAsACAAXAAiAGUAbQBpAHMAcwBpAG8AbgBzACAAcABvAHQAZQBuAHQAaQBhAGwAXAAiACwAIABcACIAbQAzACAAQwBIADQALwBrAGcAIABWAFMAXAAiACwAIABcACIAQwBvAG4AcwB0AGEAbgB0AFwAIgA7AFwAbgAgACAAIAAgACAAIAAgACAAIAAgAFwAIgBNAE0AUwBfAG0AXAAiACwAIABcACIAZgByAGEAYwB0AGkAbwBuACAAbwBmACAAdwBhAHMAdABlACAAaQBuACAAZQBhAGMAaAAgAG0AYQBuAHUAcgBlACAAbQBhAG4AYQBnAGUAbQBlAG4AdAAgAHMAeQBzAHQAZQBtAFwAIgAsACAAXAAiAGYAcgBhAGMAdABpAG8AbgBcACIALAAgAFwAIgBJAG4AcAB1AHQAXAAiADsAXABuACAAIAAgACAAIAAgACAAIAAgACAAXAAiAE0AQwBGAF8AaQBtAFwAIgAsACAAXAAiAG0AZQB0AGgAYQBuAGUAIABjAG8AbgB2AGUAcgBzAGkAbwBuACAAZgBhAGMAdABvAHIAIABmAG8AcgAgAHQAZQBtAHAAZQByAGEAdAB1AHIAZQAgAHoAbwBuAGUAIABhAG4AZAAgAE0ATQBTAFwAIgAsACAAXAAiAGYAcgBhAGMAdABpAG8AbgBcACIALAAgAFwAIgBDAG8AbgBzAHQAYQBuAHQAXAAiADsAXABuACAAIAAgACAAIAAgACAAIAAgACAAXAAiAHIAaABvAFwAIgAsACAAXAAiAGQAZQBuAHMAaQB0AHkAIABvAGYAIABtAGUAdABoAGEAbgBlAFwAIgAsACAAXAAiAGsAZwAvAG0AMwBcACIALAAgAFwAIgBDAG8AbgBzAHQAYQBuAHQAXAAiADsAXABuACAAIAAgACAAIAAgACAAIAAgACAAXAAiAGkAXAAiACwAIABcACIAcwB0AGEAdABlAFwAIgAsACAAXAAiAFwAIgAsACAAXAAiAEkAbgBwAHUAdABcACIAOwBcAG4AIAAgACAAIAAgACAAIAAgACAAIABcACIAaQBcACIALAAgAFwAIgByAGUAZwBpAG8AbgBcACIALAAgAFwAIgBcACIALAAgAFwAIgBJAG4AcAB1AHQAXAAiAFwAbgAgACAAIAAgACAAIAAgACAAfQAsACAAcgAsACAAYwApAFwAbgAgACAAIAAgACAAIAApAFwAbgAgACAAIAAgACkAXABuACAAIAApADsAXABuAFwAbgBcAG4AVgBFAEUAUgBHAF8ANABfADIAXwAxAF8AMQBfAF8AMgBfAE0AZQB0AGgAYQBuAGUAUAByAG8AZAB1AGMAdABpAG8AbgBGAHIAbwBtAE0AYQBuAHUAcgBlAF8AQQByAGcAdQBtAGUAbgB0AHMAXwBNAGUAdABoAG8AZAAyAFwAbgAgACAAPQBMAEEATQBCAEQAQQAoAFwAbgAgACAAIAAgAE0AQQBLAEUAQQBSAFIAQQBZACgANgAsACAANAAsAFwAbgAgACAAIAAgACAAIABMAEEATQBCAEQAQQAoAHIALABjACwAXABuACAAIAAgACAAIAAgACAAIABJAE4ARABFAFgAKAB7AFwAbgAgACAAIAAgACAAIAAgACAAIAAgAFwAIgBWAFMAXwBqAGsAbABcACIALAAgAFwAIgB2AG8AbABhAHQAaQBsAGUAIABzAG8AbABpAGQAIABwAHIAbwBkAHUAYwB0AGkAbwBuAFwAIgAsACAAXAAiAGsAZwAvAGQAYQB5AFwAIgAsACAAXAAiAEMAYQBsAGMAdQBsAGEAdABlAGQAIABmAHIAbwBtACAANAAuADIALgAxAC4AMQAgACgAMwApAFwAIgA7AFwAbgAgACAAIAAgACAAIAAgACAAIAAgAFwAIgBCAF8AbwBcACIALAAgAFwAIgBlAG0AaQBzAHMAaQBvAG4AcwAgAHAAbwB0AGUAbgB0AGkAYQBsAFwAIgAsACAAXAAiAG0AMwAgAEMASAA0AC8AawBnACAAVgBTAFwAIgAsACAAXAAiAEMAbwBuAHMAdABhAG4AdABcACIAOwBcAG4AIAAgACAAIAAgACAAIAAgACAAIABcACIATQBNAFMAXwBtAFwAIgAsACAAXAAiAGYAcgBhAGMAdABpAG8AbgAgAG8AZgAgAHcAYQBzAHQAZQAgAGkAbgAgAGUAYQBjAGgAIABtAGEAbgB1AHIAZQAgAG0AYQBuAGEAZwBlAG0AZQBuAHQAIABzAHkAcwB0AGUAbQBcACIALAAgAFwAIgBmAHIAYQBjAHQAaQBvAG4AXAAiACwAIABcACIASQBuAHAAdQB0AFwAIgA7AFwAbgAgACAAIAAgACAAIAAgACAAIAAgAFwAIgBNAEMARgBfAGkAbQBcACIALAAgAFwAIgBtAGUAdABoAGEAbgBlACAAYwBvAG4AdgBlAHIAcwBpAG8AbgAgAGYAYQBjAHQAbwByACAAZgBvAHIAIAB0AGUAbQBwAGUAcgBhAHQAdQByAGUAIAB6AG8AbgBlACAAYQBuAGQAIABNAE0AUwBcACIALAAgAFwAIgBmAHIAYQBjAHQAaQBvAG4AXAAiACwAIABcACIAQwBvAG4AcwB0AGEAbgB0AFwAIgA7AFwAbgAgACAAIAAgACAAIAAgACAAIAAgAFwAIgByAGgAbwBcACIALAAgAFwAIgBkAGUAbgBzAGkAdAB5ACAAbwBmACAAbQBlAHQAaABhAG4AZQBcACIALAAgAFwAIgBrAGcALwBtADMAXAAiACwAIABcACIAQwBvAG4AcwB0AGEAbgB0AFwAIgA7AFwAbgAgACAAIAAgACAAIAAgACAAIAAgAFwAIgBNAEEAVABcACIALABcACIATQBlAGEAbgAgAGEAbgBuAHUAYQBsACAAdABlAG0AcABlAHIAYQB0AHUAcgBlAFwAIgAsACAAXAAiALAAQwBcACIALAAgAFwAIgBJAG4AcAB1AHQAXAAiAFwAbgAgACAAIAAgACAAIAAgACAAfQAsACAAcgAsACAAYwApAFwAbgAgACAAIAAgACAAIAApAFwAbgAgACAAIAAgACkAXABuACAAIAApADsAXABuAFwAbgBcAG4ALwAqAFwAbgAtAC0ALQAtAC0ALQAtAC0ALQAtAC0ALQAtAC0ALQAtAC0ALQAtAC0ALQAtAC0ALQAtAC0ALQAtAC0ALQAtAC0ALQAtAC0ALQAtAC0AXABuAFYARQBFAFIARwBfADQAXwAyAF8AMQBfADEAXwBfADMAXwBWAG8AbABhAHQAaQBsAGUAUwBvAGwAaQBkAFAAcgBvAGQAdQBjAHQAaQBvAG4ARgByAG8AbQBHAHIAYQB6AGkAbgBnAEIAZQBlAGYAXABuAFYAbwBsAGEAdABpAGwAZQAgAHMAbwBsAGkAZAAgAHAAcgBvAGQAdQBjAHQAaQBvAG4AIABmAHIAbwBtACAAZwByAGEAegBpAG4AZwAgAGIAZQBlAGYAXABuAFYAUwBfAGoAawBsAFwAbgBrAGcALwBoAGUAYQBkAC8AZABhAHkAXABuAFYAUwBfAHsAagBrAGwAfQA9ACgASQBfAHsAagBrAGwAfQBcAFwAdABpAG0AZQBzACAAKAAxAC0ARABNAEQAXwB7AGoAawBsAH0AKQArACgAMAAuADAANABcAFwAdABpAG0AZQBzACAASQBfAHsAagBrAGwAfQApACkAXABcAHQAaQBtAGUAcwAgACgAMQAtAEEAKQBcAG4ASQBfAGoAawBsACAAPQAgAGQAcgB5ACAAbQBhAHQAdABlAHIAIABpAG4AdABhAGsAZQAgAGEAcwAgAGMAYQBsAGMAdQBsAGEAdABlAGQAIABpAG4AIABDAGgAYQBwAHQAZQByACAAMwAgAFMAZQBjAHQAaQBvAG4AIAAzAC4AMgAuADEAIAAoAGsAZwAvAGgAZQBhAGQALwBkAGEAeQApAFwAbgBEAE0ARABfAGoAawBsACAAPQAgAGQAcgB5ACAAbQBhAHQAdABlAHIAIABkAGkAZwBlAHMAdABpAGIAaQBsAGkAdAB5ACAAZQB4AHAAcgBlAHMAcwBlAGQAIABhAHMAIABhACAAZgByAGEAYwB0AGkAbwBuAFwAbgBBACAAPQAgAGEAcwBoACAAYwBvAG4AdABlAG4AdAAgAG8AZgAgAGYAZQBlAGQAIABpAG4AdABhAGsAZQAgAGUAeABwAHIAZQBzAHMAZQBkACAAYQBzACAAYQAgAGYAcgBhAGMAdABpAG8AbgBcAG4ALQAtAC0ALQAtAC0ALQAtAC0ALQAtAC0ALQAtAC0ALQAtAC0ALQAtAC0ALQAtAC0ALQAtAC0ALQAtAC0ALQAtAC0ALQAtAC0ALQAtAFwAbgAqAC8AXABuAFwAbgBWAEUARQBSAEcAXwA0AF8AMgBfADEAXwAxAF8AXwAzAF8AVgBvAGwAYQB0AGkAbABlAFMAbwBsAGkAZABQAHIAbwBkAHUAYwB0AGkAbwBuAEYAcgBvAG0ARwByAGEAegBpAG4AZwBCAGUAZQBmAFwAbgAgACAAPQBMAEEATQBCAEQAQQAoAFwAbgAgACAAIAAgAEkAXwBqAGsAbAAsACAARABNAEQAXwBqAGsAbAAsACAAQQAsAFwAbgAgACAAIAAgACgASQBfAGoAawBsACAAKgAgACgAMQAgAC0AIABEAE0ARABfAGoAawBsACkAIAArACAAKAAwAC4AMAA0ACAAKgAgAEkAXwBqAGsAbAApACkAIAAqACAAKAAxACAALQAgAEEAKQBcAG4AIAAgACkAOwBcAG4AXABuAFYARQBFAFIARwBfADQAXwAyAF8AMQBfADEAXwBfADMAXwBWAG8AbABhAHQAaQBsAGUAUwBvAGwAaQBkAFAAcgBvAGQAdQBjAHQAaQBvAG4ARgByAG8AbQBHAHIAYQB6AGkAbgBnAEIAZQBlAGYAXwBUAGkAdABsAGUAXABuACAAIAA9AEwAQQBNAEIARABBACgAXAAiAFYAbwBsAGEAdABpAGwAZQAgAHMAbwBsAGkAZAAgAHAAcgBvAGQAdQBjAHQAaQBvAG4AIABmAHIAbwBtACAAZwByAGEAegBpAG4AZwAgAGIAZQBlAGYAXAAiACkAOwBcAG4AXABuAFYARQBFAFIARwBfADQAXwAyAF8AMQBfADEAXwBfADMAXwBWAG8AbABhAHQAaQBsAGUAUwBvAGwAaQBkAFAAcgBvAGQAdQBjAHQAaQBvAG4ARgByAG8AbQBHAHIAYQB6AGkAbgBnAEIAZQBlAGYAXwBWAGEAcgBpAGEAYgBsAGUAXABuACAAIAA9AEwAQQBNAEIARABBACgAXAAiAFYAUwBfAGoAawBsAFwAIgApADsAXABuAFwAbgBWAEUARQBSAEcAXwA0AF8AMgBfADEAXwAxAF8AXwAzAF8AVgBvAGwAYQB0AGkAbABlAFMAbwBsAGkAZABQAHIAbwBkAHUAYwB0AGkAbwBuAEYAcgBvAG0ARwByAGEAegBpAG4AZwBCAGUAZQBmAF8AVQBuAGkAdABcAG4AIAAgAD0ATABBAE0AQgBEAEEAKABcACIAawBnAC8AaABlAGEAZAAvAGQAYQB5AFwAIgApADsAXABuAFwAbgBWAEUARQBSAEcAXwA0AF8AMgBfADEAXwAxAF8AXwAzAF8AVgBvAGwAYQB0AGkAbABlAFMAbwBsAGkAZABQAHIAbwBkAHUAYwB0AGkAbwBuAEYAcgBvAG0ARwByAGEAegBpAG4AZwBCAGUAZQBmAF8AUwBvAHUAcgBjAGUAXABuACAAIAA9AEwAQQBNAEIARABBACgAXAAiAFYARQBFAFIARwAgADIAMAAyADYAOgAgADQALgAyAC4AMQAuADEALAAgAEUAcQB1AGEAdABpAG8AbgAgACgAMwApAFwAIgApADsAXABuAFwAbgBWAEUARQBSAEcAXwA0AF8AMgBfADEAXwAxAF8AXwAzAF8AVgBvAGwAYQB0AGkAbABlAFMAbwBsAGkAZABQAHIAbwBkAHUAYwB0AGkAbwBuAEYAcgBvAG0ARwByAGEAegBpAG4AZwBCAGUAZQBmAF8ATgBJAFIAUgBlAGYAZQByAGUAbgBjAGUAXABuACAAIAA9AEwAQQBNAEIARABBACgAXAAiAFwAIgApADsAXABuAFwAbgBWAEUARQBSAEcAXwA0AF8AMgBfADEAXwAxAF8AXwAzAF8AVgBvAGwAYQB0AGkAbABlAFMAbwBsAGkAZABQAHIAbwBkAHUAYwB0AGkAbwBuAEYAcgBvAG0ARwByAGEAegBpAG4AZwBCAGUAZQBmAF8ATABhAHQAZQB4AEUAcQB1AGEAdABpAG8AbgBcAG4AIAAgAD0ATABBAE0AQgBEAEEAKABcACIAVgBTAF8AewBqAGsAbAB9AD0AKABJAF8AewBqAGsAbAB9AFwAXAB0AGkAbQBlAHMAIAAoADEALQBEAE0ARABfAHsAagBrAGwAfQApACsAKAAwAC4AMAA0AFwAXAB0AGkAbQBlAHMAIABJAF8AewBqAGsAbAB9ACkAKQBcAFwAdABpAG0AZQBzACAAKAAxAC0AQQApAFwAIgApADsAXABuAFwAbgBWAEUARQBSAEcAXwA0AF8AMgBfADEAXwAxAF8AXwAzAF8AVgBvAGwAYQB0AGkAbABlAFMAbwBsAGkAZABQAHIAbwBkAHUAYwB0AGkAbwBuAEYAcgBvAG0ARwByAGEAegBpAG4AZwBCAGUAZQBmAF8AQQByAGcAdQBtAGUAbgB0AHMAXABuACAAIAA9AEwAQQBNAEIARABBACgAXABuACAAIAAgACAATQBBAEsARQBBAFIAUgBBAFkAKAAzACwAIAA0ACwAXABuACAAIAAgACAAIAAgAEwAQQBNAEIARABBACgAcgAsAGMALABcAG4AIAAgACAAIAAgACAAIAAgAEkATgBEAEUAWAAoAHsAXABuACAAIAAgACAAIAAgACAAIAAgACAAXAAiAEkAXwBqAGsAbABcACIALAAgAFwAIgBkAHIAeQAgAG0AYQB0AHQAZQByACAAaQBuAHQAYQBrAGUAIABhAHMAIABjAGEAbABjAHUAbABhAHQAZQBkACAAaQBuACAAQwBoAGEAcAB0AGUAcgAgADMAIABTAGUAYwB0AGkAbwBuACAAMwAuADIALgAxAFwAIgAsACAAXAAiAGsAZwAvAGgAZQBhAGQALwBkAGEAeQBcACIALAAgAFwAIgBDAGEAbABjAHUAbABhAHQAZQBkACAAZgByAG8AbQAgADMALgAyAC4AMQAuADEALAAgACgAMwApAFwAIgA7AFwAbgAgACAAIAAgACAAIAAgACAAIAAgAFwAIgBEAE0ARABfAGoAawBsAFwAIgAsACAAXAAiAGQAcgB5ACAAbQBhAHQAdABlAHIAIABkAGkAZwBlAHMAdABpAGIAaQBsAGkAdAB5ACAAZQB4AHAAcgBlAHMAcwBlAGQAIABhAHMAIABhACAAZgByAGEAYwB0AGkAbwBuAFwAIgAsACAAXAAiAGYAcgBhAGMAdABpAG8AbgBcACIALAAgAFwAIgBJAG4AcAB1AHQAXAAiADsAXABuACAAIAAgACAAIAAgACAAIAAgACAAXAAiAEEAXAAiACwAIABcACIAYQBzAGgAIABjAG8AbgB0AGUAbgB0ACAAbwBmACAAZgBlAGUAZAAgAGkAbgB0AGEAawBlACAAZQB4AHAAcgBlAHMAcwBlAGQAIABhAHMAIABhACAAZgByAGEAYwB0AGkAbwBuAFwAIgAsACAAXAAiAGYAcgBhAGMAdABpAG8AbgBcACIALAAgAFwAIgBDAG8AbgBzAHQAYQBuAHQAXAAiAFwAbgAgACAAIAAgACAAIAAgACAAfQAsACAAcgAsACAAYwApAFwAbgAgACAAIAAgACAAIAApAFwAbgAgACAAIAAgACkAXABuACAAIAApADsAXABuACIAfQAsAHsAIgBwAGEAdABoACIAOgAiAC8AcAByAG8AagBlAGMAdABzAC8ATQBNAFMAXwBQAGEAcwB0AHUAcgBlAEIAZQBlAGYAXwBTAG8AaQBsAF8ATgAyAE8ARABpAHIAZQBjAHQAXwBFAHEAdQBhAHQAaQBvAG4AcwAiACwAIgB0AGUAeAB0ACIAOgAiAC8AKgBcAG4APQA9AD0APQA9AD0APQA9AD0APQA9AD0APQA9AD0APQA9AD0APQA9AD0APQA9AD0APQA9AD0APQA9AD0APQA9AD0APQA9AD0APQA9AD0APQA9AD0APQA9AD0APQA9AD0APQA9AD0APQA9AD0APQA9AD0APQA9AD0APQA9AD0APQA9AD0APQA9AD0APQA9AD0APQA9AD0APQBcAG4ANAAuADIAOgAgAFAAYQBzAHQAdQByAGUAIABCAGUAZQBmAFwAbgA9AD0APQA9AD0APQA9AD0APQA9AD0APQA9AD0APQA9AD0APQA9AD0APQA9AD0APQA9AD0APQA9AD0APQA9AD0APQA9AD0APQA9AD0APQA9AD0APQA9AD0APQA9AD0APQA9AD0APQA9AD0APQA9AD0APQA9AD0APQA9AD0APQA9AD0APQA9AD0APQA9AD0APQA9AD0APQA9AFwAbgA0AC4AMgAuADEALgAzACAATQBlAHQAaABvAGQAIAAxACAALQAgAFMAbwBpAGwAIABEAGkAcgBlAGMAdAAgAE4AMgBPACAAQgBlAGUAZgAgAEcAcgBhAHoAaQBuAGcAXABuAD0APQA9AD0APQA9AD0APQA9AD0APQA9AD0APQA9AD0APQA9AD0APQA9AD0APQA9AD0APQA9AD0APQA9AD0APQA9AD0APQA9AD0APQA9AD0APQA9AD0APQA9AD0APQA9AD0APQA9AD0APQA9AD0APQA9AD0APQA9AD0APQA9AD0APQA9AD0APQA9AD0APQA9AD0APQA9AD0AXABuACoALwBcAG4AXABuAC8AKgBcAG4ALQAtAC0ALQAtAC0ALQAtAC0ALQAtAC0ALQAtAC0ALQAtAC0ALQAtAC0ALQAtAC0ALQAtAC0ALQAtAC0ALQAtAC0ALQAtAC0ALQAtAFwAbgBWAEUARQBSAEcAXwA0AF8AMgBfADEAXwAzAF8AXwAxAF8ARABpAHIAZQBjAHQATgBpAHQAcgBvAHUAcwBPAHgAaQBkAGUARQBtAGkAcwBzAGkAbwBuAHMATwBuAFAAYQBzAHQAdQByAGUAXABuAFQAbwB0AGEAbAAgAGEAbgBuAHUAYQBsACAAZABpAHIAZQBjAHQAIABuAGkAdAByAG8AdQBzACAAbwB4AGkAZABlACAAZQBtAGkAcwBzAGkAbwBuAHMAIABmAHIAbwBtACAAYQBnAHIAaQBjAHUAbAB0AHUAcgBhAGwAIABzAG8AaQBsAHMAIABmAHIAbwBtACAAZABlAHAAbwBzAGkAdABpAG8AbgAgAG8AZgAgAHUAcgBpAG4AZQAgAGEAbgBkACAAZAB1AG4AZwBcAG4ARQBfAE4AMgBPAGQAaQByAFwAbgB0ACAATgAyAE8AXABuAEUAXwB7AE4AMgBPACwAZABpAHIAfQA9AEEARQBcAFwAdABpAG0AZQBzACAARQBGAF8AewBQAFIAUAB9AFwAXAB0AGkAbQBlAHMAIABDAF8AewBOADIATwB9AFwAXAB0AGkAbQBlAHMAIAAxADAAXgB7AC0AMwB9AFwAbgBBAEUAIAA9ACAAdABvAHQAYQBsACAAbQBhAHMAcwAgAG8AZgAgAG4AaQB0AHIAbwBnAGUAbgAgAGUAeABjAHIAZQB0AGUAZAAgAG8AbgAgAFAAUgBQACAAZgBvAHIAIABiAGUAZQBmACAAYwBhAHQAdABsAGUAIAAoAGsAZwAgAE4AKQBcAG4ARQBGAF8AUABSAFAAIAA9ACAAZQBtAGkAcwBzAGkAbwBuACAAZgBhAGMAdABvAHIAIABmAG8AcgAgAG4AaQB0AHIAbwB1AHMAIABvAHgAaQBkAGUAIABmAHIAbwBtACAAdQByAGkAbgBlACAAYQBuAGQAIABkAHUAbgBnACAAZABlAHAAbwBzAGkAdABlAGQAIAB0AG8AIABzAG8AaQBsACAAKABrAGcAIABOADIATwAtAE4ALwBrAGcAIABOACAAZABlAHAAbwBzAGkAdABlAGQAKQBcAG4AQwBfAE4AMgBPACAAPQAgAGYAYQBjAHQAbwByACAAdABvACAAYwBvAG4AdgBlAHIAdAAgAGUAbABlAG0AZQBuAHQAYQBsACAAbQBhAHMAcwAgAG8AZgAgAG4AaQB0AHIAbwB1AHMAIABvAHgAaQBkAGUAIAB0AG8AIABtAG8AbABlAGMAdQBsAGEAcgAgAG0AYQBzAHMAXABuAC0ALQAtAC0ALQAtAC0ALQAtAC0ALQAtAC0ALQAtAC0ALQAtAC0ALQAtAC0ALQAtAC0ALQAtAC0ALQAtAC0ALQAtAC0ALQAtAC0ALQBcAG4AKgAvAFwAbgBcAG4AVgBFAEUAUgBHAF8ANABfADIAXwAxAF8AMwBfAF8AMQBfAEQAaQByAGUAYwB0AE4AaQB0AHIAbwB1AHMATwB4AGkAZABlAEUAbQBpAHMAcwBpAG8AbgBzAE8AbgBQAGEAcwB0AHUAcgBlAFwAbgAgACAAPQBMAEEATQBCAEQAQQAoAFwAbgAgACAAIAAgAEEARQAsACAARQBGAF8AUABSAFAALAAgAEMAXwBOADIATwAsAFwAbgAgACAAIAAgAEEARQAgACoAIABFAEYAXwBQAFIAUAAgACoAIABDAF8ATgAyAE8AIAAqACAAMQAwACAAXgAgAC0AMwBcAG4AIAAgACkAOwBcAG4AXABuAFYARQBFAFIARwBfADQAXwAyAF8AMQBfADMAXwBfADEAXwBEAGkAcgBlAGMAdABOAGkAdAByAG8AdQBzAE8AeABpAGQAZQBFAG0AaQBzAHMAaQBvAG4AcwBPAG4AUABhAHMAdAB1AHIAZQBfAFQAaQB0AGwAZQBcAG4AIAAgAD0ATABBAE0AQgBEAEEAKABcACIAVABvAHQAYQBsACAAYQBuAG4AdQBhAGwAIABkAGkAcgBlAGMAdAAgAG4AaQB0AHIAbwB1AHMAIABvAHgAaQBkAGUAIABlAG0AaQBzAHMAaQBvAG4AcwAgAGYAcgBvAG0AIABhAGcAcgBpAGMAdQBsAHQAdQByAGEAbAAgAHMAbwBpAGwAcwAgAGYAcgBvAG0AIABkAGUAcABvAHMAaQB0AGkAbwBuACAAbwBmACAAdQByAGkAbgBlACAAYQBuAGQAIABkAHUAbgBnAFwAIgApADsAXABuAFwAbgBWAEUARQBSAEcAXwA0AF8AMgBfADEAXwAzAF8AXwAxAF8ARABpAHIAZQBjAHQATgBpAHQAcgBvAHUAcwBPAHgAaQBkAGUARQBtAGkAcwBzAGkAbwBuAHMATwBuAFAAYQBzAHQAdQByAGUAXwBWAGEAcgBpAGEAYgBsAGUAXABuACAAIAA9AEwAQQBNAEIARABBACgAXAAiAEUAXwBOADIATwBkAGkAcgBcACIAKQA7AFwAbgBcAG4AVgBFAEUAUgBHAF8ANABfADIAXwAxAF8AMwBfAF8AMQBfAEQAaQByAGUAYwB0AE4AaQB0AHIAbwB1AHMATwB4AGkAZABlAEUAbQBpAHMAcwBpAG8AbgBzAE8AbgBQAGEAcwB0AHUAcgBlAF8AVQBuAGkAdABcAG4AIAAgAD0ATABBAE0AQgBEAEEAKABcACIAdAAgAE4AMgBPAFwAIgApADsAXABuAFwAbgBWAEUARQBSAEcAXwA0AF8AMgBfADEAXwAzAF8AXwAxAF8ARABpAHIAZQBjAHQATgBpAHQAcgBvAHUAcwBPAHgAaQBkAGUARQBtAGkAcwBzAGkAbwBuAHMATwBuAFAAYQBzAHQAdQByAGUAXwBTAG8AdQByAGMAZQBcAG4AIAAgAD0ATABBAE0AQgBEAEEAKABcACIAVgBFAEUAUgBHACAAMgAwADIANgA6ACAANAAuADIALgAxAC4AMwAsACAARQBxAHUAYQB0AGkAbwBuACAAKAAxACkAXAAiACkAOwBcAG4AXABuAFYARQBFAFIARwBfADQAXwAyAF8AMQBfADMAXwBfADEAXwBEAGkAcgBlAGMAdABOAGkAdAByAG8AdQBzAE8AeABpAGQAZQBFAG0AaQBzAHMAaQBvAG4AcwBPAG4AUABhAHMAdAB1AHIAZQBfAE4ASQBSAFIAZQBmAGUAcgBlAG4AYwBlAFwAbgAgACAAPQBMAEEATQBCAEQAQQAoAFwAIgBcACIAKQA7AFwAbgBcAG4AVgBFAEUAUgBHAF8ANABfADIAXwAxAF8AMwBfAF8AMQBfAEQAaQByAGUAYwB0AE4AaQB0AHIAbwB1AHMATwB4AGkAZABlAEUAbQBpAHMAcwBpAG8AbgBzAE8AbgBQAGEAcwB0AHUAcgBlAF8ATABhAHQAZQB4AEUAcQB1AGEAdABpAG8AbgBcAG4AIAAgAD0ATABBAE0AQgBEAEEAKABcACIARQBfAHsATgAyAE8ALABkAGkAcgB9AD0AQQBFAFwAXAB0AGkAbQBlAHMAIABFAEYAXwB7AFAAUgBQAH0AXABcAHQAaQBtAGUAcwAgAEMAXwB7AE4AMgBPAH0AXABcAHQAaQBtAGUAcwAgADEAMABeAHsALQAzAH0AXAAiACkAOwBcAG4AXABuAFYARQBFAFIARwBfADQAXwAyAF8AMQBfADMAXwBfADEAXwBEAGkAcgBlAGMAdABOAGkAdAByAG8AdQBzAE8AeABpAGQAZQBFAG0AaQBzAHMAaQBvAG4AcwBPAG4AUABhAHMAdAB1AHIAZQBfAEEAcgBnAHUAbQBlAG4AdABzAFwAbgAgACAAPQBMAEEATQBCAEQAQQAoAFwAbgAgACAAIAAgAE0AQQBLAEUAQQBSAFIAQQBZACgANAAsACAANAAsAFwAbgAgACAAIAAgACAAIABMAEEATQBCAEQAQQAoAHIALABjACwAXABuACAAIAAgACAAIAAgACAAIABJAE4ARABFAFgAKAB7AFwAbgAgACAAIAAgACAAIAAgACAAIAAgAFwAIgBBAEUAXAAiACwAIABcACIAdABvAHQAYQBsACAAbQBhAHMAcwAgAG8AZgAgAG4AaQB0AHIAbwBnAGUAbgAgAGUAeABjAHIAZQB0AGUAZAAgAG8AbgAgAFAAUgBQACAAZgBvAHIAIABiAGUAZQBmACAAYwBhAHQAdABsAGUAXAAiACwAIABcACIAawBnACAATgBcACIALAAgAFwAIgBDAGEAbABjAHUAbABhAHQAZQBkACAAZgByAG8AbQAgADQALgAyAC4AMQAuADMAIAAoADIAKQBcACIAOwBcAG4AIAAgACAAIAAgACAAIAAgACAAIABcACIARQBGAF8AUABSAFAAXAAiACwAIABcACIAZQBtAGkAcwBzAGkAbwBuACAAZgBhAGMAdABvAHIAIABmAG8AcgAgAG4AaQB0AHIAbwB1AHMAIABvAHgAaQBkAGUAIABmAHIAbwBtACAAdQByAGkAbgBlACAAYQBuAGQAIABkAHUAbgBnACAAZABlAHAAbwBzAGkAdABlAGQAIAB0AG8AIABzAG8AaQBsAFwAIgAsACAAXAAiAGsAZwAgAE4AMgBPAC0ATgAvAGsAZwAgAE4AIABkAGUAcABvAHMAaQB0AGUAZABcACIALAAgAFwAIgBDAG8AbgBzAHQAYQBuAHQAXAAiADsAXABuACAAIAAgACAAIAAgACAAIAAgACAAXAAiAEMAXwBOADIATwBcACIALAAgAFwAIgBmAGEAYwB0AG8AcgAgAHQAbwAgAGMAbwBuAHYAZQByAHQAIABlAGwAZQBtAGUAbgB0AGEAbAAgAG0AYQBzAHMAIABvAGYAIABuAGkAdAByAG8AdQBzACAAbwB4AGkAZABlACAAdABvACAAbQBvAGwAZQBjAHUAbABhAHIAIABtAGEAcwBzAFwAIgAsACAAXAAiAFwAIgAsACAAXAAiAEMAbwBuAHMAdABhAG4AdABcACIAOwBcAG4AIAAgACAAIAAgACAAIAAgACAAIABcACIAegBcACIALAAgAFwAIgB3AGUAdAAgAG8AcgAgAGQAcgB5ACAAYwBsAGkAbQBhAHQAZQAgAHoAbwBuAGUAXAAiACwAIABcACIAXAAiACwAIABcACIASQBuAHAAdQB0AFwAIgBcAG4AIAAgACAAIAAgACAAIAAgAH0ALAAgAHIALAAgAGMAKQBcAG4AIAAgACAAIAAgACAAKQBcAG4AIAAgACAAIAApAFwAbgAgACAAKQA7AFwAbgBcAG4ALwAqAFwAbgAtAC0ALQAtAC0ALQAtAC0ALQAtAC0ALQAtAC0ALQAtAC0ALQAtAC0ALQAtAC0ALQAtAC0ALQAtAC0ALQAtAC0ALQAtAC0ALQAtAC0AXABuAFYARQBFAFIARwBfADQAXwAyAF8AMQBfADMAXwBfADIAXwBUAG8AdABhAGwATgBpAHQAcgBvAGcAZQBuAEUAeABjAHIAZQB0AGUAZABUAG8AUABhAHMAdAB1AHIAZQBSAGEAbgBnAGUAQQBuAGQAUABhAGQAZABvAGMAawBcAG4AVABvAHQAYQBsACAAbgBpAHQAcgBvAGcAZQBuACAAZQB4AGMAcgBlAHQAZQBkACAAdABvACAAcABhAHMAdAB1AHIAZQAsACAAcgBhAG4AZwBlACAAYQBuAGQAIABwAGEAZABkAG8AYwBrAFwAbgBBAEUAXABuAGsAZwAgAE4AXABuAEEARQA9AFwAXABzAHUAbQBfAHsAagB9AFwAXABzAHUAbQBfAHsAawB9AFwAXABzAHUAbQBfAHsAbAB9ACgATgBfAHsAagBrAGwAfQBcAFwAdABpAG0AZQBzACAATgBFAF8AewBqAGsAbAB9AFwAXAB0AGkAbQBlAHMAIABEAF8AagApAFwAbgBOAF8AagBrAGwAIAA9ACAAbgB1AG0AYgBlAHIAIABvAGYAIABiAGUAZQBmACAAYwBhAHQAdABsAGUAIABiAHkAIAB0AGkAbQBlAC0AcABlAHIAaQBvAGQALAAgAGMAbABhAHMAcwAgAGEAbgBkACAAcwB1AGIAYwBsAGEAcwBzACAAKABoAGUAYQBkACkAXABuAE4ARQBfAGoAawBsACAAPQAgAG4AaQB0AHIAbwBnAGUAbgAgAGUAeABjAHIAZQB0AGUAZAAgAGkAbgAgAGUAYQBjAGgAIAB0AGkAbQBlAC0AcABlAHIAaQBvAGQALAAgAGIAeQAgAGUAYQBjAGgAIABjAGwAYQBzAHMAIABhAG4AZAAgAHMAdQBiAGMAbABhAHMAcwAgACgAawBnACAATgAvAGgAZQBhAGQALwBkAGEAeQApAFwAbgBEAF8AagAgAD0AIABuAHUAbQBiAGUAcgAgAG8AZgAgAGQAYQB5AHMAIABpAG4AIABlAGEAYwBoACAAdABpAG0AZQAtAHAAZQByAGkAbwBkACAAKABkAGEAeQBzACkAXABuAC0ALQAtAC0ALQAtAC0ALQAtAC0ALQAtAC0ALQAtAC0ALQAtAC0ALQAtAC0ALQAtAC0ALQAtAC0ALQAtAC0ALQAtAC0ALQAtAC0ALQBcAG4AKgAvAFwAbgBcAG4AVgBFAEUAUgBHAF8ANABfADIAXwAxAF8AMwBfAF8AMgBfAFQAbwB0AGEAbABOAGkAdAByAG8AZwBlAG4ARQB4AGMAcgBlAHQAZQBkAFQAbwBQAGEAcwB0AHUAcgBlAFIAYQBuAGcAZQBBAG4AZABQAGEAZABkAG8AYwBrAFwAbgAgACAAPQBMAEEATQBCAEQAQQAoAFwAbgAgACAAIAAgAE4AXwBqAGsAbAAsACAATgBFAF8AagBrAGwALAAgAEQAXwBqACwAXABuACAAIAAgACAAUwBVAE0AKAAoAE4AXwBqAGsAbAAgACoAIABOAEUAXwBqAGsAbAApACAAKgAgAEQAXwBqACkAXABuACAAIAApADsAXABuAFwAbgBWAEUARQBSAEcAXwA0AF8AMgBfADEAXwAzAF8AXwAyAF8AVABvAHQAYQBsAE4AaQB0AHIAbwBnAGUAbgBFAHgAYwByAGUAdABlAGQAVABvAFAAYQBzAHQAdQByAGUAUgBhAG4AZwBlAEEAbgBkAFAAYQBkAGQAbwBjAGsAXwBUAGkAdABsAGUAXABuACAAIAA9AEwAQQBNAEIARABBACgAXAAiAFQAbwB0AGEAbAAgAG4AaQB0AHIAbwBnAGUAbgAgAGUAeABjAHIAZQB0AGUAZAAgAHQAbwAgAHAAYQBzAHQAdQByAGUALAAgAHIAYQBuAGcAZQAgAGEAbgBkACAAcABhAGQAZABvAGMAawBcACIAKQA7AFwAbgBcAG4AVgBFAEUAUgBHAF8ANABfADIAXwAxAF8AMwBfAF8AMgBfAFQAbwB0AGEAbABOAGkAdAByAG8AZwBlAG4ARQB4AGMAcgBlAHQAZQBkAFQAbwBQAGEAcwB0AHUAcgBlAFIAYQBuAGcAZQBBAG4AZABQAGEAZABkAG8AYwBrAF8AVgBhAHIAaQBhAGIAbABlAFwAbgAgACAAPQBMAEEATQBCAEQAQQAoAFwAIgBBAEUAXAAiACkAOwBcAG4AXABuAFYARQBFAFIARwBfADQAXwAyAF8AMQBfADMAXwBfADIAXwBUAG8AdABhAGwATgBpAHQAcgBvAGcAZQBuAEUAeABjAHIAZQB0AGUAZABUAG8AUABhAHMAdAB1AHIAZQBSAGEAbgBnAGUAQQBuAGQAUABhAGQAZABvAGMAawBfAFUAbgBpAHQAXABuACAAIAA9AEwAQQBNAEIARABBACgAXAAiAGsAZwAgAE4AXAAiACkAOwBcAG4AXABuAFYARQBFAFIARwBfADQAXwAyAF8AMQBfADMAXwBfADIAXwBUAG8AdABhAGwATgBpAHQAcgBvAGcAZQBuAEUAeABjAHIAZQB0AGUAZABUAG8AUABhAHMAdAB1AHIAZQBSAGEAbgBnAGUAQQBuAGQAUABhAGQAZABvAGMAawBfAFMAbwB1AHIAYwBlAFwAbgAgACAAPQBMAEEATQBCAEQAQQAoAFwAIgBWAEUARQBSAEcAIAAyADAAMgA2ADoAIAA0AC4AMgAuADEALgAzACwAIABFAHEAdQBhAHQAaQBvAG4AIAAoADIAKQBcACIAKQA7AFwAbgBcAG4AVgBFAEUAUgBHAF8ANABfADIAXwAxAF8AMwBfAF8AMgBfAFQAbwB0AGEAbABOAGkAdAByAG8AZwBlAG4ARQB4AGMAcgBlAHQAZQBkAFQAbwBQAGEAcwB0AHUAcgBlAFIAYQBuAGcAZQBBAG4AZABQAGEAZABkAG8AYwBrAF8ATgBJAFIAUgBlAGYAZQByAGUAbgBjAGUAXABuACAAIAA9AEwAQQBNAEIARABBACgAXAAiAFwAIgApADsAXABuAFwAbgBWAEUARQBSAEcAXwA0AF8AMgBfADEAXwAzAF8AXwAyAF8AVABvAHQAYQBsAE4AaQB0AHIAbwBnAGUAbgBFAHgAYwByAGUAdABlAGQAVABvAFAAYQBzAHQAdQByAGUAUgBhAG4AZwBlAEEAbgBkAFAAYQBkAGQAbwBjAGsAXwBMAGEAdABlAHgARQBxAHUAYQB0AGkAbwBuAFwAbgAgACAAPQBMAEEATQBCAEQAQQAoAFwAIgBBAEUAPQBcAFwAcwB1AG0AXwB7AGoAfQBcAFwAcwB1AG0AXwB7AGsAfQBcAFwAcwB1AG0AXwB7AGwAfQAoAE4AXwB7AGoAawBsAH0AXABcAHQAaQBtAGUAcwAgAE4ARQBfAHsAagBrAGwAfQBcAFwAdABpAG0AZQBzACAARABfAGoAKQBcACIAKQA7AFwAbgBcAG4AVgBFAEUAUgBHAF8ANABfADIAXwAxAF8AMwBfAF8AMgBfAFQAbwB0AGEAbABOAGkAdAByAG8AZwBlAG4ARQB4AGMAcgBlAHQAZQBkAFQAbwBQAGEAcwB0AHUAcgBlAFIAYQBuAGcAZQBBAG4AZABQAGEAZABkAG8AYwBrAF8AQQByAGcAdQBtAGUAbgB0AHMAXABuACAAIAA9AEwAQQBNAEIARABBACgAXABuACAAIAAgACAATQBBAEsARQBBAFIAUgBBAFkAKAAzACwAIAA0ACwAXABuACAAIAAgACAAIAAgAEwAQQBNAEIARABBACgAcgAsAGMALABcAG4AIAAgACAAIAAgACAAIAAgAEkATgBEAEUAWAAoAHsAXABuACAAIAAgACAAIAAgACAAIAAgACAAXAAiAE4AXwBqAGsAbABcACIALAAgAFwAIgBuAHUAbQBiAGUAcgAgAG8AZgAgAGIAZQBlAGYAIABjAGEAdAB0AGwAZQAgAGIAeQAgAHQAaQBtAGUALQBwAGUAcgBpAG8AZAAsACAAYwBsAGEAcwBzACAAYQBuAGQAIABzAHUAYgBjAGwAYQBzAHMAXAAiACwAIABcACIAaABlAGEAZABcACIALAAgAFwAIgBJAG4AcAB1AHQAXAAiADsAXABuACAAIAAgACAAIAAgACAAIAAgACAAXAAiAE4ARQBfAGoAawBsAFwAIgAsACAAXAAiAG4AaQB0AHIAbwBnAGUAbgAgAGUAeABjAHIAZQB0AGUAZAAgAGkAbgAgAGUAYQBjAGgAIAB0AGkAbQBlAC0AcABlAHIAaQBvAGQALAAgAGIAeQAgAGUAYQBjAGgAIABjAGwAYQBzAHMAIABhAG4AZAAgAHMAdQBiAGMAbABhAHMAcwBcACIALAAgAFwAIgBrAGcAIABOAC8AaABlAGEAZAAvAGQAYQB5AFwAIgAsACAAXAAiAEMAYQBsAGMAdQBsAGEAdABlAGQAIABmAHIAbwBtACAANAAuADIALgAxAC4AMwAgACgAMwApAFwAIgA7AFwAbgAgACAAIAAgACAAIAAgACAAIAAgAFwAIgBEAF8AagBcACIALAAgAFwAIgBuAHUAbQBiAGUAcgAgAG8AZgAgAGQAYQB5AHMAIABpAG4AIABlAGEAYwBoACAAdABpAG0AZQAtAHAAZQByAGkAbwBkACAAKABkAGEAeQBzACkAXAAiACwAIABcACIAZABhAHkAcwBcACIALAAgAFwAIgBJAG4AcAB1AHQAXAAiAFwAbgAgACAAIAAgACAAIAAgACAAfQAsACAAcgAsACAAYwApAFwAbgAgACAAIAAgACAAIAApAFwAbgAgACAAIAAgACkAXABuACAAIAApADsAXABuAFwAbgAvACoAXABuAC0ALQAtAC0ALQAtAC0ALQAtAC0ALQAtAC0ALQAtAC0ALQAtAC0ALQAtAC0ALQAtAC0ALQAtAC0ALQAtAC0ALQAtAC0ALQAtAC0ALQBcAG4AVgBFAEUAUgBHAF8ANABfADIAXwAxAF8AMwBfAF8AMwBfAE4AaQB0AHIAbwBnAGUAbgBFAHgAYwByAGUAdABlAGQAXABuAE4AaQB0AHIAbwBnAGUAbgAgAGUAeABjAHIAZQB0AGUAZABcAG4ATgBFAF8AagBrAGwAXABuAGsAZwAgAE4ALwBoAGUAYQBkAC8AZABhAHkAXABuAE4ARQBfAHsAagBrAGwAfQA9AFwAXABmAHIAYQBjAHsASQBfAHsAagBrAGwAfQBcAFwAdABpAG0AZQBzACAAQwBQAF8AagB9AHsANgAuADIANQB9ACsAXABcAGYAcgBhAGMAewAwAC4AMAAzADIAXABcAHQAaQBtAGUAcwAgAE0AQwBfAHsAagBrAD0AMQAsADMALAA2AH0AfQB7ADYALgAzADgAfQAtAE4AUgBfAHsAagBrAGwAfQAtAFwAXABmAHIAYQBjAHsAMQAuADEAXABcAHQAaQBtAGUAcwAgADEAMABeAHsALQA0AH0AXABcAHQAaQBtAGUAcwAgAFcAXwB7AGoAawBsAH0AXgB7ADAALgA3ADUAfQB9AHsANgAuADIANQB9AFwAbgBJAF8AagBrAGwAIAA9ACAAZAByAHkAIABtAGEAdAB0AGUAcgAgAGkAbgB0AGEAawBlACAAYQBzACAAYwBhAGwAYwB1AGwAYQB0AGUAZAAgAGkAbgAgAEMAaABhAHAAdABlAHIAIAAzACAAUwBlAGMAdABpAG8AbgAgADMALgAyAC4AMQAgACgAawBnACAARABNAC8AaABlAGEAZAAvAGQAYQB5ACkAXABuAEMAUABfAGoAIAA9ACAAYwByAHUAZABlACAAcAByAG8AdABlAGkAbgAgAGMAbwBuAHQAZQBuAHQAIABvAGYAIABkAHIAeQAgAG0AYQB0AHQAZQByACAAaQBuAHQAYQBrAGUAXABuAE0AQwBfAGoAawAxADMANgAgAD0AIABtAGkAbABrACAAaQBuAHQAYQBrAGUAIAAoAGsAZwAvAGgAZQBhAGQALwBkAGEAeQApAFwAbgBOAFIAXwBqAGsAbAAgAD0AIAB0AGgAZQAgAGEAbQBvAHUAbgB0ACAAbwBmACAAbgBpAHQAcgBvAGcAZQBuACAAcgBlAHQAYQBpAG4AZQBkACAAYgB5ACAAdABoAGUAIABiAG8AZAB5ACAAKABrAGcAIABOAC8AaABlAGEAZAAvAGQAYQB5ACkAXABuAFcAXwBqAGsAbAAgAD0AIABsAGkAdgBlAHcAZQBpAGcAaAB0ACAAKABrAGcALwBoAGUAYQBkACkAXABuAC0ALQAtAC0ALQAtAC0ALQAtAC0ALQAtAC0ALQAtAC0ALQAtAC0ALQAtAC0ALQAtAC0ALQAtAC0ALQAtAC0ALQAtAC0ALQAtAC0ALQBcAG4AKgAvAFwAbgBcAG4AVgBFAEUAUgBHAF8ANABfADIAXwAxAF8AMwBfAF8AMwBfAE4AaQB0AHIAbwBnAGUAbgBFAHgAYwByAGUAdABlAGQAXABuACAAIAA9AEwAQQBNAEIARABBACgAXABuACAAIAAgACAASQBfAGoAawBsACwAIABDAFAAXwBqACwAIABNAEMAXwBqAGsAMQAzADYALAAgAE4AUgBfAGoAawBsACwAIABXAF8AagBrAGwALABcAG4AIAAgACAAIAAoACgASQBfAGoAawBsACAAKgAgAEMAUABfAGoAKQAgAC8AIAA2AC4AMgA1ACkAIAArACAAKAAoADAALgAwADMAMgAgACoAIABNAEMAXwBqAGsAMQAzADYAKQAgAC8AIAA2AC4AMwA4ACkAIAAtACAATgBSAF8AagBrAGwAIAAtACAAKAAoADEALgAxACAAKgAgADEAMAAgAF4AIAAtADQAIAAqACAAVwBfAGoAawBsACAAXgAgADAALgA3ADUAKQAgAC8AIAA2AC4AMgA1ACkAXABuACAAIAApADsAXABuAFwAbgBWAEUARQBSAEcAXwA0AF8AMgBfADEAXwAzAF8AXwAzAF8ATgBpAHQAcgBvAGcAZQBuAEUAeABjAHIAZQB0AGUAZABfAFQAaQB0AGwAZQBcAG4AIAAgAD0ATABBAE0AQgBEAEEAKABcACIATgBpAHQAcgBvAGcAZQBuACAAZQB4AGMAcgBlAHQAZQBkAFwAIgApADsAXABuAFwAbgBWAEUARQBSAEcAXwA0AF8AMgBfADEAXwAzAF8AXwAzAF8ATgBpAHQAcgBvAGcAZQBuAEUAeABjAHIAZQB0AGUAZABfAFYAYQByAGkAYQBiAGwAZQBcAG4AIAAgAD0ATABBAE0AQgBEAEEAKABcACIATgBFAF8AagBrAGwAXAAiACkAOwBcAG4AXABuAFYARQBFAFIARwBfADQAXwAyAF8AMQBfADMAXwBfADMAXwBOAGkAdAByAG8AZwBlAG4ARQB4AGMAcgBlAHQAZQBkAF8AVQBuAGkAdABcAG4AIAAgAD0ATABBAE0AQgBEAEEAKABcACIAawBnACAATgAvAGgAZQBhAGQALwBkAGEAeQBcACIAKQA7AFwAbgBcAG4AVgBFAEUAUgBHAF8ANABfADIAXwAxAF8AMwBfAF8AMwBfAE4AaQB0AHIAbwBnAGUAbgBFAHgAYwByAGUAdABlAGQAXwBTAG8AdQByAGMAZQBcAG4AIAAgAD0ATABBAE0AQgBEAEEAKABcACIAVgBFAEUAUgBHACAAMgAwADIANgA6ACAANAAuADIALgAxAC4AMwAsACAARQBxAHUAYQB0AGkAbwBuACAAKAAzACkAXAAiACkAOwBcAG4AXABuAFYARQBFAFIARwBfADQAXwAyAF8AMQBfADMAXwBfADMAXwBOAGkAdAByAG8AZwBlAG4ARQB4AGMAcgBlAHQAZQBkAF8ATgBJAFIAUgBlAGYAZQByAGUAbgBjAGUAXABuACAAIAA9AEwAQQBNAEIARABBACgAXAAiAFwAIgApADsAXABuAFwAbgBWAEUARQBSAEcAXwA0AF8AMgBfADEAXwAzAF8AXwAzAF8ATgBpAHQAcgBvAGcAZQBuAEUAeABjAHIAZQB0AGUAZABfAEwAYQB0AGUAeABFAHEAdQBhAHQAaQBvAG4AXABuACAAIAA9AEwAQQBNAEIARABBACgAXAAiAE4ARQBfAHsAagBrAGwAfQA9ACAAKABJAF8AewBqAGsAbAB9AFwAXAB0AGkAbQBlAHMAIABDAFAAXwBqACAAXABcAGQAaQB2ACAANgAuADIANQApACAAIAArACAAKAAwAC4AMAAzADIAXABcAHQAaQBtAGUAcwAgAE0AQwBfAHsAagBrAD0AMQAsADMALAA2AH0AIABcAFwAZABpAHYAIAA2AC4AMwA4ACkAIAAgAC0AIABOAFIAXwB7AGoAawBsAH0AIAAtACAAXABcAGwAZQBmAHQAWwAgACgAMQAuADEAXABcAHQAaQBtAGUAcwAgADEAMABeAHsALQA0AH0AXABcAHQAaQBtAGUAcwAgAFcAXwB7AGoAawBsAH0AXgB7ADAALgA3ADUAfQApACAAXABcAGQAaQB2ACAAIAA2AC4AMgA1ACAAXABcAHIAaQBnAGgAdABdAFwAIgApADsAXABuAFwAbgBWAEUARQBSAEcAXwA0AF8AMgBfADEAXwAzAF8AXwAzAF8ATgBpAHQAcgBvAGcAZQBuAEUAeABjAHIAZQB0AGUAZABfAEEAcgBnAHUAbQBlAG4AdABzAFwAbgAgACAAPQBMAEEATQBCAEQAQQAoAFwAbgAgACAAIAAgAE0AQQBLAEUAQQBSAFIAQQBZACgANwAsACAANAAsAFwAbgAgACAAIAAgACAAIABMAEEATQBCAEQAQQAoAHIALABjACwAXABuACAAIAAgACAAIAAgACAAIABJAE4ARABFAFgAKAB7AFwAbgAgACAAIAAgACAAIAAgACAAIAAgAFwAIgBJAF8AagBrAGwAXAAiACwAIABcACIAZAByAHkAIABtAGEAdAB0AGUAcgAgAGkAbgB0AGEAawBlACAAYQBzACAAYwBhAGwAYwB1AGwAYQB0AGUAZAAgAGkAbgAgAEMAaABhAHAAdABlAHIAIAAzACAAUwBlAGMAdABpAG8AbgAgADMALgAyAC4AMQAgACgAawBnACAARABNAC8AaABlAGEAZAAvAGQAYQB5ACkAXAAiACwAIABcACIAawBnACAARABNAC8AaABlAGEAZAAvAGQAYQB5AFwAIgAsACAAXAAiAEMAYQBsAGMAdQBsAGEAdABlAGQAIABmAHIAbwBtACAAMwAuADIALgAxAC4AMQAgACgAMwApAFwAIgA7AFwAbgAgACAAIAAgACAAIAAgACAAIAAgAFwAIgBDAFAAXwBqAFwAIgAsACAAXAAiAGMAcgB1AGQAZQAgAHAAcgBvAHQAZQBpAG4AIABjAG8AbgB0AGUAbgB0ACAAbwBmACAAZAByAHkAIABtAGEAdAB0AGUAcgAgAGkAbgB0AGEAawBlAFwAIgAsACAAXAAiAGYAcgBhAGMAdABpAG8AbgBcACIALAAgAFwAIgBJAG4AcAB1AHQAXAAiADsAXABuACAAIAAgACAAIAAgACAAIAAgACAAXAAiAE0AQwBfAGoAawAxADMANgBcACIALAAgAFwAIgBtAGkAbABrACAAaQBuAHQAYQBrAGUAIAAoAGsAZwAvAGgAZQBhAGQALwBkAGEAeQApAFwAIgAsACAAXAAiAGsAZwAvAGgAZQBhAGQALwBkAGEAeQBcACIALAAgAFwAIgBDAG8AbgBzAHQAYQBuAHQAXAAiADsAXABuACAAIAAgACAAIAAgACAAIAAgACAAXAAiAE4AUgBfAGoAawBsAFwAIgAsACAAXAAiAHQAaABlACAAYQBtAG8AdQBuAHQAIABvAGYAIABuAGkAdAByAG8AZwBlAG4AIAByAGUAdABhAGkAbgBlAGQAIABiAHkAIAB0AGgAZQAgAGIAbwBkAHkAIAAoAGsAZwAgAE4ALwBoAGUAYQBkAC8AZABhAHkAKQBcACIALAAgAFwAIgBrAGcAIABOAC8AaABlAGEAZAAvAGQAYQB5AFwAIgAsACAAXAAiAEMAYQBsAGMAdQBsAGEAdABlAGQAIABmAHIAbwBtACAANAAuADIALgAxAC4AMwAgACgANAApAFwAIgA7AFwAbgAgACAAIAAgACAAIAAgACAAIAAgAFwAIgBXAF8AagBrAGwAXAAiACwAIABcACIAbABpAHYAZQB3AGUAaQBnAGgAdAAgACgAawBnAC8AaABlAGEAZAApAFwAIgAsACAAXAAiAGsAZwAvAGgAZQBhAGQAXAAiACwAIABcACIASQBuAHAAdQB0AFwAIgA7AFwAbgAgACAAIAAgACAAIAAgACAAIAAgAFwAIgBiAFwAIgAsACAAXAAiAGIAcgBlAGUAZAAgAG8AZgAgAGMAYQB0AHQAbABlAFwAIgAsACAAXAAiAFwAIgAsACAAXAAiAEkAbgBwAHUAdABcACIAOwBcAG4AIAAgACAAIAAgACAAIAAgACAAIABcACIAcwBcACIALAAgAFwAIgBDAGEAbAB2AGkAbgBnACAAcwBlAGEAcwBvAG4AXAAiACwAIABcACIAXAAiACwAIABcACIASQBuAHAAdQB0AFwAIgBcAG4AIAAgACAAIAAgACAAIAAgAH0ALAAgAHIALAAgAGMAKQBcAG4AIAAgACAAIAAgACAAKQBcAG4AIAAgACAAIAApAFwAbgAgACAAKQA7AFwAbgBcAG4ALwAqAFwAbgAtAC0ALQAtAC0ALQAtAC0ALQAtAC0ALQAtAC0ALQAtAC0ALQAtAC0ALQAtAC0ALQAtAC0ALQAtAC0ALQAtAC0ALQAtAC0ALQAtAC0AXABuAFYARQBFAFIARwBfADQAXwAyAF8AMQBfADMAXwBfADQAXwBOAGkAdAByAG8AZwBlAG4AUgBlAHQAYQBpAG4AZQBkAEIAeQBCAG8AZAB5AFwAbgBBAG0AbwB1AG4AdAAgAG8AZgAgAG4AaQB0AHIAbwBnAGUAbgAgAHIAZQB0AGEAaQBuAGUAZAAgAGIAeQAgAHQAaABlACAAYgBvAGQAeQBcAG4ATgBSAF8AagBrAGwAXABuAGsAZwAgAE4ALwBoAGUAYQBkAC8AZABhAHkAXABuAE4AUgBfAHsAagBrAGwAfQA9AFwAXABmAHIAYQBjAHsAMAAuADAAMwAyAFwAXAB0AGkAbQBlAHMAIABNAFAAXwB7AGoAawA9ADUAfQB9AHsANgAuADMAOAB9ACsAXABcAGYAcgBhAGMAewAoADAALgAyADEAMgAtADAALgAwADAAOABcAFwAdABpAG0AZQBzACgATABfAHsAagBrAGwAfQAtADIAKQAtAFsAXABcAGYAcgBhAGMAewAwAC4AMQA0ADAALQAwAC4AMAAwADgAXABcAHQAaQBtAGUAcwAoAEwAXwB7AGoAawBsAH0ALQAyACkAfQB7ADEAKwBlAF4AewAtADYAXABcAHQAaQBtAGUAcwAoAFoAXwB7AGoAawBsAH0ALQAwAC4ANAApAH0AfQBdACkAXABcAHQAaQBtAGUAcwAoAEwAVwBHAF8AewBqAGsAbAB9AFwAXAB0AGkAbQBlAHMAIAAwAC4AOQAyACkAfQB7ADYALgAyADUAfQBcAG4ATQBQAF8AagBrADUAIAA9ACAAbQBpAGwAawAgAHAAcgBvAGQAdQBjAHQAaQBvAG4AIAAoAGsAZwAvAGgAZQBhAGQALwBkAGEAeQApAFwAbgBMAF8AagBrAGwAIAA9ACAAaQBuAHQAYQBrAGUAIAByAGUAbABhAHQAaQB2AGUAIAB0AG8AIAB0AGgAYQB0ACAAbgBlAGUAZABlAGQAIABmAG8AcgAgAG0AYQBpAG4AdABlAG4AYQBuAGMAZQBcAG4AWgBfAGoAawBsACAAPQAgAHIAZQBsAGEAdABpAHYAZQAgAHMAaQB6AGUAXABuAEwAVwBHAF8AagBrAGwAIAA9ACAAbABpAHYAZQB3AGUAaQBnAGgAdAAgAGcAYQBpAG4AIAAoAGsAZwAvAGgAZQBhAGQALwBkAGEAeQApAFwAbgAtAC0ALQAtAC0ALQAtAC0ALQAtAC0ALQAtAC0ALQAtAC0ALQAtAC0ALQAtAC0ALQAtAC0ALQAtAC0ALQAtAC0ALQAtAC0ALQAtAC0AXABuACoALwBcAG4AXABuAFYARQBFAFIARwBfADQAXwAyAF8AMQBfADMAXwBfADQAXwBOAGkAdAByAG8AZwBlAG4AUgBlAHQAYQBpAG4AZQBkAEIAeQBCAG8AZAB5AFwAbgAgACAAPQBMAEEATQBCAEQAQQAoAFwAbgAgACAAIAAgAE0AUABfAGoAawA1ACwAIABMAF8AagBrAGwALAAgAFoAXwBqAGsAbAAsACAATABXAEcAXwBqAGsAbAAsAFwAbgAgACAAIAAgACgAKAAwAC4AMAAzADIAIAAqACAATQBQAF8AagBrADUAKQAgAC8AIAA2AC4AMwA4ACkAIAArACAAKAAoACgAMAAuADIAMQAyACAALQAgADAALgAwADAAOAAgACoAIAAoAEwAXwBqAGsAbAAgAC0AIAAyACkAIAAtACAAKAAoADAALgAxADQAMAAgAC0AIAAwAC4AMAAwADgAIAAqACAAKABMAF8AagBrAGwAIAAtACAAMgApACkAIAAvACAAKAAxACAAKwAgAEUAWABQACgALQA2ACAAKgAgACgAWgBfAGoAawBsACAALQAgADAALgA0ACkAKQApACkAKQAgACoAIAAoAEwAVwBHAF8AagBrAGwAIAAqACAAMAAuADkAMgApACkAIAAvACAANgAuADIANQApAFwAbgAgACAAKQA7AFwAbgBcAG4AVgBFAEUAUgBHAF8ANABfADIAXwAxAF8AMwBfAF8ANABfAE4AaQB0AHIAbwBnAGUAbgBSAGUAdABhAGkAbgBlAGQAQgB5AEIAbwBkAHkAXwBUAGkAdABsAGUAXABuACAAIAA9AEwAQQBNAEIARABBACgAXAAiAEEAbQBvAHUAbgB0ACAAbwBmACAAbgBpAHQAcgBvAGcAZQBuACAAcgBlAHQAYQBpAG4AZQBkACAAYgB5ACAAdABoAGUAIABiAG8AZAB5AFwAIgApADsAXABuAFwAbgBWAEUARQBSAEcAXwA0AF8AMgBfADEAXwAzAF8AXwA0AF8ATgBpAHQAcgBvAGcAZQBuAFIAZQB0AGEAaQBuAGUAZABCAHkAQgBvAGQAeQBfAFYAYQByAGkAYQBiAGwAZQBcAG4AIAAgAD0ATABBAE0AQgBEAEEAKABcACIATgBSAF8AagBrAGwAXAAiACkAOwBcAG4AXABuAFYARQBFAFIARwBfADQAXwAyAF8AMQBfADMAXwBfADQAXwBOAGkAdAByAG8AZwBlAG4AUgBlAHQAYQBpAG4AZQBkAEIAeQBCAG8AZAB5AF8AVQBuAGkAdABcAG4AIAAgAD0ATABBAE0AQgBEAEEAKABcACIAawBnACAATgAvAGgAZQBhAGQALwBkAGEAeQBcACIAKQA7AFwAbgBcAG4AVgBFAEUAUgBHAF8ANABfADIAXwAxAF8AMwBfAF8ANABfAE4AaQB0AHIAbwBnAGUAbgBSAGUAdABhAGkAbgBlAGQAQgB5AEIAbwBkAHkAXwBTAG8AdQByAGMAZQBcAG4AIAAgAD0ATABBAE0AQgBEAEEAKABcACIAVgBFAEUAUgBHACAAMgAwADIANgA6ACAANAAuADIALgAxAC4AMwAsACAARQBxAHUAYQB0AGkAbwBuACAAKAA0ACkAXAAiACkAOwBcAG4AXABuAFYARQBFAFIARwBfADQAXwAyAF8AMQBfADMAXwBfADQAXwBOAGkAdAByAG8AZwBlAG4AUgBlAHQAYQBpAG4AZQBkAEIAeQBCAG8AZAB5AF8ATgBJAFIAUgBlAGYAZQByAGUAbgBjAGUAXABuACAAIAA9AEwAQQBNAEIARABBACgAXAAiAFwAIgApADsAXABuAFwAbgBWAEUARQBSAEcAXwA0AF8AMgBfADEAXwAzAF8AXwA0AF8ATgBpAHQAcgBvAGcAZQBuAFIAZQB0AGEAaQBuAGUAZABCAHkAQgBvAGQAeQBfAEwAYQB0AGUAeABFAHEAdQBhAHQAaQBvAG4AXABuACAAIAA9AEwAQQBNAEIARABBACgAXAAiAE4AUgBfAHsAagBrAGwAfQA9ACgAMAAuADAAMwAyACAAXABcAHQAaQBtAGUAcwAgAE0AUABfAHsAagBrAD0ANQB9ACAAXABcAGQAaQB2ACAANgAuADMAOAApACAAKwAgAFwAXABsAGUAZgB0ACAAewAgAFwAXABsAGUAZgB0ACAAewAgADAALgAyADEAMgAgAC0AIAAwAC4AMAAwADgAIABcAFwAdABpAG0AZQBzACAAKABMAF8AewBqAGsAbAB9ACAALQAyACkAIAAtACAAXABcAGwAZQBmAHQAWwAgAFwAXABmAHIAYQBjAHsAMAAuADEANAAwAC0AMAAuADAAMAA4ACAAXABcAHQAaQBtAGUAcwAgACgATABfAHsAagBrAGwAfQAgAC0AIAAyACkAfQB7ADEAKwBlAF4AewAoAC0ANgAgAFwAXAB0AGkAbQBlAHMAIAAoAFoAXwB7AGoAawBsAH0ALQAwAC4ANAApACkAfQB9ACAAXABcAHIAaQBnAGgAdABdACAAXABcAHIAaQBnAGgAdAB9ACAAXABcAHQAaQBtAGUAcwAgACgATABXAEcAXwB7AGoAawBsAH0AIABcAFwAdABpAG0AZQBzACAAMAAuADkAMgApACAAXABcAHIAaQBnAGgAdAB9ACAAXABcAGQAaQB2ACAANgAuADIANQBcACIAKQA7AFwAbgBcAG4AVgBFAEUAUgBHAF8ANABfADIAXwAxAF8AMwBfAF8ANABfAE4AaQB0AHIAbwBnAGUAbgBSAGUAdABhAGkAbgBlAGQAQgB5AEIAbwBkAHkAXwBBAHIAZwB1AG0AZQBuAHQAcwBcAG4AIAAgAD0ATABBAE0AQgBEAEEAKABcAG4AIAAgACAAIABNAEEASwBFAEEAUgBSAEEAWQAoADQALAAgADQALABcAG4AIAAgACAAIAAgACAATABBAE0AQgBEAEEAKAByACwAYwAsAFwAbgAgACAAIAAgACAAIAAgACAASQBOAEQARQBYACgAewBcAG4AIAAgACAAIAAgACAAIAAgACAAIABcACIATQBQAF8AagBrADUAXAAiACwAIABcACIAbQBpAGwAawAgAHAAcgBvAGQAdQBjAHQAaQBvAG4AIAAoAGsAZwAvAGgAZQBhAGQALwBkAGEAeQApAFwAIgAsACAAXAAiAGsAZwAvAGgAZQBhAGQALwBkAGEAeQBcACIALAAgAFwAIgBDAGEAbABjAHUAbABhAHQAZQBkACAAZgByAG8AbQAgADQALgAyAC4AMQAuADMAIAAoADUAKQBcACIAOwBcAG4AIAAgACAAIAAgACAAIAAgACAAIABcACIATABfAGoAawBsAFwAIgAsACAAXAAiAGkAbgB0AGEAawBlACAAcgBlAGwAYQB0AGkAdgBlACAAdABvACAAdABoAGEAdAAgAG4AZQBlAGQAZQBkACAAZgBvAHIAIABtAGEAaQBuAHQAZQBuAGEAbgBjAGUAXAAiACwAIABcACIAXAAiACwAIABcACIAQwBhAGwAYwB1AGwAYQB0AGUAZAAgAGYAcgBvAG0AIAA0AC4AMgAuADEALgAzACAAKAA2ACkAXAAiADsAXABuACAAIAAgACAAIAAgACAAIAAgACAAXAAiAFoAXwBqAGsAbABcACIALAAgAFwAIgByAGUAbABhAHQAaQB2AGUAIABzAGkAegBlAFwAIgAsACAAXAAiAFwAIgAsACAAXAAiAEMAYQBsAGMAdQBsAGEAdABlAGQAIABmAHIAbwBtACAANAAuADIALgAxAC4AMwAgACgANwApAFwAIgA7AFwAbgAgACAAIAAgACAAIAAgACAAIAAgAFwAIgBMAFcARwBfAGoAawBsAFwAIgAsACAAXAAiAGwAaQB2AGUAdwBlAGkAZwBoAHQAIABnAGEAaQBuACAAKABrAGcALwBoAGUAYQBkAC8AZABhAHkAKQBcACIALAAgAFwAIgBrAGcALwBoAGUAYQBkAC8AZABhAHkAXAAiACwAIABcACIASQBuAHAAdQB0AFwAIgBcAG4AIAAgACAAIAAgACAAIAAgAH0ALAAgAHIALAAgAGMAKQBcAG4AIAAgACAAIAAgACAAKQBcAG4AIAAgACAAIAApAFwAbgAgACAAKQA7AFwAbgBcAG4ALwAqAFwAbgAtAC0ALQAtAC0ALQAtAC0ALQAtAC0ALQAtAC0ALQAtAC0ALQAtAC0ALQAtAC0ALQAtAC0ALQAtAC0ALQAtAC0ALQAtAC0ALQAtAC0AXABuAFYARQBFAFIARwBfADQAXwAyAF8AMQBfADMAXwBfADUAXwBNAGkAbABrAFAAcgBvAGQAdQBjAHQAaQBvAG4ARgBvAHIAQwBhAGwAdgBpAG4AZwBTAGUAYQBzAG8AbgBcAG4ATQBpAGwAawAgAHAAcgBvAGQAdQBjAHQAaQBvAG4AIABmAG8AcgAgAHQAaABlACAAcwBlAGEAcwBvAG4AIABvAGYAIABjAGEAbAB2AGkAbgBnACAAYQBuAGQAIABzAGUAYQBzAG8AbgAgAGEAZgB0AGUAcgAgAGMAYQBsAHYAaQBuAGcAXABuAE0AUABfAGoAawA1AFwAbgBrAGcALwBoAGUAYQBkAC8AZABhAHkAXABuAE0AUABfAHsAagBrAD0ANQB9AD0ATABDAF8AewBqAGsAPQA1AH0AXABcAHQAaQBtAGUAcwAgAEQATQBQAF8AewBqAGsAPQA1AH0AXABuAEwAQwBfAGoAawA1ACAAPQAgAHAAcgBvAHAAbwByAHQAaQBvAG4AIABvAGYAIABjAG8AdwBzACAAZwByAGUAYQB0AGUAcgAgAHQAaABhAG4AIAAyACAAeQBlAGEAcgBzACAAbABhAGMAdABhAHQAaQBuAGcAIABmAG8AcgAgAHQAaABlACAAcwBlAGEAcwBvAG4AIABvAGYAIABjAGEAbAB2AGkAbgBnACAAYQBuAGQAIABzAGUAYQBzAG8AbgAgAGEAZgB0AGUAcgAgAGMAYQBsAHYAaQBuAGcAIABlAHgAcAByAGUAcwBzAGUAZAAgAGEAcwAgAGEAIABmAHIAYQBjAHQAaQBvAG4AXABuAEQATQBQAF8AagBrADUAIAA9ACAAZABhAGkAbAB5ACAAbQBpAGwAawAgAHAAcgBvAGQAdQBjAHQAaQBvAG4AIAAoAGsAZwAvAGgAZQBhAGQALwBkAGEAeQApAFwAbgAtAC0ALQAtAC0ALQAtAC0ALQAtAC0ALQAtAC0ALQAtAC0ALQAtAC0ALQAtAC0ALQAtAC0ALQAtAC0ALQAtAC0ALQAtAC0ALQAtAC0AXABuACoALwBcAG4AXABuAFYARQBFAFIARwBfADQAXwAyAF8AMQBfADMAXwBfADUAXwBNAGkAbABrAFAAcgBvAGQAdQBjAHQAaQBvAG4ARgBvAHIAQwBhAGwAdgBpAG4AZwBTAGUAYQBzAG8AbgBcAG4AIAAgAD0ATABBAE0AQgBEAEEAKABcAG4AIAAgACAAIABMAEMAXwBqAGsANQAsACAARABNAFAAXwBqAGsANQAsAFwAbgAgACAAIAAgAEwAQwBfAGoAawA1ACAAKgAgAEQATQBQAF8AagBrADUAXABuACAAIAApADsAXABuAFwAbgBWAEUARQBSAEcAXwA0AF8AMgBfADEAXwAzAF8AXwA1AF8ATQBpAGwAawBQAHIAbwBkAHUAYwB0AGkAbwBuAEYAbwByAEMAYQBsAHYAaQBuAGcAUwBlAGEAcwBvAG4AVgBhAHIAaQBhAHQAaQBvAG4AXABuACAAIAA9AEwAQQBNAEIARABBACgAXABuACAAIAAgACAATABDAF8AagBrADUAYwB1AHIAcgAsACAATABDAF8AagBrADUAcAByAGUAdgAsACAARABNAFAAXwBqAGsANQBjAGEAbAB2ACwAIABEAE0AUABfAGoAawA1AGEAZgB0AGUAcgAsAFwAbgAgACAAIAAgACgATABDAF8AagBrADUAYwB1AHIAcgAgACoAIABEAE0AUABfAGoAawA1AGMAYQBsAHYAKQAgACsAIAAoAEwAQwBfAGoAawA1AHAAcgBlAHYAIAAqACAARABNAFAAXwBqAGsANQBhAGYAdABlAHIAKQBcAG4AIAAgACkAOwBcAG4AXABuAFYARQBFAFIARwBfADQAXwAyAF8AMQBfADMAXwBfADUAXwBNAGkAbABrAFAAcgBvAGQAdQBjAHQAaQBvAG4ARgBvAHIAQwBhAGwAdgBpAG4AZwBTAGUAYQBzAG8AbgBfAFQAaQB0AGwAZQBcAG4AIAAgAD0ATABBAE0AQgBEAEEAKABcACIATQBpAGwAawAgAHAAcgBvAGQAdQBjAHQAaQBvAG4AIABmAG8AcgAgAHQAaABlACAAcwBlAGEAcwBvAG4AIABvAGYAIABjAGEAbAB2AGkAbgBnACAAYQBuAGQAIABzAGUAYQBzAG8AbgAgAGEAZgB0AGUAcgAgAGMAYQBsAHYAaQBuAGcAXAAiACkAOwBcAG4AXABuAFYARQBFAFIARwBfADQAXwAyAF8AMQBfADMAXwBfADUAXwBNAGkAbABrAFAAcgBvAGQAdQBjAHQAaQBvAG4ARgBvAHIAQwBhAGwAdgBpAG4AZwBTAGUAYQBzAG8AbgBfAFYAYQByAGkAYQBiAGwAZQBcAG4AIAAgAD0ATABBAE0AQgBEAEEAKABcACIATQBQAF8AagBrADUAXAAiACkAOwBcAG4AXABuAFYARQBFAFIARwBfADQAXwAyAF8AMQBfADMAXwBfADUAXwBNAGkAbABrAFAAcgBvAGQAdQBjAHQAaQBvAG4ARgBvAHIAQwBhAGwAdgBpAG4AZwBTAGUAYQBzAG8AbgBfAFUAbgBpAHQAXABuACAAIAA9AEwAQQBNAEIARABBACgAXAAiAGsAZwAvAGgAZQBhAGQALwBkAGEAeQBcACIAKQA7AFwAbgBcAG4AVgBFAEUAUgBHAF8ANABfADIAXwAxAF8AMwBfAF8ANQBfAE0AaQBsAGsAUAByAG8AZAB1AGMAdABpAG8AbgBGAG8AcgBDAGEAbAB2AGkAbgBnAFMAZQBhAHMAbwBuAF8AUwBvAHUAcgBjAGUAXABuACAAIAA9AEwAQQBNAEIARABBACgAXAAiAFYARQBFAFIARwAgADIAMAAyADYAOgAgADQALgAyAC4AMQAuADMALAAgAEUAcQB1AGEAdABpAG8AbgAgACgANQApAFwAIgApADsAXABuAFwAbgBWAEUARQBSAEcAXwA0AF8AMgBfADEAXwAzAF8AXwA1AF8ATQBpAGwAawBQAHIAbwBkAHUAYwB0AGkAbwBuAEYAbwByAEMAYQBsAHYAaQBuAGcAUwBlAGEAcwBvAG4AXwBOAEkAUgBSAGUAZgBlAHIAZQBuAGMAZQBcAG4AIAAgAD0ATABBAE0AQgBEAEEAKABcACIAXAAiACkAOwBcAG4AXABuAFYARQBFAFIARwBfADQAXwAyAF8AMQBfADMAXwBfADUAXwBNAGkAbABrAFAAcgBvAGQAdQBjAHQAaQBvAG4ARgBvAHIAQwBhAGwAdgBpAG4AZwBTAGUAYQBzAG8AbgBfAEwAYQB0AGUAeABFAHEAdQBhAHQAaQBvAG4AXABuACAAIAA9AEwAQQBNAEIARABBACgAXAAiAE0AUABfAHsAagBrAD0ANQB9AD0ATABDAF8AewBqAGsAPQA1AH0AXABcAHQAaQBtAGUAcwAgAEQATQBQAF8AewBqAGsAPQA1AH0AXAAiACkAOwBcAG4AXABuAFYARQBFAFIARwBfADQAXwAyAF8AMQBfADMAXwBfADUAXwBNAGkAbABrAFAAcgBvAGQAdQBjAHQAaQBvAG4ARgBvAHIAQwBhAGwAdgBpAG4AZwBTAGUAYQBzAG8AbgBfAEwAYQB0AGUAeABFAHEAdQBhAHQAaQBvAG4AVgBhAHIAaQBhAHQAaQBvAG4AXABuACAAIAA9AEwAQQBNAEIARABBACgAXAAiAE0AUABfAHsAagBrAD0ANQB9AD0AKABMAEMAXwB7AGoAawA9ADUALABjAHUAcgByAGUAbgB0AH0AXABcAHQAaQBtAGUAcwAgAEQATQBQAF8AewBqAGsAPQA1ACwAYwBhAGwAdgB9ACkAKwAoAEwAQwBfAHsAagBrAD0ANQAsAHAAcgBlAHYAfQBcAFwAdABpAG0AZQBzACAARABNAFAAXwB7AGoAawA9ADUALABhAGYAdABlAHIAfQApAFwAIgApADsAXABuAFwAbgBWAEUARQBSAEcAXwA0AF8AMgBfADEAXwAzAF8AXwA1AF8ATQBpAGwAawBQAHIAbwBkAHUAYwB0AGkAbwBuAEYAbwByAEMAYQBsAHYAaQBuAGcAUwBlAGEAcwBvAG4AXwBBAHIAZwB1AG0AZQBuAHQAcwBcAG4AIAAgAD0ATABBAE0AQgBEAEEAKABcAG4AIAAgACAAIABNAEEASwBFAEEAUgBSAEEAWQAoADMALAAgADQALABcAG4AIAAgACAAIAAgACAATABBAE0AQgBEAEEAKAByACwAYwAsAFwAbgAgACAAIAAgACAAIAAgACAASQBOAEQARQBYACgAewBcAG4AIAAgACAAIAAgACAAIAAgACAAIABcACIATABDAF8AagBrADUAXAAiACwAIABcACIAcAByAG8AcABvAHIAdABpAG8AbgAgAG8AZgAgAGMAbwB3AHMAIABnAHIAZQBhAHQAZQByACAAdABoAGEAbgAgADIAIAB5AGUAYQByAHMAIABsAGEAYwB0AGEAdABpAG4AZwAgAGYAbwByACAAdABoAGUAIABzAGUAYQBzAG8AbgAgAG8AZgAgAGMAYQBsAHYAaQBuAGcAIABhAG4AZAAgAHMAZQBhAHMAbwBuACAAYQBmAHQAZQByACAAYwBhAGwAdgBpAG4AZwAgAGUAeABwAHIAZQBzAHMAZQBkACAAYQBzACAAYQAgAGYAcgBhAGMAdABpAG8AbgBcACIALAAgAFwAIgBmAHIAYQBjAHQAaQBvAG4AXAAiACwAIABcACIASQBuAHAAdQB0AFwAIgA7AFwAbgAgACAAIAAgACAAIAAgACAAIAAgAFwAIgBEAE0AUABfAGoAawA1AFwAIgAsACAAXAAiAGQAYQBpAGwAeQAgAG0AaQBsAGsAIABwAHIAbwBkAHUAYwB0AGkAbwBuACAAKABrAGcALwBoAGUAYQBkAC8AZABhAHkAKQBcACIALAAgAFwAIgBrAGcALwBoAGUAYQBkAC8AZABhAHkAXAAiACwAIABcACIAQwBvAG4AcwB0AGEAbgB0AFwAIgA7AFwAbgAgACAAIAAgACAAIAAgACAAIAAgAFwAIgBiAFwAIgAsACAAXAAiAGIAcgBlAGUAZAAgAG8AZgAgAGMAYQB0AHQAbABlAFwAIgAsACAAXAAiAFwAIgAsACAAXAAiAEkAbgBwAHUAdABcACIAXABuACAAIAAgACAAIAAgACAAIAB9ACwAIAByACwAIABjACkAXABuACAAIAAgACAAIAAgACkAXABuACAAIAAgACAAKQBcAG4AIAAgACkAOwBcAG4AXABuAFYARQBFAFIARwBfADQAXwAyAF8AMQBfADMAXwBfADUAXwBNAGkAbABrAFAAcgBvAGQAdQBjAHQAaQBvAG4ARgBvAHIAQwBhAGwAdgBpAG4AZwBTAGUAYQBzAG8AbgBfAEEAcgBnAHUAbQBlAG4AdABzAFYAYQByAGkAYQB0AGkAbwBuAFwAbgAgACAAPQBMAEEATQBCAEQAQQAoAFwAbgAgACAAIAAgAE0AQQBLAEUAQQBSAFIAQQBZACgANQAsACAANAAsAFwAbgAgACAAIAAgACAAIABMAEEATQBCAEQAQQAoAHIALABjACwAXABuACAAIAAgACAAIAAgACAAIABJAE4ARABFAFgAKAB7AFwAbgAgACAAIAAgACAAIAAgACAAIAAgAFwAIgBMAEMAXwBqAGsANQBjAHUAcgByAFwAIgAsACAAXAAiAHAAcgBvAHAAbwByAHQAaQBvAG4AIABvAGYAIABjAG8AdwBzACAAZwByAGUAYQB0AGUAcgAgAHQAaABhAG4AIAAyACAAeQBlAGEAcgBzACAAbABhAGMAdABhAHQAaQBuAGcAIABmAG8AcgAgAHQAaABlACAAcwBlAGEAcwBvAG4AIABvAGYAIABjAGEAbAB2AGkAbgBnAFwAIgAsACAAXAAiAGYAcgBhAGMAdABpAG8AbgBcACIALAAgAFwAIgBJAG4AcAB1AHQAXAAiADsAXABuACAAIAAgACAAIAAgACAAIAAgACAAXAAiAEwAQwBfAGoAawA1AHAAcgBlAHYAXAAiACwAIABcACIAcAByAG8AcABvAHIAdABpAG8AbgAgAG8AZgAgAGMAbwB3AHMAIABnAHIAZQBhAHQAZQByACAAdABoAGEAbgAgADIAIAB5AGUAYQByAHMAIABsAGEAYwB0AGEAdABpAG4AZwAgAGYAbwByACAAdABoAGUAIABzAGUAYQBzAG8AbgAgAGEAZgB0AGUAcgAgAGMAYQBsAHYAaQBuAGcAXAAiACwAIABcACIAZgByAGEAYwB0AGkAbwBuAFwAIgAsACAAXAAiAEkAbgBwAHUAdABcACIAOwBcAG4AIAAgACAAIAAgACAAIAAgACAAIABcACIARABNAFAAXwBqAGsANQBjAGEAbAB2AFwAIgAsACAAXAAiAGQAYQBpAGwAeQAgAG0AaQBsAGsAIABwAHIAbwBkAHUAYwB0AGkAbwBuACAAZgBvAHIAIAB0AGgAZQAgAHMAZQBhAHMAbwBuACAAbwBmACAAYwBhAGwAdgBpAG4AZwAgACgAawBnAC8AaABlAGEAZAAvAGQAYQB5ACkAXAAiACwAIABcACIAawBnAC8AaABlAGEAZAAvAGQAYQB5AFwAIgAsACAAXAAiAEMAbwBuAHMAdABhAG4AdABcACIAOwBcAG4AIAAgACAAIAAgACAAIAAgACAAIABcACIARABNAFAAXwBqAGsANQBhAGYAdABlAHIAXAAiACwAIABcACIAZABhAGkAbAB5ACAAbQBpAGwAawAgAHAAcgBvAGQAdQBjAHQAaQBvAG4AIABmAG8AcgAgAHQAaABlACAAcwBlAGEAcwBvAG4AIABhAGYAdABlAHIAIABjAGEAbAB2AGkAbgBnACAAKABrAGcALwBoAGUAYQBkAC8AZABhAHkAKQBcACIALAAgAFwAIgBrAGcALwBoAGUAYQBkAC8AZABhAHkAXAAiACwAIABcACIAQwBvAG4AcwB0AGEAbgB0AFwAIgA7AFwAbgAgACAAIAAgACAAIAAgACAAIAAgAFwAIgBiAFwAIgAsACAAXAAiAGIAcgBlAGUAZAAgAG8AZgAgAGMAYQB0AHQAbABlAFwAIgAsACAAXAAiAFwAIgAsACAAXAAiAEkAbgBwAHUAdABcACIAXABuACAAIAAgACAAIAAgACAAIAB9ACwAIAByACwAIABjACkAXABuACAAIAAgACAAIAAgACkAXABuACAAIAAgACAAKQBcAG4AIAAgACkAOwBcAG4AXABuAFYARQBFAFIARwBfADQAXwAyAF8AMQBfADMAXwBfADUAXwBNAGkAbABrAFAAcgBvAGQAdQBjAHQAaQBvAG4ARgBvAHIAQwBhAGwAdgBpAG4AZwBTAGUAYQBzAG8AbgBfAFYAYQByAGkAYQB0AGkAbwBuAFwAbgA9AEwAQQBNAEIARABBACgAXAAiAFYAQQBSAEkAQQBUAEkATwBOACAATwBOACAAUwBPAFUAUgBDAEUAOgAgAFMAcABsAGkAdAAgAEwAQwAgAGEAbgBkACAARABNAFAAIABpAG4AdABvACAAYwBhAGwAdgBpAG4AZwAgAHMAZQBhAHMAbwBuACAAYQBuAGQAIABhAGYAdABlAHIAIABjAGEAbAB2AGkAbgBnACAAcwBlAGEAcwBvAG4AIAB2AGEAbAB1AGUAcwAuAFwAIgApADsAXABuAFwAbgAvACoAXABuAC0ALQAtAC0ALQAtAC0ALQAtAC0ALQAtAC0ALQAtAC0ALQAtAC0ALQAtAC0ALQAtAC0ALQAtAC0ALQAtAC0ALQAtAC0ALQAtAC0ALQBcAG4AVgBFAEUAUgBHAF8ANABfADIAXwAxAF8AMwBfAF8ANgBfAEkAbgB0AGEAawBlAFIAZQBsAGEAdABpAHYAZQBUAG8ATQBhAGkAbgB0AGUAbgBhAG4AYwBlAFwAbgBJAG4AdABhAGsAZQAgAHIAZQBsAGEAdABpAHYAZQAgAHQAbwAgAHQAaABhAHQAIABuAGUAZQBkAGUAZAAgAGYAbwByACAAbQBhAGkAbgB0AGUAbgBhAG4AYwBlAFwAbgBMAF8AagBrAGwAXABuAHIAYQB0AGkAbwBcAG4ATABfAHsAagBrAGwAfQA9AFwAXABmAHIAYQBjAHsASQBfAHsAagBrAGwAfQB9AHsAKAAxAC4AMQA4ADUAKwAwAC4AMAAwADQANQA0AFwAXAB0AGkAbQBlAHMAIABXAF8AewBqAGsAbAB9AC0AMAAuADAAMAAwADAAMAAyADYAXABcAHQAaQBtAGUAcwAgAFcAXwB7AGoAawBsAH0AXgB7ADIAfQApAF4AewAyAH0AfQBcAG4ASQBfAGoAawBsACAAPQAgAGQAcgB5ACAAbQBhAHQAdABlAHIAIABpAG4AdABhAGsAZQAgAGEAcwAgAGMAYQBsAGMAdQBsAGEAdABlAGQAIABpAG4AIABDAGgAYQBwAHQAZQByACAAMwAgAFMAZQBjAHQAaQBvAG4AIAAzAC4AMgAuADEAIAAoAGsAZwAgAEQATQAvAGgAZQBhAGQALwBkAGEAeQApAFwAbgBXAF8AagBrAGwAIAA9ACAAbABpAHYAZQB3AGUAaQBnAGgAdAAgACgAawBnAC8AaABlAGEAZAApAFwAbgAtAC0ALQAtAC0ALQAtAC0ALQAtAC0ALQAtAC0ALQAtAC0ALQAtAC0ALQAtAC0ALQAtAC0ALQAtAC0ALQAtAC0ALQAtAC0ALQAtAC0AXABuACoALwBcAG4AXABuAFYARQBFAFIARwBfADQAXwAyAF8AMQBfADMAXwBfADYAXwBJAG4AdABhAGsAZQBSAGUAbABhAHQAaQB2AGUAVABvAE0AYQBpAG4AdABlAG4AYQBuAGMAZQBcAG4AIAAgAD0ATABBAE0AQgBEAEEAKABcAG4AIAAgACAAIABJAF8AagBrAGwALAAgAFcAXwBqAGsAbAAsAFwAbgAgACAAIAAgAEkAXwBqAGsAbAAgAC8AIAAoACgAMQAuADEAOAA1ACAAKwAgADAALgAwADAANAA1ADQAIAAqACAAVwBfAGoAawBsACAALQAgADAALgAwADAAMAAwADAAMgA2ACAAKgAgAFcAXwBqAGsAbAAgAF4AIAAyACkAIABeACAAMgApAFwAbgAgACAAKQA7AFwAbgBcAG4AVgBFAEUAUgBHAF8ANABfADIAXwAxAF8AMwBfAF8ANgBfAEkAbgB0AGEAawBlAFIAZQBsAGEAdABpAHYAZQBUAG8ATQBhAGkAbgB0AGUAbgBhAG4AYwBlAF8AVABpAHQAbABlAFwAbgAgACAAPQBMAEEATQBCAEQAQQAoAFwAIgBJAG4AdABhAGsAZQAgAHIAZQBsAGEAdABpAHYAZQAgAHQAbwAgAHQAaABhAHQAIABuAGUAZQBkAGUAZAAgAGYAbwByACAAbQBhAGkAbgB0AGUAbgBhAG4AYwBlAFwAIgApADsAXABuAFwAbgBWAEUARQBSAEcAXwA0AF8AMgBfADEAXwAzAF8AXwA2AF8ASQBuAHQAYQBrAGUAUgBlAGwAYQB0AGkAdgBlAFQAbwBNAGEAaQBuAHQAZQBuAGEAbgBjAGUAXwBWAGEAcgBpAGEAYgBsAGUAXABuACAAIAA9AEwAQQBNAEIARABBACgAXAAiAEwAXwBqAGsAbABcACIAKQA7AFwAbgBcAG4AVgBFAEUAUgBHAF8ANABfADIAXwAxAF8AMwBfAF8ANgBfAEkAbgB0AGEAawBlAFIAZQBsAGEAdABpAHYAZQBUAG8ATQBhAGkAbgB0AGUAbgBhAG4AYwBlAF8AVQBuAGkAdABcAG4AIAAgAD0ATABBAE0AQgBEAEEAKABcACIAcgBhAHQAaQBvAFwAIgApADsAXABuAFwAbgBWAEUARQBSAEcAXwA0AF8AMgBfADEAXwAzAF8AXwA2AF8ASQBuAHQAYQBrAGUAUgBlAGwAYQB0AGkAdgBlAFQAbwBNAGEAaQBuAHQAZQBuAGEAbgBjAGUAXwBTAG8AdQByAGMAZQBcAG4AIAAgAD0ATABBAE0AQgBEAEEAKABcACIAVgBFAEUAUgBHACAAMgAwADIANgA6ACAANAAuADIALgAxAC4AMwAsACAARQBxAHUAYQB0AGkAbwBuACAAKAA2ACkAXAAiACkAOwBcAG4AXABuAFYARQBFAFIARwBfADQAXwAyAF8AMQBfADMAXwBfADYAXwBJAG4AdABhAGsAZQBSAGUAbABhAHQAaQB2AGUAVABvAE0AYQBpAG4AdABlAG4AYQBuAGMAZQBfAE4ASQBSAFIAZQBmAGUAcgBlAG4AYwBlAFwAbgAgACAAPQBMAEEATQBCAEQAQQAoAFwAIgBcACIAKQA7AFwAbgBcAG4AVgBFAEUAUgBHAF8ANABfADIAXwAxAF8AMwBfAF8ANgBfAEkAbgB0AGEAawBlAFIAZQBsAGEAdABpAHYAZQBUAG8ATQBhAGkAbgB0AGUAbgBhAG4AYwBlAF8ATABhAHQAZQB4AEUAcQB1AGEAdABpAG8AbgBcAG4AIAAgAD0ATABBAE0AQgBEAEEAKABcACIATABfAHsAagBrAGwAfQA9AFwAXABmAHIAYQBjAHsASQBfAHsAagBrAGwAfQB9AHsAKAAxAC4AMQA4ADUAKwAwAC4AMAAwADQANQA0AFwAXAB0AGkAbQBlAHMAIABXAF8AewBqAGsAbAB9AC0AMAAuADAAMAAwADAAMAAyADYAXABcAHQAaQBtAGUAcwAgAFcAXwB7AGoAawBsAH0AXgB7ADIAfQApAF4AewAyAH0AfQBcACIAKQA7AFwAbgBcAG4AVgBFAEUAUgBHAF8ANABfADIAXwAxAF8AMwBfAF8ANgBfAEkAbgB0AGEAawBlAFIAZQBsAGEAdABpAHYAZQBUAG8ATQBhAGkAbgB0AGUAbgBhAG4AYwBlAF8AQQByAGcAdQBtAGUAbgB0AHMAXABuACAAIAA9AEwAQQBNAEIARABBACgAXABuACAAIAAgACAATQBBAEsARQBBAFIAUgBBAFkAKAAyACwAIAA0ACwAXABuACAAIAAgACAAIAAgAEwAQQBNAEIARABBACgAcgAsAGMALABcAG4AIAAgACAAIAAgACAAIAAgAEkATgBEAEUAWAAoAHsAXABuACAAIAAgACAAIAAgACAAIAAgACAAXAAiAEkAXwBqAGsAbABcACIALAAgAFwAIgBkAHIAeQAgAG0AYQB0AHQAZQByACAAaQBuAHQAYQBrAGUAIABhAHMAIABjAGEAbABjAHUAbABhAHQAZQBkACAAaQBuACAAQwBoAGEAcAB0AGUAcgAgADMAIABTAGUAYwB0AGkAbwBuACAAMwAuADIALgAxACAAKABrAGcAIABEAE0ALwBoAGUAYQBkAC8AZABhAHkAKQBcACIALAAgAFwAIgBrAGcAIABEAE0ALwBoAGUAYQBkAC8AZABhAHkAXAAiACwAIABcACIAQwBhAGwAYwB1AGwAYQB0AGUAZAAgAGYAcgBvAG0AIAAzAC4AMgAuADEALgAxACAAKAAzACkAXAAiADsAXABuACAAIAAgACAAIAAgACAAIAAgACAAXAAiAFcAXwBqAGsAbABcACIALAAgAFwAIgBsAGkAdgBlAHcAZQBpAGcAaAB0ACAAKABrAGcALwBoAGUAYQBkACkAXAAiACwAIABcACIAawBnAC8AaABlAGEAZABcACIALAAgAFwAIgBJAG4AcAB1AHQAXAAiAFwAbgAgACAAIAAgACAAIAAgACAAfQAsACAAcgAsACAAYwApAFwAbgAgACAAIAAgACAAIAApAFwAbgAgACAAIAAgACkAXABuACAAIAApADsAXABuAFwAbgAvACoAXABuAC0ALQAtAC0ALQAtAC0ALQAtAC0ALQAtAC0ALQAtAC0ALQAtAC0ALQAtAC0ALQAtAC0ALQAtAC0ALQAtAC0ALQAtAC0ALQAtAC0ALQBcAG4AVgBFAEUAUgBHAF8ANABfADIAXwAxAF8AMwBfAF8ANwBfAFIAZQBsAGEAdABpAHYAZQBTAGkAegBlAFwAbgBSAGUAbABhAHQAaQB2AGUAIABzAGkAegBlACAAbwBmACAAdABoAGUAIABjAGEAdAB0AGwAZQBcAG4AWgBfAGoAawBsAFwAbgByAGEAdABpAG8AXABuAFoAXwB7AGoAawBsAH0APQBcAFwAZgByAGEAYwB7AFcAXwB7AGoAawBsAH0AfQB7AFMAUgBXAF8AawB9AFwAbgBXAF8AagBrAGwAIAA9ACAAbABpAHYAZQB3AGUAaQBnAGgAdAAgACgAawBnACkAXABuAFMAUgBXAF8AawAgAD0AIABzAHQAYQBuAGQAYQByAGQAIAByAGUAZgBlAHIAZQBuAGMAZQAgAHcAZQBpAGcAaAB0ACAAKABrAGcAKQBcAG4ALQAtAC0ALQAtAC0ALQAtAC0ALQAtAC0ALQAtAC0ALQAtAC0ALQAtAC0ALQAtAC0ALQAtAC0ALQAtAC0ALQAtAC0ALQAtAC0ALQAtAFwAbgAqAC8AXABuAFwAbgBWAEUARQBSAEcAXwA0AF8AMgBfADEAXwAzAF8AXwA3AF8AUgBlAGwAYQB0AGkAdgBlAFMAaQB6AGUAXABuACAAIAA9AEwAQQBNAEIARABBACgAXABuACAAIAAgACAAVwBfAGoAawBsACwAIABTAFIAVwBfAGsALABcAG4AIAAgACAAIABXAF8AagBrAGwAIAAvACAAUwBSAFcAXwBrAFwAbgAgACAAKQA7AFwAbgBcAG4AVgBFAEUAUgBHAF8ANABfADIAXwAxAF8AMwBfAF8ANwBfAFIAZQBsAGEAdABpAHYAZQBTAGkAegBlAF8AVABpAHQAbABlAFwAbgAgACAAPQBMAEEATQBCAEQAQQAoAFwAIgBSAGUAbABhAHQAaQB2AGUAIABzAGkAegBlACAAbwBmACAAdABoAGUAIABjAGEAdAB0AGwAZQBcACIAKQA7AFwAbgBcAG4AVgBFAEUAUgBHAF8ANABfADIAXwAxAF8AMwBfAF8ANwBfAFIAZQBsAGEAdABpAHYAZQBTAGkAegBlAF8AVgBhAHIAaQBhAGIAbABlAFwAbgAgACAAPQBMAEEATQBCAEQAQQAoAFwAIgBaAF8AagBrAGwAXAAiACkAOwBcAG4AXABuAFYARQBFAFIARwBfADQAXwAyAF8AMQBfADMAXwBfADcAXwBSAGUAbABhAHQAaQB2AGUAUwBpAHoAZQBfAFUAbgBpAHQAXABuACAAIAA9AEwAQQBNAEIARABBACgAXAAiAHIAYQB0AGkAbwBcACIAKQA7AFwAbgBcAG4AVgBFAEUAUgBHAF8ANABfADIAXwAxAF8AMwBfAF8ANwBfAFIAZQBsAGEAdABpAHYAZQBTAGkAegBlAF8AUwBvAHUAcgBjAGUAXABuACAAIAA9AEwAQQBNAEIARABBACgAXAAiAFYARQBFAFIARwAgADIAMAAyADYAOgAgADQALgAyAC4AMQAuADMALAAgAEUAcQB1AGEAdABpAG8AbgAgACgANwApAFwAIgApADsAXABuAFwAbgBWAEUARQBSAEcAXwA0AF8AMgBfADEAXwAzAF8AXwA3AF8AUgBlAGwAYQB0AGkAdgBlAFMAaQB6AGUAXwBOAEkAUgBSAGUAZgBlAHIAZQBuAGMAZQBcAG4AIAAgAD0ATABBAE0AQgBEAEEAKABcACIAXAAiACkAOwBcAG4AXABuAFYARQBFAFIARwBfADQAXwAyAF8AMQBfADMAXwBfADcAXwBSAGUAbABhAHQAaQB2AGUAUwBpAHoAZQBfAEwAYQB0AGUAeABFAHEAdQBhAHQAaQBvAG4AXABuACAAIAA9AEwAQQBNAEIARABBACgAXAAiAFoAXwB7AGoAawBsAH0APQBcAFwAZgByAGEAYwB7AFcAXwB7AGoAawBsAH0AfQB7AFMAUgBXAF8AawB9AFwAIgApADsAXABuAFwAbgBWAEUARQBSAEcAXwA0AF8AMgBfADEAXwAzAF8AXwA3AF8AUgBlAGwAYQB0AGkAdgBlAFMAaQB6AGUAXwBBAHIAZwB1AG0AZQBuAHQAcwBcAG4AIAAgAD0ATABBAE0AQgBEAEEAKABcAG4AIAAgACAAIABNAEEASwBFAEEAUgBSAEEAWQAoADMALAAgADQALABcAG4AIAAgACAAIAAgACAATABBAE0AQgBEAEEAKAByACwAYwAsAFwAbgAgACAAIAAgACAAIAAgACAASQBOAEQARQBYACgAewBcAG4AIAAgACAAIAAgACAAIAAgACAAIABcACIAVwBfAGoAawBsAFwAIgAsACAAXAAiAGwAaQB2AGUAdwBlAGkAZwBoAHQAIAAoAGsAZwApAFwAIgAsACAAXAAiAGsAZwBcACIALAAgAFwAIgBJAG4AcAB1AHQAXAAiADsAXABuACAAIAAgACAAIAAgACAAIAAgACAAXAAiAFMAUgBXAF8AawBcACIALAAgAFwAIgBzAHQAYQBuAGQAYQByAGQAIAByAGUAZgBlAHIAZQBuAGMAZQAgAHcAZQBpAGcAaAB0ACAAKABrAGcAKQBcACIALAAgAFwAIgBrAGcAXAAiACwAIABcACIAQwBvAG4AcwB0AGEAbgB0AFwAIgA7AFwAbgAgACAAIAAgACAAIAAgACAAIAAgAFwAIgBpAFwAIgAsACAAXAAiAHMAdABhAHQAZQBcACIALAAgAFwAIgBcACIALAAgAFwAIgBJAG4AcAB1AHQAXAAiAFwAbgAgACAAIAAgACAAIAAgACAAfQAsACAAcgAsACAAYwApAFwAbgAgACAAIAAgACAAIAApAFwAbgAgACAAIAAgACkAXABuACAAIAApADsAXABuACIAfQAsAHsAIgBwAGEAdABoACIAOgAiAC8AcAByAG8AagBlAGMAdABzAC8ATQBNAFMAXwBQAGEAcwB0AHUAcgBlAEIAZQBlAGYAXwBTAG8AaQBsAF8AQQB0AG0AbwBzAHAAaABlAHIAaQBjAEQAZQBwAG8AcwBpAHQAaQBvAG4AXwBFAHEAdQBhAHQAaQBvAG4AcwAiACwAIgB0AGUAeAB0ACIAOgAiAC8AKgBcAG4APQA9AD0APQA9AD0APQA9AD0APQA9AD0APQA9AD0APQA9AD0APQA9AD0APQA9AD0APQA9AD0APQA9AD0APQA9AD0APQA9AD0APQA9AD0APQA9AD0APQA9AD0APQA9AD0APQA9AD0APQA9AD0APQA9AD0APQA9AD0APQA9AD0APQA9AD0APQA9AD0APQA9AD0APQA9AD0APQBcAG4ANAAuADIAOgAgAFAAYQBzAHQAdQByAGUAIABCAGUAZQBmAFwAbgA9AD0APQA9AD0APQA9AD0APQA9AD0APQA9AD0APQA9AD0APQA9AD0APQA9AD0APQA9AD0APQA9AD0APQA9AD0APQA9AD0APQA9AD0APQA9AD0APQA9AD0APQA9AD0APQA9AD0APQA9AD0APQA9AD0APQA9AD0APQA9AD0APQA9AD0APQA9AD0APQA9AD0APQA9AD0APQA9AFwAbgA0AC4AMgAuADEALgA1ACAATQBlAHQAaABvAGQAIAAxACAALQAgAFMAbwBpAGwAIABBAHQAbQBvAHMAcABoAGUAcgBpAGMAIABEAGUAcABvAHMAaQB0AGkAbwBuACAATgAyAE8AIABCAGUAZQBmACAARwByAGEAegBpAG4AZwBcAG4APQA9AD0APQA9AD0APQA9AD0APQA9AD0APQA9AD0APQA9AD0APQA9AD0APQA9AD0APQA9AD0APQA9AD0APQA9AD0APQA9AD0APQA9AD0APQA9AD0APQA9AD0APQA9AD0APQA9AD0APQA9AD0APQA9AD0APQA9AD0APQA9AD0APQA9AD0APQA9AD0APQA9AD0APQA9AD0APQBcAG4AKgAvAFwAbgBcAG4ALwAqAFwAbgAtAC0ALQAtAC0ALQAtAC0ALQAtAC0ALQAtAC0ALQAtAC0ALQAtAC0ALQAtAC0ALQAtAC0ALQAtAC0ALQAtAC0ALQAtAC0ALQAtAC0AXABuAFYARQBFAFIARwBfADQAXwAyAF8AMQBfADUAXwBfADEAXwBBAHQAbQBvAHMAcABoAGUAcgBpAGMARABlAHAAbwBzAGkAdABpAG8AbgBFAG0AaQBzAHMAaQBvAG4AcwBGAHIAbwBtAFUAcgBpAG4AZQBBAG4AZABEAHUAbgBnAE8AbgBQAGEAcwB0AHUAcgBlAFwAbgBBAHQAbQBvAHMAcABoAGUAcgBpAGMAIABkAGUAcABvAHMAaQB0AGkAbwBuACAAZQBtAGkAcwBzAGkAbwBuAHMAIABmAHIAbwBtACAAdQByAGkAbgBlACAAYQBuAGQAIABkAHUAbgBnACAAZABlAHAAbwBzAGkAdABlAGQAIABvAG4AIABwAGEAcwB0AHUAcgBlAFwAbgBFAF8ATgAyAE8AYQBkAFwAbgB0ACAATgAyAE8AXABuAEUAXwB7AE4AMgBPACwAYQBkAH0APQBNAF8AewB2AG8AbAB9AFwAXAB0AGkAbQBlAHMAIABFAEYAXwB7AE4AMgBPAH0AXABcAHQAaQBtAGUAcwAgAEMAXwB7AE4AMgBPAH0AXABcAHQAaQBtAGUAcwAgADEAMABeAHsALQAzAH0AXABuAE0AXwB2AG8AbAAgAD0AIABtAGEAcwBzACAAbwBmACAAbgBpAHQAcgBvAGcAZQBuACAAdgBvAGwAYQB0AGkAbABpAHMAZQBkACAAZgByAG8AbQAgAHUAcgBpAG4AZQAgAGEAbgBkACAAZgBhAGUAYwBlAHMAIABkAGUAcABvAHMAaQB0AGUAZAAgAG8AbgAgAHAAYQBzAHQAdQByAGUAIAAoAGsAZwAgAE4AKQBcAG4ARQBGAF8ATgAyAE8AIAA9ACAAbgBpAHQAcgBvAHUAcwAgAG8AeABpAGQAZQAgAGUAbQBpAHMAcwBpAG8AbgAgAGYAYQBjAHQAbwByACAAZgBvAHIAIABhAHQAbQBvAHMAcABoAGUAcgBpAGMAIABkAGUAcABvAHMAaQB0AGkAbwBuACAAKABrAGcAIABOADIATwAtAE4ALwBrAGcAIABOACkAXABuAEMAXwBOADIATwAgAD0AIABmAGEAYwB0AG8AcgAgAHQAbwAgAGMAbwBuAHYAZQByAHQAIABlAGwAZQBtAGUAbgB0AGEAbAAgAG0AYQBzAHMAIABvAGYAIABOADIATwAgAHQAbwAgAG0AbwBsAGUAYwB1AGwAYQByACAAbQBhAHMAcwBcAG4ALQAtAC0ALQAtAC0ALQAtAC0ALQAtAC0ALQAtAC0ALQAtAC0ALQAtAC0ALQAtAC0ALQAtAC0ALQAtAC0ALQAtAC0ALQAtAC0ALQAtAFwAbgAqAC8AXABuAFwAbgBWAEUARQBSAEcAXwA0AF8AMgBfADEAXwA1AF8AXwAxAF8AQQB0AG0AbwBzAHAAaABlAHIAaQBjAEQAZQBwAG8AcwBpAHQAaQBvAG4ARQBtAGkAcwBzAGkAbwBuAHMARgByAG8AbQBVAHIAaQBuAGUAQQBuAGQARAB1AG4AZwBPAG4AUABhAHMAdAB1AHIAZQBcAG4AIAAgAD0ATABBAE0AQgBEAEEAKABcAG4AIAAgACAAIABNAF8AdgBvAGwALAAgAEUARgBfAE4AMgBPACwAIABDAF8ATgAyAE8ALABcAG4AIAAgACAAIABNAF8AdgBvAGwAIAAqACAARQBGAF8ATgAyAE8AIAAqACAAQwBfAE4AMgBPACAAKgAgADEAMAAgAF4AIAAtADMAXABuACAAIAApADsAXABuAFwAbgBWAEUARQBSAEcAXwA0AF8AMgBfADEAXwA1AF8AXwAxAF8AQQB0AG0AbwBzAHAAaABlAHIAaQBjAEQAZQBwAG8AcwBpAHQAaQBvAG4ARQBtAGkAcwBzAGkAbwBuAHMARgByAG8AbQBVAHIAaQBuAGUAQQBuAGQARAB1AG4AZwBPAG4AUABhAHMAdAB1AHIAZQBfAFQAaQB0AGwAZQBcAG4AIAAgAD0ATABBAE0AQgBEAEEAKABcACIAQQB0AG0AbwBzAHAAaABlAHIAaQBjACAAZABlAHAAbwBzAGkAdABpAG8AbgAgAGUAbQBpAHMAcwBpAG8AbgBzACAAZgByAG8AbQAgAHUAcgBpAG4AZQAgAGEAbgBkACAAZAB1AG4AZwAgAGQAZQBwAG8AcwBpAHQAZQBkACAAbwBuACAAcABhAHMAdAB1AHIAZQBcACIAKQA7AFwAbgBcAG4AVgBFAEUAUgBHAF8ANABfADIAXwAxAF8ANQBfAF8AMQBfAEEAdABtAG8AcwBwAGgAZQByAGkAYwBEAGUAcABvAHMAaQB0AGkAbwBuAEUAbQBpAHMAcwBpAG8AbgBzAEYAcgBvAG0AVQByAGkAbgBlAEEAbgBkAEQAdQBuAGcATwBuAFAAYQBzAHQAdQByAGUAXwBWAGEAcgBpAGEAYgBsAGUAXABuACAAIAA9AEwAQQBNAEIARABBACgAXAAiAEUAXwBOADIATwBhAGQAXAAiACkAOwBcAG4AXABuAFYARQBFAFIARwBfADQAXwAyAF8AMQBfADUAXwBfADEAXwBBAHQAbQBvAHMAcABoAGUAcgBpAGMARABlAHAAbwBzAGkAdABpAG8AbgBFAG0AaQBzAHMAaQBvAG4AcwBGAHIAbwBtAFUAcgBpAG4AZQBBAG4AZABEAHUAbgBnAE8AbgBQAGEAcwB0AHUAcgBlAF8AVQBuAGkAdABcAG4AIAAgAD0ATABBAE0AQgBEAEEAKABcACIAdAAgAE4AMgBPAFwAIgApADsAXABuAFwAbgBWAEUARQBSAEcAXwA0AF8AMgBfADEAXwA1AF8AXwAxAF8AQQB0AG0AbwBzAHAAaABlAHIAaQBjAEQAZQBwAG8AcwBpAHQAaQBvAG4ARQBtAGkAcwBzAGkAbwBuAHMARgByAG8AbQBVAHIAaQBuAGUAQQBuAGQARAB1AG4AZwBPAG4AUABhAHMAdAB1AHIAZQBfAFMAbwB1AHIAYwBlAFwAbgAgACAAPQBMAEEATQBCAEQAQQAoAFwAIgBWAEUARQBSAEcAIAAyADAAMgA2ADoAIAA0AC4AMgAuADEALgA1ACwAIABFAHEAdQBhAHQAaQBvAG4AIAAoADEAKQBcACIAKQA7AFwAbgBcAG4AVgBFAEUAUgBHAF8ANABfADIAXwAxAF8ANQBfAF8AMQBfAEEAdABtAG8AcwBwAGgAZQByAGkAYwBEAGUAcABvAHMAaQB0AGkAbwBuAEUAbQBpAHMAcwBpAG8AbgBzAEYAcgBvAG0AVQByAGkAbgBlAEEAbgBkAEQAdQBuAGcATwBuAFAAYQBzAHQAdQByAGUAXwBOAEkAUgBSAGUAZgBlAHIAZQBuAGMAZQBcAG4AIAAgAD0ATABBAE0AQgBEAEEAKABcACIAXAAiACkAOwBcAG4AXABuAFYARQBFAFIARwBfADQAXwAyAF8AMQBfADUAXwBfADEAXwBBAHQAbQBvAHMAcABoAGUAcgBpAGMARABlAHAAbwBzAGkAdABpAG8AbgBFAG0AaQBzAHMAaQBvAG4AcwBGAHIAbwBtAFUAcgBpAG4AZQBBAG4AZABEAHUAbgBnAE8AbgBQAGEAcwB0AHUAcgBlAF8ATABhAHQAZQB4AEUAcQB1AGEAdABpAG8AbgBcAG4AIAAgAD0ATABBAE0AQgBEAEEAKABcACIARQBfAHsATgAyAE8ALABhAGQAfQA9AE0AXwB7AHYAbwBsAH0AXABcAHQAaQBtAGUAcwAgAEUARgBfAHsATgAyAE8AfQBcAFwAdABpAG0AZQBzACAAQwBfAHsATgAyAE8AfQBcAFwAdABpAG0AZQBzACAAMQAwAF4AewAtADMAfQBcACIAKQA7AFwAbgBcAG4AVgBFAEUAUgBHAF8ANABfADIAXwAxAF8ANQBfAF8AMQBfAEEAdABtAG8AcwBwAGgAZQByAGkAYwBEAGUAcABvAHMAaQB0AGkAbwBuAEUAbQBpAHMAcwBpAG8AbgBzAEYAcgBvAG0AVQByAGkAbgBlAEEAbgBkAEQAdQBuAGcATwBuAFAAYQBzAHQAdQByAGUAXwBBAHIAZwB1AG0AZQBuAHQAcwBcAG4AIAAgAD0ATABBAE0AQgBEAEEAKABcAG4AIAAgACAAIABNAEEASwBFAEEAUgBSAEEAWQAoADYALAAgADQALABcAG4AIAAgACAAIAAgACAATABBAE0AQgBEAEEAKAByACwAYwAsAFwAbgAgACAAIAAgACAAIAAgACAASQBOAEQARQBYACgAewBcAG4AIAAgACAAIAAgACAAIAAgACAAIABcACIATQBfAHYAbwBsAFwAIgAsACAAXAAiAG0AYQBzAHMAIABvAGYAIABuAGkAdAByAG8AZwBlAG4AIAB2AG8AbABhAHQAaQBsAGkAcwBlAGQAIABmAHIAbwBtACAAdQByAGkAbgBlACAAYQBuAGQAIABmAGEAZQBjAGUAcwAgAGQAZQBwAG8AcwBpAHQAZQBkACAAbwBuACAAcABhAHMAdAB1AHIAZQBcACIALAAgAFwAIgBrAGcAIABOAFwAIgAsACAAXAAiAEMAYQBsAGMAdQBsAGEAdABlAGQAIABmAHIAbwBtACAANAAuADIALgAxAC4ANQAgACgAMgApAFwAIgA7AFwAbgAgACAAIAAgACAAIAAgACAAIAAgAFwAIgBFAEYAXwBOADIATwBcACIALAAgAFwAIgBuAGkAdAByAG8AdQBzACAAbwB4AGkAZABlACAAZQBtAGkAcwBzAGkAbwBuACAAZgBhAGMAdABvAHIAIABmAG8AcgAgAGEAdABtAG8AcwBwAGgAZQByAGkAYwAgAGQAZQBwAG8AcwBpAHQAaQBvAG4AXAAiACwAIABcACIAawBnACAATgAyAE8ALQBOAC8AawBnACAATgBcACIALAAgAFwAIgBDAG8AbgBzAHQAYQBuAHQAXAAiADsAXABuACAAIAAgACAAIAAgACAAIAAgACAAXAAiAEMAXwBOADIATwBcACIALAAgAFwAIgBmAGEAYwB0AG8AcgAgAHQAbwAgAGMAbwBuAHYAZQByAHQAIABlAGwAZQBtAGUAbgB0AGEAbAAgAG0AYQBzAHMAIABvAGYAIABOADIATwAgAHQAbwAgAG0AbwBsAGUAYwB1AGwAYQByACAAbQBhAHMAcwBcACIALAAgAFwAIgBcACIALAAgAFwAIgBDAG8AbgBzAHQAYQBuAHQAXAAiADsAXABuACAAIAAgACAAIAAgACAAIAAgACAAXAAiAGoAXAAiACwAIABcACIAcAByAG8AZAB1AGMAdABpAG8AbgAgAHMAeQBzAHQAZQBtAFwAIgAsACAAXAAiAFwAIgAsACAAXAAiAEkAbgBwAHUAdABcACIAOwBcAG4AIAAgACAAIAAgACAAIAAgACAAIABcACIAaQBcACIALAAgAFwAIgBpAHIAcgBpAGcAYQB0AGkAbwBuACAAbQBlAHQAaABvAGQAXAAiACwAIABcACIAXAAiACwAIABcACIASQBuAHAAdQB0AFwAIgA7AFwAbgAgACAAIAAgACAAIAAgACAAIAAgAFwAIgByAFwAIgAsACAAXAAiAHIAYQBpAG4AZgBhAGwAbAAgAHoAbwBuAGUAXAAiACwAIABcACIAXAAiACwAIABcACIASQBuAHAAdQB0AFwAIgBcAG4AIAAgACAAIAAgACAAIAAgAH0ALAAgAHIALAAgAGMAKQBcAG4AIAAgACAAIAAgACAAKQBcAG4AIAAgACAAIAApAFwAbgAgACAAKQA7AFwAbgBcAG4ALwAqAFwAbgAtAC0ALQAtAC0ALQAtAC0ALQAtAC0ALQAtAC0ALQAtAC0ALQAtAC0ALQAtAC0ALQAtAC0ALQAtAC0ALQAtAC0ALQAtAC0ALQAtAC0AXABuAFYARQBFAFIARwBfADQAXwAyAF8AMQBfADUAXwBfADIAXwBNAGEAcwBzAE8AZgBOAGkAdAByAG8AZwBlAG4AVgBvAGwAYQB0AGkAbABpAHMAZQBkAE8AbgBQAGEAcwB0AHUAcgBlAFwAbgBNAGEAcwBzACAAbwBmACAAbgBpAHQAcgBvAGcAZQBuACAAdgBvAGwAYQB0AGkAbABpAHMAZQBkAFwAbgBNAF8AdgBvAGwAXABuAGsAZwAgAE4AXABuAE0AXwB7AHYAbwBsAH0APQBBAEUAXABcAHQAaQBtAGUAcwAgAEYAcgBhAGMARwBBAFMATQBzAG8AaQBsAFwAbgBBAEUAIAA9ACAAdABvAHQAYQBsACAAbQBhAHMAcwAgAG8AZgAgAG4AaQB0AHIAbwBnAGUAbgAgAGUAeABjAHIAZQB0AGUAZAAgAG8AbgAgAFAAUgBQACAAZgBvAHIAIABiAGUAZQBmACAAYwBhAHQAdABsAGUAIAAoAGsAZwAgAE4AKQBcAG4ARgByAGEAYwBHAEEAUwBNAHMAbwBpAGwAIAA9ACAAZgByAGEAYwB0AGkAbwBuACAAbwBmACAAbgBpAHQAcgBvAGcAZQBuACAAdgBvAGwAYQB0AGkAbABpAHMAZQBkACAAZgByAG8AbQAgAHUAcgBpAG4AZQAgAGEAbgBkACAAZgBhAGUAYwBlAHMAIABkAGUAcABvAHMAaQB0AGUAZAAgAG8AbgAgAHAAYQBzAHQAdQByAGUAIAAoACgAawBnACAATgBIADMALQBOACAAKwAgAE4ATwB4AC0ATgApAC8AawBnACAATgApAFwAbgAtAC0ALQAtAC0ALQAtAC0ALQAtAC0ALQAtAC0ALQAtAC0ALQAtAC0ALQAtAC0ALQAtAC0ALQAtAC0ALQAtAC0ALQAtAC0ALQAtAC0AXABuACoALwBcAG4AXABuAFYARQBFAFIARwBfADQAXwAyAF8AMQBfADUAXwBfADIAXwBNAGEAcwBzAE8AZgBOAGkAdAByAG8AZwBlAG4AVgBvAGwAYQB0AGkAbABpAHMAZQBkAE8AbgBQAGEAcwB0AHUAcgBlAFwAbgAgACAAPQBMAEEATQBCAEQAQQAoAFwAbgAgACAAIAAgAEEARQAsACAARgByAGEAYwBHAEEAUwBNAHMAbwBpAGwALABcAG4AIAAgACAAIABBAEUAIAAqACAARgByAGEAYwBHAEEAUwBNAHMAbwBpAGwAXABuACAAIAApADsAXABuAFwAbgBWAEUARQBSAEcAXwA0AF8AMgBfADEAXwA1AF8AXwAyAF8ATQBhAHMAcwBPAGYATgBpAHQAcgBvAGcAZQBuAFYAbwBsAGEAdABpAGwAaQBzAGUAZABPAG4AUABhAHMAdAB1AHIAZQBfAFQAaQB0AGwAZQBcAG4AIAAgAD0ATABBAE0AQgBEAEEAKABcACIATQBhAHMAcwAgAG8AZgAgAG4AaQB0AHIAbwBnAGUAbgAgAHYAbwBsAGEAdABpAGwAaQBzAGUAZABcACIAKQA7AFwAbgBcAG4AVgBFAEUAUgBHAF8ANABfADIAXwAxAF8ANQBfAF8AMgBfAE0AYQBzAHMATwBmAE4AaQB0AHIAbwBnAGUAbgBWAG8AbABhAHQAaQBsAGkAcwBlAGQATwBuAFAAYQBzAHQAdQByAGUAXwBWAGEAcgBpAGEAYgBsAGUAXABuACAAIAA9AEwAQQBNAEIARABBACgAXAAiAE0AXwB2AG8AbABcACIAKQA7AFwAbgBcAG4AVgBFAEUAUgBHAF8ANABfADIAXwAxAF8ANQBfAF8AMgBfAE0AYQBzAHMATwBmAE4AaQB0AHIAbwBnAGUAbgBWAG8AbABhAHQAaQBsAGkAcwBlAGQATwBuAFAAYQBzAHQAdQByAGUAXwBVAG4AaQB0AFwAbgAgACAAPQBMAEEATQBCAEQAQQAoAFwAIgBrAGcAIABOAFwAIgApADsAXABuAFwAbgBWAEUARQBSAEcAXwA0AF8AMgBfADEAXwA1AF8AXwAyAF8ATQBhAHMAcwBPAGYATgBpAHQAcgBvAGcAZQBuAFYAbwBsAGEAdABpAGwAaQBzAGUAZABPAG4AUABhAHMAdAB1AHIAZQBfAFMAbwB1AHIAYwBlAFwAbgAgACAAPQBMAEEATQBCAEQAQQAoAFwAIgBWAEUARQBSAEcAIAAyADAAMgA2ADoAIAA0AC4AMgAuADEALgA1ACwAIABFAHEAdQBhAHQAaQBvAG4AIAAoADIAKQBcACIAKQA7AFwAbgBcAG4AVgBFAEUAUgBHAF8ANABfADIAXwAxAF8ANQBfAF8AMgBfAE0AYQBzAHMATwBmAE4AaQB0AHIAbwBnAGUAbgBWAG8AbABhAHQAaQBsAGkAcwBlAGQATwBuAFAAYQBzAHQAdQByAGUAXwBOAEkAUgBSAGUAZgBlAHIAZQBuAGMAZQBcAG4AIAAgAD0ATABBAE0AQgBEAEEAKABcACIAXAAiACkAOwBcAG4AXABuAFYARQBFAFIARwBfADQAXwAyAF8AMQBfADUAXwBfADIAXwBNAGEAcwBzAE8AZgBOAGkAdAByAG8AZwBlAG4AVgBvAGwAYQB0AGkAbABpAHMAZQBkAE8AbgBQAGEAcwB0AHUAcgBlAF8ATABhAHQAZQB4AEUAcQB1AGEAdABpAG8AbgBcAG4AIAAgAD0ATABBAE0AQgBEAEEAKABcACIATQBfAHsAdgBvAGwAfQA9AEEARQBcAFwAdABpAG0AZQBzACAARgByAGEAYwBHAEEAUwBNAHMAbwBpAGwAXAAiACkAOwBcAG4AXABuAFYARQBFAFIARwBfADQAXwAyAF8AMQBfADUAXwBfADIAXwBNAGEAcwBzAE8AZgBOAGkAdAByAG8AZwBlAG4AVgBvAGwAYQB0AGkAbABpAHMAZQBkAE8AbgBQAGEAcwB0AHUAcgBlAF8AQQByAGcAdQBtAGUAbgB0AHMAXABuACAAIAA9AEwAQQBNAEIARABBACgAXABuACAAIAAgACAATQBBAEsARQBBAFIAUgBBAFkAKAAyACwAIAA0ACwAXABuACAAIAAgACAAIAAgAEwAQQBNAEIARABBACgAcgAsAGMALABcAG4AIAAgACAAIAAgACAAIAAgAEkATgBEAEUAWAAoAHsAXABuACAAIAAgACAAIAAgACAAIAAgACAAXAAiAEEARQBcACIALAAgAFwAIgB0AG8AdABhAGwAIABtAGEAcwBzACAAbwBmACAAbgBpAHQAcgBvAGcAZQBuACAAZQB4AGMAcgBlAHQAZQBkACAAbwBuACAAUABSAFAAIABmAG8AcgAgAGIAZQBlAGYAIABjAGEAdAB0AGwAZQBcACIALAAgAFwAIgBrAGcAIABOAFwAIgAsACAAXAAiAEMAYQBsAGMAdQBsAGEAdABlAGQAIABmAHIAbwBtACAANAAuADIALgAxAC4AMwAgACgAMgApAFwAIgA7AFwAbgAgACAAIAAgACAAIAAgACAAIAAgAFwAIgBGAHIAYQBjAEcAQQBTAE0AcwBvAGkAbABcACIALAAgAFwAIgBmAHIAYQBjAHQAaQBvAG4AIABvAGYAIABuAGkAdAByAG8AZwBlAG4AIAB2AG8AbABhAHQAaQBsAGkAcwBlAGQAIABmAHIAbwBtACAAdQByAGkAbgBlACAAYQBuAGQAIABmAGEAZQBjAGUAcwAgAGQAZQBwAG8AcwBpAHQAZQBkACAAbwBuACAAcABhAHMAdAB1AHIAZQAgACgAKABrAGcAIABOAEgAMwAtAE4AIAArACAATgBPAHgALQBOACkALwBrAGcAIABOACkAXAAiACwAIABcACIAZgByAGEAYwB0AGkAbwBuAFwAIgAsACAAXAAiAEMAbwBuAHMAdABhAG4AdABcACIAXABuACAAIAAgACAAIAAgACAAIAB9ACwAIAByACwAIABjACkAXABuACAAIAAgACAAIAAgACkAXABuACAAIAAgACAAKQBcAG4AIAAgACkAOwBcAG4AIgB9ACwAewAiAHAAYQB0AGgAIgA6ACIALwBwAHIAbwBqAGUAYwB0AHMALwBNAE0AUwBfAFAAYQBzAHQAdQByAGUAQgBlAGUAZgBfAFMAbwBpAGwAXwBMAGUAYQBjAGgAaQBuAGcAQQBuAGQAUgB1AG4AbwBmAGYAIgAsACIAdABlAHgAdAAiADoAIgAvACoAXABuAD0APQA9AD0APQA9AD0APQA9AD0APQA9AD0APQA9AD0APQA9AD0APQA9AD0APQA9AD0APQA9AD0APQA9AD0APQA9AD0APQA9AD0APQA9AD0APQA9AD0APQA9AD0APQA9AD0APQA9AD0APQA9AD0APQA9AD0APQA9AD0APQA9AD0APQA9AD0APQA9AD0APQA9AD0APQA9AD0AXABuADQALgAyADoAIABQAGEAcwB0AHUAcgBlACAAQgBlAGUAZgBcAG4APQA9AD0APQA9AD0APQA9AD0APQA9AD0APQA9AD0APQA9AD0APQA9AD0APQA9AD0APQA9AD0APQA9AD0APQA9AD0APQA9AD0APQA9AD0APQA9AD0APQA9AD0APQA9AD0APQA9AD0APQA9AD0APQA9AD0APQA9AD0APQA9AD0APQA9AD0APQA9AD0APQA9AD0APQA9AD0APQBcAG4ANAAuADIALgAxAC4ANwAgAE0AZQB0AGgAbwBkACAAMQAgAC0AIABTAG8AaQBsACAATABlAGEAYwBoAGkAbgBnACAAQQBuAGQAIABSAHUAbgBvAGYAZgAgAE4AMgBPACAAQgBlAGUAZgAgAEcAcgBhAHoAaQBuAGcAXABuAD0APQA9AD0APQA9AD0APQA9AD0APQA9AD0APQA9AD0APQA9AD0APQA9AD0APQA9AD0APQA9AD0APQA9AD0APQA9AD0APQA9AD0APQA9AD0APQA9AD0APQA9AD0APQA9AD0APQA9AD0APQA9AD0APQA9AD0APQA9AD0APQA9AD0APQA9AD0APQA9AD0APQA9AD0APQA9AD0AXABuACoALwBcAG4AXABuAC8AKgBcAG4ALQAtAC0ALQAtAC0ALQAtAC0ALQAtAC0ALQAtAC0ALQAtAC0ALQAtAC0ALQAtAC0ALQAtAC0ALQAtAC0ALQAtAC0ALQAtAC0ALQAtAFwAbgBWAEUARQBSAEcAXwA0AF8AMgBfADEAXwA3AF8AXwAxAF8ATABlAGEAYwBoAGkAbgBnAEEAbgBkAFIAdQBuAG8AZgBmAEUAbQBpAHMAcwBpAG8AbgBzAEYAcgBvAG0AVQByAGkAbgBlAEEAbgBkAEQAdQBuAGcATwBuAFAAYQBzAHQAdQByAGUAXABuAEwAZQBhAGMAaABpAG4AZwAgAGEAbgBkACAAcgB1AG4AbwBmAGYAIABlAG0AaQBzAHMAaQBvAG4AcwAgAGYAcgBvAG0AIAB1AHIAaQBuAGUAIABhAG4AZAAgAGQAdQBuAGcAIABkAGUAcABvAHMAaQB0AGUAZAAgAG8AbgAgAHAAYQBzAHQAdQByAGUAXABuAEUAXwBOADIATwBsAGUAYQBjAGgAXABuAHQAIABOADIATwBcAG4ARQBfAHsATgAyAE8ALABsAGUAYQBjAGgAfQA9AE0AXwB7AGwAZQBhAGMAaAB9AFwAdABpAG0AZQBzACAARQBGAF8AewBsAGUAYQBjAGgAfQBcAHQAaQBtAGUAcwAgAEMAXwB7AE4AMgBPAH0AXAB0AGkAbQBlAHMAIAAxADAAXgB7AC0AMwB9AFwAbgBNAF8AbABlAGEAYwBoACAAPQAgAG0AYQBzAHMAIABvAGYAIABuAGkAdAByAG8AZwBlAG4AIABsAG8AcwB0ACAAdABvACAAbABlAGEAYwBoAGkAbgBnACAAYQBuAGQAIAByAHUAbgBvAGYAZgAgACgAawBnACAATgApAFwAbgBFAEYAXwBsAGUAYQBjAGgAIAA9ACAAZQBtAGkAcwBzAGkAbwBuACAAZgBhAGMAdABvAHIAIABmAG8AcgAgAGwAZQBhAGMAaABpAG4AZwAgAGEAbgBkACAAcgB1AG4AbwBmAGYAIAAoAGsAZwAgAE4AMgBPAC0ATgAvAGsAZwAgAE4AKQBcAG4AQwBfAE4AMgBPACAAPQAgAGYAYQBjAHQAbwByACAAdABvACAAYwBvAG4AdgBlAHIAdAAgAGUAbABlAG0AZQBuAHQAYQBsACAAbQBhAHMAcwAgAG8AZgAgAE4AMgBPACAAdABvACAAbQBvAGwAZQBjAHUAbABhAHIAIABtAGEAcwBzAFwAbgAtAC0ALQAtAC0ALQAtAC0ALQAtAC0ALQAtAC0ALQAtAC0ALQAtAC0ALQAtAC0ALQAtAC0ALQAtAC0ALQAtAC0ALQAtAC0ALQAtAC0AXABuACoALwBcAG4AXABuAFYARQBFAFIARwBfADQAXwAyAF8AMQBfADcAXwBfADEAXwBMAGUAYQBjAGgAaQBuAGcAQQBuAGQAUgB1AG4AbwBmAGYARQBtAGkAcwBzAGkAbwBuAHMARgByAG8AbQBVAHIAaQBuAGUAQQBuAGQARAB1AG4AZwBPAG4AUABhAHMAdAB1AHIAZQBcAG4AIAAgAD0ATABBAE0AQgBEAEEAKABcAG4AIAAgACAAIABNAF8AbABlAGEAYwBoACwAIABFAEYAXwBsAGUAYQBjAGgALAAgAEMAXwBOADIATwAsAFwAbgAgACAAIAAgAE0AXwBsAGUAYQBjAGgAIAAqACAARQBGAF8AbABlAGEAYwBoACAAKgAgAEMAXwBOADIATwAgACoAIAAxADAAIABeACAALQAzAFwAbgAgACAAKQA7AFwAbgBcAG4AVgBFAEUAUgBHAF8ANABfADIAXwAxAF8ANwBfAF8AMQBfAEwAZQBhAGMAaABpAG4AZwBBAG4AZABSAHUAbgBvAGYAZgBFAG0AaQBzAHMAaQBvAG4AcwBGAHIAbwBtAFUAcgBpAG4AZQBBAG4AZABEAHUAbgBnAE8AbgBQAGEAcwB0AHUAcgBlAF8AVABpAHQAbABlAFwAbgAgACAAPQBMAEEATQBCAEQAQQAoAFwAIgBMAGUAYQBjAGgAaQBuAGcAIABhAG4AZAAgAHIAdQBuAG8AZgBmACAAZQBtAGkAcwBzAGkAbwBuAHMAIABmAHIAbwBtACAAdQByAGkAbgBlACAAYQBuAGQAIABkAHUAbgBnACAAZABlAHAAbwBzAGkAdABlAGQAIABvAG4AIABwAGEAcwB0AHUAcgBlAFwAIgApADsAXABuAFwAbgBWAEUARQBSAEcAXwA0AF8AMgBfADEAXwA3AF8AXwAxAF8ATABlAGEAYwBoAGkAbgBnAEEAbgBkAFIAdQBuAG8AZgBmAEUAbQBpAHMAcwBpAG8AbgBzAEYAcgBvAG0AVQByAGkAbgBlAEEAbgBkAEQAdQBuAGcATwBuAFAAYQBzAHQAdQByAGUAXwBWAGEAcgBpAGEAYgBsAGUAXABuACAAIAA9AEwAQQBNAEIARABBACgAXAAiAEUAXwBOADIATwBsAGUAYQBjAGgAXAAiACkAOwBcAG4AXABuAFYARQBFAFIARwBfADQAXwAyAF8AMQBfADcAXwBfADEAXwBMAGUAYQBjAGgAaQBuAGcAQQBuAGQAUgB1AG4AbwBmAGYARQBtAGkAcwBzAGkAbwBuAHMARgByAG8AbQBVAHIAaQBuAGUAQQBuAGQARAB1AG4AZwBPAG4AUABhAHMAdAB1AHIAZQBfAFUAbgBpAHQAXABuACAAIAA9AEwAQQBNAEIARABBACgAXAAiAHQAIABOADIATwBcACIAKQA7AFwAbgBcAG4AVgBFAEUAUgBHAF8ANABfADIAXwAxAF8ANwBfAF8AMQBfAEwAZQBhAGMAaABpAG4AZwBBAG4AZABSAHUAbgBvAGYAZgBFAG0AaQBzAHMAaQBvAG4AcwBGAHIAbwBtAFUAcgBpAG4AZQBBAG4AZABEAHUAbgBnAE8AbgBQAGEAcwB0AHUAcgBlAF8AUwBvAHUAcgBjAGUAXABuACAAIAA9AEwAQQBNAEIARABBACgAXAAiAFYARQBFAFIARwAgADIAMAAyADYAOgAgADQALgAyAC4AMQAuADcALAAgAEUAcQB1AGEAdABpAG8AbgAgACgAMQApAFwAIgApADsAXABuAFwAbgBWAEUARQBSAEcAXwA0AF8AMgBfADEAXwA3AF8AXwAxAF8ATABlAGEAYwBoAGkAbgBnAEEAbgBkAFIAdQBuAG8AZgBmAEUAbQBpAHMAcwBpAG8AbgBzAEYAcgBvAG0AVQByAGkAbgBlAEEAbgBkAEQAdQBuAGcATwBuAFAAYQBzAHQAdQByAGUAXwBOAEkAUgBSAGUAZgBlAHIAZQBuAGMAZQBcAG4AIAAgAD0ATABBAE0AQgBEAEEAKABcACIAXAAiACkAOwBcAG4AXABuAFYARQBFAFIARwBfADQAXwAyAF8AMQBfADcAXwBfADEAXwBMAGUAYQBjAGgAaQBuAGcAQQBuAGQAUgB1AG4AbwBmAGYARQBtAGkAcwBzAGkAbwBuAHMARgByAG8AbQBVAHIAaQBuAGUAQQBuAGQARAB1AG4AZwBPAG4AUABhAHMAdAB1AHIAZQBfAEwAYQB0AGUAeABFAHEAdQBhAHQAaQBvAG4AXABuACAAIAA9AEwAQQBNAEIARABBACgAXAAiAEUAXwB7AE4AMgBPACwAbABlAGEAYwBoAH0APQBNAF8AewBsAGUAYQBjAGgAfQBcAFwAdABpAG0AZQBzACAARQBGAF8AewBsAGUAYQBjAGgAfQBcAFwAdABpAG0AZQBzACAAQwBfAHsATgAyAE8AfQBcAFwAdABpAG0AZQBzACAAMQAwAF4AewAtADMAfQBcACIAKQA7AFwAbgBcAG4AVgBFAEUAUgBHAF8ANABfADIAXwAxAF8ANwBfAF8AMQBfAEwAZQBhAGMAaABpAG4AZwBBAG4AZABSAHUAbgBvAGYAZgBFAG0AaQBzAHMAaQBvAG4AcwBGAHIAbwBtAFUAcgBpAG4AZQBBAG4AZABEAHUAbgBnAE8AbgBQAGEAcwB0AHUAcgBlAF8AQQByAGcAdQBtAGUAbgB0AHMAXABuACAAIAA9AEwAQQBNAEIARABBACgAXABuACAAIAAgACAATQBBAEsARQBBAFIAUgBBAFkAKAAzACwAIAA0ACwAXABuACAAIAAgACAAIAAgAEwAQQBNAEIARABBACgAcgAsAGMALABcAG4AIAAgACAAIAAgACAAIAAgAEkATgBEAEUAWAAoAHsAXABuACAAIAAgACAAIAAgACAAIAAgACAAXAAiAE0AXwBsAGUAYQBjAGgAXAAiACwAIABcACIAbQBhAHMAcwAgAG8AZgAgAG4AaQB0AHIAbwBnAGUAbgAgAGwAbwBzAHQAIAB0AG8AIABsAGUAYQBjAGgAaQBuAGcAIABhAG4AZAAgAHIAdQBuAG8AZgBmAFwAIgAsACAAXAAiAGsAZwAgAE4AXAAiACwAIABcACIAQwBhAGwAYwB1AGwAYQB0AGUAZAAgAGYAcgBvAG0AIAA0AC4AMgAuADEALgA3ACAAKAAyACkAXAAiADsAXABuACAAIAAgACAAIAAgACAAIAAgACAAXAAiAEUARgBfAGwAZQBhAGMAaABcACIALAAgAFwAIgBlAG0AaQBzAHMAaQBvAG4AIABmAGEAYwB0AG8AcgAgAGYAbwByACAAbABlAGEAYwBoAGkAbgBnACAAYQBuAGQAIAByAHUAbgBvAGYAZgBcACIALAAgAFwAIgBrAGcAIABOADIATwAtAE4ALwBrAGcAIABOAFwAIgAsACAAXAAiAEMAbwBuAHMAdABhAG4AdABcACIAOwBcAG4AIAAgACAAIAAgACAAIAAgACAAIABcACIAQwBfAE4AMgBPAFwAIgAsACAAXAAiAGYAYQBjAHQAbwByACAAdABvACAAYwBvAG4AdgBlAHIAdAAgAGUAbABlAG0AZQBuAHQAYQBsACAAbQBhAHMAcwAgAG8AZgAgAE4AMgBPACAAdABvACAAbQBvAGwAZQBjAHUAbABhAHIAIABtAGEAcwBzAFwAIgAsACAAXAAiAFwAIgAsACAAXAAiAEMAbwBuAHMAdABhAG4AdABcACIAXABuACAAIAAgACAAIAAgACAAIAB9ACwAIAByACwAIABjACkAXABuACAAIAAgACAAIAAgACkAXABuACAAIAAgACAAKQBcAG4AIAAgACkAOwBcAG4AXABuAC8AKgBcAG4ALQAtAC0ALQAtAC0ALQAtAC0ALQAtAC0ALQAtAC0ALQAtAC0ALQAtAC0ALQAtAC0ALQAtAC0ALQAtAC0ALQAtAC0ALQAtAC0ALQAtAFwAbgBWAEUARQBSAEcAXwA0AF8AMgBfADEAXwA3AF8AXwAyAF8ATQBhAHMAcwBPAGYATgBpAHQAcgBvAGcAZQBuAEwAbwBzAHQAVABvAEwAZQBhAGMAaABpAG4AZwBBAG4AZABSAHUAbgBvAGYAZgBPAG4AUABhAHMAdAB1AHIAZQBcAG4ATQBhAHMAcwAgAG8AZgAgAG4AaQB0AHIAbwBnAGUAbgAgAGwAbwBzAHQAIAB0AG8AIABsAGUAYQBjAGgAaQBuAGcAIABhAG4AZAAgAHIAdQBuAG8AZgBmAFwAbgBNAF8AbABlAGEAYwBoAFwAbgBrAGcAIABOAFwAbgBNAF8AewBsAGUAYQBjAGgAfQA9AEEARQBcAFwAdABpAG0AZQBzACAARgByAGEAYwBXAGUAdABcAFwAdABpAG0AZQBzACAARgByAGEAYwBMAEUAQQBDAEgAXABuAEEARQAgAD0AIAB0AG8AdABhAGwAIABtAGEAcwBzACAAbwBmACAAbgBpAHQAcgBvAGcAZQBuACAAZQB4AGMAcgBlAHQAZQBkACAAbwBuACAAUABSAFAAIABmAG8AcgAgAGIAZQBlAGYAIABjAGEAdAB0AGwAZQAgACgAawBnACAATgApAFwAbgBGAHIAYQBjAFcAZQB0ACAAPQAgAGYAcgBhAGMAdABpAG8AbgAgAG8AZgAgAE4AIABhAHYAYQBpAGwAYQBiAGwAZQAgAGYAbwByACAAbABlAGEAYwBoAGkAbgBnACAAYQBuAGQAIAByAHUAbgBvAGYAZgBcAG4ARgByAGEAYwBMAEUAQQBDAEgAIAA9ACAAZgByAGEAYwB0AGkAbwBuACAAbwBmACAAYQBsAGwAIABOACAAdABoAGEAdAAgAGkAcwAgAGwAbwBzAHQAIAB0AGgAcgBvAHUAZwBoACAAbABlAGEAYwBoAGkAbgBnACAAYQBuAGQAIAByAHUAbgBvAGYAZgBcAG4ALQAtAC0ALQAtAC0ALQAtAC0ALQAtAC0ALQAtAC0ALQAtAC0ALQAtAC0ALQAtAC0ALQAtAC0ALQAtAC0ALQAtAC0ALQAtAC0ALQAtAFwAbgAqAC8AXABuAFwAbgBWAEUARQBSAEcAXwA0AF8AMgBfADEAXwA3AF8AXwAyAF8ATQBhAHMAcwBPAGYATgBpAHQAcgBvAGcAZQBuAEwAbwBzAHQAVABvAEwAZQBhAGMAaABpAG4AZwBBAG4AZABSAHUAbgBvAGYAZgBPAG4AUABhAHMAdAB1AHIAZQBcAG4AIAAgAD0ATABBAE0AQgBEAEEAKABcAG4AIAAgACAAIABBAEUALAAgAEYAcgBhAGMAVwBlAHQALAAgAEYAcgBhAGMATABFAEEAQwBIACwAXABuACAAIAAgACAAQQBFACAAKgAgAEYAcgBhAGMAVwBlAHQAIAAqACAARgByAGEAYwBMAEUAQQBDAEgAXABuACAAIAApADsAXABuAFwAbgBWAEUARQBSAEcAXwA0AF8AMgBfADEAXwA3AF8AXwAyAF8ATQBhAHMAcwBPAGYATgBpAHQAcgBvAGcAZQBuAEwAbwBzAHQAVABvAEwAZQBhAGMAaABpAG4AZwBBAG4AZABSAHUAbgBvAGYAZgBPAG4AUABhAHMAdAB1AHIAZQBfAFQAaQB0AGwAZQBcAG4AIAAgAD0ATABBAE0AQgBEAEEAKABcACIATQBhAHMAcwAgAG8AZgAgAG4AaQB0AHIAbwBnAGUAbgAgAGwAbwBzAHQAIAB0AG8AIABsAGUAYQBjAGgAaQBuAGcAIABhAG4AZAAgAHIAdQBuAG8AZgBmAFwAIgApADsAXABuAFwAbgBWAEUARQBSAEcAXwA0AF8AMgBfADEAXwA3AF8AXwAyAF8ATQBhAHMAcwBPAGYATgBpAHQAcgBvAGcAZQBuAEwAbwBzAHQAVABvAEwAZQBhAGMAaABpAG4AZwBBAG4AZABSAHUAbgBvAGYAZgBPAG4AUABhAHMAdAB1AHIAZQBfAFYAYQByAGkAYQBiAGwAZQBcAG4AIAAgAD0ATABBAE0AQgBEAEEAKABcACIATQBfAGwAZQBhAGMAaABcACIAKQA7AFwAbgBcAG4AVgBFAEUAUgBHAF8ANABfADIAXwAxAF8ANwBfAF8AMgBfAE0AYQBzAHMATwBmAE4AaQB0AHIAbwBnAGUAbgBMAG8AcwB0AFQAbwBMAGUAYQBjAGgAaQBuAGcAQQBuAGQAUgB1AG4AbwBmAGYATwBuAFAAYQBzAHQAdQByAGUAXwBVAG4AaQB0AFwAbgAgACAAPQBMAEEATQBCAEQAQQAoAFwAIgBrAGcAIABOAFwAIgApADsAXABuAFwAbgBWAEUARQBSAEcAXwA0AF8AMgBfADEAXwA3AF8AXwAyAF8ATQBhAHMAcwBPAGYATgBpAHQAcgBvAGcAZQBuAEwAbwBzAHQAVABvAEwAZQBhAGMAaABpAG4AZwBBAG4AZABSAHUAbgBvAGYAZgBPAG4AUABhAHMAdAB1AHIAZQBfAFMAbwB1AHIAYwBlAFwAbgAgACAAPQBMAEEATQBCAEQAQQAoAFwAIgBWAEUARQBSAEcAIAAyADAAMgA2ADoAIAA0AC4AMgAuADEALgA3ACwAIABFAHEAdQBhAHQAaQBvAG4AIAAoADIAKQBcACIAKQA7AFwAbgBcAG4AVgBFAEUAUgBHAF8ANABfADIAXwAxAF8ANwBfAF8AMgBfAE0AYQBzAHMATwBmAE4AaQB0AHIAbwBnAGUAbgBMAG8AcwB0AFQAbwBMAGUAYQBjAGgAaQBuAGcAQQBuAGQAUgB1AG4AbwBmAGYATwBuAFAAYQBzAHQAdQByAGUAXwBOAEkAUgBSAGUAZgBlAHIAZQBuAGMAZQBcAG4AIAAgAD0ATABBAE0AQgBEAEEAKABcACIAXAAiACkAOwBcAG4AXABuAFYARQBFAFIARwBfADQAXwAyAF8AMQBfADcAXwBfADIAXwBNAGEAcwBzAE8AZgBOAGkAdAByAG8AZwBlAG4ATABvAHMAdABUAG8ATABlAGEAYwBoAGkAbgBnAEEAbgBkAFIAdQBuAG8AZgBmAE8AbgBQAGEAcwB0AHUAcgBlAF8ATABhAHQAZQB4AEUAcQB1AGEAdABpAG8AbgBcAG4AIAAgAD0ATABBAE0AQgBEAEEAKABcACIATQBfAHsAbABlAGEAYwBoAH0APQBBAEUAXABcAHQAaQBtAGUAcwAgAEYAcgBhAGMAVwBlAHQAXABcAHQAaQBtAGUAcwAgAEYAcgBhAGMATABFAEEAQwBIAFwAIgApADsAXABuAFwAbgBWAEUARQBSAEcAXwA0AF8AMgBfADEAXwA3AF8AXwAyAF8ATQBhAHMAcwBPAGYATgBpAHQAcgBvAGcAZQBuAEwAbwBzAHQAVABvAEwAZQBhAGMAaABpAG4AZwBBAG4AZABSAHUAbgBvAGYAZgBPAG4AUABhAHMAdAB1AHIAZQBfAEEAcgBnAHUAbQBlAG4AdABzAFwAbgAgACAAPQBMAEEATQBCAEQAQQAoAFwAbgAgACAAIAAgAE0AQQBLAEUAQQBSAFIAQQBZACgANgAsACAANAAsAFwAbgAgACAAIAAgACAAIABMAEEATQBCAEQAQQAoAHIALABjACwAXABuACAAIAAgACAAIAAgACAAIABJAE4ARABFAFgAKAB7AFwAbgAgACAAIAAgACAAIAAgACAAIAAgAFwAIgBBAEUAXAAiACwAIABcACIAdABvAHQAYQBsACAAbQBhAHMAcwAgAG8AZgAgAG4AaQB0AHIAbwBnAGUAbgAgAGUAeABjAHIAZQB0AGUAZAAgAG8AbgAgAFAAUgBQACAAZgBvAHIAIABiAGUAZQBmACAAYwBhAHQAdABsAGUAXAAiACwAIABcACIAawBnACAATgBcACIALAAgAFwAIgBDAGEAbABjAHUAbABhAHQAZQBkACAAZgByAG8AbQAgADQALgAyAC4AMQAuADMAIAAoADIAKQBcACIAOwBcAG4AIAAgACAAIAAgACAAIAAgACAAIABcACIARgByAGEAYwBXAGUAdABcACIALAAgAFwAIgBmAHIAYQBjAHQAaQBvAG4AIABvAGYAIABOACAAYQB2AGEAaQBsAGEAYgBsAGUAIABmAG8AcgAgAGwAZQBhAGMAaABpAG4AZwAgAGEAbgBkACAAcgB1AG4AbwBmAGYAXAAiACwAIABcACIAZgByAGEAYwB0AGkAbwBuAFwAIgAsACAAXAAiAEMAbwBuAHMAdABhAG4AdABcACIAOwBcAG4AIAAgACAAIAAgACAAIAAgACAAIABcACIARgByAGEAYwBMAEUAQQBDAEgAXAAiACwAIABcACIAZgByAGEAYwB0AGkAbwBuACAAbwBmACAAYQBsAGwAIABOACAAdABoAGEAdAAgAGkAcwAgAGwAbwBzAHQAIAB0AGgAcgBvAHUAZwBoACAAbABlAGEAYwBoAGkAbgBnACAAYQBuAGQAIAByAHUAbgBvAGYAZgBcACIALAAgAFwAIgBmAHIAYQBjAHQAaQBvAG4AXAAiACwAIABcACIAQwBvAG4AcwB0AGEAbgB0AFwAIgA7AFwAbgAgACAAIAAgACAAIAAgACAAIAAgAFwAIgB6AFwAIgAsACAAXAAiAGwAbwBjAGEAdABpAG8AbgAgAGkAbgAgAGwAZQBhAGMAaABpAG4AZwAgAHoAbwBuAGUAXAAiACwAIABcACIAXAAiACwAIABcACIASQBuAHAAdQB0AFwAIgA7AFwAbgAgACAAIAAgACAAIAAgACAAIAAgAFwAIgBqAFwAIgAsACAAXAAiAHAAcgBvAGQAdQBjAHQAaQBvAG4AIABzAHkAcwB0AGUAbQBcACIALAAgAFwAIgBcACIALAAgAFwAIgBJAG4AcAB1AHQAXAAiADsAXABuACAAIAAgACAAIAAgACAAIAAgACAAXAAiAGkAcgBcACIALAAgAFwAIgBpAHIAcgBpAGcAYQB0AGkAbwBuACAAbQBlAHQAaABvAGQAXAAiACwAIABcACIAXAAiACwAIABcACIASQBuAHAAdQB0AFwAIgBcAG4AIAAgACAAIAAgACAAIAAgAH0ALAAgAHIALAAgAGMAKQBcAG4AIAAgACAAIAAgACAAKQBcAG4AIAAgACAAIAApAFwAbgAgACAAKQA7AFwAbgBcAG4AIgB9ACwAewAiAHAAYQB0AGgAIgA6ACIALwBwAHIAbwBqAGUAYwB0AHMALwBJAG4AcAB1AHQARgB1AG4AYwB0AGkAbwBuAHMAXwBQAGEAcwB0AHUAcgBlAEIAZQBlAGYAIgAsACIAdABlAHgAdAAiADoAIgBMAG8AbwBrAHUAcABMAGkAdgBlAHcAZQBpAGcAaAB0AEYAcgBvAG0AUwBlAGEAcwBvAG4AXABuAD0ATABBAE0AQgBEAEEAKABcAG4AIAAgACAAIABTAHQAYQB0AGUALAAgAFIAZQBnAGkAbwBuACwAIABTAGUAYQBzAG8AbgAsACAATABpAHYAZQBzAHQAbwBjAGsAQwBsAGEAcwBzACwAXABuACAAIAAgACAAUwB0AGEAdABlAEEAcgByAGEAeQAsACAAUgBlAGcAaQBvAG4AQQByAHIAYQB5ACwAIABTAGUAYQBzAG8AbgBBAHIAcgBhAHkALAAgAEwAaQB2AGUAcwB0AG8AYwBrAEMAbABhAHMAcwBBAHIAcgBhAHkALABcAG4AIAAgACAAIABSAGUAdAB1AHIAbgBBAHIAcgBhAHkALABcAG4AIAAgACAAIABTAHQAYQB0AGUAQwBvAG0AbQBvAG4ATgBhAG0AZQBBAHIAcgBhAHkALAAgAFMAdABhAHQAZQBBAGIAYgByAGUAdgBpAGEAdABpAG8AbgBBAHIAcgBhAHkALABcAG4AIAAgACAAIABMAGUAdAAoAFwAbgAgACAAIAAgACAAIAAgACAAUwB0AGEAdABlACwAIABYAEwATwBPAEsAVQBQACgAUwB0AGEAdABlACwAIABTAHQAYQB0AGUAQwBvAG0AbQBvAG4ATgBhAG0AZQBBAHIAcgBhAHkALAAgAFMAdABhAHQAZQBBAGIAYgByAGUAdgBpAGEAdABpAG8AbgBBAHIAcgBhAHkAKQAsAFwAbgAgACAAIAAgACAAIAAgACAAWABMAE8ATwBLAFUAUAAoAFwAbgAgACAAIAAgACAAIAAgACAAMQAsACAAXABuACAAIAAgACAAIAAgACAAIAAoAFMAdABhAHQAZQBBAHIAcgBhAHkAPQBTAHQAYQB0AGUAKQAgACoAIABcAG4AIAAgACAAIAAgACAAIAAgACgAUgBlAGcAaQBvAG4AQQByAHIAYQB5AD0AUgBlAGcAaQBvAG4AKQAgACoAIABcAG4AIAAgACAAIAAgACAAIAAgACgAUwBlAGEAcwBvAG4AQQByAHIAYQB5AD0AUwBlAGEAcwBvAG4AKQAsACAAXABuACAAIAAgACAAIAAgACAAIABYAEwATwBPAEsAVQBQACgATABpAHYAZQBzAHQAbwBjAGsAQwBsAGEAcwBzACwAIABMAGkAdgBlAHMAdABvAGMAawBDAGwAYQBzAHMAQQByAHIAYQB5ACwAIABcAG4AIAAgACAAIAAgACAAIAAgAFIAZQB0AHUAcgBuAEEAcgByAGEAeQApACkAXABuACAAIAAgACAAKQBcAG4AKQA7AFwAbgBcAG4ATABvAG8AawB1AHAATABpAHYAZQB3AGUAaQBnAGgAdABGAHIAbwBtAE0AbwBuAHQAaABcAG4APQBMAEEATQBCAEQAQQAoAFwAbgAgACAAIAAgAFMAdABhAHQAZQAsACAAUgBlAGcAaQBvAG4ALAAgAE0AbwBuAHQAaAAsACAATABpAHYAZQBzAHQAbwBjAGsAQwBsAGEAcwBzACwAXABuACAAIAAgACAAUwB0AGEAdABlAEEAcgByAGEAeQAsACAAUgBlAGcAaQBvAG4AQQByAHIAYQB5ACwAIABTAGUAYQBzAG8AbgBBAHIAcgBhAHkALAAgAEwAaQB2AGUAcwB0AG8AYwBrAEMAbABhAHMAcwBBAHIAcgBhAHkALABcAG4AIAAgACAAIABSAGUAdAB1AHIAbgBBAHIAcgBhAHkALABcAG4AIAAgACAAIABTAHQAYQB0AGUAQwBvAG0AbQBvAG4ATgBhAG0AZQBBAHIAcgBhAHkALAAgAFMAdABhAHQAZQBBAGIAYgByAGUAdgBpAGEAdABpAG8AbgBBAHIAcgBhAHkALABcAG4AIAAgACAAIABNAG8AbgB0AGgAQQByAHIAYQB5ACwAIABNAG8AbgB0AGgAVABvAFMAZQBhAHMAbwBuAEEAcgByAGEAeQAsAFwAbgAgACAAIAAgAEwAZQB0ACgAXABuACAAIAAgACAAIAAgACAAIABNAG8AbgB0AGgALAAgAFQARQBYAFQAKABNAG8AbgB0AGgALAAgAFwAIgBtAG0AbQBtAFwAIgApACwAXABuACAAIAAgACAAIAAgACAAIABTAHQAYQB0AGUALAAgAFgATABPAE8ASwBVAFAAKABTAHQAYQB0AGUALAAgAFMAdABhAHQAZQBDAG8AbQBtAG8AbgBOAGEAbQBlAEEAcgByAGEAeQAsACAAUwB0AGEAdABlAEEAYgBiAHIAZQB2AGkAYQB0AGkAbwBuAEEAcgByAGEAeQApACwAXABuACAAIAAgACAAIAAgACAAIABTAGUAYQBzAG8AbgAsACAAWABMAE8ATwBLAFUAUAAoAE0AbwBuAHQAaAAsACAATQBvAG4AdABoAEEAcgByAGEAeQAsACAATQBvAG4AdABoAFQAbwBTAGUAYQBzAG8AbgBBAHIAcgBhAHkAKQAsAFwAbgAgACAAIAAgACAAIAAgACAAWABMAE8ATwBLAFUAUAAoAFwAbgAgACAAIAAgACAAIAAgACAAMQAsACAAXABuACAAIAAgACAAIAAgACAAIAAoAFMAdABhAHQAZQBBAHIAcgBhAHkAPQBTAHQAYQB0AGUAKQAgACoAIABcAG4AIAAgACAAIAAgACAAIAAgACgAUgBlAGcAaQBvAG4AQQByAHIAYQB5AD0AUgBlAGcAaQBvAG4AKQAgACoAIABcAG4AIAAgACAAIAAgACAAIAAgACgAUwBlAGEAcwBvAG4AQQByAHIAYQB5AD0AUwBlAGEAcwBvAG4AKQAsACAAXABuACAAIAAgACAAIAAgACAAIABYAEwATwBPAEsAVQBQACgATABpAHYAZQBzAHQAbwBjAGsAQwBsAGEAcwBzACwAIABMAGkAdgBlAHMAdABvAGMAawBDAGwAYQBzAHMAQQByAHIAYQB5ACwAIABcAG4AIAAgACAAIAAgACAAIAAgAFIAZQB0AHUAcgBuAEEAcgByAGEAeQApACkAXABuACAAIAAgACAAKQBcAG4AKQA7AFwAbgBcAG4AQwBvAG4AdgBlAHIAdABNAG8AbgB0AGgAbAB5AEMAYQBsAHYAaQBuAGcAVABvAFMAZQBhAHMAbwBuAFwAbgBcAG4APQAgAEwAQQBNAEIARABBACgAXABuACAAIAAgACAAUwBlAGEAcwBvAG4ALAAgAFMAdQBtAEEAcgByAGEAeQAsACAAQwBhAGwAdgBpAG4AZwBNAG8AbgB0AGgAQQByAHIAYQB5ACwAIABNAG8AbgB0AGgAQQByAHIAYQB5ACwAIABNAG8AbgB0AGgAVABvAFMAZQBhAHMAbwBuAEEAcgByAGEAeQAsAFwAbgAgACAAIAAgAEwARQBUACgAXABuACAAIAAgACAAIAAgACAAIABNAG8AbgB0AGgAVABlAHgAdAAsACAAVABFAFgAVAAoAEMAYQBsAHYAaQBuAGcATQBvAG4AdABoAEEAcgByAGEAeQAsACAAXAAiAG0AbQBtAG0AXAAiACkALABcAG4AIAAgACAAIAAgACAAIAAgAFMAZQBhAHMAbwBuAFAAZQByAFIAbwB3ACwAIABYAEwATwBPAEsAVQBQACgATQBvAG4AdABoAFQAZQB4AHQALAAgAE0AbwBuAHQAaABBAHIAcgBhAHkALAAgAE0AbwBuAHQAaABUAG8AUwBlAGEAcwBvAG4AQQByAHIAYQB5ACwAIABcACIAXAAiACwAIAAwACkALABcAG4AIAAgACAAIAAgACAAIAAgAFMAVQBNACgAUwB1AG0AQQByAHIAYQB5ACAAKgAgACgAUwBlAGEAcwBvAG4AUABlAHIAUgBvAHcAPQBTAGUAYQBzAG8AbgApACkAXABuACAAIAAgACAAKQBcAG4AKQA7AFwAbgBcAG4ATABvAG8AawB1AHAAVgBhAGwAdQBlAEYAcgBvAG0AUwB0AGEAdABlAFIAZQBnAGkAbwBuAFMAZQBhAHMAbwBuAFwAbgA9AEwAQQBNAEIARABBACgAXABuACAAIAAgACAAUwB0AGEAdABlACwAIABSAGUAZwBpAG8AbgAsACAAUwBlAGEAcwBvAG4ALABcAG4AIAAgACAAIABTAHQAYQB0AGUAQQByAHIAYQB5ACwAIABSAGUAZwBpAG8AbgBBAHIAcgBhAHkALAAgAFMAZQBhAHMAbwBuAEEAcgByAGEAeQAsAFwAbgAgACAAIAAgAFIAZQB0AHUAcgBuAEEAcgByAGEAeQAsAFwAbgAgACAAIAAgAFMAdABhAHQAZQBDAG8AbQBtAG8AbgBOAGEAbQBlAEEAcgByAGEAeQAsACAAUwB0AGEAdABlAEEAYgBiAHIAZQB2AGkAYQB0AGkAbwBuAEEAcgByAGEAeQAsAFwAbgAgACAAIAAgAEwARQBUACgAXABuACAAIAAgACAAIAAgACAAIABTAHQAYQB0AGUALAAgAFgATABPAE8ASwBVAFAAKABTAHQAYQB0AGUALAAgAFMAdABhAHQAZQBDAG8AbQBtAG8AbgBOAGEAbQBlAEEAcgByAGEAeQAsACAAUwB0AGEAdABlAEEAYgBiAHIAZQB2AGkAYQB0AGkAbwBuAEEAcgByAGEAeQApACwAXABuACAAIAAgACAAIAAgACAAIABYAEwATwBPAEsAVQBQACgAXABuACAAIAAgACAAIAAgACAAIAAgACAAIAAgADEALAAgACgAUwB0AGEAdABlAEEAcgByAGEAeQA9AFMAdABhAHQAZQApACoAXABuACAAIAAgACAAIAAgACAAIAAgACAAIAAgACgAUgBlAGcAaQBvAG4AQQByAHIAYQB5AD0AUgBlAGcAaQBvAG4AKQAsAFwAbgAgACAAIAAgACAAIAAgACAAIAAgACAAIABYAEwATwBPAEsAVQBQACgAXABuACAAIAAgACAAIAAgACAAIAAgACAAIAAgACAAIAAgACAAUwBlAGEAcwBvAG4ALAAgAFMAZQBhAHMAbwBuAEEAcgByAGEAeQAsACAAUgBlAHQAdQByAG4AQQByAHIAYQB5AFwAbgAgACAAIAAgACAAIAAgACAAIAAgACAAIAApAFwAbgAgACAAIAAgACAAIAAgACAAKQBcAG4AIAAgACAAIAApAFwAbgApADsAXABuAFwAbgBMAG8AbwBrAHUAcABWAGEAbAB1AGUARgByAG8AbQBTAHQAYQB0AGUAUgBlAGcAaQBvAG4ATQBvAG4AdABoAFwAbgA9AEwAQQBNAEIARABBACgAXABuACAAIAAgACAAUwB0AGEAdABlACwAIABSAGUAZwBpAG8AbgAsACAATQBvAG4AdABoACwAXABuACAAIAAgACAAUwB0AGEAdABlAEEAcgByAGEAeQAsACAAUgBlAGcAaQBvAG4AQQByAHIAYQB5ACwAIABTAGUAYQBzAG8AbgBBAHIAcgBhAHkALABcAG4AIAAgACAAIABSAGUAdAB1AHIAbgBBAHIAcgBhAHkALABcAG4AIAAgACAAIABTAHQAYQB0AGUAQwBvAG0AbQBvAG4ATgBhAG0AZQBBAHIAcgBhAHkALAAgAFMAdABhAHQAZQBBAGIAYgByAGUAdgBpAGEAdABpAG8AbgBBAHIAcgBhAHkALAAgAE0AbwBuAHQAaABBAHIAcgBhAHkALAAgAE0AbwBuAHQAaABUAG8AUwBlAGEAcwBvAG4AQQByAHIAYQB5ACwAXABuACAAIAAgACAATABFAFQAKABcAG4AIAAgACAAIAAgACAAIAAgAFMAdABhAHQAZQAsACAAWABMAE8ATwBLAFUAUAAoAFMAdABhAHQAZQAsACAAUwB0AGEAdABlAEMAbwBtAG0AbwBuAE4AYQBtAGUAQQByAHIAYQB5ACwAIABTAHQAYQB0AGUAQQBiAGIAcgBlAHYAaQBhAHQAaQBvAG4AQQByAHIAYQB5ACkALABcAG4AIAAgACAAIAAgACAAIAAgAFMAZQBhAHMAbwBuACwAIABYAEwATwBPAEsAVQBQACgAVABFAFgAVAAoAE0AbwBuAHQAaAAsACAAXAAiAG0AbQBtAG0AXAAiACkALAAgAE0AbwBuAHQAaABBAHIAcgBhAHkALAAgAE0AbwBuAHQAaABUAG8AUwBlAGEAcwBvAG4AQQByAHIAYQB5ACkALABcAG4AIAAgACAAIAAgACAAIAAgAFgATABPAE8ASwBVAFAAKABcAG4AIAAgACAAIAAgACAAIAAgACAAIAAgACAAMQAsACAAKABTAHQAYQB0AGUAQQByAHIAYQB5AD0AUwB0AGEAdABlACkAKgBcAG4AIAAgACAAIAAgACAAIAAgACAAIAAgACAAKABSAGUAZwBpAG8AbgBBAHIAcgBhAHkAPQBSAGUAZwBpAG8AbgApACwAXABuACAAIAAgACAAIAAgACAAIAAgACAAIAAgAFgATABPAE8ASwBVAFAAKABcAG4AIAAgACAAIAAgACAAIAAgACAAIAAgACAAIAAgACAAIABTAGUAYQBzAG8AbgAsACAAUwBlAGEAcwBvAG4AQQByAHIAYQB5ACwAIABSAGUAdAB1AHIAbgBBAHIAcgBhAHkAXABuACAAIAAgACAAIAAgACAAIAAgACAAIAAgACkAXABuACAAIAAgACAAIAAgACAAIAApAFwAbgAgACAAIAAgACkAXABuACkAOwAiAH0ALAB7ACIAcABhAHQAaAAiADoAIgAvAHAAcgBvAGoAZQBjAHQAcwAvAFMAbwB1AHIAYwBlAEQAYQB0AGEAXwBQAGEAcwB0AHUAcgBlAEIAZQBlAGYAIgAsACIAdABlAHgAdAAiADoAIgBcAG4ALwAqACAAXABuAC0ALQAtAC0ALQAtAC0ALQAtAC0ALQAtAC0ALQAtAC0ALQAtAC0ALQAtAC0ALQAtAC0ALQAtAC0ALQAtAC0ALQAtAC0ALQAtAC0ALQBcAG4AUwBvAHUAcgBjAGUARABhAHQAYQBfAFAAYQBzAHQAdQByAGUAQgBlAGUAZgBfAEwAaQB2AGUAdwBlAGkAZwBoAHQAXABuAFQAYQBiAGwAZQAgAEEALgAxAC4AMgAuADEAOgAgAEIAZQBlAGYAIABwAGEAcwB0AHUAcgBlACAAYwBhAHQAdABsAGUAIAAtACAATABpAHYAZQB3AGUAaQBnAGgAdAAgACgAawBnACkAIAAoAFcAagBrAGwAKQBcAG4ALQAtAC0ALQAtAC0ALQAtAC0ALQAtAC0ALQAtAC0ALQAtAC0ALQAtAC0ALQAtAC0ALQAtAC0ALQAtAC0ALQAtAC0ALQAtAC0ALQAtAFwAbgAqAC8AXABuAFwAbgBTAG8AdQByAGMAZQBEAGEAdABhAF8AUABhAHMAdAB1AHIAZQBCAGUAZQBmAF8ATABpAHYAZQB3AGUAaQBnAGgAdABfAFQAaQB0AGwAZQBcAG4AIAAgAD0ATABBAE0AQgBEAEEAKABcACIAQgBlAGUAZgAgAHAAYQBzAHQAdQByAGUAIABjAGEAdAB0AGwAZQAgAC0AIABMAGkAdgBlAHcAZQBpAGcAaAB0ACAAKABrAGcAKQAgACgAVwBqAGsAbAApAFwAIgApADsAXABuAFwAbgBTAG8AdQByAGMAZQBEAGEAdABhAF8AUABhAHMAdAB1AHIAZQBCAGUAZQBmAF8ATABpAHYAZQB3AGUAaQBnAGgAdABfAFYAYQByAGkAYQBiAGwAZQBcAG4AIAAgAD0ATABBAE0AQgBEAEEAKABcACIAVwBqAGsAbABcACIAKQA7AFwAbgBcAG4AUwBvAHUAcgBjAGUARABhAHQAYQBfAFAAYQBzAHQAdQByAGUAQgBlAGUAZgBfAEwAaQB2AGUAdwBlAGkAZwBoAHQAXwBVAG4AaQB0AFwAbgAgACAAPQBMAEEATQBCAEQAQQAoAFwAIgBrAGcAXAAiACkAOwBcAG4AXABuAFMAbwB1AHIAYwBlAEQAYQB0AGEAXwBQAGEAcwB0AHUAcgBlAEIAZQBlAGYAXwBMAGkAdgBlAHcAZQBpAGcAaAB0AF8AUwBvAHUAcgBjAGUAXABuACAAIAA9AEwAQQBNAEIARABBACgAXAAiAFYARQBFAFIARwAgADIAMAAyADYAOgAgAFQAYQBiAGwAZQAgAEEALgAxAC4AMgAuADEAXAAiACkAOwBcAG4AXABuAFMAbwB1AHIAYwBlAEQAYQB0AGEAXwBQAGEAcwB0AHUAcgBlAEIAZQBlAGYAXwBMAGkAdgBlAHcAZQBpAGcAaAB0AF8AVgBhAHIAaQBhAHQAaQBvAG4AXABuACAAIAA9AEwAQQBNAEIARABBACgAXAAiAFwAIgApADsAXABuAFwAbgBTAG8AdQByAGMAZQBEAGEAdABhAF8AUABhAHMAdAB1AHIAZQBCAGUAZQBmAF8ATABpAHYAZQB3AGUAaQBnAGgAdABfAEQAYQB0AGEAXABuACAAIAA9AEwAQQBNAEIARABBACgAXABuACAAIAAgACAATQBBAEsARQBBAFIAUgBBAFkAKAAyADkALAAgADEAMAAsAFwAbgAgACAAIAAgACAAIABMAEEATQBCAEQAQQAoAHIALABjACwAXABuACAAIAAgACAAIAAgACAAIABJAE4ARABFAFgAKAB7AFwAbgAgACAAIAAgACAAIAAgACAAIAAgAFwAIgBTAHQAYQB0AGUAXAAiACwAIABcACIAUgBlAGcAaQBvAG4AXAAiACwAIABcACIAUwBlAGEAcwBvAG4AXAAiACwAIABcACIAQgB1AGwAbAAgAFwAdQAwADAAMwBjACAAMQBcACIALAAgAFwAIgBCAHUAbABsACAAXAB1ADAAMAAzAGUAIAAxAFwAIgAsACAAXAAiAEMAbwB3ACAAXAB1ADAAMAAzAGMAIAAxAFwAIgAsACAAXAAiAEMAbwB3ACAAMQAtADIAXAAiACwAIABcACIAQwBvAHcAIABcAHUAMAAwADMAZQAgADIAXAAiACwAIABcACIAUwB0AGUAZQByACAAXAB1ADAAMAAzAGMAIAAxAFwAIgAsACAAXAAiAFMAdABlAGUAcgAgAFwAdQAwADAAMwBlACAAMQBcACIAOwBcAG4AIAAgACAAIAAgACAAIAAgACAAIABcACIAQQBDAFQALwBOAFMAVwBcACIALAAgAFwAIgBuAC8AYQBcACIALAAgAFwAIgBTAHAAcgBpAG4AZwBcACIALAAgADgAMAAsACAANAA4ADAALAAgADcANQAsACAAMwAwADAALAAgADQANAAwACwAIAA3ADUALAAgADMAOAAwADsAXABuACAAIAAgACAAIAAgACAAIAAgACAAXAAiAEEAQwBUAC8ATgBTAFcAXAAiACwAIABcACIAbgAvAGEAXAAiACwAIABcACIAUwB1AG0AbQBlAHIAXAAiACwAIAAxADcAMAAsACAANQAyADAALAAgADEANgAwACwAIAAzADYAMAAsACAANAA3ADAALAAgADEANgAwACwAIAA0ADIAMAA7AFwAbgAgACAAIAAgACAAIAAgACAAIAAgAFwAIgBBAEMAVAAvAE4AUwBXAFwAIgAsACAAXAAiAG4ALwBhAFwAIgAsACAAXAAiAEEAdQB0AHUAbQBuAFwAIgAsACAAMgA0ADAALAAgADUANQAwACwAIAAyADIAMAAsACAAMwA5ADAALAAgADQAOQAwACwAIAAyADIAMAAsACAANAA1ADAAOwBcAG4AIAAgACAAIAAgACAAIAAgACAAIABcACIAQQBDAFQALwBOAFMAVwBcACIALAAgAFwAIgBuAC8AYQBcACIALAAgAFwAIgBXAGkAbgB0AGUAcgBcACIALAAgADIAOAAwACwAIAA1ADYAMAAsACAAMgA2ADAALAAgADQAMQAwACwAIAA1ADAAMAAsACAAMgA2ADAALAAgADQANgAwADsAXABuACAAIAAgACAAIAAgACAAIAAgACAAXAAiAFMAbwB1AHQAaAAgAEEAdQBzAHQAcgBhAGwAaQBhAFwAIgAsACAAXAAiAG4ALwBhAFwAIgAsACAAXAAiAFMAcAByAGkAbgBnAFwAIgAsACAAMgA1ADAALAAgADgAMAAwACwAIAAyADIAMAAsACAANAAwADAALAAgADUAMAAwACwAIAAyADMAMAAsACAANAAyADAAOwBcAG4AIAAgACAAIAAgACAAIAAgACAAIABcACIAUwBvAHUAdABoACAAQQB1AHMAdAByAGEAbABpAGEAXAAiACwAIABcACIAbgAvAGEAXAAiACwAIABcACIAUwB1AG0AbQBlAHIAXAAiACwAIAAzADIAMAAsACAAOAAwADAALAAgADIAOAAwACwAIAA0ADIAMAAsACAANQAwADAALAAgADIAOQAwACwAIAA0ADIAMAA7AFwAbgAgACAAIAAgACAAIAAgACAAIAAgAFwAIgBTAG8AdQB0AGgAIABBAHUAcwB0AHIAYQBsAGkAYQBcACIALAAgAFwAIgBuAC8AYQBcACIALAAgAFwAIgBBAHUAdAB1AG0AbgBcACIALAAgADgAMAAsACAANwAwADAALAAgADcAMAAsACAAMwAwADAALAAgADQANQAwACwAIAA3ADUALAAgADQAMAAwADsAXABuACAAIAAgACAAIAAgACAAIAAgACAAXAAiAFMAbwB1AHQAaAAgAEEAdQBzAHQAcgBhAGwAaQBhAFwAIgAsACAAXAAiAG4ALwBhAFwAIgAsACAAXAAiAFcAaQBuAHQAZQByAFwAIgAsACAAMQA2ADAALAAgADcAMAAwACwAIAAxADQAMAAsACAAMwA1ADAALAAgADQANQAwACwAIAAxADUAMAAsACAANAAwADAAOwBcAG4AIAAgACAAIAAgACAAIAAgACAAIABcACIAVABhAHMAbQBhAG4AaQBhAFwAIgAsACAAXAAiAG4ALwBhAFwAIgAsACAAXAAiAFMAcAByAGkAbgBnAFwAIgAsACAAMQAwADUALAAgADcAMAAwACwAIAA4ADUALAAgADMAMAAwACwAIAA0ADkAMAAsACAAOQAwACwAIAA0ADgAMAA7AFwAbgAgACAAIAAgACAAIAAgACAAIAAgAFwAIgBUAGEAcwBtAGEAbgBpAGEAXAAiACwAIABcACIAbgAvAGEAXAAiACwAIABcACIAUwB1AG0AbQBlAHIAXAAiACwAIAA0ADgAMAAsACAANwA1ADAALAAgADEANQAwACwAIAAzADUAMAAsACAANQAzADAALAAgADEANgAwACwAIAA0ADYAMAA7AFwAbgAgACAAIAAgACAAIAAgACAAIAAgAFwAIgBUAGEAcwBtAGEAbgBpAGEAXAAiACwAIABcACIAbgAvAGEAXAAiACwAIABcACIAQQB1AHQAdQBtAG4AXAAiACwAIAAyADUAMAAsACAANwAyADUALAAgADIAMAAwACwAIAAzADYAMAAsACAANQAwADAALAAgADIAMQA1ACwAIAA0ADkAMAA7AFwAbgAgACAAIAAgACAAIAAgACAAIAAgAFwAIgBUAGEAcwBtAGEAbgBpAGEAXAAiACwAIABcACIAbgAvAGEAXAAiACwAIABcACIAVwBpAG4AdABlAHIAXAAiACwAIAAyADYAMAAsACAANwAwADAALAAgADIAMQAwACwAIAAzADgAMAAsACAANAA2ADAALAAgADIAMwAwACwAIAA0ADcAMAA7AFwAbgAgACAAIAAgACAAIAAgACAAIAAgAFwAIgBWAGkAYwB0AG8AcgBpAGEAXAAiACwAIABcACIAbgAvAGEAXAAiACwAIABcACIAUwBwAHIAaQBuAGcAXAAiACwAIAAyADUAMAAsACAAOAAyADAALAAgADIANAAwACwAIAA0ADEAMAAsACAANQA2ADAALAAgADIANAAwACwAIAA1ADEAMAA7AFwAbgAgACAAIAAgACAAIAAgACAAIAAgAFwAIgBWAGkAYwB0AG8AcgBpAGEAXAAiACwAIABcACIAbgAvAGEAXAAiACwAIABcACIAUwB1AG0AbQBlAHIAXAAiACwAIAAyADgAMAAsACAAOAA1ADAALAAgADIANgAwACwAIAA0ADQAMAAsACAANQA1ADAALAAgADIANwAwACwAIAA1ADIAMAA7AFwAbgAgACAAIAAgACAAIAAgACAAIAAgAFwAIgBWAGkAYwB0AG8AcgBpAGEAXAAiACwAIABcACIAbgAvAGEAXAAiACwAIABcACIAQQB1AHQAdQBtAG4AXAAiACwAIAAxADAAMAAsACAANwAwADAALAAgADkANQAsACAAMwAwADAALAAgADQANQAwACwAIAA5ADUALAAgADQAMQAwADsAXABuACAAIAAgACAAIAAgACAAIAAgACAAXAAiAFYAaQBjAHQAbwByAGkAYQBcACIALAAgAFwAIgBuAC8AYQBcACIALAAgAFwAIgBXAGkAbgB0AGUAcgBcACIALAAgADEANQAwACwAIAA3ADIAMAAsACAAMQA0ADAALAAgADMAMgAwACwAIAA0ADcAMAAsACAAMQA0ADAALAAgADQANAAwADsAXABuACAAIAAgACAAIAAgACAAIAAgACAAXAAiAFcAZQBzAHQAZQByAG4AIABBAHUAcwB0AHIAYQBsAGkAYQBcACIALAAgAFwAIgBTAG8AdQB0AGgAIABXAGUAcwB0AFwAIgAsACAAXAAiAFMAcAByAGkAbgBnAFwAIgAsACAAMwA0ADAALAAgADgAMAAwACwAIAAyADYAMAAsACAANAAyADAALAAgADUANQAwACwAIAAzADAAMAAsACAANAA4ADAAOwBcAG4AIAAgACAAIAAgACAAIAAgACAAIABcACIAVwBlAHMAdABlAHIAbgAgAEEAdQBzAHQAcgBhAGwAaQBhAFwAIgAsACAAXAAiAFMAbwB1AHQAaAAgAFcAZQBzAHQAXAAiACwAIABcACIAUwB1AG0AbQBlAHIAXAAiACwAIAAzADgAMAAsACAANwA4ADAALAAgADMAMAAwACwAIAA0ADUAMAAsACAANQAzADAALAAgADMANAAwACwAIAA0ADcAMAA7AFwAbgAgACAAIAAgACAAIAAgACAAIAAgAFwAIgBXAGUAcwB0AGUAcgBuACAAQQB1AHMAdAByAGEAbABpAGEAXAAiACwAIABcACIAUwBvAHUAdABoACAAVwBlAHMAdABcACIALAAgAFwAIgBBAHUAdAB1AG0AbgBcACIALAAgADEAMAAwACwAIAA2ADgAMAAsACAAOAAwACwAIAAzADIAMAAsACAANAA4ADAALAAgADEAMAAwACwAIAAzADQAMAA7AFwAbgAgACAAIAAgACAAIAAgACAAIAAgAFwAIgBXAGUAcwB0AGUAcgBuACAAQQB1AHMAdAByAGEAbABpAGEAXAAiACwAIABcACIAUwBvAHUAdABoACAAVwBlAHMAdABcACIALAAgAFwAIgBXAGkAbgB0AGUAcgBcACIALAAgADEAOQAwACwAIAA3ADAAMAAsACAAMQA1ADAALAAgADMAMwAwACwAIAA0ADkAMAAsACAAMQA3ADAALAAgADMANgAwADsAXABuACAAIAAgACAAIAAgACAAIAAgACAAXAAiAFcAZQBzAHQAZQByAG4AIABBAHUAcwB0AHIAYQBsAGkAYQBcACIALAAgAFwAIgBQAGkAbABiAGEAcgBhAFwAIgAsACAAXAAiAFMAcAByAGkAbgBnAFwAIgAsACAAOAAwACwAIAA0ADUAMAAsACAANwAwACwAIAAyADYAMAAsACAAMwA0ADAALAAgADgAMAAsACAAMwA3ADAAOwBcAG4AIAAgACAAIAAgACAAIAAgACAAIABcACIAVwBlAHMAdABlAHIAbgAgAEEAdQBzAHQAcgBhAGwAaQBhAFwAIgAsACAAXAAiAFAAaQBsAGIAYQByAGEAXAAiACwAIABcACIAUwB1AG0AbQBlAHIAXAAiACwAIAAxADUAMAAsACAANQAwADAALAAgADEANAAwACwAIAAzADEAMAAsACAAMwA2ADAALAAgADEANQAwACwAIAA0ADAAMAA7AFwAbgAgACAAIAAgACAAIAAgACAAIAAgAFwAIgBXAGUAcwB0AGUAcgBuACAAQQB1AHMAdAByAGEAbABpAGEAXAAiACwAIABcACIAUABpAGwAYgBhAHIAYQBcACIALAAgAFwAIgBBAHUAdAB1AG0AbgBcACIALAAgADIAMwAwACwAIAA1ADUAMAAsACAAMgAyADAALAAgADMAMwAwACwAIAAzADgAMAAsACAAMgAzADAALAAgADQAMgAwADsAXABuACAAIAAgACAAIAAgACAAIAAgACAAXAAiAFcAZQBzAHQAZQByAG4AIABBAHUAcwB0AHIAYQBsAGkAYQBcACIALAAgAFwAIgBQAGkAbABiAGEAcgBhAFwAIgAsACAAXAAiAFcAaQBuAHQAZQByAFwAIgAsACAAMgA1ADAALAAgADUAMAAwACwAIAAyADQAMAAsACAAMwA0ADAALAAgADMANgAwACwAIAAyADUAMAAsACAAMwA5ADAAOwBcAG4AIAAgACAAIAAgACAAIAAgACAAIABcACIAVwBlAHMAdABlAHIAbgAgAEEAdQBzAHQAcgBhAGwAaQBhAFwAIgAsACAAXAAiAEsAaQBtAGIAZQByAGwAZQB5AFwAIgAsACAAXAAiAFMAcAByAGkAbgBnAFwAIgAsACAAMgAyADAALAAgADUAMAAwACwAIAAxADgAMAAsACAAMwAwADAALAAgADMAMgAwACwAIAAyADEAMAAsACAAMwA0ADAAOwBcAG4AIAAgACAAIAAgACAAIAAgACAAIABcACIAVwBlAHMAdABlAHIAbgAgAEEAdQBzAHQAcgBhAGwAaQBhAFwAIgAsACAAXAAiAEsAaQBtAGIAZQByAGwAZQB5AFwAIgAsACAAXAAiAFMAdQBtAG0AZQByAFwAIgAsACAAMQAxADAALAAgADUANQAwACwAIAA5ADAALAAgADIAMgAwACwAIAAzADgAMAAsACAAMQAwADAALAAgADMAOQAwADsAXABuACAAIAAgACAAIAAgACAAIAAgACAAXAAiAFcAZQBzAHQAZQByAG4AIABBAHUAcwB0AHIAYQBsAGkAYQBcACIALAAgAFwAIgBLAGkAbQBiAGUAcgBsAGUAeQBcACIALAAgAFwAIgBBAHUAdAB1AG0AbgBcACIALAAgADEANwAwACwAIAA2ADAAMAAsACAAMQA0ADAALAAgADIANwAwACwAIAAzADkAMAAsACAAMQA2ADAALAAgADQAMwAwADsAXABuACAAIAAgACAAIAAgACAAIAAgACAAXAAiAFcAZQBzAHQAZQByAG4AIABBAHUAcwB0AHIAYQBsAGkAYQBcACIALAAgAFwAIgBLAGkAbQBiAGUAcgBsAGUAeQBcACIALAAgAFwAIgBXAGkAbgB0AGUAcgBcACIALAAgADIAMAAwACwAIAA1ADUAMAAsACAAMQA1ADAALAAgADIAOAAwACwAIAAzADUAMAAsACAAMQA5ADAALAAgADQAMAAwAFwAbgAgACAAIAAgACAAIAAgACAAfQAsACAAcgAsACAAYwApAFwAbgAgACAAIAAgACAAIAApAFwAbgAgACAAIAAgACkAXABuACAAIAApADsAXABuAFwAbgAvACoAIABcAG4ALQAtAC0ALQAtAC0ALQAtAC0ALQAtAC0ALQAtAC0ALQAtAC0ALQAtAC0ALQAtAC0ALQAtAC0ALQAtAC0ALQAtAC0ALQAtAC0ALQAtAFwAbgBTAG8AdQByAGMAZQBEAGEAdABhAF8AUABhAHMAdAB1AHIAZQBCAGUAZQBmAF8ATABpAHYAZQB3AGUAaQBnAGgAdABOAFQAUQBMAEQAXABuAFQAYQBiAGwAZQAgAEEALgAxAC4AMgAuADIAOgAgAEIAZQBlAGYAIABwAGEAcwB0AHUAcgBlACAAYwBhAHQAdABsAGUAIAAtACAATABpAHYAZQB3AGUAaQBnAGgAdAAgACgAawBnACkAIAAoAFcAagBrAGwAKQAgAGYAbwByACAATgBUACAAYQBuAGQAIABRAEwARABcAG4ALQAtAC0ALQAtAC0ALQAtAC0ALQAtAC0ALQAtAC0ALQAtAC0ALQAtAC0ALQAtAC0ALQAtAC0ALQAtAC0ALQAtAC0ALQAtAC0ALQAtAFwAbgAqAC8AXABuAFwAbgBTAG8AdQByAGMAZQBEAGEAdABhAF8AUABhAHMAdAB1AHIAZQBCAGUAZQBmAF8ATABpAHYAZQB3AGUAaQBnAGgAdABOAFQAUQBMAEQAXwBUAGkAdABsAGUAXABuACAAIAA9AEwAQQBNAEIARABBACgAXAAiAEIAZQBlAGYAIABwAGEAcwB0AHUAcgBlACAAYwBhAHQAdABsAGUAIAAtACAATABpAHYAZQB3AGUAaQBnAGgAdAAgACgAawBnACkAIAAoAFcAagBrAGwAKQAgAGYAbwByACAATgBUACAAYQBuAGQAIABRAEwARABcACIAKQA7AFwAbgBcAG4AUwBvAHUAcgBjAGUARABhAHQAYQBfAFAAYQBzAHQAdQByAGUAQgBlAGUAZgBfAEwAaQB2AGUAdwBlAGkAZwBoAHQATgBUAFEATABEAF8AVgBhAHIAaQBhAGIAbABlAFwAbgAgACAAPQBMAEEATQBCAEQAQQAoAFwAIgBXAGoAawBsAFwAIgApADsAXABuAFwAbgBTAG8AdQByAGMAZQBEAGEAdABhAF8AUABhAHMAdAB1AHIAZQBCAGUAZQBmAF8ATABpAHYAZQB3AGUAaQBnAGgAdABOAFQAUQBMAEQAXwBVAG4AaQB0AFwAbgAgACAAPQBMAEEATQBCAEQAQQAoAFwAIgBrAGcAXAAiACkAOwBcAG4AXABuAFMAbwB1AHIAYwBlAEQAYQB0AGEAXwBQAGEAcwB0AHUAcgBlAEIAZQBlAGYAXwBMAGkAdgBlAHcAZQBpAGcAaAB0AE4AVABRAEwARABfAFMAbwB1AHIAYwBlAFwAbgAgACAAPQBMAEEATQBCAEQAQQAoAFwAIgBWAEUARQBSAEcAIAAyADAAMgA2ADoAIABUAGEAYgBsAGUAIABBAC4AMQAuADIALgAyAFwAIgApADsAXABuAFwAbgBTAG8AdQByAGMAZQBEAGEAdABhAF8AUABhAHMAdAB1AHIAZQBCAGUAZQBmAF8ATABpAHYAZQB3AGUAaQBnAGgAdABOAFQAUQBMAEQAXwBWAGEAcgBpAGEAdABpAG8AbgBcAG4AIAAgAD0ATABBAE0AQgBEAEEAKABcACIAXAAiACkAOwBcAG4AXABuAFMAbwB1AHIAYwBlAEQAYQB0AGEAXwBQAGEAcwB0AHUAcgBlAEIAZQBlAGYAXwBMAGkAdgBlAHcAZQBpAGcAaAB0AE4AVABRAEwARABfAEQAYQB0AGEAXABuACAAIAA9AEwAQQBNAEIARABBACgAXABuACAAIAAgACAATQBBAEsARQBBAFIAUgBBAFkAKAAyADkALAAgADEAMwAsAFwAbgAgACAAIAAgACAAIABMAEEATQBCAEQAQQAoAHIALABjACwAXABuACAAIAAgACAAIAAgACAAIABJAE4ARABFAFgAKAB7AFwAbgAgACAAIAAgACAAIAAgACAAIAAgAFwAIgBTAHQAYQB0AGUAXAAiACwAIABcACIAUgBlAGcAaQBvAG4AXAAiACwAIABcACIAUwBlAGEAcwBvAG4AXAAiACwAIABcACIAQgB1AGwAbAAgAFwAdQAwADAAMwBjADEAXAAiACwAIABcACIAQgB1AGwAbAAgAFwAdQAwADAAMwBlADEAXAAiACwAIABcACIAQwBvAHcAcwAgAFwAdQAwADAAMwBjADEAXAAiACwAIABcACIAQwBvAHcAcwAgADEALQAyAFwAIgAsACAAXAAiAEMAbwB3AHMAIAAyAC0AMwBcACIALAAgAFwAIgBDAG8AdwBzACAAXAB1ADAAMAAzAGUAMwBcACIALAAgAFwAIgBTAHQAZQBlAHIAIABcAHUAMAAwADMAYwAxAFwAIgAsACAAXAAiAFMAdABlAGUAcgAgADEALQAyAFwAIgAsACAAXAAiAFMAdABlAGUAcgAgADIALQAzAFwAIgAsACAAXAAiAFMAdABlAGUAcgAgAFwAdQAwADAAMwBlADMAXAAiADsAXABuACAAIAAgACAAIAAgACAAIAAgACAAXAAiAE4AbwByAHQAaABlAHIAbgAgAFQAZQByAHIAaQB0AG8AcgB5AFwAIgAsACAAXAAiAEEAbABpAGMAZQAgAFMAcAByAGkAbgBnAHMAXAAiACwAIABcACIAUwBwAHIAaQBuAGcAXAAiACwAIAAyADIAMAAsACAANwAwADYALAAgADIAMAA4ACwAIAAzADIAMwAsACAANAAxADUALAAgADQANgA3ACwAIAAyADIAMwAsACAAMwA3ADEALAAgADQAOQAzACwAIAA1ADgANQA7AFwAbgAgACAAIAAgACAAIAAgACAAIAAgAFwAIgBOAG8AcgB0AGgAZQByAG4AIABUAGUAcgByAGkAdABvAHIAeQBcACIALAAgAFwAIgBBAGwAaQBjAGUAIABTAHAAcgBpAG4AZwBzAFwAIgAsACAAXAAiAFMAdQBtAG0AZQByAFwAIgAsACAAMQAxADAALAAgADcAMAAzACwAIAAxADEAMgAsACAAMgA1ADYALAAgADMANgA4ACwAIAA0ADYANQAsACAAMQAwADgALAAgADIAOAAwACwAIAA0ADIAMQAsACAANQA0ADMAOwBcAG4AIAAgACAAIAAgACAAIAAgACAAIABcACIATgBvAHIAdABoAGUAcgBuACAAVABlAHIAcgBpAHQAbwByAHkAXAAiACwAIABcACIAQQBsAGkAYwBlACAAUwBwAHIAaQBuAGcAcwBcACIALAAgAFwAIgBBAHUAdAB1AG0AbgBcACIALAAgADEANwAwACwAIAA3ADIAMQAsACAAMQA2ADkALAAgADMAMAA2ACwAIAAzADkAMgAsACAANAA2ADQALAAgADEANwA2ACwAIAAzADMAOQAsACAANAA3ADAALAAgADUAOAAwADsAXABuACAAIAAgACAAIAAgACAAIAAgACAAXAAiAE4AbwByAHQAaABlAHIAbgAgAFQAZQByAHIAaQB0AG8AcgB5AFwAIgAsACAAXAAiAEEAbABpAGMAZQAgAFMAcAByAGkAbgBnAHMAXAAiACwAIABcACIAVwBpAG4AdABlAHIAXAAiACwAIAAyADAAMAAsACAANwAyADcALAAgADIAMQAxACwAIAAzADMAOAAsACAANAAzADIALAAgADQAOQAyACwAIAAyADIAMgAsACAAMwA3ADcALAAgADQAOQA4ACwAIAA1ADkAMAA7AFwAbgAgACAAIAAgACAAIAAgACAAIAAgAFwAIgBOAG8AcgB0AGgAZQByAG4AIABUAGUAcgByAGkAdABvAHIAeQBcACIALAAgAFwAIgBCAGEAcgBrAGwAeQBcACIALAAgAFwAIgBTAHAAcgBpAG4AZwBcACIALAAgADIAMgAwACwAIAA2ADIAMAAsACAAMgAyADcALAAgADMAMQA5ACwAIAAzADkAOAAsACAANAA1ADIALAAgADIAMQA2ACwAIAAzADMANAAsACAAXAAiAE4ATwBcACIALAAgAFwAIgBOAE8AXAAiADsAXABuACAAIAAgACAAIAAgACAAIAAgACAAXAAiAE4AbwByAHQAaABlAHIAbgAgAFQAZQByAHIAaQB0AG8AcgB5AFwAIgAsACAAXAAiAEIAYQByAGsAbAB5AFwAIgAsACAAXAAiAFMAdQBtAG0AZQByAFwAIgAsACAAMQAxADAALAAgADYANQAwACwAIAAxADAAOAAsACAAMgA2ADIALAAgADMANAA2ACwAIAA0ADMAMAAsACAAMQAxADEALAAgADIAMwA2ACwAIABcACIATgBPAFwAIgAsACAAXAAiAE4ATwBcACIAOwBcAG4AIAAgACAAIAAgACAAIAAgACAAIABcACIATgBvAHIAdABoAGUAcgBuACAAVABlAHIAcgBpAHQAbwByAHkAXAAiACwAIABcACIAQgBhAHIAawBsAHkAXAAiACwAIABcACIAQQB1AHQAdQBtAG4AXAAiACwAIAAxADcAMAAsACAANgA3ADAALAAgADEANwAwACwAIAAyADYANgAsACAAMwA2ADMALAAgADQANAA0ACwAIAAxADYAOQAsACAAMgA4ADIALAAgAFwAIgBOAE8AXAAiACwAIABcACIATgBPAFwAIgA7AFwAbgAgACAAIAAgACAAIAAgACAAIAAgAFwAIgBOAG8AcgB0AGgAZQByAG4AIABUAGUAcgByAGkAdABvAHIAeQBcACIALAAgAFwAIgBCAGEAcgBrAGwAeQBcACIALAAgAFwAIgBXAGkAbgB0AGUAcgBcACIALAAgADIAMAAwACwAIAA2ADYAMAAsACAAMgAyADUALAAgADMAMAA3ACwAIAAzADkAOAAsACAANAA1ADIALAAgADIAMQA0ACwAIAAzADIANgAsACAAXAAiAE4ATwBcACIALAAgAFwAIgBOAE8AXAAiADsAXABuACAAIAAgACAAIAAgACAAIAAgACAAXAAiAE4AbwByAHQAaABlAHIAbgAgAFQAZQByAHIAaQB0AG8AcgB5AFwAIgAsACAAXAAiAE4AbwByAHQAaABlAHIAbgBcACIALAAgAFwAIgBTAHAAcgBpAG4AZwBcACIALAAgADIAMgAwACwAIAA2ADIAMAAsACAAMQA3ADcALAAgADIANgA3ACwAIAAzADYANQAsACAANAAwADYALAAgADIAMwAxACwAIAAyADQAOQAsACAAMwAyADQALAAgAFwAIgBOAE8AXAAiADsAXABuACAAIAAgACAAIAAgACAAIAAgACAAXAAiAE4AbwByAHQAaABlAHIAbgAgAFQAZQByAHIAaQB0AG8AcgB5AFwAIgAsACAAXAAiAE4AbwByAHQAaABlAHIAbgBcACIALAAgAFwAIgBTAHUAbQBtAGUAcgBcACIALAAgADEAMQAwACwAIAA2ADUAMAAsACAAMQAwADIALAAgADIAMAAzACwAIAAyADkAOQAsACAAMwA4ADAALAAgADEAMAAyACwAIAAyADEAOAAsACAAMgA2ADMALAAgAFwAIgBOAE8AXAAiADsAXABuACAAIAAgACAAIAAgACAAIAAgACAAXAAiAE4AbwByAHQAaABlAHIAbgAgAFQAZQByAHIAaQB0AG8AcgB5AFwAIgAsACAAXAAiAE4AbwByAHQAaABlAHIAbgBcACIALAAgAFwAIgBBAHUAdAB1AG0AbgBcACIALAAgADEANwAwACwAIAA2ADcAMAAsACAAMQA3ADMALAAgADIANQAwACwAIAAzADMANgAsACAANAAxADQALAAgADEANwA1ACwAIAAyADQAMwAsACAAMwAwADQALAAgAFwAIgBOAE8AXAAiADsAXABuACAAIAAgACAAIAAgACAAIAAgACAAXAAiAE4AbwByAHQAaABlAHIAbgAgAFQAZQByAHIAaQB0AG8AcgB5AFwAIgAsACAAXAAiAE4AbwByAHQAaABlAHIAbgBcACIALAAgAFwAIgBXAGkAbgB0AGUAcgBcACIALAAgADIAMAAwACwAIAA2ADYAMAAsACAAMgAwADIALAAgADIANwAyACwAIAAzADYANQAsACAAMwA5ADAALAAgADIAMAA4ACwAIAAyADYAMAAsACAAMwAzADcALAAgAFwAIgBOAE8AXAAiADsAXABuACAAIAAgACAAIAAgACAAIAAgACAAXAAiAFEAdQBlAGUAbgBzAGwAYQBuAGQAXAAiACwAIABcACIASABpAGcAaABcACIALAAgAFwAIgBTAHAAcgBpAG4AZwBcACIALAAgADIANgAwACwAIAA3ADAANQAsACAAMgAxADUALAAgADMAMAAyACwAIAA0ADEANgAsACAANQAxADkALAAgADIAMwA0ACwAIAA0ADUANQAsACAANQA1ADEALAAgADYANgAwADsAXABuACAAIAAgACAAIAAgACAAIAAgACAAXAAiAFEAdQBlAGUAbgBzAGwAYQBuAGQAXAAiACwAIABcACIASABpAGcAaABcACIALAAgAFwAIgBTAHUAbQBtAGUAcgBcACIALAAgADEANQAzACwAIAA3ADAAMwAsACAAMQAxADgALAAgADIANwA3ACwAIAAzADkANwAsACAANAA4ADMALAAgADEAMQAxACwAIAAzADAANAAsACAANQAyADEALAAgADUANAA3ADsAXABuACAAIAAgACAAIAAgACAAIAAgACAAXAAiAFEAdQBlAGUAbgBzAGwAYQBuAGQAXAAiACwAIABcACIASABpAGcAaABcACIALAAgAFwAIgBBAHUAdAB1AG0AbgBcACIALAAgADEANgA4ACwAIAA3ADEAOAAsACAAMQA5ADEALAAgADMAMQA5ACwAIAA0ADQAMAAsACAANQAwADYALAAgADEAOAA4ACwAIAAzADIANgAsACAANQAyADAALAAgADUAOAAyADsAXABuACAAIAAgACAAIAAgACAAIAAgACAAXAAiAFEAdQBlAGUAbgBzAGwAYQBuAGQAXAAiACwAIABcACIASABpAGcAaABcACIALAAgAFwAIgBXAGkAbgB0AGUAcgBcACIALAAgADIAMwA1ACwAIAA3ADIAMgAsACAAMgAwADcALAAgADMANQAyACwAIAA0ADcAMAAsACAANQAxADQALAAgADIAMAA5ACwAIAA0ADIAMQAsACAANQAxADIALAAgADYAMAA1ADsAXABuACAAIAAgACAAIAAgACAAIAAgACAAXAAiAFEAdQBlAGUAbgBzAGwAYQBuAGQAXAAiACwAIABcACIATQBvAGQAZQByAGEAdABlAC8ASABpAGcAaABcACIALAAgAFwAIgBTAHAAcgBpAG4AZwBcACIALAAgADIAMwAwACwAIAA2ADcANAAsACAAMgAxADcALAAgADMANAA0ACwAIAAzADUANwAsACAANAA2ADcALAAgADIANAAyACwAIAAzADcAMAAsACAANQA1ADAALAAgADYAMgAwADsAXABuACAAIAAgACAAIAAgACAAIAAgACAAXAAiAFEAdQBlAGUAbgBzAGwAYQBuAGQAXAAiACwAIABcACIATQBvAGQAZQByAGEAdABlAC8ASABpAGcAaABcACIALAAgAFwAIgBTAHUAbQBtAGUAcgBcACIALAAgADEAMQAzACwAIAA2ADYAOQAsACAAMQAxADMALAAgADIAOAAzACwAIAAzADYAMQAsACAANAA3ADcALAAgADEAMgAwACwAIAAyADcAMwAsACAANQA0ADUALAAgADUANQAzADsAXABuACAAIAAgACAAIAAgACAAIAAgACAAXAAiAFEAdQBlAGUAbgBzAGwAYQBuAGQAXAAiACwAIABcACIATQBvAGQAZQByAGEAdABlAC8ASABpAGcAaABcACIALAAgAFwAIgBBAHUAdAB1AG0AbgBcACIALAAgADEANwAyACwAIAA2ADgANQAsACAAMQA3ADIALAAgADMAMAA5ACwAIAAzADcANgAsACAANAA3ADEALAAgADIAMwA4ACwAIAAzADIAOQAsACAANQA3ADMALAAgADYAMgAwADsAXABuACAAIAAgACAAIAAgACAAIAAgACAAXAAiAFEAdQBlAGUAbgBzAGwAYQBuAGQAXAAiACwAIABcACIATQBvAGQAZQByAGEAdABlAC8ASABpAGcAaABcACIALAAgAFwAIgBXAGkAbgB0AGUAcgBcACIALAAgADIANAAxACwAIAA2ADkAMgAsACAAMgAwADgALAAgADMANAA0ACwAIAAzADYANAAsACAANAA4ADQALAAgADIANgAwACwAIAAzADUAMAAsACAANQA2ADcALAAgADYAMgAwADsAXABuACAAIAAgACAAIAAgACAAIAAgACAAXAAiAFEAdQBlAGUAbgBzAGwAYQBuAGQAXAAiACwAIABcACIATQBvAGQAZQByAGEAdABlAC8ATABvAHcAXAAiACwAIABcACIAUwBwAHIAaQBuAGcAXAAiACwAIAAyADMANgAsACAANgA3ADQALAAgADEANwA4ACwAIAAzADEAMAAsACAANAAyADgALAAgADQANgA2ACwAIAAxADkAMwAsACAAMwA3ADAALAAgADUAMQA5ACwAIAA1ADYANQA7AFwAbgAgACAAIAAgACAAIAAgACAAIAAgAFwAIgBRAHUAZQBlAG4AcwBsAGEAbgBkAFwAIgAsACAAXAAiAE0AbwBkAGUAcgBhAHQAZQAvAEwAbwB3AFwAIgAsACAAXAAiAFMAdQBtAG0AZQByAFwAIgAsACAAMQAyADAALAAgADYANgA5ACwAIAAxADEAMgAsACAAMgA1ADAALAAgADMAOQAwACwAIAA0ADQAOAAsACAAMQAxADUALAAgADIANwAzACwAIAA0ADMAMwAsACAANQA1ADYAOwBcAG4AIAAgACAAIAAgACAAIAAgACAAIABcACIAUQB1AGUAZQBuAHMAbABhAG4AZABcACIALAAgAFwAIgBNAG8AZABlAHIAYQB0AGUALwBMAG8AdwBcACIALAAgAFwAIgBBAHUAdAB1AG0AbgBcACIALAAgADEAMgA1ACwAIAA2ADgANQAsACAAMQA0ADAALAAgADIANwA3ACwAIAA0ADAANwAsACAANAA1ADUALAAgADEANAAxACwAIAAyADkANgAsACAANAA0ADUALAAgADUAOQAzADsAXABuACAAIAAgACAAIAAgACAAIAAgACAAXAAiAFEAdQBlAGUAbgBzAGwAYQBuAGQAXAAiACwAIABcACIATQBvAGQAZQByAGEAdABlAC8ATABvAHcAXAAiACwAIABcACIAVwBpAG4AdABlAHIAXAAiACwAIAAxADgAMAAsACAANgA5ADIALAAgADEAOAAzACwAIAAzADEANgAsACAANAAzADgALAAgADQANgA4ACwAIAAxADgAOQAsACAAMwA1ADQALAAgADUAMAAwACwAIAA1ADUAMwA7AFwAbgAgACAAIAAgACAAIAAgACAAIAAgAFwAIgBRAHUAZQBlAG4AcwBsAGEAbgBkAFwAIgAsACAAXAAiAEwAbwB3AFwAIgAsACAAXAAiAFMAcAByAGkAbgBnAFwAIgAsACAAMQA5ADAALAAgADYAMQA3ACwAIAAxADcANAAsACAAMgA2ADUALAAgADMANwAxACwAIAA0ADEANQAsACAAMQA3ADAALAAgADIANwAyACwAIAAzADkAMgAsACAANQAzADEAOwBcAG4AIAAgACAAIAAgACAAIAAgACAAIABcACIAUQB1AGUAZQBuAHMAbABhAG4AZABcACIALAAgAFwAIgBMAG8AdwBcACIALAAgAFwAIgBTAHUAbQBtAGUAcgBcACIALAAgADEAMQA5ACwAIAA1ADkAMQAsACAAMQA0ADAALAAgADIAMAA1ACwAIAAzADEAMAAsACAANAAwADUALAAgADEAMwAzACwAIAAyADEAOAAsACAAMwAxADUALAAgADQANAA1ADsAXABuACAAIAAgACAAIAAgACAAIAAgACAAXAAiAFEAdQBlAGUAbgBzAGwAYQBuAGQAXAAiACwAIABcACIATABvAHcAXAAiACwAIABcACIAQQB1AHQAdQBtAG4AXAAiACwAIAAxADcANQAsACAANgAxADAALAAgADEANgAzACwAIAAyADMAMgAsACAAMwA1ADEALAAgADQAMgA3ACwAIAAxADQANgAsACAAMgA0ADIALAAgADMAMgAwACwAIAA0ADcAMQA7AFwAbgAgACAAIAAgACAAIAAgACAAIAAgAFwAIgBRAHUAZQBlAG4AcwBsAGEAbgBkAFwAIgAsACAAXAAiAEwAbwB3AFwAIgAsACAAXAAiAFcAaQBuAHQAZQByAFwAIgAsACAAMQA5ADIALAAgADYAMQA1ACwAIAAxADYAMgAsACAAMgA1ADUALAAgADMANgA0ACwAIAA0ADIAMAAsACAAMQA1ADcALAAgADIANgAxACwAIAAzADQAMgAsACAANAA4ADQAXABuACAAIAAgACAAIAAgACAAIAB9ACwAIAByACwAIABjACkAXABuACAAIAAgACAAIAAgACkAXABuACAAIAAgACAAKQBcAG4AIAAgACkAOwBcAG4AXABuAFwAbgAvACoAIABcAG4ALQAtAC0ALQAtAC0ALQAtAC0ALQAtAC0ALQAtAC0ALQAtAC0ALQAtAC0ALQAtAC0ALQAtAC0ALQAtAC0ALQAtAC0ALQAtAC0ALQAtAFwAbgBTAG8AdQByAGMAZQBEAGEAdABhAF8AUABhAHMAdAB1AHIAZQBCAGUAZQBmAF8ATABpAHYAZQB3AGUAaQBnAGgAdABHAGEAaQBuAFwAbgBUAGEAYgBsAGUAIABBAC4AMQAuADIALgAzADoAIABCAGUAZQBmACAAcABhAHMAdAB1AHIAZQAgAGMAYQB0AHQAbABlACAALQAgAEwAaQB2AGUAdwBlAGkAZwBoAHQAIABnAGEAaQBuACAAKABrAGcAKQAgACgATABXAEcAagBrAGwAKQBcAG4ALQAtAC0ALQAtAC0ALQAtAC0ALQAtAC0ALQAtAC0ALQAtAC0ALQAtAC0ALQAtAC0ALQAtAC0ALQAtAC0ALQAtAC0ALQAtAC0ALQAtAFwAbgAqAC8AXABuAFwAbgBTAG8AdQByAGMAZQBEAGEAdABhAF8AUABhAHMAdAB1AHIAZQBCAGUAZQBmAF8ATABpAHYAZQB3AGUAaQBnAGgAdABHAGEAaQBuAF8AVABpAHQAbABlAFwAbgAgACAAPQBMAEEATQBCAEQAQQAoAFwAIgBCAGUAZQBmACAAcABhAHMAdAB1AHIAZQAgAGMAYQB0AHQAbABlACAALQAgAEwAaQB2AGUAdwBlAGkAZwBoAHQAIABnAGEAaQBuACAAKABrAGcAKQAgACgATABXAEcAagBrAGwAKQBcACIAKQA7AFwAbgBcAG4AUwBvAHUAcgBjAGUARABhAHQAYQBfAFAAYQBzAHQAdQByAGUAQgBlAGUAZgBfAEwAaQB2AGUAdwBlAGkAZwBoAHQARwBhAGkAbgBfAFYAYQByAGkAYQBiAGwAZQBcAG4AIAAgAD0ATABBAE0AQgBEAEEAKABcACIATABXAEcAagBrAGwAXAAiACkAOwBcAG4AXABuAFMAbwB1AHIAYwBlAEQAYQB0AGEAXwBQAGEAcwB0AHUAcgBlAEIAZQBlAGYAXwBMAGkAdgBlAHcAZQBpAGcAaAB0AEcAYQBpAG4AXwBVAG4AaQB0AFwAbgAgACAAPQBMAEEATQBCAEQAQQAoAFwAIgBrAGcAXAAiACkAOwBcAG4AXABuAFMAbwB1AHIAYwBlAEQAYQB0AGEAXwBQAGEAcwB0AHUAcgBlAEIAZQBlAGYAXwBMAGkAdgBlAHcAZQBpAGcAaAB0AEcAYQBpAG4AXwBTAG8AdQByAGMAZQBcAG4AIAAgAD0ATABBAE0AQgBEAEEAKABcACIAVgBFAEUAUgBHACAAMgAwADIANgA6ACAAVABhAGIAbABlACAAQQAuADEALgAyAC4AMwBcACIAKQA7AFwAbgBcAG4AUwBvAHUAcgBjAGUARABhAHQAYQBfAFAAYQBzAHQAdQByAGUAQgBlAGUAZgBfAEwAaQB2AGUAdwBlAGkAZwBoAHQARwBhAGkAbgBfAFYAYQByAGkAYQB0AGkAbwBuAFwAbgAgACAAPQBMAEEATQBCAEQAQQAoAFwAIgBWAEEAUgBJAEEAVABJAE8ATgAgAE8ATgAgAFMATwBVAFIAQwBFADoAIABSAGUAcABsAGEAYwBlAGQAIABcAHUAMAAwADIANwBuAC8AYQBcAHUAMAAwADIANwAgAHcAaQB0AGgAIABcAHUAMAAwADIANwBTAG8AdQB0AGgAIABXAGUAcwB0AFwAdQAwADAAMgA3ACAAZgBvAHIAIABmAGkAcgBzAHQAIABmAG8AdQByACAAcgBvAHcAcwAgAG8AZgAgAFcAZQBzAHQAZQByAG4AIABBAHUAcwB0AHIAYQBsAGkAYQAgAHQAbwAgAGIAZQAgAGMAbwBuAHMAaQBzAHQAZQBuAHQAIAB3AGkAdABoACAAdABhAGIAbABlACAAQQAuADEALgAyAC4AMQBcACIAKQA7AFwAbgBcAG4AUwBvAHUAcgBjAGUARABhAHQAYQBfAFAAYQBzAHQAdQByAGUAQgBlAGUAZgBfAEwAaQB2AGUAdwBlAGkAZwBoAHQARwBhAGkAbgBfAEQAYQB0AGEAXABuACAAIAA9AEwAQQBNAEIARABBACgAXABuACAAIAAgACAATQBBAEsARQBBAFIAUgBBAFkAKAAyADkALAAgADEAMAAsAFwAbgAgACAAIAAgACAAIABMAEEATQBCAEQAQQAoAHIALABjACwAXABuACAAIAAgACAAIAAgACAAIABJAE4ARABFAFgAKAB7AFwAbgAgACAAIAAgACAAIAAgACAAIAAgAFwAIgBTAHQAYQB0AGUAXAAiACwAIABcACIAUgBlAGcAaQBvAG4AXAAiACwAIABcACIAUwBlAGEAcwBvAG4AXAAiACwAIABcACIAQgB1AGwAbAAgAFwAdQAwADAAMwBjADEAXAAiACwAIABcACIAQgB1AGwAbAAgAFwAdQAwADAAMwBlADEAXAAiACwAIABcACIAQwBvAHcAIABcAHUAMAAwADMAYwAxAFwAIgAsACAAXAAiAEMAbwB3ACAAMQAtADIAXAAiACwAIABcACIAQwBvAHcAIABcAHUAMAAwADMAZQAyAFwAIgAsACAAXAAiAFMAdABlAGUAcgAgAFwAdQAwADAAMwBjADEAXAAiACwAIABcACIAUwB0AGUAZQByACAAXAB1ADAAMAAzAGUAMQBcACIAOwBcAG4AIAAgACAAIAAgACAAIAAgACAAIABcACIAQQBDAFQALwBOAFMAVwBcACIALAAgAFwAIgBuAC8AYQBcACIALAAgAFwAIgBTAHAAcgBpAG4AZwBcACIALAAgADAALgA1ACwAIAAwAC4AMgAsACAAMAAuADUALAAgADAALgA0ACwAIAAwAC4AMwAsACAAMAAuADUALAAgADAALgA0ADsAXABuACAAIAAgACAAIAAgACAAIAAgACAAXAAiAEEAQwBUAC8ATgBTAFcAXAAiACwAIABcACIAbgAvAGEAXAAiACwAIABcACIAUwB1AG0AbQBlAHIAXAAiACwAIAAxAC4AMAAsACAAMAAuADQALAAgADAALgA5ACwAIAAwAC4ANwAsACAAMAAuADMALAAgADAALgA5ACwAIAAwAC4ANAA7AFwAbgAgACAAIAAgACAAIAAgACAAIAAgAFwAIgBBAEMAVAAvAE4AUwBXAFwAIgAsACAAXAAiAG4ALwBhAFwAIgAsACAAXAAiAEEAdQB0AHUAbQBuAFwAIgAsACAAMAAuADgALAAgADAALgAzACwAIAAwAC4ANwAsACAAMAAuADMALAAgADAALgAyACwAIAAwAC4ANwAsACAAMAAuADMAOwBcAG4AIAAgACAAIAAgACAAIAAgACAAIABcACIAQQBDAFQALwBOAFMAVwBcACIALAAgAFwAIgBuAC8AYQBcACIALAAgAFwAIgBXAGkAbgB0AGUAcgBcACIALAAgADAALgA0ACwAIAAwAC4AMQAsACAAMAAuADQALAAgADAALgAyACwAIAAwAC4AMQAsACAAMAAuADQALAAgADAALgAxADsAXABuACAAIAAgACAAIAAgACAAIAAgACAAXAAiAFMAbwB1AHQAaAAgAEEAdQBzAHQAcgBhAGwAaQBhAFwAIgAsACAAXAAiAG4ALwBhAFwAIgAsACAAXAAiAFMAcAByAGkAbgBnAFwAIgAsACAAMAAuADkAOQAsACAAMQAuADEALAAgADAALgA4ADgALAAgADAALgA1ADUALAAgADAALgA1ADUALAAgADAALgA4ADgALAAgADAALgAyADIAOwBcAG4AIAAgACAAIAAgACAAIAAgACAAIABcACIAUwBvAHUAdABoACAAQQB1AHMAdAByAGEAbABpAGEAXAAiACwAIABcACIAbgAvAGEAXAAiACwAIABcACIAUwB1AG0AbQBlAHIAXAAiACwAIAAwAC4ANwA3ACwAIAAwAC4AMAAsACAAMAAuADYANgAsACAAMAAuADIAMgAsACAAMAAuADAALAAgADAALgA2ADYALAAgADAALgAwADsAXABuACAAIAAgACAAIAAgACAAIAAgACAAXAAiAFMAbwB1AHQAaAAgAEEAdQBzAHQAcgBhAGwAaQBhAFwAIgAsACAAXAAiAG4ALwBhAFwAIgAsACAAXAAiAEEAdQB0AHUAbQBuAFwAIgAsACAAMAAuADkALAAgAC0AMQAuADEALAAgADAALgA3ACwAIAAwAC4AMgAyACwAIAAtADAALgA1ADUALAAgADAALgA4ACwAIAAtADAALgAyADIAOwBcAG4AIAAgACAAIAAgACAAIAAgACAAIABcACIAUwBvAHUAdABoACAAQQB1AHMAdAByAGEAbABpAGEAXAAiACwAIABcACIAbgAvAGEAXAAiACwAIABcACIAVwBpAG4AdABlAHIAXAAiACwAIAAwAC4AOAA4ACwAIAAwAC4AMAAsACAAMAAuADcANwAsACAAMAAuADUANQAsACAAMAAuADAALAAgADAALgA4ADIALAAgADAALgAwADsAXABuACAAIAAgACAAIAAgACAAIAAgACAAXAAiAFQAYQBzAG0AYQBuAGkAYQBcACIALAAgAFwAIgBuAC8AYQBcACIALAAgAFwAIgBTAHAAcgBpAG4AZwBcACIALAAgADEALgAwACwAIAAwAC4ANQAwACwAIAAxAC4AMAAsACAAMQAuADAALAAgAC0AMAAuADQANAAsACAAMQAuADAALAAgADAALgA1ADsAXABuACAAIAAgACAAIAAgACAAIAAgACAAXAAiAFQAYQBzAG0AYQBuAGkAYQBcACIALAAgAFwAIgBuAC8AYQBcACIALAAgAFwAIgBTAHUAbQBtAGUAcgBcACIALAAgADAALgA4ADIALAAgADAALgA1ADUALAAgADAALgA3ADEALAAgADAALgA1ADUALAAgADAALgA5ADkALAAgADAALgA3ADcALAAgADAALgA1ADsAXABuACAAIAAgACAAIAAgACAAIAAgACAAXAAiAFQAYQBzAG0AYQBuAGkAYQBcACIALAAgAFwAIgBuAC8AYQBcACIALAAgAFwAIgBBAHUAdAB1AG0AbgBcACIALAAgADAALgA3ADcALAAgADAALgA1ADAALAAgADAALgA1ADUALAAgADAALgAxADEALAAgAC0AMAAuADMAMwAsACAAMAAuADYALAAgADAALgAzADMAOwBcAG4AIAAgACAAIAAgACAAIAAgACAAIABcACIAVABhAHMAbQBhAG4AaQBhAFwAIgAsACAAXAAiAG4ALwBhAFwAIgAsACAAXAAiAFcAaQBuAHQAZQByAFwAIgAsACAAMAAuADEAMQAsACAALQAwAC4AMgA3ACwAIAAwAC4AMQAxACwAIAAwAC4AMgAyACwAIAAtADAALgA0ADQALAAgADAALgAxADYALAAgAC0AMAAuADIAMgA7AFwAbgAgACAAIAAgACAAIAAgACAAIAAgAFwAIgBWAGkAYwB0AG8AcgBpAGEAXAAiACwAIABcACIAbgAvAGEAXAAiACwAIABcACIAUwBwAHIAaQBuAGcAXAAiACwAIAAxAC4AMQAwACwAIAAxAC4AMQAwACwAIAAxAC4AMQAwACwAIAAwAC4AOQA5ACwAIAAwAC4AOQA5ACwAIAAxAC4AMQAwACwAIAAwAC4ANwA3ADsAXABuACAAIAAgACAAIAAgACAAIAAgACAAXAAiAFYAaQBjAHQAbwByAGkAYQBcACIALAAgAFwAIgBuAC8AYQBcACIALAAgAFwAIgBTAHUAbQBtAGUAcgBcACIALAAgADAALgAzADMALAAgADAALgAzADMALAAgADAALgAyADIALAAgADAALgAzADMALAAgAC0AMAAuADEAMAAsACAAMAAuADMAMwAsACAAMAAuADEAMQA7AFwAbgAgACAAIAAgACAAIAAgACAAIAAgAFwAIgBWAGkAYwB0AG8AcgBpAGEAXAAiACwAIABcACIAbgAvAGEAXAAiACwAIABcACIAQQB1AHQAdQBtAG4AXAAiACwAIAAwAC4ANQAwACwAIAAwAC4AMgAwACwAIAAwAC4ANQA1ACwAIAAwAC4ANAA0ACwAIAAwAC4AMgAwACwAIAAwAC4ANQA1ACwAIAAwAC4AMgAwADsAXABuACAAIAAgACAAIAAgACAAIAAgACAAXAAiAFYAaQBjAHQAbwByAGkAYQBcACIALAAgAFwAIgBuAC8AYQBcACIALAAgAFwAIgBXAGkAbgB0AGUAcgBcACIALAAgADAALgA1ADUALAAgADAALgAyADIALAAgADAALgA0ADkALAAgADAALgAyADIALAAgADAALgAyADIALAAgADAALgA0ADkALAAgADAALgAzADMAOwBcAG4AIAAgACAAIAAgACAAIAAgACAAIABcACIAVwBlAHMAdABlAHIAbgAgAEEAdQBzAHQAcgBhAGwAaQBhAFwAIgAsACAAXAAiAFMAbwB1AHQAaAAgAFcAZQBzAHQAXAAiACwAIABcACIAUwBwAHIAaQBuAGcAXAAiACwAIAAxAC4ANgA0ACwAIAAxAC4AMQAwACwAIAAxAC4AMgAxACwAIAAwAC4AOQA5ACwAIAAwAC4ANgA2ACwAIAAxAC4ANAAyACwAIAAxAC4AMQAwADsAXABuACAAIAAgACAAIAAgACAAIAAgACAAXAAiAFcAZQBzAHQAZQByAG4AIABBAHUAcwB0AHIAYQBsAGkAYQBcACIALAAgAFwAIgBTAG8AdQB0AGgAIABXAGUAcwB0AFwAIgAsACAAXAAiAFMAdQBtAG0AZQByAFwAIgAsACAAMAAuADQANAAsACAALQAwAC4AMgAyACwAIAAwAC4ANAA0ACwAIAAwAC4AMwAzACwAIAAtADAALgAyADIALAAgADAALgA0ADQALAAgAC0AMAAuADEAMQA7AFwAbgAgACAAIAAgACAAIAAgACAAIAAgAFwAIgBXAGUAcwB0AGUAcgBuACAAQQB1AHMAdAByAGEAbABpAGEAXAAiACwAIABcACIAUwBvAHUAdABoACAAVwBlAHMAdABcACIALAAgAFwAIgBBAHUAdAB1AG0AbgBcACIALAAgADAALgA2ADAALAAgADAALgAwADAALAAgADAALgA2ADAALAAgADAALgAyADIALAAgAC0AMAAuADUANQAsACAAMAAuADYAMAAsACAAMAAuADAAMAA7AFwAbgAgACAAIAAgACAAIAAgACAAIAAgAFwAIgBXAGUAcwB0AGUAcgBuACAAQQB1AHMAdAByAGEAbABpAGEAXAAiACwAIABcACIAUwBvAHUAdABoACAAVwBlAHMAdABcACIALAAgAFwAIgBXAGkAbgB0AGUAcgBcACIALAAgADAALgA5ADkALAAgADAALgAyADIALAAgADAALgA3ADcALAAgADAALgAxADEALAAgADAALgAxADEALAAgADAALgA3ADcALAAgADAALgA0ADQAOwBcAG4AIAAgACAAIAAgACAAIAAgACAAIABcACIAVwBlAHMAdABlAHIAbgAgAEEAdQBzAHQAcgBhAGwAaQBhAFwAIgAsACAAXAAiAFAAaQBsAGIAYQByAGEAXAAiACwAIABcACIAUwBwAHIAaQBuAGcAXAAiACwAIAAwAC4ANwAwACwAIAAtADAALgA1ADUALAAgADAALgA3ADAALAAgADAALgAyADIALAAgAC0AMAAuADIAMgAsACAAMAAuADcAMAAsACAALQAwAC4AMgAyADsAXABuACAAIAAgACAAIAAgACAAIAAgACAAXAAiAFcAZQBzAHQAZQByAG4AIABBAHUAcwB0AHIAYQBsAGkAYQBcACIALAAgAFwAIgBQAGkAbABiAGEAcgBhAFwAIgAsACAAXAAiAFMAdQBtAG0AZQByAFwAIgAsACAAMAAuADcANwAsACAAMAAuADUANQAsACAAMAAuADcANwAsACAAMAAuADYANgAsACAAMAAuADUANQAsACAAMAAuADcANwAsACAAMAAuADMAMwA7AFwAbgAgACAAIAAgACAAIAAgACAAIAAgAFwAIgBXAGUAcwB0AGUAcgBuACAAQQB1AHMAdAByAGEAbABpAGEAXAAiACwAIABcACIAUABpAGwAYgBhAHIAYQBcACIALAAgAFwAIgBBAHUAdAB1AG0AbgBcACIALAAgADAALgA4ADgALAAgADAALgA1ADUALAAgADAALgA4ADgALAAgADAALgAyADIALAAgADAALgAyADIALAAgADAALgA4ADgALAAgADAALgAyADIAOwBcAG4AIAAgACAAIAAgACAAIAAgACAAIABcACIAVwBlAHMAdABlAHIAbgAgAEEAdQBzAHQAcgBhAGwAaQBhAFwAIgAsACAAXAAiAFAAaQBsAGIAYQByAGEAXAAiACwAIABcACIAVwBpAG4AdABlAHIAXAAiACwAIAAwAC4AMgAyACwAIAAtADAALgA1ADUALAAgADAALgAyADIALAAgADAALgAxADEALAAgAC0AMAAuADIAMgAsACAAMAAuADIAMgAsACAALQAwAC4AMwAzADsAXABuACAAIAAgACAAIAAgACAAIAAgACAAXAAiAFcAZQBzAHQAZQByAG4AIABBAHUAcwB0AHIAYQBsAGkAYQBcACIALAAgAFwAIgBLAGkAbQBiAGUAcgBsAGUAeQBcACIALAAgAFwAIgBTAHAAcgBpAG4AZwBcACIALAAgADAALgAyADIALAAgAC0AMAAuADUANQAsACAAMAAuADMAMwAsACAAMAAuADIAMgAsACAALQAwAC4AMwAzACwAIAAwAC4AMgAyACwAIAAtADAALgA1ADUAOwBcAG4AIAAgACAAIAAgACAAIAAgACAAIABcACIAVwBlAHMAdABlAHIAbgAgAEEAdQBzAHQAcgBhAGwAaQBhAFwAIgAsACAAXAAiAEsAaQBtAGIAZQByAGwAZQB5AFwAIgAsACAAXAAiAFMAdQBtAG0AZQByAFwAIgAsACAAMAAuADgAMAAsACAAMAAuADUANQAsACAAMAAuADcAMAAsACAAMAAuADQANAAsACAAMAAuADYANgAsACAAMAAuADgAMAAsACAAMAAuADUANQA7AFwAbgAgACAAIAAgACAAIAAgACAAIAAgAFwAIgBXAGUAcwB0AGUAcgBuACAAQQB1AHMAdAByAGEAbABpAGEAXAAiACwAIABcACIASwBpAG0AYgBlAHIAbABlAHkAXAAiACwAIABcACIAQQB1AHQAdQBtAG4AXAAiACwAIAAwAC4ANgA2ACwAIAAwAC4ANQA1ACwAIAAwAC4ANQA1ACwAIAAwAC4ANQA1ACwAIAAwAC4AMQAxACwAIAAwAC4ANgA2ACwAIAAwAC4ANQA1ADsAXABuACAAIAAgACAAIAAgACAAIAAgACAAXAAiAFcAZQBzAHQAZQByAG4AIABBAHUAcwB0AHIAYQBsAGkAYQBcACIALAAgAFwAIgBLAGkAbQBiAGUAcgBsAGUAeQBcACIALAAgAFwAIgBXAGkAbgB0AGUAcgBcACIALAAgADAALgAzADMALAAgAC0AMAAuADUANQAsACAAMAAuADEAMQAsACAAMAAuADEAMQAsACAALQAwAC4ANAA0ACwAIAAwAC4AMwAzACwAIAAtADAALgA1ADUAXABuACAAIAAgACAAIAAgACAAIAB9ACwAIAByACwAIABjACkAXABuACAAIAAgACAAIAAgACkAXABuACAAIAAgACAAKQBcAG4AIAAgACkAOwBcAG4AXABuAC8AKgAgAFwAbgAtAC0ALQAtAC0ALQAtAC0ALQAtAC0ALQAtAC0ALQAtAC0ALQAtAC0ALQAtAC0ALQAtAC0ALQAtAC0ALQAtAC0ALQAtAC0ALQAtAC0AXABuAFMAbwB1AHIAYwBlAEQAYQB0AGEAXwBQAGEAcwB0AHUAcgBlAEIAZQBlAGYAXwBMAGkAdgBlAHcAZQBpAGcAaAB0AEcAYQBpAG4ATgBUAFEATABEAFwAbgBUAGEAYgBsAGUAIABBAC4AMQAuADIALgA0ADoAIABCAGUAZQBmACAAcABhAHMAdAB1AHIAZQAgAGMAYQB0AHQAbABlACAALQAgAEwAaQB2AGUAdwBlAGkAZwBoAHQAIABnAGEAaQBuACAAKABrAGcAKQAgACgATABXAEcAagBrAGwAKQAgAGYAbwByACAATgBUACAAYQBuAGQAIABRAEwARABcAG4ALQAtAC0ALQAtAC0ALQAtAC0ALQAtAC0ALQAtAC0ALQAtAC0ALQAtAC0ALQAtAC0ALQAtAC0ALQAtAC0ALQAtAC0ALQAtAC0ALQAtAFwAbgAqAC8AXABuAFwAbgBTAG8AdQByAGMAZQBEAGEAdABhAF8AUABhAHMAdAB1AHIAZQBCAGUAZQBmAF8ATABpAHYAZQB3AGUAaQBnAGgAdABHAGEAaQBuAE4AVABRAEwARABfAFQAaQB0AGwAZQBcAG4AIAAgAD0ATABBAE0AQgBEAEEAKABcACIAQgBlAGUAZgAgAHAAYQBzAHQAdQByAGUAIABjAGEAdAB0AGwAZQAgAC0AIABMAGkAdgBlAHcAZQBpAGcAaAB0ACAAZwBhAGkAbgAgACgAawBnACkAIAAoAEwAVwBHAGoAawBsACkAIABmAG8AcgAgAE4AVAAgAGEAbgBkACAAUQBMAEQAXAAiACkAOwBcAG4AXABuAFMAbwB1AHIAYwBlAEQAYQB0AGEAXwBQAGEAcwB0AHUAcgBlAEIAZQBlAGYAXwBMAGkAdgBlAHcAZQBpAGcAaAB0AEcAYQBpAG4ATgBUAFEATABEAF8AVgBhAHIAaQBhAGIAbABlAFwAbgAgACAAPQBMAEEATQBCAEQAQQAoAFwAIgBMAFcARwBqAGsAbABcACIAKQA7AFwAbgBcAG4AUwBvAHUAcgBjAGUARABhAHQAYQBfAFAAYQBzAHQAdQByAGUAQgBlAGUAZgBfAEwAaQB2AGUAdwBlAGkAZwBoAHQARwBhAGkAbgBOAFQAUQBMAEQAXwBVAG4AaQB0AFwAbgAgACAAPQBMAEEATQBCAEQAQQAoAFwAIgBrAGcAXAAiACkAOwBcAG4AXABuAFMAbwB1AHIAYwBlAEQAYQB0AGEAXwBQAGEAcwB0AHUAcgBlAEIAZQBlAGYAXwBMAGkAdgBlAHcAZQBpAGcAaAB0AEcAYQBpAG4ATgBUAFEATABEAF8AUwBvAHUAcgBjAGUAXABuACAAIAA9AEwAQQBNAEIARABBACgAXAAiAFYARQBFAFIARwAgADIAMAAyADYAOgAgAFQAYQBiAGwAZQAgAEEALgAxAC4AMgAuADQAXAAiACkAOwBcAG4AXABuAFMAbwB1AHIAYwBlAEQAYQB0AGEAXwBQAGEAcwB0AHUAcgBlAEIAZQBlAGYAXwBMAGkAdgBlAHcAZQBpAGcAaAB0AEcAYQBpAG4ATgBUAFEATABEAF8AVgBhAHIAaQBhAHQAaQBvAG4AXABuACAAIAA9AEwAQQBNAEIARABBACgAXAAiAFwAIgApADsAXABuAFwAbgBTAG8AdQByAGMAZQBEAGEAdABhAF8AUABhAHMAdAB1AHIAZQBCAGUAZQBmAF8ATABpAHYAZQB3AGUAaQBnAGgAdABHAGEAaQBuAE4AVABRAEwARABfAEQAYQB0AGEAXABuACAAIAA9AEwAQQBNAEIARABBACgAXABuACAAIAAgACAATQBBAEsARQBBAFIAUgBBAFkAKAAyADkALAAgADEAMwAsAFwAbgAgACAAIAAgACAAIABMAEEATQBCAEQAQQAoAHIALABjACwAXABuACAAIAAgACAAIAAgACAAIABJAE4ARABFAFgAKAB7AFwAbgAgACAAIAAgACAAIAAgACAAIAAgAFwAIgBTAHQAYQB0AGUAXAAiACwAIABcACIAUgBlAGcAaQBvAG4AXAAiACwAIABcACIAUwBlAGEAcwBvAG4AXAAiACwAIABcACIAQgB1AGwAbAAgAFwAdQAwADAAMwBjADEAXAAiACwAIABcACIAQgB1AGwAbAAgAFwAdQAwADAAMwBlADEAXAAiACwAIABcACIAQwBvAHcAIABcAHUAMAAwADMAYwAxAFwAIgAsACAAXAAiAEMAbwB3ACAAMQAtADIAXAAiACwAIABcACIAQwBvAHcAIAAyAC0AMwBcACIALAAgAFwAIgBDAG8AdwAgAFwAdQAwADAAMwBlADMAXAAiACwAIABcACIAUwB0AGUAZQByACAAXAB1ADAAMAAzAGMAMQBcACIALAAgAFwAIgBTAHQAZQBlAHIAIAAxAC0AMgBcACIALAAgAFwAIgBTAHQAZQBlAHIAIAAyAC0AMwBcACIALAAgAFwAIgBTAHQAZQBlAHIAIABcAHUAMAAwADMAZQAzAFwAIgA7AFwAbgAgACAAIAAgACAAIAAgACAAIAAgAFwAIgBOAG8AcgB0AGgAZQByAG4AIABUAGUAcgByAGkAdABvAHIAeQBcACIALAAgAFwAIgBBAGwAaQBjAGUAIABTAHAAcgBpAG4AZwBzAFwAIgAsACAAXAAiAFMAcAByAGkAbgBnAFwAIgAsACAAMAAuADIAMgAsACAALQAwAC4AMgAzACwAIAAwAC4AMgA1ACwAIAAwAC4AMQA3ACwAIAAwAC4AMQA4ACwAIAAtADAALgAyADgALAAgADAALgAzADIALAAgADAALgAyADQALAAgADAALgAyADUALAAgAC0AMAAuADAANQA7AFwAbgAgACAAIAAgACAAIAAgACAAIAAgAFwAIgBOAG8AcgB0AGgAZQByAG4AIABUAGUAcgByAGkAdABvAHIAeQBcACIALAAgAFwAIgBBAGwAaQBjAGUAIABTAHAAcgBpAG4AZwBzAFwAIgAsACAAXAAiAFMAdQBtAG0AZQByAFwAIgAsACAAMAAuADYANgAsACAAMAAuADIAMAAsACAAMAAuADYAMgAsACAAMAAuADUANAAsACAAMAAuADMAOAAsACAAMAAuADIANwAsACAAMAAuADcANQAsACAAMAAuADYANAAsACAAMAAuADUANQAsACAAMAAuADQAOAA7AFwAbgAgACAAIAAgACAAIAAgACAAIAAgAFwAIgBOAG8AcgB0AGgAZQByAG4AIABUAGUAcgByAGkAdABvAHIAeQBcACIALAAgAFwAIgBBAGwAaQBjAGUAIABTAHAAcgBpAG4AZwBzAFwAIgAsACAAXAAiAEEAdQB0AHUAbQBuAFwAIgAsACAAMAAuADQAOQAsACAAMAAuADEAMwAsACAAMAAuADUANAAsACAAMAAuADQANQAsACAAMAAuADMANQAsACAAMAAuADEANQAsACAAMAAuADYAMwAsACAAMAAuADUANAAsACAAMAAuADQAMgAsACAAMAAuADIANgA7AFwAbgAgACAAIAAgACAAIAAgACAAIAAgAFwAIgBOAG8AcgB0AGgAZQByAG4AIABUAGUAcgByAGkAdABvAHIAeQBcACIALAAgAFwAIgBBAGwAaQBjAGUAIABTAHAAcgBpAG4AZwBzAFwAIgAsACAAXAAiAFcAaQBuAHQAZQByAFwAIgAsACAAMAAuADIANwAsACAALQAwAC4AOAAwACwAIAAwAC4AMgAyACwAIAAwAC4AMAA5ACwAIAAwAC4AMQAyACwAIAAwAC4AMAAyACwAIAAwAC4AMgA1ACwAIAAwAC4AMQA4ACwAIAAwAC4AMQAyACwAIAAwAC4AMAAzADsAXABuACAAIAAgACAAIAAgACAAIAAgACAAXAAiAE4AbwByAHQAaABlAHIAbgAgAFQAZQByAHIAaQB0AG8AcgB5AFwAIgAsACAAXAAiAEIAYQByAGsAbAB5AFwAIgAsACAAXAAiAFMAcAByAGkAbgBnAFwAIgAsACAAMAAuADIAMgAsACAALQAwAC4ANAA0ACwAIAAwAC4AMgAwACwAIAAwAC4AMgAxACwAIAAwAC4AMQA4ACwAIAAwAC4AMAAxACwAIAAwAC4AMQAyACwAIAAwAC4AMAA5ACwAIABcACIATgBPAFwAIgAsACAAXAAiAE4ATwBcACIAOwBcAG4AIAAgACAAIAAgACAAIAAgACAAIABcACIATgBvAHIAdABoAGUAcgBuACAAVABlAHIAcgBpAHQAbwByAHkAXAAiACwAIABcACIAQgBhAHIAawBsAHkAXAAiACwAIABcACIAUwB1AG0AbQBlAHIAXAAiACwAIAAwAC4ANgA2ACwAIAAwAC4AMgAyACwAIAAwAC4ANgA4ACwAIAAwAC4AMgAyACwAIAAwAC4AMgA0ACwAIAAwAC4AMgA1ACwAIAAwAC4ANgA0ACwAIAAwAC4AMwA3ACwAIABcACIATgBPAFwAIgAsACAAXAAiAE4ATwBcACIAOwBcAG4AIAAgACAAIAAgACAAIAAgACAAIABcACIATgBvAHIAdABoAGUAcgBuACAAVABlAHIAcgBpAHQAbwByAHkAXAAiACwAIABcACIAQgBhAHIAawBsAHkAXAAiACwAIABcACIAQQB1AHQAdQBtAG4AXAAiACwAIAAwAC4ANAA5ACwAIAAwAC4AMAA1ACwAIAAwAC4ANgA0ACwAIAAwAC4AMgA1ACwAIAAwAC4AMgA5ACwAIAAwAC4AMQAyACwAIAAwAC4ANQA3ACwAIAAwAC4ANAA5ACwAIABcACIATgBPAFwAIgAsACAAXAAiAE4ATwBcACIAOwBcAG4AIAAgACAAIAAgACAAIAAgACAAIABcACIATgBvAHIAdABoAGUAcgBuACAAVABlAHIAcgBpAHQAbwByAHkAXAAiACwAIABcACIAQgBhAHIAawBsAHkAXAAiACwAIABcACIAVwBpAG4AdABlAHIAXAAiACwAIAAwAC4AMgA3ACwAIAAtADAALgAyADcALAAgADAALgAzADEALAAgADAALgAyADkALAAgADAALgAxADkALAAgADAALgAwADQALAAgADAALgAyADYALAAgADAALgAyADgALAAgAFwAIgBOAE8AXAAiACwAIABcACIATgBPAFwAIgA7AFwAbgAgACAAIAAgACAAIAAgACAAIAAgAFwAIgBOAG8AcgB0AGgAZQByAG4AIABUAGUAcgByAGkAdABvAHIAeQBcACIALAAgAFwAIgBOAG8AcgB0AGgAZQByAG4AXAAiACwAIABcACIAUwBwAHIAaQBuAGcAXAAiACwAIAAwAC4AMgAyACwAIAAtADAALgA0ADQALAAgADAALgAwADAALAAgADAALgAxADUALAAgADAALgAwADgALAAgADAALgAxADcALAAgADAALgAwADYALAAgADAALgAwADIALAAgAC0AMAAuADEANAAsACAAXAAiAE4ATwBcACIAOwBcAG4AIAAgACAAIAAgACAAIAAgACAAIABcACIATgBvAHIAdABoAGUAcgBuACAAVABlAHIAcgBpAHQAbwByAHkAXAAiACwAIABcACIATgBvAHIAdABoAGUAcgBuAFwAIgAsACAAXAAiAFMAdQBtAG0AZQByAFwAIgAsACAAMAAuADYANgAsACAAMAAuADIAMgAsACAAMAAuADcAOQAsACAAMAAuADQAMAAsACAAMAAuADMAOAAsACAAMAAuADIANwAsACAAMAAuADgAMAAsACAAMAAuADEANgAsACAAMAAuADMAMAAsACAAXAAiAE4ATwBcACIAOwBcAG4AIAAgACAAIAAgACAAIAAgACAAIABcACIATgBvAHIAdABoAGUAcgBuACAAVABlAHIAcgBpAHQAbwByAHkAXAAiACwAIABcACIATgBvAHIAdABoAGUAcgBuAFwAIgAsACAAXAAiAEEAdQB0AHUAbQBuAFwAIgAsACAAMAAuADQAOQAsACAAMAAuADAANQAsACAAMAAuADUANQAsACAAMAAuADMAOAAsACAAMAAuADMANgAsACAAMAAuADAANgAsACAAMAAuADUAOAAsACAAMAAuADIAMwAsACAAMAAuADQAMAAsACAAXAAiAE4ATwBcACIAOwBcAG4AIAAgACAAIAAgACAAIAAgACAAIABcACIATgBvAHIAdABoAGUAcgBuACAAVABlAHIAcgBpAHQAbwByAHkAXAAiACwAIABcACIATgBvAHIAdABoAGUAcgBuAFwAIgAsACAAXAAiAFcAaQBuAHQAZQByAFwAIgAsACAAMAAuADIANwAsACAALQAwAC4AMgA3ACwAIAAwAC4AMAAyACwAIAAwAC4AMAA5ACwAIAAwAC4AMQA2ACwAIAAtADAALgAwADQALAAgADAALgAyADEALAAgADAALgAwADMALAAgADAALgAxADEALAAgAFwAIgBOAE8AXAAiADsAXABuACAAIAAgACAAIAAgACAAIAAgACAAXAAiAFEAdQBlAGUAbgBzAGwAYQBuAGQAXAAiACwAIABcACIASABpAGcAaABcACIALAAgAFwAIgBTAHAAcgBpAG4AZwBcACIALAAgADAALgAyADcALAAgAC0AMAAuADEAOQAsACAAMAAuADMAOAAsACAAMAAuADIANQAsACAAMAAuADAANwAsACAAMAAuADAANQAsACAAMAAuADUAMgAsACAAMAAuADUANQAsACAAMAAuADEAOQAsACAAMAAuADYAMAA7AFwAbgAgACAAIAAgACAAIAAgACAAIAAgAFwAIgBRAHUAZQBlAG4AcwBsAGEAbgBkAFwAIgAsACAAXAAiAEgAaQBnAGgAXAAiACwAIABcACIAUwB1AG0AbQBlAHIAXAAiACwAIAAwAC4AMQA2ACwAIAAwAC4AMQA2ACwAIAAwAC4AOAAwACwAIAAwAC4ANQA3ACwAIAAwAC4ANwA2ACwAIAAwAC4ANAA5ACwAIAAwAC4AOAA0ACwAIAAwAC4ANQAxACwAIAAwAC4AMwA2ACwAIAAwAC4AMQA3ADsAXABuACAAIAAgACAAIAAgACAAIAAgACAAXAAiAFEAdQBlAGUAbgBzAGwAYQBuAGQAXAAiACwAIABcACIASABpAGcAaABcACIALAAgAFwAIgBBAHUAdAB1AG0AbgBcACIALAAgADAALgA0ADUALAAgADAALgAxADAALAAgADAALgA0ADkALAAgADAALgA0ADEALAAgADAALgA0ADAALAAgADAALgAxADcALAAgADAALgA1ADQALAAgADAALgA2ADQALAAgAC0AMAAuADAANQAsACAAMAAuADMAMgA7AFwAbgAgACAAIAAgACAAIAAgACAAIAAgAFwAIgBRAHUAZQBlAG4AcwBsAGEAbgBkAFwAIgAsACAAXAAiAEgAaQBnAGgAXAAiACwAIABcACIAVwBpAG4AdABlAHIAXAAiACwAIAAwAC4ANQAxACwAIAAtADAALgAwADcALAAgADAALgAxADMALAAgAC0AMAAuADAAOQAsACAALQAwAC4AMQAzACwAIAAwAC4AMAA3ACwAIAAwAC4AMgA1ACwAIAAwAC4ANwAxACwAIAAwAC4AMQA3ACwAIAAwAC4ANAAzADsAXABuACAAIAAgACAAIAAgACAAIAAgACAAXAAiAFEAdQBlAGUAbgBzAGwAYQBuAGQAXAAiACwAIABcACIATQBvAGQAZQByAGEAdABlAC8ASABpAGcAaABcACIALAAgAFwAIgBTAHAAcgBpAG4AZwBcACIALAAgAC0AMAAuADEAMgAsACAALQAwAC4AMQA5ACwAIAAwAC4ANAAxACwAIAAwAC4AMAA5ACwAIAAwAC4ANAAxACwAIAAtADAALgAxADkALAAgADAALgAwADcALAAgADEALgAwADcALAAgAC0AMAAuADAAOAAsACAAMAAuADAAMAA7AFwAbgAgACAAIAAgACAAIAAgACAAIAAgAFwAIgBRAHUAZQBlAG4AcwBsAGEAbgBkAFwAIgAsACAAXAAiAE0AbwBkAGUAcgBhAHQAZQAvAEgAaQBnAGgAXAAiACwAIABcACIAUwB1AG0AbQBlAHIAXAAiACwAIAAwAC4ANgA1ACwAIAAwAC4AMQA5ACwAIAAwAC4ANgA1ACwAIAAwAC4ANQAxACwAIAAwAC4AMQA4ACwAIAAwAC4ANgAzACwAIAAxAC4AMwAwACwAIAAwAC4ANAA4ACwAIAAxAC4AMQAyACwAIAAwAC4AMwA4ADsAXABuACAAIAAgACAAIAAgACAAIAAgACAAXAAiAFEAdQBlAGUAbgBzAGwAYQBuAGQAXAAiACwAIABcACIATQBvAGQAZQByAGEAdABlAC8ASABpAGcAaABcACIALAAgAFwAIgBBAHUAdAB1AG0AbgBcACIALAAgADAALgA3ADAALAAgADAALgAxADMALAAgADAALgA1ADIALAAgADAALgAzADQALAAgADAALgAwADIALAAgADAALgAwADQALAAgADAALgA3ADcALAAgADAALgA0ADIALAAgADAALgAxADIALAAgADAALgA3ADQAOwBcAG4AIAAgACAAIAAgACAAIAAgACAAIABcACIAUQB1AGUAZQBuAHMAbABhAG4AZABcACIALAAgAFwAIgBNAG8AZABlAHIAYQB0AGUALwBIAGkAZwBoAFwAIgAsACAAXAAiAFcAaQBuAHQAZQByAFwAIgAsACAAMAAuADMAMgAsACAALQAwAC4AMAA2ACwAIAAwAC4AMgA1ACwAIAAwAC4AMQA5ACwAIAAtADAALgAxADAALAAgAC0AMAAuADAAMgAsACAAMAAuADAAMgAsACAAMAAuADIAMwAsACAALQAwAC4AMQAzACwAIAAwAC4AMAAwADsAXABuACAAIAAgACAAIAAgACAAIAAgACAAXAAiAFEAdQBlAGUAbgBzAGwAYQBuAGQAXAAiACwAIABcACIATQBvAGQAZQByAGEAdABlAC8ATABvAHcAXAAiACwAIABcACIAUwBwAHIAaQBuAGcAXAAiACwAIAAwAC4ANgAyACwAIAAtADAALgAxADkALAAgADAALgAzADcALAAgADAALgA0ADEALAAgADAALgAwADYALAAgAC0AMAAuADAAMgAsACAAMAAuADQANwAsACAAMAAuADQANAAsACAAMAAuADMAMAAsACAAMAAuADEAMwA7AFwAbgAgACAAIAAgACAAIAAgACAAIAAgAFwAIgBRAHUAZQBlAG4AcwBsAGEAbgBkAFwAIgAsACAAXAAiAE0AbwBkAGUAcgBhAHQAZQAvAEwAbwB3AFwAIgAsACAAXAAiAFMAdQBtAG0AZQByAFwAIgAsACAAMAAuADAANQAsACAAMAAuADEAOQAsACAAMAAuADMAMQAsACAAMAAuADUANAAsACAAMAAuADUAMwAsACAAMAAuADEANQAsACAAMAAuADIAOAAsACAAMAAuADUANwAsACAAMAAuADQAMgAsACAAMAAuADQAMAA7AFwAbgAgACAAIAAgACAAIAAgACAAIAAgAFwAIgBRAHUAZQBlAG4AcwBsAGEAbgBkAFwAIgAsACAAXAAiAE0AbwBkAGUAcgBhAHQAZQAvAEwAbwB3AFwAIgAsACAAXAAiAEEAdQB0AHUAbQBuAFwAIgAsACAAMAAuADMAMwAsACAAMAAuADEAMwAsACAAMAAuADMAOQAsACAAMAAuADMANgAsACAAMAAuADIANgAsACAAMAAuADEAMQAsACAAMAAuADQAMAAsACAAMAAuADQANAAsACAAMAAuADMANwAsACAALQAwAC4AMAAxADsAXABuACAAIAAgACAAIAAgACAAIAAgACAAXAAiAFEAdQBlAGUAbgBzAGwAYQBuAGQAXAAiACwAIABcACIATQBvAGQAZQByAGEAdABlAC8ATABvAHcAXAAiACwAIABcACIAVwBpAG4AdABlAHIAXAAiACwAIAAwAC4ANgAxACwAIAAtADAALgAwADYALAAgADAALgAyADEALAAgADAALgAxADgALAAgADAALgAxADIALAAgADAALgAwADYALAAgADAALgAyADkALAAgADAALgA0ADEALAAgADAALgA0ADEALAAgAC0AMAAuADEANQA7AFwAbgAgACAAIAAgACAAIAAgACAAIAAgAFwAIgBRAHUAZQBlAG4AcwBsAGEAbgBkAFwAIgAsACAAXAAiAEwAbwB3AFwAIgAsACAAXAAiAFMAcAByAGkAbgBnAFwAIgAsACAALQAwAC4AMgAwACwAIAAwAC4AMAAyACwAIAAwAC4AMgA0ACwAIAAwAC4AMwAwACwAIAAwAC4AMgAzACwAIAAtADAALgAwADUALAAgADAALgAzADQALAAgADAALgAzADAALAAgADAALgA1ADcALAAgADAALgA1ADIAOwBcAG4AIAAgACAAIAAgACAAIAAgACAAIABcACIAUQB1AGUAZQBuAHMAbABhAG4AZABcACIALAAgAFwAIgBMAG8AdwBcACIALAAgAFwAIgBTAHUAbQBtAGUAcgBcACIALAAgADAALgA2ADIALAAgADAALgAyADEALAAgADAALgAyADUALAAgADAALgAzADIALAAgADAALgA0ADcALAAgADAALgAzADEALAAgADAALgAxADQALAAgADAALgA0ADAALAAgADAALgAyADYALAAgADAALgA0ADMAOwBcAG4AIAAgACAAIAAgACAAIAAgACAAIABcACIAUQB1AGUAZQBuAHMAbABhAG4AZABcACIALAAgAFwAIgBMAG8AdwBcACIALAAgAFwAIgBBAHUAdAB1AG0AbgBcACIALAAgADAALgA0ADAALAAgADAALgAxADMALAAgADAALgAxADIALAAgADAALgAyADcALAAgADAALgAzADAALAAgADAALgAwADgALAAgADAALgAxADMALAAgADAALgAyADQALAAgADAALgAxADUALAAgADAALgAyADEAOwBcAG4AIAAgACAAIAAgACAAIAAgACAAIABcACIAUQB1AGUAZQBuAHMAbABhAG4AZABcACIALAAgAFwAIgBMAG8AdwBcACIALAAgAFwAIgBXAGkAbgB0AGUAcgBcACIALAAgADAALgAwADgALAAgADAALgAwADQALAAgADAALgAwADYALAAgADAALgAxADgALAAgADAALgAxADEALAAgAC0AMAAuADAANwAsACAAMAAuADEAMwAsACAAMAAuADEANgAsACAAMAAuADQAMAAsACAAMAAuADMAMwBcAG4AIAAgACAAIAAgACAAIAAgAH0ALAAgAHIALAAgAGMAKQBcAG4AIAAgACAAIAAgACAAKQBcAG4AIAAgACAAIAApAFwAbgAgACAAKQA7AFwAbgBcAG4AXABuAC8AKgAgAFwAbgAtAC0ALQAtAC0ALQAtAC0ALQAtAC0ALQAtAC0ALQAtAC0ALQAtAC0ALQAtAC0ALQAtAC0ALQAtAC0ALQAtAC0ALQAtAC0ALQAtAC0AXABuAFMAbwB1AHIAYwBlAEQAYQB0AGEAXwBQAGEAcwB0AHUAcgBlAEIAZQBlAGYAXwBEAHIAeQBNAGEAdAB0AGUAcgBEAGkAZwBlAHMAdABpAGIAaQBsAGkAdAB5AFwAbgBUAGEAYgBsAGUAIABBAC4AMQAuADIALgA1ADoAIABCAGUAZQBmACAAcABhAHMAdAB1AHIAZQAgAGMAYQB0AHQAbABlACAALQAgAEQAcgB5ACAAbQBhAHQAdABlAHIAIABkAGkAZwBlAHMAdABpAGIAaQBsAGkAdAB5ACAAbwBmACAAZgBlAGUAZAAgAGkAbgB0AGEAawBlACAAKABmAHIAYQBjAHQAaQBvAG4AKQAgACgARABNAEQAagApAFwAbgAtAC0ALQAtAC0ALQAtAC0ALQAtAC0ALQAtAC0ALQAtAC0ALQAtAC0ALQAtAC0ALQAtAC0ALQAtAC0ALQAtAC0ALQAtAC0ALQAtAC0AXABuACoALwBcAG4AXABuAFMAbwB1AHIAYwBlAEQAYQB0AGEAXwBQAGEAcwB0AHUAcgBlAEIAZQBlAGYAXwBEAHIAeQBNAGEAdAB0AGUAcgBEAGkAZwBlAHMAdABpAGIAaQBsAGkAdAB5AF8AVABpAHQAbABlAFwAbgAgACAAPQBMAEEATQBCAEQAQQAoAFwAIgBCAGUAZQBmACAAcABhAHMAdAB1AHIAZQAgAGMAYQB0AHQAbABlACAALQAgAEQAcgB5ACAAbQBhAHQAdABlAHIAIABkAGkAZwBlAHMAdABpAGIAaQBsAGkAdAB5ACAAbwBmACAAZgBlAGUAZAAgAGkAbgB0AGEAawBlACAAKABmAHIAYQBjAHQAaQBvAG4AKQAgACgARABNAEQAagApAFwAIgApADsAXABuAFwAbgBTAG8AdQByAGMAZQBEAGEAdABhAF8AUABhAHMAdAB1AHIAZQBCAGUAZQBmAF8ARAByAHkATQBhAHQAdABlAHIARABpAGcAZQBzAHQAaQBiAGkAbABpAHQAeQBfAFYAYQByAGkAYQBiAGwAZQBcAG4AIAAgAD0ATABBAE0AQgBEAEEAKABcACIARABNAEQAagBcACIAKQA7AFwAbgBcAG4AUwBvAHUAcgBjAGUARABhAHQAYQBfAFAAYQBzAHQAdQByAGUAQgBlAGUAZgBfAEQAcgB5AE0AYQB0AHQAZQByAEQAaQBnAGUAcwB0AGkAYgBpAGwAaQB0AHkAXwBVAG4AaQB0AFwAbgAgACAAPQBMAEEATQBCAEQAQQAoAFwAIgBmAHIAYQBjAHQAaQBvAG4AXAAiACkAOwBcAG4AXABuAFMAbwB1AHIAYwBlAEQAYQB0AGEAXwBQAGEAcwB0AHUAcgBlAEIAZQBlAGYAXwBEAHIAeQBNAGEAdAB0AGUAcgBEAGkAZwBlAHMAdABpAGIAaQBsAGkAdAB5AF8AUwBvAHUAcgBjAGUAXABuACAAIAA9AEwAQQBNAEIARABBACgAXAAiAFYARQBFAFIARwAgADIAMAAyADYAOgAgAFQAYQBiAGwAZQAgAEEALgAxAC4AMgAuADUAXAAiACkAOwBcAG4AXABuAFMAbwB1AHIAYwBlAEQAYQB0AGEAXwBQAGEAcwB0AHUAcgBlAEIAZQBlAGYAXwBEAHIAeQBNAGEAdAB0AGUAcgBEAGkAZwBlAHMAdABpAGIAaQBsAGkAdAB5AF8AVgBhAHIAaQBhAHQAaQBvAG4AXABuACAAIAA9AEwAQQBNAEIARABBACgAXAAiAFYAQQBSAEkAQQBUAEkATwBOACAATwBOACAAUwBPAFUAUgBDAEUAOgAgAFMAcABsAGkAdAAgAEEAQwBUACAAYQBuAGQAIABOAFMAVwAgAGkAbgB0AG8AIABzAGUAcABhAHIAYQB0AGUAIAByAG8AdwBzAC4AIABEAHUAcABsAGkAYwBhAHQAZQBkACAAUQBMAEQAIABhAG4AZAAgAE4AVAAgAHIAbwB3AHMAIAB3AGkAdABoACAAcgBlAGcAaQBvAG4AcwAgAGYAcgBvAG0AIAB0AGEAYgBsAGUAIABBAC4AMQAuADIALgAyACAAdABvACAAYQBpAGQAIABsAG8AbwBrAHUAcABcACIAKQA7AFwAbgBcAG4AUwBvAHUAcgBjAGUARABhAHQAYQBfAFAAYQBzAHQAdQByAGUAQgBlAGUAZgBfAEQAcgB5AE0AYQB0AHQAZQByAEQAaQBnAGUAcwB0AGkAYgBpAGwAaQB0AHkAXwBEAGEAdABhAFwAbgAgACAAPQBMAEEATQBCAEQAQQAoAFwAbgAgACAAIAAgAE0AQQBLAEUAQQBSAFIAQQBZACgAMQA2ACwAIAA2ACwAXABuACAAIAAgACAAIAAgAEwAQQBNAEIARABBACgAcgAsAGMALABcAG4AIAAgACAAIAAgACAAIAAgAEkATgBEAEUAWAAoAHsAXABuACAAIAAgACAAIAAgACAAIAAgACAAXAAiAFMAdABhAHQAZQBcACIALAAgAFwAIgBSAGUAZwBpAG8AbgBcACIALAAgAFwAIgBTAHAAcgBpAG4AZwBcACIALAAgAFwAIgBTAHUAbQBtAGUAcgBcACIALAAgAFwAIgBBAHUAdAB1AG0AbgBcACIALAAgAFwAIgBXAGkAbgB0AGUAcgBcACIAOwBcAG4AIAAgACAAIAAgACAAIAAgACAAIABcACIAQQBDAFQAXAAiACwAIABcACIAbgAvAGEAXAAiACwAIAAwAC4ANQA1ACwAIAAwAC4ANgA1ACwAIAAwAC4ANgAwACwAIAAwAC4ANQAwADsAXABuACAAIAAgACAAIAAgACAAIAAgACAAXAAiAE4AUwBXAFwAIgAsACAAXAAiAG4ALwBhAFwAIgAsACAAMAAuADUANQAsACAAMAAuADYANQAsACAAMAAuADYAMAAsACAAMAAuADUAMAA7AFwAbgAgACAAIAAgACAAIAAgACAAIAAgAFwAIgBOAFQAXAAiACwAIABcACIAQQBsAGkAYwBlACAAUwBwAHIAaQBuAGcAcwBcACIALAAgADAALgA1ADUALAAgADAALgA2ADEALAAgADAALgA1ADcALAAgADAALgA1ADQAOwBcAG4AIAAgACAAIAAgACAAIAAgACAAIABcACIATgBUAFwAIgAsACAAXAAiAEIAYQByAGsAbAB5AFwAIgAsACAAMAAuADUANQAsACAAMAAuADYAMQAsACAAMAAuADUANwAsACAAMAAuADUANAA7AFwAbgAgACAAIAAgACAAIAAgACAAIAAgAFwAIgBOAFQAXAAiACwAIABcACIATgBvAHIAdABoAGUAcgBuAFwAIgAsACAAMAAuADUANQAsACAAMAAuADYAMQAsACAAMAAuADUANwAsACAAMAAuADUANAA7AFwAbgAgACAAIAAgACAAIAAgACAAIAAgAFwAIgBRAEwARABcACIALAAgAFwAIgBIAGkAZwBoAFwAIgAsACAAMAAuADUAMwAsACAAMAAuADUANwAsACAAMAAuADUANQAsACAAMAAuADUAMQA7AFwAbgAgACAAIAAgACAAIAAgACAAIAAgAFwAIgBRAEwARABcACIALAAgAFwAIgBNAG8AZABlAHIAYQB0AGUALwBIAGkAZwBoAFwAIgAsACAAMAAuADUAMwAsACAAMAAuADUANwAsACAAMAAuADUANQAsACAAMAAuADUAMQA7AFwAbgAgACAAIAAgACAAIAAgACAAIAAgAFwAIgBRAEwARABcACIALAAgAFwAIgBNAG8AZABlAHIAYQB0AGUALwBMAG8AdwBcACIALAAgADAALgA1ADMALAAgADAALgA1ADcALAAgADAALgA1ADUALAAgADAALgA1ADEAOwBcAG4AIAAgACAAIAAgACAAIAAgACAAIABcACIAUQBMAEQAXAAiACwAIABcACIATABvAHcAXAAiACwAIAAwAC4ANQAzACwAIAAwAC4ANQA3ACwAIAAwAC4ANQA1ACwAIAAwAC4ANQAxADsAXABuACAAIAAgACAAIAAgACAAIAAgACAAXAAiAFMAQQBcACIALAAgAFwAIgBuAC8AYQBcACIALAAgADAALgA3ADAALAAgADAALgA1ADUALAAgADAALgA1ADUALAAgADAALgA3ADUAOwBcAG4AIAAgACAAIAAgACAAIAAgACAAIABcACIAVABBAFMAXAAiACwAIABcACIAbgAvAGEAXAAiACwAIAAwAC4ANwA1ACwAIAAwAC4ANgAwACwAIAAwAC4ANwAwACwAIAAwAC4ANwA1ADsAXABuACAAIAAgACAAIAAgACAAIAAgACAAXAAiAFYASQBDAFwAIgAsACAAXAAiAG4ALwBhAFwAIgAsACAAMAAuADgAMAAsACAAMAAuADUANQAsACAAMAAuADYAMAAsACAAMAAuADcANgA7AFwAbgAgACAAIAAgACAAIAAgACAAIAAgAFwAIgBXAEEAXAAiACwAIABcACIAUwBvAHUAdABoACAAVwBlAHMAdABcACIALAAgADAALgA4ADAALAAgADAALgA1ADgALAAgADAALgA1ADAALAAgADAALgA3ADUAOwBcAG4AIAAgACAAIAAgACAAIAAgACAAIABcACIAVwBBAFwAIgAsACAAXAAiAFAAaQBsAGIAYQByAGEAXAAiACwAIAAwAC4ANAAwACwAIAAwAC4ANgA1ACwAIAAwAC4ANQA1ACwAIAAwAC4ANAA1ADsAXABuACAAIAAgACAAIAAgACAAIAAgACAAXAAiAFcAQQBcACIALAAgAFwAIgBLAGkAbQBiAGUAcgBsAGUAeQBcACIALAAgADAALgA0ADAALAAgADAALgA2ADUALAAgADAALgA1ADUALAAgADAALgA0ADUAXABuACAAIAAgACAAIAAgACAAIAB9ACwAIAByACwAIABjACkAXABuACAAIAAgACAAIAAgACkAXABuACAAIAAgACAAKQBcAG4AIAAgACkAOwBcAG4AXABuAC8AKgAgAFwAbgAtAC0ALQAtAC0ALQAtAC0ALQAtAC0ALQAtAC0ALQAtAC0ALQAtAC0ALQAtAC0ALQAtAC0ALQAtAC0ALQAtAC0ALQAtAC0ALQAtAC0AXABuAFMAbwB1AHIAYwBlAEQAYQB0AGEAXwBQAGEAcwB0AHUAcgBlAEIAZQBlAGYAXwBDAHIAdQBkAGUAUAByAG8AdABlAGkAbgBDAG8AbgB0AGUAbgB0AFwAbgBUAGEAYgBsAGUAIABBAC4AMQAuADIALgA2ADoAIABCAGUAZQBmACAAcABhAHMAdAB1AHIAZQAgAGMAYQB0AHQAbABlACAALQAgAEMAcgB1AGQAZQAgAHAAcgBvAHQAZQBpAG4AIABjAG8AbgB0AGUAbgB0ACAAbwBmACAAZgBlAGUAZAAgAGkAbgB0AGEAawBlACAAKABmAHIAYQBjAHQAaQBvAG4AKQAgACgAQwBQAGoAKQBcAG4ALQAtAC0ALQAtAC0ALQAtAC0ALQAtAC0ALQAtAC0ALQAtAC0ALQAtAC0ALQAtAC0ALQAtAC0ALQAtAC0ALQAtAC0ALQAtAC0ALQAtAFwAbgAqAC8AXABuAFwAbgBTAG8AdQByAGMAZQBEAGEAdABhAF8AUABhAHMAdAB1AHIAZQBCAGUAZQBmAF8AQwByAHUAZABlAFAAcgBvAHQAZQBpAG4AQwBvAG4AdABlAG4AdABfAFQAaQB0AGwAZQBcAG4AIAAgAD0ATABBAE0AQgBEAEEAKABcACIAQgBlAGUAZgAgAHAAYQBzAHQAdQByAGUAIABjAGEAdAB0AGwAZQAgAC0AIABDAHIAdQBkAGUAIABwAHIAbwB0AGUAaQBuACAAYwBvAG4AdABlAG4AdAAgAG8AZgAgAGYAZQBlAGQAIABpAG4AdABhAGsAZQAgACgAZgByAGEAYwB0AGkAbwBuACkAIAAoAEMAUABqACkAXAAiACkAOwBcAG4AXABuAFMAbwB1AHIAYwBlAEQAYQB0AGEAXwBQAGEAcwB0AHUAcgBlAEIAZQBlAGYAXwBDAHIAdQBkAGUAUAByAG8AdABlAGkAbgBDAG8AbgB0AGUAbgB0AF8AVgBhAHIAaQBhAGIAbABlAFwAbgAgACAAPQBMAEEATQBCAEQAQQAoAFwAIgBDAFAAagBcACIAKQA7AFwAbgBcAG4AUwBvAHUAcgBjAGUARABhAHQAYQBfAFAAYQBzAHQAdQByAGUAQgBlAGUAZgBfAEMAcgB1AGQAZQBQAHIAbwB0AGUAaQBuAEMAbwBuAHQAZQBuAHQAXwBVAG4AaQB0AFwAbgAgACAAPQBMAEEATQBCAEQAQQAoAFwAIgBmAHIAYQBjAHQAaQBvAG4AXAAiACkAOwBcAG4AXABuAFMAbwB1AHIAYwBlAEQAYQB0AGEAXwBQAGEAcwB0AHUAcgBlAEIAZQBlAGYAXwBDAHIAdQBkAGUAUAByAG8AdABlAGkAbgBDAG8AbgB0AGUAbgB0AF8AUwBvAHUAcgBjAGUAXABuACAAIAA9AEwAQQBNAEIARABBACgAXAAiAFYARQBFAFIARwAgADIAMAAyADYAOgAgAFQAYQBiAGwAZQAgAEEALgAxAC4AMgAuADYAXAAiACkAOwBcAG4AXABuAFMAbwB1AHIAYwBlAEQAYQB0AGEAXwBQAGEAcwB0AHUAcgBlAEIAZQBlAGYAXwBDAHIAdQBkAGUAUAByAG8AdABlAGkAbgBDAG8AbgB0AGUAbgB0AF8AVgBhAHIAaQBhAHQAaQBvAG4AXABuACAAIAA9AEwAQQBNAEIARABBACgAXAAiAFYAQQBSAEkAQQBUAEkATwBOACAATwBOACAAUwBPAFUAUgBDAEUAOgAgAFMAcABsAGkAdAAgAEEAQwBUACAAYQBuAGQAIABOAFMAVwAgAGkAbgB0AG8AIABzAGUAcABhAHIAYQB0AGUAIAByAG8AdwBzAC4AIABEAHUAcABsAGkAYwBhAHQAZQBkACAAUQBMAEQAIABhAG4AZAAgAE4AVAAgAHIAbwB3AHMAIAB3AGkAdABoACAAcgBlAGcAaQBvAG4AcwAgAGYAcgBvAG0AIAB0AGEAYgBsAGUAIABBAC4AMQAuADIALgAyACAAdABvACAAYQBpAGQAIABsAG8AbwBrAHUAcABcACIAKQA7AFwAbgBcAG4AUwBvAHUAcgBjAGUARABhAHQAYQBfAFAAYQBzAHQAdQByAGUAQgBlAGUAZgBfAEMAcgB1AGQAZQBQAHIAbwB0AGUAaQBuAEMAbwBuAHQAZQBuAHQAXwBEAGEAdABhAFwAbgAgACAAPQBMAEEATQBCAEQAQQAoAFwAbgAgACAAIAAgAE0AQQBLAEUAQQBSAFIAQQBZACgAMQA2ACwAIAA2ACwAXABuACAAIAAgACAAIAAgAEwAQQBNAEIARABBACgAcgAsAGMALABcAG4AIAAgACAAIAAgACAAIAAgAEkATgBEAEUAWAAoAHsAXABuACAAIAAgACAAIAAgACAAIAAgACAAXAAiAFMAdABhAHQAZQBcACIALAAgAFwAIgBSAGUAZwBpAG8AbgBcACIALAAgAFwAIgBTAHAAcgBpAG4AZwBcACIALAAgAFwAIgBTAHUAbQBtAGUAcgBcACIALAAgAFwAIgBBAHUAdAB1AG0AbgBcACIALAAgAFwAIgBXAGkAbgB0AGUAcgBcACIAOwBcAG4AIAAgACAAIAAgACAAIAAgACAAIABcACIAQQBDAFQAXAAiACwAIABcACIAbgAvAGEAXAAiACwAIAAwAC4AMAA3ACwAIAAwAC4AMQAzACwAIAAwAC4AMQAsACAAMAAuADAANgA7AFwAbgAgACAAIAAgACAAIAAgACAAIAAgAFwAIgBOAFMAVwBcACIALAAgAFwAIgBuAC8AYQBcACIALAAgADAALgAwADcALAAgADAALgAxADMALAAgADAALgAxACwAIAAwAC4AMAA2ADsAXABuACAAIAAgACAAIAAgACAAIAAgACAAXAAiAE4AVABcACIALAAgAFwAIgBBAGwAaQBjAGUAIABTAHAAcgBpAG4AZwBzAFwAIgAsACAAMAAuADAANQA4ACwAIAAwAC4AMAA5ADIALAAgADAALgAwADcANQAsACAAMAAuADAANQAzADsAXABuACAAIAAgACAAIAAgACAAIAAgACAAXAAiAE4AVABcACIALAAgAFwAIgBCAGEAcgBrAGwAeQBcACIALAAgADAALgAwADUAOAAsACAAMAAuADAAOQAyACwAIAAwAC4AMAA3ADUALAAgADAALgAwADUAMwA7AFwAbgAgACAAIAAgACAAIAAgACAAIAAgAFwAIgBOAFQAXAAiACwAIABcACIATgBvAHIAdABoAGUAcgBuAFwAIgAsACAAMAAuADAANQA4ACwAIAAwAC4AMAA5ADIALAAgADAALgAwADcANQAsACAAMAAuADAANQAzADsAXABuACAAIAAgACAAIAAgACAAIAAgACAAXAAiAFEATABEAFwAIgAsACAAXAAiAEgAaQBnAGgAXAAiACwAIAAwAC4AMAA3ADIALAAgADAALgAwADkAOQAsACAAMAAuADAANwA4ACwAIAAwAC4AMAA1ADkAOwBcAG4AIAAgACAAIAAgACAAIAAgACAAIABcACIAUQBMAEQAXAAiACwAIABcACIATQBvAGQAZQByAGEAdABlAC8ASABpAGcAaABcACIALAAgADAALgAwADcAMgAsACAAMAAuADAAOQA5ACwAIAAwAC4AMAA3ADgALAAgADAALgAwADUAOQA7AFwAbgAgACAAIAAgACAAIAAgACAAIAAgAFwAIgBRAEwARABcACIALAAgAFwAIgBNAG8AZABlAHIAYQB0AGUALwBMAG8AdwBcACIALAAgADAALgAwADcAMgAsACAAMAAuADAAOQA5ACwAIAAwAC4AMAA3ADgALAAgADAALgAwADUAOQA7AFwAbgAgACAAIAAgACAAIAAgACAAIAAgAFwAIgBRAEwARABcACIALAAgAFwAIgBMAG8AdwBcACIALAAgADAALgAwADcAMgAsACAAMAAuADAAOQA5ACwAIAAwAC4AMAA3ADgALAAgADAALgAwADUAOQA7AFwAbgAgACAAIAAgACAAIAAgACAAIAAgAFwAIgBTAEEAXAAiACwAIABcACIAbgAvAGEAXAAiACwAIAAwAC4AMQA2ACwAIAAwAC4AMAA3ACwAIAAwAC4AMAA5ACwAIAAwAC4AMgA7AFwAbgAgACAAIAAgACAAIAAgACAAIAAgAFwAIgBUAEEAUwBcACIALAAgAFwAIgBuAC8AYQBcACIALAAgADAALgAyACwAIAAwAC4AMQAsACAAMAAuADEANgAsACAAMAAuADIAOwBcAG4AIAAgACAAIAAgACAAIAAgACAAIABcACIAVgBJAEMAXAAiACwAIABcACIAbgAvAGEAXAAiACwAIAAwAC4AMgA1ACwAIAAwAC4AMAA3ACwAIAAwAC4AMQAsACAAMAAuADIAMQA7AFwAbgAgACAAIAAgACAAIAAgACAAIAAgAFwAIgBXAEEAXAAiACwAIABcACIAUwBvAHUAdABoACAAVwBlAHMAdABcACIALAAgADAALgAyACwAIAAwAC4AMAA5ACwAIAAwAC4AMAA2ACwAIAAwAC4AMgA7AFwAbgAgACAAIAAgACAAIAAgACAAIAAgAFwAIgBXAEEAXAAiACwAIABcACIAUABpAGwAYgBhAHIAYQBcACIALAAgADAALgAwADQALAAgADAALgAxADIALAAgADAALgAwADkALAAgADAALgAwADYAOwBcAG4AIAAgACAAIAAgACAAIAAgACAAIABcACIAVwBBAFwAIgAsACAAXAAiAEsAaQBtAGIAZQByAGwAZQB5AFwAIgAsACAAMAAuADAANAAsACAAMAAuADEAMgAsACAAMAAuADAAOQAsACAAMAAuADAANgBcAG4AIAAgACAAIAAgACAAIAAgAH0ALAAgAHIALAAgAGMAKQBcAG4AIAAgACAAIAAgACAAKQBcAG4AIAAgACAAIAApAFwAbgAgACAAKQA7AFwAbgBcAG4AXABuAC8AKgAgAFwAbgAtAC0ALQAtAC0ALQAtAC0ALQAtAC0ALQAtAC0ALQAtAC0ALQAtAC0ALQAtAC0ALQAtAC0ALQAtAC0ALQAtAC0ALQAtAC0ALQAtAC0AXABuAFMAbwB1AHIAYwBlAEQAYQB0AGEAXwBQAGEAcwB0AHUAcgBlAEIAZQBlAGYAXwBGAGUAZQBkAEEAZABqAHUAcwB0AG0AZQBuAHQAQQBuAGQATQBpAGwAawBQAHIAbwBkAHUAYwB0AGkAbwBuAFwAbgBUAGEAYgBsAGUAIABBAC4AMQAuADIALgA3ADoAIABCAGUAZQBmACAAcABhAHMAdAB1AHIAZQAgAGMAYQB0AHQAbABlACAALQAgAEYAZQBlAGQAIABpAG4AdABhAGsAZQAgAGEAZABqAHUAcwB0AG0AZQBuAHQAIABhAG4AZAAgAG0AaQBsAGsAIABwAHIAbwBkAHUAYwB0AGkAbwBuACAAKABrAGcALwBoAGUAYQBkAC8AZABhAHkAKQBcAG4ALQAtAC0ALQAtAC0ALQAtAC0ALQAtAC0ALQAtAC0ALQAtAC0ALQAtAC0ALQAtAC0ALQAtAC0ALQAtAC0ALQAtAC0ALQAtAC0ALQAtAFwAbgAqAC8AXABuAFwAbgBTAG8AdQByAGMAZQBEAGEAdABhAF8AUABhAHMAdAB1AHIAZQBCAGUAZQBmAF8ARgBlAGUAZABBAGQAagB1AHMAdABtAGUAbgB0AEEAbgBkAE0AaQBsAGsAUAByAG8AZAB1AGMAdABpAG8AbgBfAFQAaQB0AGwAZQBcAG4AIAAgAD0ATABBAE0AQgBEAEEAKABcACIAQgBlAGUAZgAgAHAAYQBzAHQAdQByAGUAIABjAGEAdAB0AGwAZQAgAC0AIABGAGUAZQBkACAAaQBuAHQAYQBrAGUAIABhAGQAagB1AHMAdABtAGUAbgB0ACAAYQBuAGQAIABtAGkAbABrACAAcAByAG8AZAB1AGMAdABpAG8AbgAgACgAawBnAC8AaABlAGEAZAAvAGQAYQB5ACkAXAAiACkAOwBcAG4AXABuAFMAbwB1AHIAYwBlAEQAYQB0AGEAXwBQAGEAcwB0AHUAcgBlAEIAZQBlAGYAXwBGAGUAZQBkAEEAZABqAHUAcwB0AG0AZQBuAHQAQQBuAGQATQBpAGwAawBQAHIAbwBkAHUAYwB0AGkAbwBuAF8AVgBhAHIAaQBhAGIAbABlAFwAbgAgACAAPQBMAEEATQBCAEQAQQAoAFwAIgBNAEMAagBrAD0AMQAsADMALAA2ADsAIABEAE0AUABqAGsAPQA1AFwAIgApADsAXABuAFwAbgBTAG8AdQByAGMAZQBEAGEAdABhAF8AUABhAHMAdAB1AHIAZQBCAGUAZQBmAF8ARgBlAGUAZABBAGQAagB1AHMAdABtAGUAbgB0AEEAbgBkAE0AaQBsAGsAUAByAG8AZAB1AGMAdABpAG8AbgBfAFUAbgBpAHQAXABuACAAIAA9AEwAQQBNAEIARABBACgAXAAiAFwAIgApADsAXABuAFwAbgBTAG8AdQByAGMAZQBEAGEAdABhAF8AUABhAHMAdAB1AHIAZQBCAGUAZQBmAF8ARgBlAGUAZABBAGQAagB1AHMAdABtAGUAbgB0AEEAbgBkAE0AaQBsAGsAUAByAG8AZAB1AGMAdABpAG8AbgBfAFMAbwB1AHIAYwBlAFwAbgAgACAAPQBMAEEATQBCAEQAQQAoAFwAIgBWAEUARQBSAEcAIAAyADAAMgA2ADoAIABUAGEAYgBsAGUAIABBAC4AMQAuADIALgA3AFwAIgApADsAXABuAFwAbgBTAG8AdQByAGMAZQBEAGEAdABhAF8AUABhAHMAdAB1AHIAZQBCAGUAZQBmAF8ARgBlAGUAZABBAGQAagB1AHMAdABtAGUAbgB0AEEAbgBkAE0AaQBsAGsAUAByAG8AZAB1AGMAdABpAG8AbgBfAFYAYQByAGkAYQB0AGkAbwBuAFwAbgAgACAAPQBMAEEATQBCAEQAQQAoAFwAIgBcACIAKQA7AFwAbgBcAG4AUwBvAHUAcgBjAGUARABhAHQAYQBfAFAAYQBzAHQAdQByAGUAQgBlAGUAZgBfAEYAZQBlAGQAQQBkAGoAdQBzAHQAbQBlAG4AdABBAG4AZABNAGkAbABrAFAAcgBvAGQAdQBjAHQAaQBvAG4AXwBEAGEAdABhAFwAbgAgACAAPQBMAEEATQBCAEQAQQAoAFwAbgAgACAAIAAgAE0AQQBLAEUAQQBSAFIAQQBZACgAOQAsACAANAAsAFwAbgAgACAAIAAgACAAIABMAEEATQBCAEQAQQAoAHIALABjACwAXABuACAAIAAgACAAIAAgACAAIABJAE4ARABFAFgAKAB7AFwAbgAgACAAIAAgACAAIAAgACAAIAAgAFwAIgBCAHIAZQBlAGQAXAAiACwAIABcACIAUwBlAGEAcwBvAG4AXAAiACwAIABcACIARgBlAGUAZAAgAGEAZABqAHUAcwB0AG0AZQBuAHQAIAAoAE0AQwBqAGsAPQAxACwAMwAsADYAKQBcACIALAAgAFwAIgBNAGkAbABrACAAaQBuAHQAYQBrAGUAIAAvACAAcAByAG8AZAB1AGMAdABpAG8AbgAgACgARABNAFAAagBrAD0ANQApAFwAIgA7AFwAbgAgACAAIAAgACAAIAAgACAAIAAgAFwAIgBIAGUAcgBlAGYAbwByAGQAIABvAHIAIABTAGgAbwByAHQAaABvAHIAbgAgAGIAcgBlAGUAZABzAFwAIgAsACAAXAAiAFMAcAByAGkAbgBnAFwAIgAsACAAMQAuADMALAAgADYAOwBcAG4AIAAgACAAIAAgACAAIAAgACAAIABcACIASABlAHIAZQBmAG8AcgBkACAAbwByACAAUwBoAG8AcgB0AGgAbwByAG4AIABiAHIAZQBlAGQAcwBcACIALAAgAFwAIgBTAHUAbQBtAGUAcgBcACIALAAgADEALgAxACwAIAA0ADsAXABuACAAIAAgACAAIAAgACAAIAAgACAAXAAiAEgAZQByAGUAZgBvAHIAZAAgAG8AcgAgAFMAaABvAHIAdABoAG8AcgBuACAAYgByAGUAZQBkAHMAXAAiACwAIABcACIAQQB1AHQAdQBtAG4AXAAiACwAIAAwACwAIAAwADsAXABuACAAIAAgACAAIAAgACAAIAAgACAAXAAiAEgAZQByAGUAZgBvAHIAZAAgAG8AcgAgAFMAaABvAHIAdABoAG8AcgBuACAAYgByAGUAZQBkAHMAXAAiACwAIABcACIAVwBpAG4AdABlAHIAXAAiACwAIAAwACwAIAAwADsAXABuACAAIAAgACAAIAAgACAAIAAgACAAXAAiAE4AbwByAHQAaABlAHIAbgAgAEIAcgBhAGgAbQBhAG4AIABjAHIAbwBzAHMAIABiAHIAZQBlAGQAXAAiACwAIABcACIAUwBwAHIAaQBuAGcAXAAiACwAIAAwACwAIAAwADsAXABuACAAIAAgACAAIAAgACAAIAAgACAAXAAiAE4AbwByAHQAaABlAHIAbgAgAEIAcgBhAGgAbQBhAG4AIABjAHIAbwBzAHMAIABiAHIAZQBlAGQAXAAiACwAIABcACIAUwB1AG0AbQBlAHIAXAAiACwAIAAxAC4AMwAsACAANAA7AFwAbgAgACAAIAAgACAAIAAgACAAIAAgAFwAIgBOAG8AcgB0AGgAZQByAG4AIABCAHIAYQBoAG0AYQBuACAAYwByAG8AcwBzACAAYgByAGUAZQBkAFwAIgAsACAAXAAiAEEAdQB0AHUAbQBuAFwAIgAsACAAMQAuADEALAAgADMAOwBcAG4AIAAgACAAIAAgACAAIAAgACAAIABcACIATgBvAHIAdABoAGUAcgBuACAAQgByAGEAaABtAGEAbgAgAGMAcgBvAHMAcwAgAGIAcgBlAGUAZABcACIALAAgAFwAIgBXAGkAbgB0AGUAcgBcACIALAAgADAALAAgADAAXABuACAAIAAgACAAIAAgACAAIAB9ACwAIAByACwAIABjACkAXABuACAAIAAgACAAIAAgACkAXABuACAAIAAgACAAKQBcAG4AIAAgACkAOwBcAG4AXABuAC8AKgAgAFwAbgAtAC0ALQAtAC0ALQAtAC0ALQAtAC0ALQAtAC0ALQAtAC0ALQAtAC0ALQAtAC0ALQAtAC0ALQAtAC0ALQAtAC0ALQAtAC0ALQAtAC0AXABuAFMAbwB1AHIAYwBlAEQAYQB0AGEAXwBQAGEAcwB0AHUAcgBlAEIAZQBlAGYAXwBTAHQAYQBuAGQAYQByAGQAUgBlAGYAZQByAGUAbgBjAGUAVwBlAGkAZwBoAHQAcwBcAG4AVABhAGIAbABlACAAQQAuADEALgAyAC4AOAA6ACAAQgBlAGUAZgAgAHAAYQBzAHQAdQByAGUAIABjAGEAdAB0AGwAZQAgAC0AIABTAHQAYQBuAGQAYQByAGQAIAByAGUAZgBlAHIAZQBuAGMAZQAgAHcAZQBpAGcAaAB0AHMAIAAoAGsAZwApACAAKABTAFIAVwBrACkAXABuAC0ALQAtAC0ALQAtAC0ALQAtAC0ALQAtAC0ALQAtAC0ALQAtAC0ALQAtAC0ALQAtAC0ALQAtAC0ALQAtAC0ALQAtAC0ALQAtAC0ALQBcAG4AKgAvAFwAbgBcAG4AUwBvAHUAcgBjAGUARABhAHQAYQBfAFAAYQBzAHQAdQByAGUAQgBlAGUAZgBfAFMAdABhAG4AZABhAHIAZABSAGUAZgBlAHIAZQBuAGMAZQBXAGUAaQBnAGgAdABzAF8AVABpAHQAbABlAFwAbgAgACAAPQBMAEEATQBCAEQAQQAoAFwAIgBCAGUAZQBmACAAcABhAHMAdAB1AHIAZQAgAGMAYQB0AHQAbABlACAALQAgAFMAdABhAG4AZABhAHIAZAAgAHIAZQBmAGUAcgBlAG4AYwBlACAAdwBlAGkAZwBoAHQAcwAgACgAawBnACkAIAAoAFMAUgBXAGsAKQBcACIAKQA7AFwAbgBcAG4AUwBvAHUAcgBjAGUARABhAHQAYQBfAFAAYQBzAHQAdQByAGUAQgBlAGUAZgBfAFMAdABhAG4AZABhAHIAZABSAGUAZgBlAHIAZQBuAGMAZQBXAGUAaQBnAGgAdABzAF8AVgBhAHIAaQBhAGIAbABlAFwAbgAgACAAPQBMAEEATQBCAEQAQQAoAFwAIgBTAFIAVwBrAFwAIgApADsAXABuAFwAbgBTAG8AdQByAGMAZQBEAGEAdABhAF8AUABhAHMAdAB1AHIAZQBCAGUAZQBmAF8AUwB0AGEAbgBkAGEAcgBkAFIAZQBmAGUAcgBlAG4AYwBlAFcAZQBpAGcAaAB0AHMAXwBVAG4AaQB0AFwAbgAgACAAPQBMAEEATQBCAEQAQQAoAFwAIgBrAGcAXAAiACkAOwBcAG4AXABuAFMAbwB1AHIAYwBlAEQAYQB0AGEAXwBQAGEAcwB0AHUAcgBlAEIAZQBlAGYAXwBTAHQAYQBuAGQAYQByAGQAUgBlAGYAZQByAGUAbgBjAGUAVwBlAGkAZwBoAHQAcwBfAFMAbwB1AHIAYwBlAFwAbgAgACAAPQBMAEEATQBCAEQAQQAoAFwAIgBWAEUARQBSAEcAIAAyADAAMgA2ADoAIABUAGEAYgBsAGUAIABBAC4AMQAuADIALgA4AFwAIgApADsAXABuAFwAbgBTAG8AdQByAGMAZQBEAGEAdABhAF8AUABhAHMAdAB1AHIAZQBCAGUAZQBmAF8AUwB0AGEAbgBkAGEAcgBkAFIAZQBmAGUAcgBlAG4AYwBlAFcAZQBpAGcAaAB0AHMAXwBWAGEAcgBpAGEAdABpAG8AbgBcAG4AIAAgAD0ATABBAE0AQgBEAEEAKABcACIAVgBBAFIASQBBAFQASQBPAE4AIABPAE4AIABTAE8AVQBSAEMARQA6ACAAUwBwAGwAaQB0ACAAQQBDAFQAIABhAG4AZAAgAE4AUwBXACAAaQBuAHQAbwAgAHMAZQBwAGEAcgBhAHQAZQAgAHIAbwB3AHMALgAgAEEAZABkAGUAZAAgAFwAdQAwADAAMgA3AFMAdABhAHQAZQAgAGEAYgBiAHIAZQB2AGkAYQB0AGkAbwBuAFwAdQAwADAAMgA3ACAAYwBvAGwAdQBtAG4AIAB0AG8AIABhAGkAZAAgAGwAbwBvAGsAdQBwAC4AXAAiACkAOwBcAG4AXABuAFMAbwB1AHIAYwBlAEQAYQB0AGEAXwBQAGEAcwB0AHUAcgBlAEIAZQBlAGYAXwBTAHQAYQBuAGQAYQByAGQAUgBlAGYAZQByAGUAbgBjAGUAVwBlAGkAZwBoAHQAcwBfAEQAYQB0AGEAXABuACAAIAA9AEwAQQBNAEIARABBACgAXABuACAAIAAgACAATQBBAEsARQBBAFIAUgBBAFkAKAA5ACwAIAA5ACwAXABuACAAIAAgACAAIAAgAEwAQQBNAEIARABBACgAcgAsAGMALABcAG4AIAAgACAAIAAgACAAIAAgAEkATgBEAEUAWAAoAHsAXABuACAAIAAgACAAIAAgACAAIAAgACAAXAAiAFMAdABhAHQAZQBcACIALAAgAFwAIgBCAHUAbABsAHMAIABcAHUAMAAwADMAYwAxAFwAIgAsACAAXAAiAEIAdQBsAGwAcwAgAFwAdQAwADAAMwBlADEAXAAiACwAIABcACIAQwBvAHcAcwAgAFwAdQAwADAAMwBjADEAXAAiACwAIABcACIAQwBvAHcAcwAgADEALQAyAFwAIgAsACAAXAAiAEMAbwB3AHMAIABcAHUAMAAwADMAZQAyAFwAIgAsACAAXAAiAFMAdABlAGUAcgAgAFwAdQAwADAAMwBjADEAXAAiACwAIABcACIAUwB0AGUAZQByACAAXAB1ADAAMAAzAGUAMQBcACIALAAgAFwAIgBTAHQAYQB0AGUAIABhAGIAYgByAGUAdgBpAGEAdABpAG8AbgBcACIAOwBcAG4AIAAgACAAIAAgACAAIAAgACAAIABcACIAQQBDAFQAXAAiACwAIAA3ADAAMAAsACAANwAwADAALAAgADUAMAAwACwAIAA1ADAAMAAsACAANQAwADAALAAgADYAMAAwACwAIAA2ADAAMAAsACAAXAAiAEEAQwBUAFwAIgA7AFwAbgAgACAAIAAgACAAIAAgACAAIAAgAFwAIgBOAFMAVwBcACIALAAgADcAMAAwACwAIAA3ADAAMAAsACAANQAwADAALAAgADUAMAAwACwAIAA1ADAAMAAsACAANgAwADAALAAgADYAMAAwACwAIABcACIATgBTAFcAXAAiADsAXABuACAAIAAgACAAIAAgACAAIAAgACAAXAAiAE4AbwByAHQAaABlAHIAbgAgAFQAZQByAHIAaQB0AG8AcgB5AFwAIgAsACAANwA3ADAALAAgADcANwAwACwAIAA1ADUAMAAsACAANQA1ADAALAAgADUANQAwACwAIAA2ADYAMAAsACAANgA2ADAALAAgAFwAIgBOAFQAXAAiADsAXABuACAAIAAgACAAIAAgACAAIAAgACAAXAAiAFEAdQBlAGUAbgBzAGwAYQBuAGQAXAAiACwAIAA3ADcAMAAsACAANwA3ADAALAAgADUANQAwACwAIAA1ADUAMAAsACAANQA1ADAALAAgADYANgAwACwAIAA2ADYAMAAsACAAXAAiAFEATABEAFwAIgA7AFwAbgAgACAAIAAgACAAIAAgACAAIAAgAFwAIgBTAG8AdQB0AGgAIABBAHUAcwB0AHIAYQBsAGkAYQBcACIALAAgADcANwAwACwAIAA3ADcAMAAsACAANQA1ADAALAAgADUANQAwACwAIAA1ADUAMAAsACAANgA2ADAALAAgADYANgAwACwAIABcACIAUwBBAFwAIgA7AFwAbgAgACAAIAAgACAAIAAgACAAIAAgAFwAIgBUAGEAcwBtAGEAbgBpAGEAXAAiACwAIAA3ADcAMAAsACAANwA3ADAALAAgADUANQAwACwAIAA1ADUAMAAsACAANQA1ADAALAAgADYANgAwACwAIAA2ADYAMAAsACAAXAAiAFQAQQBTAFwAIgA7AFwAbgAgACAAIAAgACAAIAAgACAAIAAgAFwAIgBWAGkAYwB0AG8AcgBpAGEAXAAiACwAIAA3ADcAMAAsACAANwA3ADAALAAgADUANQAwACwAIAA1ADUAMAAsACAANQA1ADAALAAgADYANgAwACwAIAA2ADYAMAAsACAAXAAiAFYASQBDAFwAIgA7AFwAbgAgACAAIAAgACAAIAAgACAAIAAgAFwAIgBXAGUAcwB0AGUAcgBuACAAQQB1AHMAdAByAGEAbABpAGEAXAAiACwAIAA3ADcAMAAsACAANwA3ADAALAAgADUANQAwACwAIAA1ADUAMAAsACAANQA1ADAALAAgADYANgAwACwAIAA2ADYAMAAsACAAXAAiAFcAQQBcACIAXABuACAAIAAgACAAIAAgACAAIAB9ACwAIAByACwAIABjACkAXABuACAAIAAgACAAIAAgACkAXABuACAAIAAgACAAKQBcAG4AIAAgACkAOwBcAG4AXABuAC8AKgAgAFwAbgAtAC0ALQAtAC0ALQAtAC0ALQAtAC0ALQAtAC0ALQAtAC0ALQAtAC0ALQAtAC0ALQAtAC0ALQAtAC0ALQAtAC0ALQAtAC0ALQAtAC0AXABuAFMAbwB1AHIAYwBlAEQAYQB0AGEAXwBQAGEAcwB0AHUAcgBlAEIAZQBlAGYAXwBGAHIAYQBjAHQAaQBvAG4ATwBmAE0AYQBuAHUAcgBlAFQAbwBNAE0AUwBcAG4AVABhAGIAbABlACAAQQAuADEALgAyAC4AOQA6ACAAQgBlAGUAZgAgAHAAYQBzAHQAdQByAGUAIABjAGEAdAB0AGwAZQAgAC0AIABGAHIAYQBjAHQAaQBvAG4AIABvAGYAIABtAGEAbgB1AHIAZQAgAHQAbwAgAGUAYQBjAGgAIABtAGEAbgB1AHIAZQAgAG0AYQBuAGEAZwBlAG0AZQBuAHQAIABzAHkAcwB0AGUAbQAgACgAZgByAGEAYwB0AGkAbwBuACkAIAAoAE0ATQBTAG0AKQBcAG4ALQAtAC0ALQAtAC0ALQAtAC0ALQAtAC0ALQAtAC0ALQAtAC0ALQAtAC0ALQAtAC0ALQAtAC0ALQAtAC0ALQAtAC0ALQAtAC0ALQAtAFwAbgAqAC8AXABuAFwAbgBTAG8AdQByAGMAZQBEAGEAdABhAF8AUABhAHMAdAB1AHIAZQBCAGUAZQBmAF8ARgByAGEAYwB0AGkAbwBuAE8AZgBNAGEAbgB1AHIAZQBUAG8ATQBNAFMAXwBUAGkAdABsAGUAXABuACAAIAA9AEwAQQBNAEIARABBACgAXAAiAEIAZQBlAGYAIABwAGEAcwB0AHUAcgBlACAAYwBhAHQAdABsAGUAIAAtACAARgByAGEAYwB0AGkAbwBuACAAbwBmACAAbQBhAG4AdQByAGUAIAB0AG8AIABlAGEAYwBoACAAbQBhAG4AdQByAGUAIABtAGEAbgBhAGcAZQBtAGUAbgB0ACAAcwB5AHMAdABlAG0AIAAoAGYAcgBhAGMAdABpAG8AbgApACAAKABNAE0AUwBtACkAXAAiACkAOwBcAG4AXABuAFMAbwB1AHIAYwBlAEQAYQB0AGEAXwBQAGEAcwB0AHUAcgBlAEIAZQBlAGYAXwBGAHIAYQBjAHQAaQBvAG4ATwBmAE0AYQBuAHUAcgBlAFQAbwBNAE0AUwBfAFYAYQByAGkAYQBiAGwAZQBcAG4AIAAgAD0ATABBAE0AQgBEAEEAKABcACIATQBNAFMAbQBcACIAKQA7AFwAbgBcAG4AUwBvAHUAcgBjAGUARABhAHQAYQBfAFAAYQBzAHQAdQByAGUAQgBlAGUAZgBfAEYAcgBhAGMAdABpAG8AbgBPAGYATQBhAG4AdQByAGUAVABvAE0ATQBTAF8AVQBuAGkAdABcAG4AIAAgAD0ATABBAE0AQgBEAEEAKABcACIAZgByAGEAYwB0AGkAbwBuAFwAIgApADsAXABuAFwAbgBTAG8AdQByAGMAZQBEAGEAdABhAF8AUABhAHMAdAB1AHIAZQBCAGUAZQBmAF8ARgByAGEAYwB0AGkAbwBuAE8AZgBNAGEAbgB1AHIAZQBUAG8ATQBNAFMAXwBTAG8AdQByAGMAZQBcAG4AIAAgAD0ATABBAE0AQgBEAEEAKABcACIAVgBFAEUAUgBHACAAMgAwADIANgA6ACAAVABhAGIAbABlACAAQQAuADEALgAyAC4AOQBcACIAKQA7AFwAbgBcAG4AUwBvAHUAcgBjAGUARABhAHQAYQBfAFAAYQBzAHQAdQByAGUAQgBlAGUAZgBfAEYAcgBhAGMAdABpAG8AbgBPAGYATQBhAG4AdQByAGUAVABvAE0ATQBTAF8AVgBhAHIAaQBhAHQAaQBvAG4AXABuACAAIAA9AEwAQQBNAEIARABBACgAXAAiAFYAQQBSAEkAQQBUAEkATwBOACAATwBOACAAUwBPAFUAUgBDAEUAOgAgAFIAZQBtAG8AdgBlAGQAIABjAG8AbQBtAGEAIABmAHIAbwBtACAAXAB1ADAAMAAyADcAUABhAHMAdAB1AHIAZQAgAHIAYQBuAGcAZQAgAGEAbgBkACAAcABhAGQAZABvAGMAawBcAHUAMAAwADIANwAgAHQAbwAgAGEAaQBkACAAbABvAG8AawB1AHAAXAAiACkAOwBcAG4AXABuAFMAbwB1AHIAYwBlAEQAYQB0AGEAXwBQAGEAcwB0AHUAcgBlAEIAZQBlAGYAXwBGAHIAYQBjAHQAaQBvAG4ATwBmAE0AYQBuAHUAcgBlAFQAbwBNAE0AUwBfAEQAYQB0AGEAXABuACAAIAA9AEwAQQBNAEIARABBACgAXABuACAAIAAgACAATQBBAEsARQBBAFIAUgBBAFkAKAAxADYALAAgADQALABcAG4AIAAgACAAIAAgACAATABBAE0AQgBEAEEAKAByACwAYwAsAFwAbgAgACAAIAAgACAAIAAgACAASQBOAEQARQBYACgAewBcAG4AIAAgACAAIAAgACAAIAAgACAAIABcACIAUwB0AGEAdABlAFwAIgAsACAAXAAiAFIAZQBnAGkAbwBuAFwAIgAsACAAXAAiAFAAYQBzAHQAdQByAGUAIAByAGEAbgBnAGUAIABhAG4AZAAgAHAAYQBkAGQAbwBjAGsAXAAiACwAIABcACIAVQBuAGMAbwB2AGUAcgBlAGQAIABBAG4AYQBlAHIAbwBiAGkAYwAgAGwAYQBnAG8AbwBuAFwAIgA7AFwAbgAgACAAIAAgACAAIAAgACAAIAAgAFwAIgBBAEMAVABcACIALAAgAFwAIgBuAC8AYQBcACIALAAgADkAOQAuADEAOQAyACwAIAAwAC4AOAAwADgAOwBcAG4AIAAgACAAIAAgACAAIAAgACAAIABcACIATgBTAFcAXAAiACwAIABcACIAbgAvAGEAXAAiACwAIAA5ADkALgA0ADUAMgAsACAAMAAuADUANAA4ADsAXABuACAAIAAgACAAIAAgACAAIAAgACAAXAAiAFMAQQBcACIALAAgAFwAIgBuAC8AYQBcACIALAAgADkAOQAuADcANQA5ACwAIAAwAC4AMgA0ADEAOwBcAG4AIAAgACAAIAAgACAAIAAgACAAIABcACIAVABBAFMAXAAiACwAIABcACIAbgAvAGEAXAAiACwAIAA5ADkALgAxADIAMgAsACAAMAAuADgANwA4ADsAXABuACAAIAAgACAAIAAgACAAIAAgACAAXAAiAFYASQBDAFwAIgAsACAAXAAiAG4ALwBhAFwAIgAsACAAOQA4AC4AOAA5ADQALAAgADEALgAxADAANgA7AFwAbgAgACAAIAAgACAAIAAgACAAIAAgAFwAIgBXAEEAXAAiACwAIABcACIAUwBvAHUAdABoACAAVwBlAHMAdABcACIALAAgADkAOQAuADYAMgAyACwAIAAwAC4AMwA3ADgAOwBcAG4AIAAgACAAIAAgACAAIAAgACAAIABcACIAVwBBAFwAIgAsACAAXAAiAFAAaQBsAGIAYQByAGEAXAAiACwAIAA5ADkALgA5ADkAOQAsACAAMAAuADAAMAAxADsAXABuACAAIAAgACAAIAAgACAAIAAgACAAXAAiAFcAQQBcACIALAAgAFwAIgBLAGkAbQBiAGUAcgBsAGUAeQBcACIALAAgADkAOQAuADkAOQA5ACwAIAAwAC4AMAAwADEAOwBcAG4AIAAgACAAIAAgACAAIAAgACAAIABcACIATgBUAFwAIgAsACAAXAAiAEEAbABpAGMAZQAgAFMAcAByAGkAbgBnAHMAXAAiACwAIAA5ADkALgA5ADkAOQAsACAAMAAuADAAMAAxADsAXABuACAAIAAgACAAIAAgACAAIAAgACAAXAAiAE4AVABcACIALAAgAFwAIgBCAGEAcgBrAGwAeQBcACIALAAgADkAOQAuADkAOQA0ACwAIAAwAC4AMAAwADYAOwBcAG4AIAAgACAAIAAgACAAIAAgACAAIABcACIATgBUAFwAIgAsACAAXAAiAE4AbwByAHQAaABlAHIAbgBcACIALAAgADkAOQAuADkAOQA5ACwAIAAwAC4AMAAwADEAOwBcAG4AIAAgACAAIAAgACAAIAAgACAAIABcACIAUQBMAEQAXAAiACwAIABcACIASABpAGcAaABcACIALAAgADkAOQAuADcANwAzACwAIAAwAC4AMgAyADcAOwBcAG4AIAAgACAAIAAgACAAIAAgACAAIABcACIAUQBMAEQAXAAiACwAIABcACIATQBvAGQAZQByAGEAdABlAC8ASABpAGcAaABcACIALAAgADkAOQAuADgAOQA4ACwAIAAwAC4AMQAwADIAOwBcAG4AIAAgACAAIAAgACAAIAAgACAAIABcACIAUQBMAEQAXAAiACwAIABcACIATQBvAGQAZQByAGEAdABlAC8ATABvAHcAXAAiACwAIAA5ADkALgA5ADcAOQAsACAAMAAuADAAMgAxADsAXABuACAAIAAgACAAIAAgACAAIAAgACAAXAAiAFEATABEAFwAIgAsACAAXAAiAEwAbwB3AFwAIgAsACAAOQA5AC4AOQA3ADcALAAgADAALgAwADIAMwBcAG4AIAAgACAAIAAgACAAIAAgAH0ALAAgAHIALAAgAGMAKQBcAG4AIAAgACAAIAAgACAAKQBcAG4AIAAgACAAIAApAFwAbgAgACAAKQA7AFwAbgBcAG4ALwAqACAAXABuAC0ALQAtAC0ALQAtAC0ALQAtAC0ALQAtAC0ALQAtAC0ALQAtAC0ALQAtAC0ALQAtAC0ALQAtAC0ALQAtAC0ALQAtAC0ALQAtAC0ALQBcAG4AUwBvAHUAcgBjAGUARABhAHQAYQBfAFAAYQBzAHQAdQByAGUAQgBlAGUAZgBfAE0AZQB0AGgAYQBuAGUAQwBvAG4AdgBlAHIAcwBpAG8AbgBGAGEAYwB0AG8AcgBQAGUAcgBSAGUAZwBpAG8AbgBcAG4AVABhAGIAbABlACAAQQAuADEALgAyAC4AMQAwADoAIABCAGUAZQBmACAAcABhAHMAdAB1AHIAZQAgAGMAYQB0AHQAbABlACAALQAgAE0AZQB0AGgAYQBuAGUAIABjAG8AbgB2AGUAcgBzAGkAbwBuACAAZgBhAGMAdABvAHIAIABwAGUAcgAgAHIAZQBnAGkAbwBuACAAKABmAHIAYQBjAHQAaQBvAG4AKQAgACgATQBDAEYAaQBtACkAXABuAC0ALQAtAC0ALQAtAC0ALQAtAC0ALQAtAC0ALQAtAC0ALQAtAC0ALQAtAC0ALQAtAC0ALQAtAC0ALQAtAC0ALQAtAC0ALQAtAC0ALQBcAG4AKgAvAFwAbgBcAG4AUwBvAHUAcgBjAGUARABhAHQAYQBfAFAAYQBzAHQAdQByAGUAQgBlAGUAZgBfAE0AZQB0AGgAYQBuAGUAQwBvAG4AdgBlAHIAcwBpAG8AbgBGAGEAYwB0AG8AcgBQAGUAcgBSAGUAZwBpAG8AbgBfAFQAaQB0AGwAZQBcAG4AIAAgAD0ATABBAE0AQgBEAEEAKABcACIAQgBlAGUAZgAgAHAAYQBzAHQAdQByAGUAIABjAGEAdAB0AGwAZQAgAC0AIABNAGUAdABoAGEAbgBlACAAYwBvAG4AdgBlAHIAcwBpAG8AbgAgAGYAYQBjAHQAbwByACAAcABlAHIAIAByAGUAZwBpAG8AbgAgACgAZgByAGEAYwB0AGkAbwBuACkAIAAoAE0AQwBGAGkAbQApAFwAIgApADsAXABuAFwAbgBTAG8AdQByAGMAZQBEAGEAdABhAF8AUABhAHMAdAB1AHIAZQBCAGUAZQBmAF8ATQBlAHQAaABhAG4AZQBDAG8AbgB2AGUAcgBzAGkAbwBuAEYAYQBjAHQAbwByAFAAZQByAFIAZQBnAGkAbwBuAF8AVgBhAHIAaQBhAGIAbABlAFwAbgAgACAAPQBMAEEATQBCAEQAQQAoAFwAIgBNAEMARgBpAG0AXAAiACkAOwBcAG4AXABuAFMAbwB1AHIAYwBlAEQAYQB0AGEAXwBQAGEAcwB0AHUAcgBlAEIAZQBlAGYAXwBNAGUAdABoAGEAbgBlAEMAbwBuAHYAZQByAHMAaQBvAG4ARgBhAGMAdABvAHIAUABlAHIAUgBlAGcAaQBvAG4AXwBVAG4AaQB0AFwAbgAgACAAPQBMAEEATQBCAEQAQQAoAFwAIgBmAHIAYQBjAHQAaQBvAG4AXAAiACkAOwBcAG4AXABuAFMAbwB1AHIAYwBlAEQAYQB0AGEAXwBQAGEAcwB0AHUAcgBlAEIAZQBlAGYAXwBNAGUAdABoAGEAbgBlAEMAbwBuAHYAZQByAHMAaQBvAG4ARgBhAGMAdABvAHIAUABlAHIAUgBlAGcAaQBvAG4AXwBTAG8AdQByAGMAZQBcAG4AIAAgAD0ATABBAE0AQgBEAEEAKABcACIAVgBFAEUAUgBHACAAMgAwADIANgA6ACAAVABhAGIAbABlACAAQQAuADEALgAyAC4AMQAwAFwAIgApADsAXABuAFwAbgBTAG8AdQByAGMAZQBEAGEAdABhAF8AUABhAHMAdAB1AHIAZQBCAGUAZQBmAF8ATQBlAHQAaABhAG4AZQBDAG8AbgB2AGUAcgBzAGkAbwBuAEYAYQBjAHQAbwByAFAAZQByAFIAZQBnAGkAbwBuAF8AVgBhAHIAaQBhAHQAaQBvAG4AXABuACAAIAA9AEwAQQBNAEIARABBACgAXAAiAFYAQQBSAEkAQQBUAEkATwBOACAATwBOACAAUwBPAFUAUgBDAEUAOgAgAFIAZQBtAG8AdgBlAGQAIABjAG8AbQBtAGEAIABmAHIAbwBtACAAXAB1ADAAMAAyADcAUABhAHMAdAB1AHIAZQAgAHIAYQBuAGcAZQAgAGEAbgBkACAAcABhAGQAZABvAGMAawBcAHUAMAAwADIANwAgAHQAbwAgAGEAaQBkACAAbABvAG8AawB1AHAAXAAiACkAOwBcAG4AXABuAFMAbwB1AHIAYwBlAEQAYQB0AGEAXwBQAGEAcwB0AHUAcgBlAEIAZQBlAGYAXwBNAGUAdABoAGEAbgBlAEMAbwBuAHYAZQByAHMAaQBvAG4ARgBhAGMAdABvAHIAUABlAHIAUgBlAGcAaQBvAG4AXwBEAGEAdABhAFwAbgAgACAAPQBMAEEATQBCAEQAQQAoAFwAbgAgACAAIAAgAE0AQQBLAEUAQQBSAFIAQQBZACgAMQA2ACwAIAA0ACwAXABuACAAIAAgACAAIAAgAEwAQQBNAEIARABBACgAcgAsAGMALABcAG4AIAAgACAAIAAgACAAIAAgAEkATgBEAEUAWAAoAHsAXABuACAAIAAgACAAIAAgACAAIAAgACAAXAAiAFMAdABhAHQAZQBcACIALAAgAFwAIgBSAGUAZwBpAG8AbgBcACIALAAgAFwAIgBQAGEAcwB0AHUAcgBlACAAcgBhAG4AZwBlACAAYQBuAGQAIABwAGEAZABkAG8AYwBrAFwAIgAsACAAXAAiAFUAbgBjAG8AdgBlAHIAZQBkACAAQQBuAGEAZQByAG8AYgBpAGMAIABsAGEAZwBvAG8AbgBcACIAOwBcAG4AIAAgACAAIAAgACAAIAAgACAAIABcACIAQQBDAFQAXAAiACwAIABcACIAbgAvAGEAXAAiACwAIAAwAC4AMAAwADQANwAsACAAMAAuADcAMQA7AFwAbgAgACAAIAAgACAAIAAgACAAIAAgAFwAIgBOAFMAVwBcACIALAAgAFwAIgBuAC8AYQBcACIALAAgADAALgAwADAANAA3ACwAIAAwAC4ANwA1ADsAXABuACAAIAAgACAAIAAgACAAIAAgACAAXAAiAFMAQQBcACIALAAgAFwAIgBuAC8AYQBcACIALAAgADAALgAwADAANAA3ACwAIAAwAC4ANwA0ADsAXABuACAAIAAgACAAIAAgACAAIAAgACAAXAAiAFQAQQBTAFwAIgAsACAAXAAiAG4ALwBhAFwAIgAsACAAMAAuADAAMAA0ADcALAAgADAALgA3ADsAXABuACAAIAAgACAAIAAgACAAIAAgACAAXAAiAFYASQBDAFwAIgAsACAAXAAiAG4ALwBhAFwAIgAsACAAMAAuADAAMAA0ADcALAAgADAALgA3ADQAOwBcAG4AIAAgACAAIAAgACAAIAAgACAAIABcACIAVwBBAFwAIgAsACAAXAAiAFMAbwB1AHQAaAAgAFcAZQBzAHQAXAAiACwAIAAwAC4AMAAwADQANwAsACAAMAAuADcANgA7AFwAbgAgACAAIAAgACAAIAAgACAAIAAgAFwAIgBXAEEAXAAiACwAIABcACIAUABpAGwAYgBhAHIAYQBcACIALAAgADAALgAwADAANAA3ACwAIAAwAC4ANwA2ADsAXABuACAAIAAgACAAIAAgACAAIAAgACAAXAAiAFcAQQBcACIALAAgAFwAIgBLAGkAbQBiAGUAcgBsAGUAeQBcACIALAAgADAALgAwADAANAA3ACwAIAAwAC4ANwA2ADsAXABuACAAIAAgACAAIAAgACAAIAAgACAAXAAiAE4AVABcACIALAAgAFwAIgBBAGwAaQBjAGUAIABTAHAAcgBpAG4AZwBzAFwAIgAsACAAMAAuADAAMAA0ADcALAAgADAALgA4ADsAXABuACAAIAAgACAAIAAgACAAIAAgACAAXAAiAE4AVABcACIALAAgAFwAIgBCAGEAcgBrAGwAeQBcACIALAAgADAALgAwADAANAA3ACwAIAAwAC4AOAA7AFwAbgAgACAAIAAgACAAIAAgACAAIAAgAFwAIgBOAFQAXAAiACwAIABcACIATgBvAHIAdABoAGUAcgBuAFwAIgAsACAAMAAuADAAMAA0ADcALAAgADAALgA4ADsAXABuACAAIAAgACAAIAAgACAAIAAgACAAXAAiAFEATABEAFwAIgAsACAAXAAiAEgAaQBnAGgAXAAiACwAIAAwAC4AMAAwADQANwAsACAAMAAuADcAOAA7AFwAbgAgACAAIAAgACAAIAAgACAAIAAgAFwAIgBRAEwARABcACIALAAgAFwAIgBNAG8AZABlAHIAYQB0AGUALwBIAGkAZwBoAFwAIgAsACAAMAAuADAAMAA0ADcALAAgADAALgA3ADgAOwBcAG4AIAAgACAAIAAgACAAIAAgACAAIABcACIAUQBMAEQAXAAiACwAIABcACIATQBvAGQAZQByAGEAdABlAC8ATABvAHcAXAAiACwAIAAwAC4AMAAwADQANwAsACAAMAAuADcAOAA7AFwAbgAgACAAIAAgACAAIAAgACAAIAAgAFwAIgBRAEwARABcACIALAAgAFwAIgBMAG8AdwBcACIALAAgADAALgAwADAANAA3ACwAIAAwAC4ANwA4AFwAbgAgACAAIAAgACAAIAAgACAAfQAsACAAcgAsACAAYwApAFwAbgAgACAAIAAgACAAIAApAFwAbgAgACAAIAAgACkAXABuACAAIAApADsAXABuAFwAbgBcAG4AXABuAC8AKgAgAFwAbgAtAC0ALQAtAC0ALQAtAC0ALQAtAC0ALQAtAC0ALQAtAC0ALQAtAC0ALQAtAC0ALQAtAC0ALQAtAC0ALQAtAC0ALQAtAC0ALQAtAC0AXABuAFMAbwB1AHIAYwBlAEQAYQB0AGEAXwBQAGEAcwB0AHUAcgBlAEIAZQBlAGYAXwBBAHMAaABDAG8AbgB0AGUAbgB0AE8AZgBGAGUAZQBkAEkAbgB0AGEAawBlAFwAbgBWAEUARQBSAEcAIAAyADAAMgA2ADoAIAA0AC4AMgAuADIALgAzACAAQwBPAE4AUwBUAEEATgBUAFMAXABuAC0ALQAtAC0ALQAtAC0ALQAtAC0ALQAtAC0ALQAtAC0ALQAtAC0ALQAtAC0ALQAtAC0ALQAtAC0ALQAtAC0ALQAtAC0ALQAtAC0ALQBcAG4AKgAvAFwAbgBcAG4AUwBvAHUAcgBjAGUARABhAHQAYQBfAFAAYQBzAHQAdQByAGUAQgBlAGUAZgBfAEEAcwBoAEMAbwBuAHQAZQBuAHQATwBmAEYAZQBlAGQASQBuAHQAYQBrAGUAXwBUAGkAdABsAGUAXABuACAAIAA9AEwAQQBNAEIARABBACgAXAAiAEEAcwBoACAAYwBvAG4AdABlAG4AdAAgAG8AZgAgAGYAZQBlAGQAIABpAG4AdABhAGsAZQBcACIAKQA7AFwAbgBcAG4AUwBvAHUAcgBjAGUARABhAHQAYQBfAFAAYQBzAHQAdQByAGUAQgBlAGUAZgBfAEEAcwBoAEMAbwBuAHQAZQBuAHQATwBmAEYAZQBlAGQASQBuAHQAYQBrAGUAXwBWAGEAcgBpAGEAYgBsAGUAXABuACAAIAA9AEwAQQBNAEIARABBACgAXAAiAEEAXAAiACkAOwBcAG4AXABuAFMAbwB1AHIAYwBlAEQAYQB0AGEAXwBQAGEAcwB0AHUAcgBlAEIAZQBlAGYAXwBBAHMAaABDAG8AbgB0AGUAbgB0AE8AZgBGAGUAZQBkAEkAbgB0AGEAawBlAF8AVQBuAGkAdABcAG4AIAAgAD0ATABBAE0AQgBEAEEAKABcACIAZgByAGEAYwB0AGkAbwBuAFwAIgApADsAXABuAFwAbgBTAG8AdQByAGMAZQBEAGEAdABhAF8AUABhAHMAdAB1AHIAZQBCAGUAZQBmAF8AQQBzAGgAQwBvAG4AdABlAG4AdABPAGYARgBlAGUAZABJAG4AdABhAGsAZQBfAFMAbwB1AHIAYwBlAFwAbgAgACAAPQBMAEEATQBCAEQAQQAoAFwAIgBWAEUARQBSAEcAIAAyADAAMgA2ADoAIAA0AC4AMgAuADIALgAzACAAQwBPAE4AUwBUAEEATgBUAFMAXAAiACkAOwBcAG4AXABuAFMAbwB1AHIAYwBlAEQAYQB0AGEAXwBQAGEAcwB0AHUAcgBlAEIAZQBlAGYAXwBBAHMAaABDAG8AbgB0AGUAbgB0AE8AZgBGAGUAZQBkAEkAbgB0AGEAawBlAF8AVgBhAHIAaQBhAHQAaQBvAG4AXABuACAAIAA9AEwAQQBNAEIARABBACgAXAAiAFwAIgApADsAXABuAFwAbgBTAG8AdQByAGMAZQBEAGEAdABhAF8AUABhAHMAdAB1AHIAZQBCAGUAZQBmAF8AQQBzAGgAQwBvAG4AdABlAG4AdABPAGYARgBlAGUAZABJAG4AdABhAGsAZQBfAEQAYQB0AGEAXABuACAAIAA9AEwAQQBNAEIARABBACgAMAAuADAAOAApADsAXABuAFwAbgAvACoAIABcAG4ALQAtAC0ALQAtAC0ALQAtAC0ALQAtAC0ALQAtAC0ALQAtAC0ALQAtAC0ALQAtAC0ALQAtAC0ALQAtAC0ALQAtAC0ALQAtAC0ALQAtAFwAbgBTAG8AdQByAGMAZQBEAGEAdABhAF8AUABhAHMAdAB1AHIAZQBCAGUAZQBmAF8ATQBlAHQAaABhAG4AZQBFAG0AaQBzAHMAaQBvAG4AcwBQAG8AdABlAG4AdABpAGEAbABcAG4ATQBlAHQAaABhAG4AZQAgAGUAbQBpAHMAcwBpAG8AbgBzACAAcABvAHQAZQBuAHQAaQBhAGwALgBcAG4ALQAtAC0ALQAtAC0ALQAtAC0ALQAtAC0ALQAtAC0ALQAtAC0ALQAtAC0ALQAtAC0ALQAtAC0ALQAtAC0ALQAtAC0ALQAtAC0ALQAtAFwAbgAqAC8AXABuAFwAbgBTAG8AdQByAGMAZQBEAGEAdABhAF8AUABhAHMAdAB1AHIAZQBCAGUAZQBmAF8ATQBlAHQAaABhAG4AZQBFAG0AaQBzAHMAaQBvAG4AcwBQAG8AdABlAG4AdABpAGEAbABfAFQAaQB0AGwAZQBcAG4AIAAgAD0ATABBAE0AQgBEAEEAKABcACIATQBlAHQAaABhAG4AZQAgAGUAbQBpAHMAcwBpAG8AbgBzACAAcABvAHQAZQBuAHQAaQBhAGwAXAAiACkAOwBcAG4AXABuAFMAbwB1AHIAYwBlAEQAYQB0AGEAXwBQAGEAcwB0AHUAcgBlAEIAZQBlAGYAXwBNAGUAdABoAGEAbgBlAEUAbQBpAHMAcwBpAG8AbgBzAFAAbwB0AGUAbgB0AGkAYQBsAF8AVgBhAHIAaQBhAGIAbABlAFwAbgAgACAAPQBMAEEATQBCAEQAQQAoAFwAIgBCADAAXAAiACkAOwBcAG4AXABuAFMAbwB1AHIAYwBlAEQAYQB0AGEAXwBQAGEAcwB0AHUAcgBlAEIAZQBlAGYAXwBNAGUAdABoAGEAbgBlAEUAbQBpAHMAcwBpAG8AbgBzAFAAbwB0AGUAbgB0AGkAYQBsAF8AVQBuAGkAdABcAG4AIAAgAD0ATABBAE0AQgBEAEEAKABcACIAbQAzACAAQwBIADQAIAAvACAAawBnACAAVgBTAFwAIgApADsAXABuAFwAbgBTAG8AdQByAGMAZQBEAGEAdABhAF8AUABhAHMAdAB1AHIAZQBCAGUAZQBmAF8ATQBlAHQAaABhAG4AZQBFAG0AaQBzAHMAaQBvAG4AcwBQAG8AdABlAG4AdABpAGEAbABfAFMAbwB1AHIAYwBlAFwAbgAgACAAPQBMAEEATQBCAEQAQQAoAFwAIgBWAEUARQBSAEcAIAAyADAAMgA2ADoAIAA0AC4AMgAuADIALgAzACAAQwBPAE4AUwBUAEEATgBUAFMAXAAiACkAOwBcAG4AXABuAFMAbwB1AHIAYwBlAEQAYQB0AGEAXwBQAGEAcwB0AHUAcgBlAEIAZQBlAGYAXwBNAGUAdABoAGEAbgBlAEUAbQBpAHMAcwBpAG8AbgBzAFAAbwB0AGUAbgB0AGkAYQBsAF8AVgBhAHIAaQBhAHQAaQBvAG4AXABuACAAIAA9AEwAQQBNAEIARABBACgAXAAiAFwAIgApADsAXABuAFwAbgBTAG8AdQByAGMAZQBEAGEAdABhAF8AUABhAHMAdAB1AHIAZQBCAGUAZQBmAF8ATQBlAHQAaABhAG4AZQBFAG0AaQBzAHMAaQBvAG4AcwBQAG8AdABlAG4AdABpAGEAbABfAEQAYQB0AGEAXABuACAAIAA9AEwAQQBNAEIARABBACgAMAAuADEAOQApADsAXABuAFwAbgAvACoAIABcAG4ALQAtAC0ALQAtAC0ALQAtAC0ALQAtAC0ALQAtAC0ALQAtAC0ALQAtAC0ALQAtAC0ALQAtAC0ALQAtAC0ALQAtAC0ALQAtAC0ALQAtAFwAbgBTAG8AdQByAGMAZQBEAGEAdABhAF8AUABhAHMAdAB1AHIAZQBCAGUAZQBmAF8ARgByAGEAYwBHAEEAUwBNAFMAbwBpAGwAXABuAEYAcgBhAGMAdABpAG8AbgAgAG8AZgAgAG4AaQB0AHIAbwBnAGUAbgAgAHYAbwBsAGEAdABpAGwAaQBzAGUAZAAgAGYAcgBvAG0AIAB1AHIAaQBuAGUAIABhAG4AZAAgAGYAYQBlAGMAZQBzACAAZABlAHAAbwBzAGkAdABlAGQAIABvAG4AIABwAGEAcwB0AHUAcgBlAFwAbgAtAC0ALQAtAC0ALQAtAC0ALQAtAC0ALQAtAC0ALQAtAC0ALQAtAC0ALQAtAC0ALQAtAC0ALQAtAC0ALQAtAC0ALQAtAC0ALQAtAC0AXABuACoALwBcAG4AXABuAFMAbwB1AHIAYwBlAEQAYQB0AGEAXwBQAGEAcwB0AHUAcgBlAEIAZQBlAGYAXwBGAHIAYQBjAEcAQQBTAE0AUwBvAGkAbABfAFQAaQB0AGwAZQBcAG4AIAAgAD0ATABBAE0AQgBEAEEAKABcACIARgByAGEAYwB0AGkAbwBuACAAbwBmACAAbgBpAHQAcgBvAGcAZQBuACAAdgBvAGwAYQB0AGkAbABpAHMAZQBkACAAZgByAG8AbQAgAHUAcgBpAG4AZQAgAGEAbgBkACAAZgBhAGUAYwBlAHMAIABkAGUAcABvAHMAaQB0AGUAZAAgAG8AbgAgAHAAYQBzAHQAdQByAGUAXAAiACkAOwBcAG4AXABuAFMAbwB1AHIAYwBlAEQAYQB0AGEAXwBQAGEAcwB0AHUAcgBlAEIAZQBlAGYAXwBGAHIAYQBjAEcAQQBTAE0AUwBvAGkAbABfAFYAYQByAGkAYQBiAGwAZQBcAG4AIAAgAD0ATABBAE0AQgBEAEEAKABcACIARgByAGEAYwBHAEEAUwBNAFMAbwBpAGwAXAAiACkAOwBcAG4AXABuAFMAbwB1AHIAYwBlAEQAYQB0AGEAXwBQAGEAcwB0AHUAcgBlAEIAZQBlAGYAXwBGAHIAYQBjAEcAQQBTAE0AUwBvAGkAbABfAFUAbgBpAHQAXABuACAAIAA9AEwAQQBNAEIARABBACgAXAAiAGYAcgBhAGMAdABpAG8AbgBcACIAKQA7AFwAbgBcAG4AUwBvAHUAcgBjAGUARABhAHQAYQBfAFAAYQBzAHQAdQByAGUAQgBlAGUAZgBfAEYAcgBhAGMARwBBAFMATQBTAG8AaQBsAF8AUwBvAHUAcgBjAGUAXABuACAAIAA9AEwAQQBNAEIARABBACgAXAAiAFYARQBFAFIARwAgADIAMAAyADYAOgAgADQALgAyAC4AMgAuADMAIABDAE8ATgBTAFQAQQBOAFQAUwBcACIAKQA7AFwAbgBcAG4AUwBvAHUAcgBjAGUARABhAHQAYQBfAFAAYQBzAHQAdQByAGUAQgBlAGUAZgBfAEYAcgBhAGMARwBBAFMATQBTAG8AaQBsAF8AVgBhAHIAaQBhAHQAaQBvAG4AXABuACAAIAA9AEwAQQBNAEIARABBACgAXAAiAFwAIgApADsAXABuAFwAbgBTAG8AdQByAGMAZQBEAGEAdABhAF8AUABhAHMAdAB1AHIAZQBCAGUAZQBmAF8ARgByAGEAYwBHAEEAUwBNAFMAbwBpAGwAXwBEAGEAdABhAFwAbgAgACAAPQBMAEEATQBCAEQAQQAoADAALgAyADEAKQA7AFwAbgBcAG4ALwAqACAAXABuAC0ALQAtAC0ALQAtAC0ALQAtAC0ALQAtAC0ALQAtAC0ALQAtAC0ALQAtAC0ALQAtAC0ALQAtAC0ALQAtAC0ALQAtAC0ALQAtAC0ALQBcAG4AUwBvAHUAcgBjAGUARABhAHQAYQBfAFAAYQBzAHQAdQByAGUAQgBlAGUAZgBfAEYAcgBhAGMATABFAEEAQwBIAFwAbgBEAGUAZgBhAHUAbAB0ACAAZgByAGEAYwB0AGkAbwBuACAAbwBmACAATgAgAHQAaABhAHQAIABpAHMAIABsAG8AcwB0ACAAdABoAHIAbwB1AGcAaAAgAGwAZQBhAGMAaABpAG4AZwAgAGEAbgBkACAAcgB1AG4AbwBmAGYAXABuAC0ALQAtAC0ALQAtAC0ALQAtAC0ALQAtAC0ALQAtAC0ALQAtAC0ALQAtAC0ALQAtAC0ALQAtAC0ALQAtAC0ALQAtAC0ALQAtAC0ALQBcAG4AKgAvAFwAbgBcAG4AUwBvAHUAcgBjAGUARABhAHQAYQBfAFAAYQBzAHQAdQByAGUAQgBlAGUAZgBfAEYAcgBhAGMATABFAEEAQwBIAF8AVABpAHQAbABlAFwAbgAgACAAPQBMAEEATQBCAEQAQQAoAFwAIgBEAGUAZgBhAHUAbAB0ACAAZgByAGEAYwB0AGkAbwBuACAAbwBmACAATgAgAHQAaABhAHQAIABpAHMAIABsAG8AcwB0ACAAdABoAHIAbwB1AGcAaAAgAGwAZQBhAGMAaABpAG4AZwAgAGEAbgBkACAAcgB1AG4AbwBmAGYAXAAiACkAOwBcAG4AXABuAFMAbwB1AHIAYwBlAEQAYQB0AGEAXwBQAGEAcwB0AHUAcgBlAEIAZQBlAGYAXwBGAHIAYQBjAEwARQBBAEMASABfAFYAYQByAGkAYQBiAGwAZQBcAG4AIAAgAD0ATABBAE0AQgBEAEEAKABcACIARgByAGEAYwBMAEUAQQBDAEgAXAAiACkAOwBcAG4AXABuAFMAbwB1AHIAYwBlAEQAYQB0AGEAXwBQAGEAcwB0AHUAcgBlAEIAZQBlAGYAXwBGAHIAYQBjAEwARQBBAEMASABfAFUAbgBpAHQAXABuACAAIAA9AEwAQQBNAEIARABBACgAXAAiAGYAcgBhAGMAdABpAG8AbgBcACIAKQA7AFwAbgBcAG4AUwBvAHUAcgBjAGUARABhAHQAYQBfAFAAYQBzAHQAdQByAGUAQgBlAGUAZgBfAEYAcgBhAGMATABFAEEAQwBIAF8AUwBvAHUAcgBjAGUAXABuACAAIAA9AEwAQQBNAEIARABBACgAXAAiAFYARQBFAFIARwAgADIAMAAyADYAOgAgADQALgAyAC4AMgAuADMAIABDAE8ATgBTAFQAQQBOAFQAUwBcACIAKQA7AFwAbgBcAG4AUwBvAHUAcgBjAGUARABhAHQAYQBfAFAAYQBzAHQAdQByAGUAQgBlAGUAZgBfAEYAcgBhAGMATABFAEEAQwBIAF8AVgBhAHIAaQBhAHQAaQBvAG4AXABuACAAIAA9AEwAQQBNAEIARABBACgAXAAiAFwAIgApADsAXABuAFwAbgBTAG8AdQByAGMAZQBEAGEAdABhAF8AUABhAHMAdAB1AHIAZQBCAGUAZQBmAF8ARgByAGEAYwBMAEUAQQBDAEgAXwBEAGEAdABhAFwAbgAgACAAPQBMAEEATQBCAEQAQQAoADAALgAyADQAKQA7ACIAfQAsAHsAIgBwAGEAdABoACIAOgAiAC8AcAByAG8AagBlAGMAdABzAC8ARQBuAHQAZQByAGkAYwBNAGUAdABoAGEAbgBlAF8AUABhAHMAdAB1AHIAZQBCAGUAZQBmAF8ARQBxAHUAYQB0AGkAbwBuAHMAIgAsACIAdABlAHgAdAAiADoAIgAvACoAXABuAD0APQA9AD0APQA9AD0APQA9AD0APQA9AD0APQA9AD0APQA9AD0APQA9AD0APQA9AD0APQA9AD0APQA9AD0APQA9AD0APQA9AD0APQA9AD0APQA9AD0APQA9AD0APQA9AD0APQA9AD0APQA9AD0APQA9AD0APQA9AD0APQA9AD0APQA9AD0APQA9AD0APQA9AD0APQA9AD0AXABuADMALgAyADoAIABFAG4AdABlAHIAaQBjACAATQBlAHQAaABhAG4AZQAgAC0AIABQAGEAcwB0AHUAcgBlACAAQgBlAGUAZgBcAG4APQA9AD0APQA9AD0APQA9AD0APQA9AD0APQA9AD0APQA9AD0APQA9AD0APQA9AD0APQA9AD0APQA9AD0APQA9AD0APQA9AD0APQA9AD0APQA9AD0APQA9AD0APQA9AD0APQA9AD0APQA9AD0APQA9AD0APQA9AD0APQA9AD0APQA9AD0APQA9AD0APQA9AD0APQA9AD0APQBcAG4AMwAuADIALgAxAC4AMQAgAE0AZQB0AGgAbwBkACAAMQAgAC0AIABFAG4AdABlAHIAaQBjACAAQgBlAGUAZgAgAEcAcgBhAHoAaQBuAGcAXABuAD0APQA9AD0APQA9AD0APQA9AD0APQA9AD0APQA9AD0APQA9AD0APQA9AD0APQA9AD0APQA9AD0APQA9AD0APQA9AD0APQA9AD0APQA9AD0APQA9AD0APQA9AD0APQA9AD0APQA9AD0APQA9AD0APQA9AD0APQA9AD0APQA9AD0APQA9AD0APQA9AD0APQA9AD0APQA9AD0AXABuACoALwBcAG4AXABuAC8AKgBcAG4ALQAtAC0ALQAtAC0ALQAtAC0ALQAtAC0ALQAtAC0ALQAtAC0ALQAtAC0ALQAtAC0ALQAtAC0ALQAtAC0ALQAtAC0ALQAtAC0ALQAtAFwAbgBWAEUARQBSAEcAXwAzAF8AMgBfADEAXwAxAF8AXwAxAF8AVABvAHQAYQBsAEEAbgBuAHUAYQBsAE0AZQB0AGgAYQBuAGUARgByAG8AbQBFAG4AdABlAHIAaQBjAEYAZQByAG0AZQBuAHQAYQB0AGkAbwBuAFwAbgBUAG8AdABhAGwAIABhAG4AbgB1AGEAbAAgAG0AZQB0AGgAYQBuAGUAIABwAHIAbwBkAHUAYwB0AGkAbwBuACAAZgByAG8AbQAgAGUAbgB0AGUAcgBpAGMAIABmAGUAcgBtAGUAbgB0AGEAdABpAG8AbgAgAGkAbgAgAGcAcgBhAHoAaQBuAGcAIABiAGUAZQBmACAAYwBhAHQAdABsAGUAXABuAEUAXwBlAG4AdABlAHIAaQBjAFwAbgB0ACAAQwBIADQAXABuAEUAXwB7AGUAbgB0AGUAcgBpAGMAfQA9AFwAXABzAHUAbQBfAHsAagB9AFwAXABzAHUAbQBfAHsAawB9AFwAXABzAHUAbQBfAHsAbAB9ACgARABfAGoAXABcAHQAaQBtAGUAcwAgAE0AXwB7AGoAawBsAH0AXABcAHQAaQBtAGUAcwAgAE4AXwB7AGoAawBsAH0AKQBcAFwAdABpAG0AZQBzACAAMQAwAF4AewAtADMAfQBcAG4ARABfAGoAIAA9ACAAbgB1AG0AYgBlAHIAIABvAGYAIABkAGEAeQBzACAAdABoAGUAIABhAG4AaQBtAGEAbAAgAGkAcwAgAG8AbgAgAHQAaABlACAAZgBhAHIAbQAgAGkAbgAgAGUAYQBjAGgAIAB0AGkAbQBlAC0AcABlAHIAaQBvAGQAIAAoAGQAYQB5AHMAKQBcAG4ATQBfAGoAawBsACAAPQAgAGQAYQBpAGwAeQAgAHAAcgBvAGQAdQBjAHQAaQBvAG4AIABvAGYAIABlAG4AdABlAHIAaQBjACAAbQBlAHQAaABhAG4AZQAgAGkAbgAgAGUAYQBjAGgAIAB0AGkAbQBlAC0AcABlAHIAaQBvAGQALAAgAGMAbABhAHMAcwAgAGEAbgBkACAAcwB1AGIAYwBsAGEAcwBzACAAKABrAGcAIABDAEgANAAvAGgAZQBhAGQALwBkAGEAeQApAFwAbgBOAF8AagBrAGwAIAA9ACAAbgB1AG0AYgBlAHIAIABvAGYAIABiAGUAZQBmACAAYwBhAHQAdABsAGUAIABpAG4AIABlAGEAYwBoACAAdABpAG0AZQAtAHAAZQByAGkAbwBkACwAIABjAGwAYQBzAHMAIABhAG4AZAAgAHMAdQBiAGMAbABhAHMAcwAgACgAaABlAGEAZAApAFwAbgAtAC0ALQAtAC0ALQAtAC0ALQAtAC0ALQAtAC0ALQAtAC0ALQAtAC0ALQAtAC0ALQAtAC0ALQAtAC0ALQAtAC0ALQAtAC0ALQAtAC0AXABuACoALwBcAG4AXABuAFYARQBFAFIARwBfADMAXwAyAF8AMQBfADEAXwBfADEAXwBUAG8AdABhAGwAQQBuAG4AdQBhAGwATQBlAHQAaABhAG4AZQBGAHIAbwBtAEUAbgB0AGUAcgBpAGMARgBlAHIAbQBlAG4AdABhAHQAaQBvAG4AXABuACAAIAA9AEwAQQBNAEIARABBACgAXABuACAAIAAgACAARABfAGoALAAgAE0AXwBqAGsAbAAsACAATgBfAGoAawBsACwAXABuACAAIAAgACAAKABEAF8AagAgACoAIABNAF8AagBrAGwAIAAqACAATgBfAGoAawBsACkAIAAqACAAMQAwACAAXgAgAC0AMwBcAG4AIAAgACkAOwBcAG4AXABuAFYARQBFAFIARwBfADMAXwAyAF8AMQBfADEAXwBfADEAXwBUAG8AdABhAGwAQQBuAG4AdQBhAGwATQBlAHQAaABhAG4AZQBGAHIAbwBtAEUAbgB0AGUAcgBpAGMARgBlAHIAbQBlAG4AdABhAHQAaQBvAG4AXwBUAGkAdABsAGUAXABuACAAIAA9AEwAQQBNAEIARABBACgAXAAiAFQAbwB0AGEAbAAgAGEAbgBuAHUAYQBsACAAbQBlAHQAaABhAG4AZQAgAHAAcgBvAGQAdQBjAHQAaQBvAG4AIABmAHIAbwBtACAAZQBuAHQAZQByAGkAYwAgAGYAZQByAG0AZQBuAHQAYQB0AGkAbwBuACAAaQBuACAAZwByAGEAegBpAG4AZwAgAGIAZQBlAGYAIABjAGEAdAB0AGwAZQBcACIAKQA7AFwAbgBcAG4AVgBFAEUAUgBHAF8AMwBfADIAXwAxAF8AMQBfAF8AMQBfAFQAbwB0AGEAbABBAG4AbgB1AGEAbABNAGUAdABoAGEAbgBlAEYAcgBvAG0ARQBuAHQAZQByAGkAYwBGAGUAcgBtAGUAbgB0AGEAdABpAG8AbgBfAFYAYQByAGkAYQBiAGwAZQBcAG4AIAAgAD0ATABBAE0AQgBEAEEAKABcACIARQBfAGUAbgB0AGUAcgBpAGMAXAAiACkAOwBcAG4AXABuAFYARQBFAFIARwBfADMAXwAyAF8AMQBfADEAXwBfADEAXwBUAG8AdABhAGwAQQBuAG4AdQBhAGwATQBlAHQAaABhAG4AZQBGAHIAbwBtAEUAbgB0AGUAcgBpAGMARgBlAHIAbQBlAG4AdABhAHQAaQBvAG4AXwBVAG4AaQB0AFwAbgAgACAAPQBMAEEATQBCAEQAQQAoAFwAIgB0ACAAQwBIADQAXAAiACkAOwBcAG4AXABuAFYARQBFAFIARwBfADMAXwAyAF8AMQBfADEAXwBfADEAXwBUAG8AdABhAGwAQQBuAG4AdQBhAGwATQBlAHQAaABhAG4AZQBGAHIAbwBtAEUAbgB0AGUAcgBpAGMARgBlAHIAbQBlAG4AdABhAHQAaQBvAG4AXwBTAG8AdQByAGMAZQBcAG4AIAAgAD0ATABBAE0AQgBEAEEAKABcACIAVgBFAEUAUgBHACAAMgAwADIANgA6ACAAMwAuADIALgAxAC4AMQAsACAARQBxAHUAYQB0AGkAbwBuACAAKAAxACkAXAAiACkAOwBcAG4AXABuAFYARQBFAFIARwBfADMAXwAyAF8AMQBfADEAXwBfADEAXwBUAG8AdABhAGwAQQBuAG4AdQBhAGwATQBlAHQAaABhAG4AZQBGAHIAbwBtAEUAbgB0AGUAcgBpAGMARgBlAHIAbQBlAG4AdABhAHQAaQBvAG4AXwBOAEkAUgBSAGUAZgBlAHIAZQBuAGMAZQBcAG4AIAAgAD0ATABBAE0AQgBEAEEAKABcACIAXAAiACkAOwBcAG4AXABuAFYARQBFAFIARwBfADMAXwAyAF8AMQBfADEAXwBfADEAXwBUAG8AdABhAGwAQQBuAG4AdQBhAGwATQBlAHQAaABhAG4AZQBGAHIAbwBtAEUAbgB0AGUAcgBpAGMARgBlAHIAbQBlAG4AdABhAHQAaQBvAG4AXwBMAGEAdABlAHgARQBxAHUAYQB0AGkAbwBuAFwAbgAgACAAPQBMAEEATQBCAEQAQQAoAFwAIgBFAF8AewBlAG4AdABlAHIAaQBjAH0APQBcAFwAcwB1AG0AXwB7AGoAfQBcAFwAcwB1AG0AXwB7AGsAfQBcAFwAcwB1AG0AXwB7AGwAfQAoAEQAXwBqAFwAXAB0AGkAbQBlAHMAIABNAF8AewBqAGsAbAB9AFwAXAB0AGkAbQBlAHMAIABOAF8AewBqAGsAbAB9ACkAXABcAHQAaQBtAGUAcwAgADEAMABeAHsALQAzAH0AXAAiACkAOwBcAG4AXABuAFYARQBFAFIARwBfADMAXwAyAF8AMQBfADEAXwBfADEAXwBUAG8AdABhAGwAQQBuAG4AdQBhAGwATQBlAHQAaABhAG4AZQBGAHIAbwBtAEUAbgB0AGUAcgBpAGMARgBlAHIAbQBlAG4AdABhAHQAaQBvAG4AXwBBAHIAZwB1AG0AZQBuAHQAcwBcAG4AIAAgAD0ATABBAE0AQgBEAEEAKABcAG4AIAAgACAAIABNAEEASwBFAEEAUgBSAEEAWQAoADMALAAgADQALABcAG4AIAAgACAAIAAgACAATABBAE0AQgBEAEEAKAByACwAYwAsAFwAbgAgACAAIAAgACAAIAAgACAASQBOAEQARQBYACgAewBcAG4AIAAgACAAIAAgACAAIAAgACAAIABcACIARABfAGoAXAAiACwAIABcACIAbgB1AG0AYgBlAHIAIABvAGYAIABkAGEAeQBzACAAdABoAGUAIABhAG4AaQBtAGEAbAAgAGkAcwAgAG8AbgAgAHQAaABlACAAZgBhAHIAbQAgAGkAbgAgAGUAYQBjAGgAIAB0AGkAbQBlAC0AcABlAHIAaQBvAGQAXAAiACwAIABcACIAZABhAHkAcwBcACIALAAgAFwAIgBJAG4AcAB1AHQAXAAiADsAXABuACAAIAAgACAAIAAgACAAIAAgACAAXAAiAE0AXwBqAGsAbABcACIALAAgAFwAIgBkAGEAaQBsAHkAIABwAHIAbwBkAHUAYwB0AGkAbwBuACAAbwBmACAAZQBuAHQAZQByAGkAYwAgAG0AZQB0AGgAYQBuAGUAIABpAG4AIABlAGEAYwBoACAAdABpAG0AZQAtAHAAZQByAGkAbwBkACwAIABjAGwAYQBzAHMAIABhAG4AZAAgAHMAdQBiAGMAbABhAHMAcwBcACIALAAgAFwAIgBrAGcAIABDAEgANAAvAGgAZQBhAGQALwBkAGEAeQBcACIALAAgAFwAIgBDAGEAbABjAHUAbABhAHQAZQBkACAAZgByAG8AbQAgADMALgAyAC4AMQAuADEALAAgACgAMgApAFwAIgA7AFwAbgAgACAAIAAgACAAIAAgACAAIAAgAFwAIgBOAF8AagBrAGwAXAAiACwAIABcACIAbgB1AG0AYgBlAHIAIABvAGYAIABiAGUAZQBmACAAYwBhAHQAdABsAGUAIABpAG4AIABlAGEAYwBoACAAdABpAG0AZQAtAHAAZQByAGkAbwBkACwAIABjAGwAYQBzAHMAIABhAG4AZAAgAHMAdQBiAGMAbABhAHMAcwBcACIALAAgAFwAIgBoAGUAYQBkAFwAIgAsACAAXAAiAEkAbgBwAHUAdABcACIAXABuACAAIAAgACAAIAAgACAAIAB9ACwAIAByACwAIABjACkAXABuACAAIAAgACAAIAAgACkAXABuACAAIAAgACAAKQBcAG4AIAAgACkAOwBcAG4AXABuAC8AKgBcAG4ALQAtAC0ALQAtAC0ALQAtAC0ALQAtAC0ALQAtAC0ALQAtAC0ALQAtAC0ALQAtAC0ALQAtAC0ALQAtAC0ALQAtAC0ALQAtAC0ALQAtAFwAbgBWAEUARQBSAEcAXwAzAF8AMgBfADEAXwAxAF8AXwAyAF8ARABhAGkAbAB5AEUAbgB0AGUAcgBpAGMATQBlAHQAaABhAG4AZQBQAHIAbwBkAHUAYwB0AGkAbwBuAFwAbgBEAGEAaQBsAHkAIABwAHIAbwBkAHUAYwB0AGkAbwBuACAAbwBmACAAZQBuAHQAZQByAGkAYwAgAG0AZQB0AGgAYQBuAGUAXABuAE0AXwBqAGsAbABcAG4AawBnACAAQwBIADQALwBoAGUAYQBkAC8AZABhAHkAXABuAE0AXwB7AGoAawBsAH0APQAyADAALgA3AFwAXAB0AGkAbQBlAHMAIABJAF8AewBqAGsAbAB9AFwAXAB0AGkAbQBlAHMAIAAxADAAXgB7AC0AMwB9AFwAbgBJAF8AagBrAGwAIAA9ACAAZAByAHkAIABtAGEAdAB0AGUAcgAgAGkAbgB0AGEAawBlACAAKABrAGcAIABEAE0ALwBoAGUAYQBkAC8AZABhAHkAKQBcAG4ALQAtAC0ALQAtAC0ALQAtAC0ALQAtAC0ALQAtAC0ALQAtAC0ALQAtAC0ALQAtAC0ALQAtAC0ALQAtAC0ALQAtAC0ALQAtAC0ALQAtAFwAbgAqAC8AXABuAFwAbgBWAEUARQBSAEcAXwAzAF8AMgBfADEAXwAxAF8AXwAyAF8ARABhAGkAbAB5AEUAbgB0AGUAcgBpAGMATQBlAHQAaABhAG4AZQBQAHIAbwBkAHUAYwB0AGkAbwBuAFwAbgAgACAAPQBMAEEATQBCAEQAQQAoAFwAbgAgACAAIAAgAEkAXwBqAGsAbAAsAFwAbgAgACAAIAAgADIAMAAuADcAIAAqACAASQBfAGoAawBsACAAKgAgADEAMAAgAF4AIAAtADMAXABuACAAIAApADsAXABuAFwAbgBWAEUARQBSAEcAXwAzAF8AMgBfADEAXwAxAF8AXwAyAF8ARABhAGkAbAB5AEUAbgB0AGUAcgBpAGMATQBlAHQAaABhAG4AZQBQAHIAbwBkAHUAYwB0AGkAbwBuAF8AVABpAHQAbABlAFwAbgAgACAAPQBMAEEATQBCAEQAQQAoAFwAIgBEAGEAaQBsAHkAIABwAHIAbwBkAHUAYwB0AGkAbwBuACAAbwBmACAAZQBuAHQAZQByAGkAYwAgAG0AZQB0AGgAYQBuAGUAXAAiACkAOwBcAG4AXABuAFYARQBFAFIARwBfADMAXwAyAF8AMQBfADEAXwBfADIAXwBEAGEAaQBsAHkARQBuAHQAZQByAGkAYwBNAGUAdABoAGEAbgBlAFAAcgBvAGQAdQBjAHQAaQBvAG4AXwBWAGEAcgBpAGEAYgBsAGUAXABuACAAIAA9AEwAQQBNAEIARABBACgAXAAiAE0AXwBqAGsAbABcACIAKQA7AFwAbgBcAG4AVgBFAEUAUgBHAF8AMwBfADIAXwAxAF8AMQBfAF8AMgBfAEQAYQBpAGwAeQBFAG4AdABlAHIAaQBjAE0AZQB0AGgAYQBuAGUAUAByAG8AZAB1AGMAdABpAG8AbgBfAFUAbgBpAHQAXABuACAAIAA9AEwAQQBNAEIARABBACgAXAAiAGsAZwAgAEMASAA0AC8AaABlAGEAZAAvAGQAYQB5AFwAIgApADsAXABuAFwAbgBWAEUARQBSAEcAXwAzAF8AMgBfADEAXwAxAF8AXwAyAF8ARABhAGkAbAB5AEUAbgB0AGUAcgBpAGMATQBlAHQAaABhAG4AZQBQAHIAbwBkAHUAYwB0AGkAbwBuAF8AUwBvAHUAcgBjAGUAXABuACAAIAA9AEwAQQBNAEIARABBACgAXAAiAFYARQBFAFIARwAgADIAMAAyADYAOgAgADMALgAyAC4AMQAuADEALAAgAEUAcQB1AGEAdABpAG8AbgAgACgAMgApAFwAIgApADsAXABuAFwAbgBWAEUARQBSAEcAXwAzAF8AMgBfADEAXwAxAF8AXwAyAF8ARABhAGkAbAB5AEUAbgB0AGUAcgBpAGMATQBlAHQAaABhAG4AZQBQAHIAbwBkAHUAYwB0AGkAbwBuAF8ATgBJAFIAUgBlAGYAZQByAGUAbgBjAGUAXABuACAAIAA9AEwAQQBNAEIARABBACgAXAAiAEMAaABhAHIAbQBsAGUAeQAgAGUAdAAgAGEAbAAuACAAKAAyADAAMQA1ACkAXAAiACkAOwBcAG4AXABuAFYARQBFAFIARwBfADMAXwAyAF8AMQBfADEAXwBfADIAXwBEAGEAaQBsAHkARQBuAHQAZQByAGkAYwBNAGUAdABoAGEAbgBlAFAAcgBvAGQAdQBjAHQAaQBvAG4AXwBMAGEAdABlAHgARQBxAHUAYQB0AGkAbwBuAFwAbgAgACAAPQBMAEEATQBCAEQAQQAoAFwAIgBNAF8AewBqAGsAbAB9AD0AMgAwAC4ANwBcAFwAdABpAG0AZQBzACAASQBfAHsAagBrAGwAfQBcAFwAdABpAG0AZQBzACAAMQAwAF4AewAtADMAfQBcACIAKQA7AFwAbgBcAG4AVgBFAEUAUgBHAF8AMwBfADIAXwAxAF8AMQBfAF8AMgBfAEQAYQBpAGwAeQBFAG4AdABlAHIAaQBjAE0AZQB0AGgAYQBuAGUAUAByAG8AZAB1AGMAdABpAG8AbgBfAEEAcgBnAHUAbQBlAG4AdABzAFwAbgAgACAAPQBMAEEATQBCAEQAQQAoAFwAbgAgACAAIAAgAE0AQQBLAEUAQQBSAFIAQQBZACgAMQAsACAANAAsAFwAbgAgACAAIAAgACAAIABMAEEATQBCAEQAQQAoAHIALABjACwAXABuACAAIAAgACAAIAAgACAAIABJAE4ARABFAFgAKAB7AFwAbgAgACAAIAAgACAAIAAgACAAIAAgAFwAIgBJAF8AagBrAGwAXAAiACwAIABcACIAZAByAHkAIABtAGEAdAB0AGUAcgAgAGkAbgB0AGEAawBlAFwAIgAsACAAXAAiAGsAZwAgAEQATQAvAGgAZQBhAGQALwBkAGEAeQBcACIALAAgAFwAIgBDAGEAbABjAHUAbABhAHQAZQBkACAAZgByAG8AbQAgADMALgAyAC4AMQAuADEALAAgACgAMwApAFwAIgBcAG4AIAAgACAAIAAgACAAIAAgAH0ALAAgAHIALAAgAGMAKQBcAG4AIAAgACAAIAAgACAAKQBcAG4AIAAgACAAIAApAFwAbgAgACAAKQA7AFwAbgBcAG4ALwAqAFwAbgAtAC0ALQAtAC0ALQAtAC0ALQAtAC0ALQAtAC0ALQAtAC0ALQAtAC0ALQAtAC0ALQAtAC0ALQAtAC0ALQAtAC0ALQAtAC0ALQAtAC0AXABuAFYARQBFAFIARwBfADMAXwAyAF8AMQBfADEAXwBfADMAXwBGAGUAZQBkAEkAbgB0AGEAawBlAEYAbwByAEcAcgBhAHoAaQBuAGcAQgBlAGUAZgBcAG4ARgBlAGUAZAAgAGkAbgB0AGEAawBlACAAZgBvAHIAIABnAHIAYQB6AGkAbgBnACAAYgBlAGUAZgAgAGMAYQB0AHQAbABlAFwAbgBJAF8AagBrAGwAXABuAGsAZwAgAEQATQAvAGgAZQBhAGQALwBkAGEAeQBcAG4ASQBfAHsAagBrAGwAfQA9ACgAMQAuADEAOAA1ACsAMAAuADAAMAA0ADUANABcAFwAdABpAG0AZQBzACAAVwBfAHsAagBrAGwAfQAtADAALgAwADAAMAAwADAAMgA2AFwAXAB0AGkAbQBlAHMAIABXAF8AewBqAGsAbAB9AF4AewAyAH0AKwAwAC4AMwAxADUAXABcAHQAaQBtAGUAcwAgAEwAVwBHAF8AewBqAGsAbAB9ACkAXgAyAFwAXAB0AGkAbQBlAHMAIABNAEEAXwB7AGoAawA9ADQALAA1AH0AXABuAFcAXwBqAGsAbAAgAD0AIABsAGkAdgBlAHcAZQBpAGcAaAB0ACAAKABrAGcAKQBcAG4ATABXAEcAXwBqAGsAbAAgAD0AIABsAGkAdgBlACAAdwBlAGkAZwBoAHQAIABnAGEAaQBuACAAKABrAGcALwBoAGUAYQBkAC8AZABhAHkAKQBcAG4ATQBBAF8AagBrADQANQAgAD0AIABhAGQAZABpAHQAaQBvAG4AYQBsACAAaQBuAHQAYQBrAGUAIABmAG8AcgAgAG0AaQBsAGsAIABwAHIAbwBkAHUAYwB0AGkAbwBuACAAaQBuACAAYwBvAHcAcwAgAGcAcgBlAGEAdABlAHIAIAB0AGgAYQBuACAAMgAgAHkAZQBhAHIAcwAgACgAawBnAC8AaABlAGEAZAAvAGQAYQB5ACkAXABuAC0ALQAtAC0ALQAtAC0ALQAtAC0ALQAtAC0ALQAtAC0ALQAtAC0ALQAtAC0ALQAtAC0ALQAtAC0ALQAtAC0ALQAtAC0ALQAtAC0ALQBcAG4AKgAvAFwAbgBcAG4AVgBFAEUAUgBHAF8AMwBfADIAXwAxAF8AMQBfAF8AMwBfAEYAZQBlAGQASQBuAHQAYQBrAGUARgBvAHIARwByAGEAegBpAG4AZwBCAGUAZQBmAFwAbgAgACAAPQBMAEEATQBCAEQAQQAoAFwAbgAgACAAIAAgAFcAXwBqAGsAbAAsACAATABXAEcAXwBqAGsAbAAsACAATQBBAF8AagBrADQANQAsAFwAbgAgACAAIAAgACgAMQAuADEAOAA1ACAAKwAgADAALgAwADAANAA1ADQAIAAqACAAVwBfAGoAawBsACAALQAgADAALgAwADAAMAAwADAAMgA2ACAAKgAgAFcAXwBqAGsAbAAgAF4AIAAyACAAKwAgADAALgAzADEANQAgACoAIABMAFcARwBfAGoAawBsACkAIABeACAAMgAgACoAIABNAEEAXwBqAGsANAA1AFwAbgAgACAAKQA7AFwAbgBcAG4AVgBFAEUAUgBHAF8AMwBfADIAXwAxAF8AMQBfAF8AMwBfAEYAZQBlAGQASQBuAHQAYQBrAGUARgBvAHIARwByAGEAegBpAG4AZwBCAGUAZQBmAF8AVABpAHQAbABlAFwAbgAgACAAPQBMAEEATQBCAEQAQQAoAFwAIgBGAGUAZQBkACAAaQBuAHQAYQBrAGUAIABmAG8AcgAgAGcAcgBhAHoAaQBuAGcAIABiAGUAZQBmACAAYwBhAHQAdABsAGUAXAAiACkAOwBcAG4AXABuAFYARQBFAFIARwBfADMAXwAyAF8AMQBfADEAXwBfADMAXwBGAGUAZQBkAEkAbgB0AGEAawBlAEYAbwByAEcAcgBhAHoAaQBuAGcAQgBlAGUAZgBfAFYAYQByAGkAYQBiAGwAZQBcAG4AIAAgAD0ATABBAE0AQgBEAEEAKABcACIASQBfAGoAawBsAFwAIgApADsAXABuAFwAbgBWAEUARQBSAEcAXwAzAF8AMgBfADEAXwAxAF8AXwAzAF8ARgBlAGUAZABJAG4AdABhAGsAZQBGAG8AcgBHAHIAYQB6AGkAbgBnAEIAZQBlAGYAXwBVAG4AaQB0AFwAbgAgACAAPQBMAEEATQBCAEQAQQAoAFwAIgBrAGcAIABEAE0ALwBoAGUAYQBkAC8AZABhAHkAXAAiACkAOwBcAG4AXABuAFYARQBFAFIARwBfADMAXwAyAF8AMQBfADEAXwBfADMAXwBGAGUAZQBkAEkAbgB0AGEAawBlAEYAbwByAEcAcgBhAHoAaQBuAGcAQgBlAGUAZgBfAFMAbwB1AHIAYwBlAFwAbgAgACAAPQBMAEEATQBCAEQAQQAoAFwAIgBWAEUARQBSAEcAIAAyADAAMgA2ADoAIAAzAC4AMgAuADEALgAxACwAIABFAHEAdQBhAHQAaQBvAG4AIAAoADMAKQBcACIAKQA7AFwAbgBcAG4AVgBFAEUAUgBHAF8AMwBfADIAXwAxAF8AMQBfAF8AMwBfAEYAZQBlAGQASQBuAHQAYQBrAGUARgBvAHIARwByAGEAegBpAG4AZwBCAGUAZQBmAF8ATgBJAFIAUgBlAGYAZQByAGUAbgBjAGUAXABuACAAIAA9AEwAQQBNAEIARABBACgAXAAiAE0AaQBuAHMAbwBuACAAYQBuAGQAIABNAGMARABvAG4AYQBsAGQAIAAoADEAOQA4ADcAKQBcACIAKQA7AFwAbgBcAG4AVgBFAEUAUgBHAF8AMwBfADIAXwAxAF8AMQBfAF8AMwBfAEYAZQBlAGQASQBuAHQAYQBrAGUARgBvAHIARwByAGEAegBpAG4AZwBCAGUAZQBmAF8ATABhAHQAZQB4AEUAcQB1AGEAdABpAG8AbgBcAG4AIAAgAD0ATABBAE0AQgBEAEEAKABcACIASQBfAHsAagBrAGwAfQA9ACgAMQAuADEAOAA1ACsAMAAuADAAMAA0ADUANABcAFwAdABpAG0AZQBzACAAVwBfAHsAagBrAGwAfQAtADAALgAwADAAMAAwADAAMgA2AFwAXAB0AGkAbQBlAHMAIABXAF8AewBqAGsAbAB9AF4AewAyAH0AKwAwAC4AMwAxADUAXABcAHQAaQBtAGUAcwAgAEwAVwBHAF8AewBqAGsAbAB9ACkAXgAyAFwAXAB0AGkAbQBlAHMAIABNAEEAXwB7AGoAawA9ADQALAA1AH0AXAAiACkAOwBcAG4AXABuAFYARQBFAFIARwBfADMAXwAyAF8AMQBfADEAXwBfADMAXwBGAGUAZQBkAEkAbgB0AGEAawBlAEYAbwByAEcAcgBhAHoAaQBuAGcAQgBlAGUAZgBfAEEAcgBnAHUAbQBlAG4AdABzAFwAbgAgACAAPQBMAEEATQBCAEQAQQAoAFwAbgAgACAAIAAgAE0AQQBLAEUAQQBSAFIAQQBZACgAMwAsACAANAAsAFwAbgAgACAAIAAgACAAIABMAEEATQBCAEQAQQAoAHIALABjACwAXABuACAAIAAgACAAIAAgACAAIABJAE4ARABFAFgAKAB7AFwAbgAgACAAIAAgACAAIAAgACAAIAAgAFwAIgBXAF8AagBrAGwAXAAiACwAIABcACIAbABpAHYAZQB3AGUAaQBnAGgAdAAgACgAawBnACkAXAAiACwAIABcACIAawBnAFwAIgAsACAAXAAiAEkAbgBwAHUAdABcACIAOwBcAG4AIAAgACAAIAAgACAAIAAgACAAIABcACIATABXAEcAXwBqAGsAbABcACIALAAgAFwAIgBsAGkAdgBlACAAdwBlAGkAZwBoAHQAIABnAGEAaQBuACAAKABrAGcALwBoAGUAYQBkAC8AZABhAHkAKQBcACIALAAgAFwAIgBrAGcALwBoAGUAYQBkAC8AZABhAHkAXAAiACwAIABcACIASQBuAHAAdQB0AFwAIgA7AFwAbgAgACAAIAAgACAAIAAgACAAIAAgAFwAIgBNAEEAXwBqAGsANAA1AFwAIgAsACAAXAAiAGEAZABkAGkAdABpAG8AbgBhAGwAIABpAG4AdABhAGsAZQAgAGYAbwByACAAbQBpAGwAawAgAHAAcgBvAGQAdQBjAHQAaQBvAG4AIABpAG4AIABjAG8AdwBzACAAZwByAGUAYQB0AGUAcgAgAHQAaABhAG4AIAAyACAAeQBlAGEAcgBzAFwAIgAsACAAXAAiAGsAZwAvAGgAZQBhAGQALwBkAGEAeQBcACIALAAgAFwAIgBDAGEAbABjAHUAbABhAHQAZQBkACAAZgByAG8AbQAgADMALgAyAC4AMQAuADEALAAgACgANAApAFwAIgBcAG4AIAAgACAAIAAgACAAIAAgAH0ALAAgAHIALAAgAGMAKQBcAG4AIAAgACAAIAAgACAAKQBcAG4AIAAgACAAIAApAFwAbgAgACAAKQA7AFwAbgBcAG4ALwAqAFwAbgAtAC0ALQAtAC0ALQAtAC0ALQAtAC0ALQAtAC0ALQAtAC0ALQAtAC0ALQAtAC0ALQAtAC0ALQAtAC0ALQAtAC0ALQAtAC0ALQAtAC0AXABuAFYARQBFAFIARwBfADMAXwAyAF8AMQBfADEAXwBfADQAXwBBAGQAZABpAHQAaQBvAG4AYQBsAEkAbgB0AGEAawBlAEYAbwByAE0AaQBsAGsAUAByAG8AZAB1AGMAdABpAG8AbgBcAG4AQQBkAGQAaQB0AGkAbwBuAGEAbAAgAGkAbgB0AGEAawBlACAAZgBvAHIAIABtAGkAbABrACAAcAByAG8AZAB1AGMAdABpAG8AbgAgAGkAbgAgAHQAaABlACAAcwBlAGEAcwBvAG4AIABvAGYAIABjAGEAbAB2AGkAbgBnACAAYQBuAGQAIAB0AGgAZQAgAHMAZQBhAHMAbwBuACAAYQBmAHQAZQByACAAYwBhAGwAdgBpAG4AZwBcAG4ATQBBAF8AagBrADQANQBcAG4AZgByAGEAYwB0AGkAbwBuAFwAbgBNAEEAXwB7AGoAawA9ADQALAA1AH0APQAoAEwAQwBfAHsAagBrAD0ANAAsADUAfQBcAFwAdABpAG0AZQBzACAARgBBAF8AewBqAGsAPQA0ACwANQB9ACkAKwAoADEALQBMAEMAXwB7AGoAawA9ADQALAA1AH0AKQBcAG4ATABDAF8AagBrADQANQAgAD0AIABwAHIAbwBwAG8AcgB0AGkAbwBuACAAbwBmACAAYwBvAHcAcwAgAGcAcgBlAGEAdABlAHIAIAB0AGgAYQBuACAAMQAgAHkAZQBhAHIAIABpAG4AIABjAGEAbABmACAAaQBuACAAdABoAGUAIABzAGUAYQBzAG8AbgAgAG8AZgAgAGMAYQBsAHYAaQBuAGcAIABlAHgAcAByAGUAcwBzAGUAZAAgAGEAcwAgAGEAIABmAHIAYQBjAHQAaQBvAG4AXABuAEYAQQBfAGoAawA0ADUAIAA9ACAAZgBlAGUAZAAgAGEAZABqAHUAcwB0AG0AZQBuAHQAIAB2AGEAbAB1AGUAIABmAG8AcgAgAGwAYQBjAHQAYQB0AGkAbgBnACAAYwBvAHcAcwAgAGkAbgAgAHQAaABlACAAcwBlAGEAcwBvAG4AIABvAGYAIABjAGEAbAB2AGkAbgBnACAAYQBuAGQAIAB0AGgAZQAgAHMAZQBhAHMAbwBuACAAaQBtAG0AZQBkAGkAYQB0AGUAbAB5ACAAYQBmAHQAZQByACAAYwBhAGwAdgBpAG4AZwAgAGUAeABwAHIAZQBzAHMAZQBkACAAYQBzACAAYQAgAGYAcgBhAGMAdABpAG8AbgBcAG4ALQAtAC0ALQAtAC0ALQAtAC0ALQAtAC0ALQAtAC0ALQAtAC0ALQAtAC0ALQAtAC0ALQAtAC0ALQAtAC0ALQAtAC0ALQAtAC0ALQAtAFwAbgAqAC8AXABuAFwAbgBWAEUARQBSAEcAXwAzAF8AMgBfADEAXwAxAF8AXwA0AF8AQQBkAGQAaQB0AGkAbwBuAGEAbABJAG4AdABhAGsAZQBGAG8AcgBNAGkAbABrAFAAcgBvAGQAdQBjAHQAaQBvAG4AXABuACAAIAA9AEwAQQBNAEIARABBACgAXABuACAAIAAgACAATABDAF8AagBrADQANQAsACAARgBBAF8AagBrADQANQAsAFwAbgAgACAAIAAgACgATABDAF8AagBrADQANQAgACoAIABGAEEAXwBqAGsANAA1ACkAIAArACAAKAAxACAALQAgAEwAQwBfAGoAawA0ADUAKQBcAG4AIAAgACkAOwBcAG4AXABuAFwAbgBWAEUARQBSAEcAXwAzAF8AMgBfADEAXwAxAF8AXwA0AF8AQQBkAGQAaQB0AGkAbwBuAGEAbABJAG4AdABhAGsAZQBGAG8AcgBNAGkAbABrAFAAcgBvAGQAdQBjAHQAaQBvAG4AVgBhAHIAaQBhAHQAaQBvAG4AXABuACAAIAA9AEwAQQBNAEIARABBACgAXABuACAAIAAgACAATABDAF8AagBrADQANQBjAGEAbAB2ACwAIABMAEMAXwBqAGsANAA1AHAAcgBlAHYALAAgAEYAQQBfAGoAawA0ADUAYwBhAGwAdgAsACAARgBBAF8AagBrADQANQBhAGYAdABlAHIALABcAG4AIAAgACAAIAAoACgATABDAF8AagBrADQANQBjAGEAbAB2ACAAKgAgAEYAQQBfAGoAawA0ADUAYwBhAGwAdgApACAAKwAgACgATABDAF8AagBrADQANQBwAHIAZQB2ACAAKgAgAEYAQQBfAGoAawA0ADUAYQBmAHQAZQByACkAKQAgACsAIAAoADEAIAAtACAAKABMAEMAXwBqAGsANAA1AGMAYQBsAHYAIAArACAATABDAF8AagBrADQANQBwAHIAZQB2ACkAKQBcAG4AIAAgACkAOwBcAG4AXABuAFYARQBFAFIARwBfADMAXwAyAF8AMQBfADEAXwBfADQAXwBBAGQAZABpAHQAaQBvAG4AYQBsAEkAbgB0AGEAawBlAEYAbwByAE0AaQBsAGsAUAByAG8AZAB1AGMAdABpAG8AbgBfAFQAaQB0AGwAZQBcAG4AIAAgAD0ATABBAE0AQgBEAEEAKABcACIAQQBkAGQAaQB0AGkAbwBuAGEAbAAgAGkAbgB0AGEAawBlACAAZgBvAHIAIABtAGkAbABrACAAcAByAG8AZAB1AGMAdABpAG8AbgAgAGkAbgAgAHQAaABlACAAcwBlAGEAcwBvAG4AIABvAGYAIABjAGEAbAB2AGkAbgBnACAAYQBuAGQAIAB0AGgAZQAgAHMAZQBhAHMAbwBuACAAYQBmAHQAZQByACAAYwBhAGwAdgBpAG4AZwBcACIAKQA7AFwAbgBcAG4AVgBFAEUAUgBHAF8AMwBfADIAXwAxAF8AMQBfAF8ANABfAEEAZABkAGkAdABpAG8AbgBhAGwASQBuAHQAYQBrAGUARgBvAHIATQBpAGwAawBQAHIAbwBkAHUAYwB0AGkAbwBuAF8AVgBhAHIAaQBhAGIAbABlAFwAbgAgACAAPQBMAEEATQBCAEQAQQAoAFwAIgBNAEEAXwBqAGsANAA1AFwAIgApADsAXABuAFwAbgBWAEUARQBSAEcAXwAzAF8AMgBfADEAXwAxAF8AXwA0AF8AQQBkAGQAaQB0AGkAbwBuAGEAbABJAG4AdABhAGsAZQBGAG8AcgBNAGkAbABrAFAAcgBvAGQAdQBjAHQAaQBvAG4AXwBVAG4AaQB0AFwAbgAgACAAPQBMAEEATQBCAEQAQQAoAFwAIgBmAHIAYQBjAHQAaQBvAG4AXAAiACkAOwBcAG4AXABuAFYARQBFAFIARwBfADMAXwAyAF8AMQBfADEAXwBfADQAXwBBAGQAZABpAHQAaQBvAG4AYQBsAEkAbgB0AGEAawBlAEYAbwByAE0AaQBsAGsAUAByAG8AZAB1AGMAdABpAG8AbgBfAFMAbwB1AHIAYwBlAFwAbgAgACAAPQBMAEEATQBCAEQAQQAoAFwAIgBWAEUARQBSAEcAIAAyADAAMgA2ADoAIAAzAC4AMgAuADEALgAxACwAIABFAHEAdQBhAHQAaQBvAG4AIAAoADQAKQBcACIAKQA7AFwAbgBcAG4AVgBFAEUAUgBHAF8AMwBfADIAXwAxAF8AMQBfAF8ANABfAEEAZABkAGkAdABpAG8AbgBhAGwASQBuAHQAYQBrAGUARgBvAHIATQBpAGwAawBQAHIAbwBkAHUAYwB0AGkAbwBuAF8ATgBJAFIAUgBlAGYAZQByAGUAbgBjAGUAXABuACAAIAA9AEwAQQBNAEIARABBACgAXAAiAFwAIgApADsAXABuAFwAbgBWAEUARQBSAEcAXwAzAF8AMgBfADEAXwAxAF8AXwA0AF8AQQBkAGQAaQB0AGkAbwBuAGEAbABJAG4AdABhAGsAZQBGAG8AcgBNAGkAbABrAFAAcgBvAGQAdQBjAHQAaQBvAG4AXwBMAGEAdABlAHgARQBxAHUAYQB0AGkAbwBuAFwAbgAgACAAPQBMAEEATQBCAEQAQQAoAFwAIgBNAEEAXwB7AGoAawA9ADQALAA1AH0APQAoAEwAQwBfAHsAagBrAD0ANAAsADUAfQBcAFwAdABpAG0AZQBzACAARgBBAF8AewBqAGsAPQA0ACwANQB9ACkAKwAoADEALQBMAEMAXwB7AGoAawA9ADQALAA1AH0AKQBcACIAKQA7AFwAbgBcAG4AVgBFAEUAUgBHAF8AMwBfADIAXwAxAF8AMQBfAF8ANABfAEEAZABkAGkAdABpAG8AbgBhAGwASQBuAHQAYQBrAGUARgBvAHIATQBpAGwAawBQAHIAbwBkAHUAYwB0AGkAbwBuAF8ATABhAHQAZQB4AEUAcQB1AGEAdABpAG8AbgBWAGEAcgBpAGEAdABpAG8AbgBcAG4AIAAgAD0ATABBAE0AQgBEAEEAKABcACIATQBBAF8AewBqAGsAPQA0ACwANQB9AD0AKAAoAEwAQwBfAHsAagBrAD0ANAAsADUALABjAGEAbAB2AH0AXABcAHQAaQBtAGUAcwAgAEYAQQBfAHsAagBrAD0ANAAsADUALABjAGEAbAB2AH0AKQArACgATABDAF8AewBqAGsAPQA0ACwANQAsAHAAcgBlAHYAfQBcAFwAdABpAG0AZQBzACAARgBBAF8AewBqAGsAPQA0ACwANQAsAGEAZgB0AGUAcgB9ACkAKQArACgAMQAtACgATABDAF8AewBqAGsAPQA0ACwANQAsAGMAYQBsAHYAfQArAEwAQwBfAHsAagBrAD0ANAAsADUALABwAHIAZQB2AH0AKQApAFwAIgApADsAXABuAFwAbgBWAEUARQBSAEcAXwAzAF8AMgBfADEAXwAxAF8AXwA0AF8AQQBkAGQAaQB0AGkAbwBuAGEAbABJAG4AdABhAGsAZQBGAG8AcgBNAGkAbABrAFAAcgBvAGQAdQBjAHQAaQBvAG4AXwBBAHIAZwB1AG0AZQBuAHQAcwBcAG4AIAAgAD0ATABBAE0AQgBEAEEAKABcAG4AIAAgACAAIABNAEEASwBFAEEAUgBSAEEAWQAoADMALAAgADQALABcAG4AIAAgACAAIAAgACAATABBAE0AQgBEAEEAKAByACwAYwAsAFwAbgAgACAAIAAgACAAIAAgACAASQBOAEQARQBYACgAewBcAG4AIAAgACAAIAAgACAAIAAgACAAIABcACIATABDAF8AagBrADQANQBcACIALAAgAFwAIgBwAHIAbwBwAG8AcgB0AGkAbwBuACAAbwBmACAAYwBvAHcAcwAgAGcAcgBlAGEAdABlAHIAIAB0AGgAYQBuACAAMQAgAHkAZQBhAHIAIABpAG4AIABjAGEAbABmACAAaQBuACAAdABoAGUAIABzAGUAYQBzAG8AbgAgAG8AZgAgAGMAYQBsAHYAaQBuAGcAIABlAHgAcAByAGUAcwBzAGUAZAAgAGEAcwAgAGEAIABmAHIAYQBjAHQAaQBvAG4AXAAiACwAIABcACIAZgByAGEAYwB0AGkAbwBuAFwAIgAsACAAXAAiAEkAbgBwAHUAdABcACIAOwBcAG4AIAAgACAAIAAgACAAIAAgACAAIABcACIARgBBAF8AagBrADQANQBcACIALAAgAFwAIgBmAGUAZQBkACAAYQBkAGoAdQBzAHQAbQBlAG4AdAAgAHYAYQBsAHUAZQAgAGYAbwByACAAbABhAGMAdABhAHQAaQBuAGcAIABjAG8AdwBzACAAaQBuACAAdABoAGUAIABzAGUAYQBzAG8AbgAgAG8AZgAgAGMAYQBsAHYAaQBuAGcAIABhAG4AZAAgAHQAaABlACAAcwBlAGEAcwBvAG4AIABpAG0AbQBlAGQAaQBhAHQAZQBsAHkAIABhAGYAdABlAHIAIABjAGEAbAB2AGkAbgBnACAAZQB4AHAAcgBlAHMAcwBlAGQAIABhAHMAIABhACAAZgByAGEAYwB0AGkAbwBuAFwAIgAsACAAXAAiAGYAcgBhAGMAdABpAG8AbgBcACIALAAgAFwAIgBDAG8AbgBzAHQAYQBuAHQAXAAiADsAXABuACAAIAAgACAAIAAgACAAIAAgACAAXAAiAGIAXAAiACwAIABcACIAYgByAGUAZQBkACAAbwBmACAAYwBhAHQAdABsAGUAXAAiACwAIABcACIAXAAiACwAIABcACIASQBuAHAAdQB0AFwAIgBcAG4AIAAgACAAIAAgACAAIAAgAH0ALAAgAHIALAAgAGMAKQBcAG4AIAAgACAAIAAgACAAKQBcAG4AIAAgACAAIAApAFwAbgAgACAAKQA7AFwAbgBcAG4AVgBFAEUAUgBHAF8AMwBfADIAXwAxAF8AMQBfAF8ANABfAEEAZABkAGkAdABpAG8AbgBhAGwASQBuAHQAYQBrAGUARgBvAHIATQBpAGwAawBQAHIAbwBkAHUAYwB0AGkAbwBuAF8AQQByAGcAdQBtAGUAbgB0AHMAVgBhAHIAaQBhAHQAaQBvAG4AXABuACAAIAA9AEwAQQBNAEIARABBACgAXABuACAAIAAgACAATQBBAEsARQBBAFIAUgBBAFkAKAA0ACwAIAA0ACwAXABuACAAIAAgACAAIAAgAEwAQQBNAEIARABBACgAcgAsAGMALABcAG4AIAAgACAAIAAgACAAIAAgAEkATgBEAEUAWAAoAHsAXABuACAAIAAgACAAIAAgACAAIAAgACAAXAAiAEwAQwBfAGoAawA0ADUAXAAiACwAIABcACIAcAByAG8AcABvAHIAdABpAG8AbgAgAG8AZgAgAGMAbwB3AHMAIABnAHIAZQBhAHQAZQByACAAdABoAGEAbgAgADEAIAB5AGUAYQByACAAaQBuACAAYwBhAGwAZgAgAGkAbgAgAHQAaABlACAAcwBlAGEAcwBvAG4AIABvAGYAIABjAGEAbAB2AGkAbgBnACAAZQB4AHAAcgBlAHMAcwBlAGQAIABhAHMAIABhACAAZgByAGEAYwB0AGkAbwBuAFwAIgAsACAAXAAiAGYAcgBhAGMAdABpAG8AbgBcACIALAAgAFwAIgBJAG4AcAB1AHQAXAAiADsAXABuACAAIAAgACAAIAAgACAAIAAgACAAXAAiAEYAQQBfAGoAawA0ADUAYwBhAGwAdgBcACIALAAgAFwAIgBmAGUAZQBkACAAYQBkAGoAdQBzAHQAbQBlAG4AdAAgAHYAYQBsAHUAZQAgAGYAbwByACAAbABhAGMAdABhAHQAaQBuAGcAIABjAG8AdwBzACAAaQBuACAAdABoAGUAIABzAGUAYQBzAG8AbgAgAG8AZgAgAGMAYQBsAHYAaQBuAGcAIABlAHgAcAByAGUAcwBzAGUAZAAgAGEAcwAgAGEAIABmAHIAYQBjAHQAaQBvAG4AXAAiACwAIABcACIAZgByAGEAYwB0AGkAbwBuAFwAIgAsACAAXAAiAEMAbwBuAHMAdABhAG4AdABcACIAOwBcAG4AIAAgACAAIAAgACAAIAAgACAAIABcACIARgBBAF8AagBrADQANQBhAGYAdABlAHIAXAAiACwAIABcACIAZgBlAGUAZAAgAGEAZABqAHUAcwB0AG0AZQBuAHQAIAB2AGEAbAB1AGUAIABmAG8AcgAgAGwAYQBjAHQAYQB0AGkAbgBnACAAYwBvAHcAcwAgAGkAbgAgAHQAaABlACAAcwBlAGEAcwBvAG4AIABpAG0AbQBlAGQAaQBhAHQAZQBsAHkAIABhAGYAdABlAHIAIABjAGEAbAB2AGkAbgBnACAAZQB4AHAAcgBlAHMAcwBlAGQAIABhAHMAIABhACAAZgByAGEAYwB0AGkAbwBuAFwAIgAsACAAXAAiAGYAcgBhAGMAdABpAG8AbgBcACIALAAgAFwAIgBDAG8AbgBzAHQAYQBuAHQAXAAiADsAXABuACAAIAAgACAAIAAgACAAIAAgACAAXAAiAGIAXAAiACwAIABcACIAYgByAGUAZQBkACAAbwBmACAAYwBhAHQAdABsAGUAXAAiACwAIABcACIAXAAiACwAIABcACIASQBuAHAAdQB0AFwAIgBcAG4AIAAgACAAIAAgACAAIAAgAH0ALAAgAHIALAAgAGMAKQBcAG4AIAAgACAAIAAgACAAKQBcAG4AIAAgACAAIAApAFwAbgAgACAAKQA7AFwAbgBcAG4AVgBFAEUAUgBHAF8AMwBfADIAXwAxAF8AMQBfAF8ANABfAEEAZABkAGkAdABpAG8AbgBhAGwASQBuAHQAYQBrAGUARgBvAHIATQBpAGwAawBQAHIAbwBkAHUAYwB0AGkAbwBuAF8AVgBhAHIAaQBhAHQAaQBvAG4AXABuAD0ATABBAE0AQgBEAEEAKABcACIAVgBBAFIASQBBAFQASQBPAE4AIABPAE4AIABTAE8AVQBSAEMARQA6ACAARQB4AHAAYQBuAGQAZQBkACAAZQBxAHUAYQB0AGkAbwBuACAAdABvACAAYQBjAGMAbwB1AG4AdAAgAGYAbwByACAAcwBlAGEAcwBvAG4AIABhAGYAdABlAHIAIABjAGEAbAB2AGkAbgBnACwAIAByAGEAdABoAGUAcgAgAHQAaABhAG4AIABkAG8AaQBuAGcAIAB0AGgAZQAgAHMAYQBtAGUAIABlAHEAdQBhAHQAaQBvAG4AIAB0AHcAaQBjAGUAIABmAG8AcgAgAGIAbwB0AGgAIABzAGUAYQBzAG8AbgBzAFwAIgApAFwAbgAiAH0ALAB7ACIAcABhAHQAaAAiADoAIgAvAHAAcgBvAGoAZQBjAHQAcwAvAEYAZQByAHQAaQBsAGkAcwBlAHIAXwBFAHEAdQBhAHQAaQBvAG4AcwBfAEkAbgBvAHIAZwBhAG4AaQBjAE4AMgBPACIALAAiAHQAZQB4AHQAIgA6ACIALwAqAFwAbgA9AD0APQA9AD0APQA9AD0APQA9AD0APQA9AD0APQA9AD0APQA9AD0APQA9AD0APQA9AD0APQA9AD0APQA9AD0APQA9AD0APQA9AD0AXABuADUAOgAgAEYAZQByAHQAaQBsAGkAcwBlAHIAIABVAHMAZQBcAG4APQA9AD0APQA9AD0APQA9AD0APQA9AD0APQA9AD0APQA9AD0APQA9AD0APQA9AD0APQA9AD0APQA9AD0APQA9AD0APQA9AD0APQA9AFwAbgA1AC4AMQAgAEkAbgBvAHIAZwBhAG4AaQBjACAAZgBlAHIAdABpAGwAaQBzAGUAcgAgAGEAcABwAGwAaQBjAGEAdABpAG8AbgBcAG4APQA9AD0APQA9AD0APQA9AD0APQA9AD0APQA9AD0APQA9AD0APQA9AD0APQA9AD0APQA9AD0APQA9AD0APQA9AD0APQA9AD0APQA9AFwAbgAqAC8AXABuAFwAbgAvACoAIABcAG4ALQAtAC0ALQAtAC0ALQAtAC0ALQAtAC0ALQAtAC0ALQAtAC0ALQAtAC0ALQAtAC0ALQAtAC0ALQAtAC0ALQAtAC0ALQAtAC0ALQAtAFwAbgBWAEUARQBSAEcAXwA1AF8AMQBfADEAXwAxAF8AXwAxAF8ASQBuAG8AcgBnAGEAbgBpAGMARgBlAHIAdABpAGwAaQBzAGUAcgBBAHAAcABsAGkAYwBhAHQAaQBvAG4ATgAyAE8ARQBtAGkAcwBzAGkAbwBuAHMAXABuAE4AaQB0AHIAbwB1AHMAIABvAHgAaQBkAGUAIABlAG0AaQBzAHMAaQBvAG4AcwAgAGYAcgBvAG0AIAB0AGgAZQAgAGEAcABwAGwAaQBjAGEAdABpAG8AbgAgAG8AZgAgAGEAbABsACAAaQBuAG8AcgBnAGEAbgBpAGMAIABmAGUAcgB0AGkAbABpAHMAZQByACAAdAB5AHAAZQBzACAAZgAgAHQAbwAgAGEAbABsACAAcAByAG8AZAB1AGMAdABpAG8AbgAgAHMAeQBzAHQAZQBtAHMAIABqAFwAbgBFAF8ATgAyAE8AXABuAHQAIABOADIATwBcAG4AXABcAHMAdQBtAF8AewBqAH0AXABcAHMAdQBtAF8AewBmAH0AKAAoAE0ATgBfAHsAagBmAH0AXABcAHQAaQBtAGUAcwAgAEUARgBfAHsAagAsAE4AMgBPAH0AXABcAHQAaQBtAGUAcwAgAEMAXwB7AE4AMgBPAH0AKQBcAFwAdABpAG0AZQBzACAAMQAwAF4AewAtADMAfQApAFwAbgBNAE4AXwBqAGYAXABuAEUARgBfAGoATgAyAE8AXABuAEMAXwBOADIATwBcAG4AagBcAG4AZgBcAG4ALQAtAC0ALQAtAC0ALQAtAC0ALQAtAC0ALQAtAC0ALQAtAC0ALQAtAC0ALQAtAC0ALQAtAC0ALQAtAC0ALQAtAC0ALQAtAC0ALQAtAFwAbgAqAC8AXABuAFwAbgBWAEUARQBSAEcAXwA1AF8AMQBfADEAXwAxAF8AXwAxAF8ASQBuAG8AcgBnAGEAbgBpAGMARgBlAHIAdABpAGwAaQBzAGUAcgBBAHAAcABsAGkAYwBhAHQAaQBvAG4ATgAyAE8ARQBtAGkAcwBzAGkAbwBuAHMAXABuACAAIAA9AEwAQQBNAEIARABBACgAXABuACAAIAAgACAATQBOAF8AagBmACwAIABFAEYAXwBqAE4AMgBPACwAIABDAF8ATgAyAE8ALABcAG4AIAAgACAAIAAoAE0ATgBfAGoAZgAgACoAIABFAEYAXwBqAE4AMgBPACAAKgAgAEMAXwBOADIATwApACAAKgAgADEAMAAgAF4AIAAtADMAXABuACAAIAApADsAXABuAFwAbgBWAEUARQBSAEcAXwA1AF8AMQBfADEAXwAxAF8AXwAxAF8ASQBuAG8AcgBnAGEAbgBpAGMARgBlAHIAdABpAGwAaQBzAGUAcgBBAHAAcABsAGkAYwBhAHQAaQBvAG4ATgAyAE8ARQBtAGkAcwBzAGkAbwBuAHMAXwBUAGkAdABsAGUAXABuACAAIAA9AEwAQQBNAEIARABBACgAXAAiAE4AaQB0AHIAbwB1AHMAIABvAHgAaQBkAGUAIABlAG0AaQBzAHMAaQBvAG4AcwAgAGYAcgBvAG0AIAB0AGgAZQAgAGEAcABwAGwAaQBjAGEAdABpAG8AbgAgAG8AZgAgAGEAbABsACAAaQBuAG8AcgBnAGEAbgBpAGMAIABmAGUAcgB0AGkAbABpAHMAZQByACAAdAB5AHAAZQBzACAAZgAgAHQAbwAgAGEAbABsACAAcAByAG8AZAB1AGMAdABpAG8AbgAgAHMAeQBzAHQAZQBtAHMAIABqAFwAIgApADsAXABuAFwAbgBWAEUARQBSAEcAXwA1AF8AMQBfADEAXwAxAF8AXwAxAF8ASQBuAG8AcgBnAGEAbgBpAGMARgBlAHIAdABpAGwAaQBzAGUAcgBBAHAAcABsAGkAYwBhAHQAaQBvAG4ATgAyAE8ARQBtAGkAcwBzAGkAbwBuAHMAXwBWAGEAcgBpAGEAYgBsAGUAXABuACAAIAA9AEwAQQBNAEIARABBACgAXAAiAEUAXwBOADIATwBcACIAKQA7AFwAbgBcAG4AVgBFAEUAUgBHAF8ANQBfADEAXwAxAF8AMQBfAF8AMQBfAEkAbgBvAHIAZwBhAG4AaQBjAEYAZQByAHQAaQBsAGkAcwBlAHIAQQBwAHAAbABpAGMAYQB0AGkAbwBuAE4AMgBPAEUAbQBpAHMAcwBpAG8AbgBzAF8AVQBuAGkAdABcAG4AIAAgAD0ATABBAE0AQgBEAEEAKABcACIAdAAgAE4AMgBPAFwAIgApADsAXABuAFwAbgBWAEUARQBSAEcAXwA1AF8AMQBfADEAXwAxAF8AXwAxAF8ASQBuAG8AcgBnAGEAbgBpAGMARgBlAHIAdABpAGwAaQBzAGUAcgBBAHAAcABsAGkAYwBhAHQAaQBvAG4ATgAyAE8ARQBtAGkAcwBzAGkAbwBuAHMAXwBTAG8AdQByAGMAZQBcAG4AIAAgAD0ATABBAE0AQgBEAEEAKABcACIAVgBFAEUAUgBHACAAMgAwADIANgA6ACAANQAuADEALgAxAC4AMQAsACAARQBxAHUAYQB0AGkAbwBuACAAKAAxACkAXAAiACkAOwBcAG4AXABuAFYARQBFAFIARwBfADUAXwAxAF8AMQBfADEAXwBfADEAXwBJAG4AbwByAGcAYQBuAGkAYwBGAGUAcgB0AGkAbABpAHMAZQByAEEAcABwAGwAaQBjAGEAdABpAG8AbgBOADIATwBFAG0AaQBzAHMAaQBvAG4AcwBfAE4ASQBSAFIAZQBmAGUAcgBlAG4AYwBlAFwAbgAgACAAPQBMAEEATQBCAEQAQQAoAFwAIgBcACIAKQA7AFwAbgBcAG4AVgBFAEUAUgBHAF8ANQBfADEAXwAxAF8AMQBfAF8AMQBfAEkAbgBvAHIAZwBhAG4AaQBjAEYAZQByAHQAaQBsAGkAcwBlAHIAQQBwAHAAbABpAGMAYQB0AGkAbwBuAE4AMgBPAEUAbQBpAHMAcwBpAG8AbgBzAF8ATABhAHQAZQB4AEUAcQB1AGEAdABpAG8AbgBcAG4AIAAgAD0ATABBAE0AQgBEAEEAKABcACIARQBfAHsATgAyAE8AfQA9AFwAXABzAHUAbQBfAHsAagB9AFwAXABzAHUAbQBfAHsAZgB9ACgAKABNAE4AXwB7AGoAZgB9AFwAXAB0AGkAbQBlAHMAIABFAEYAXwB7AGoALABOADIATwB9AFwAXAB0AGkAbQBlAHMAIABDAF8AewBOADIATwB9ACkAXABcAHQAaQBtAGUAcwAgADEAMABeAHsALQAzAH0AKQBcACIAKQA7AFwAbgBcAG4AVgBFAEUAUgBHAF8ANQBfADEAXwAxAF8AMQBfAF8AMQBfAEkAbgBvAHIAZwBhAG4AaQBjAEYAZQByAHQAaQBsAGkAcwBlAHIAQQBwAHAAbABpAGMAYQB0AGkAbwBuAE4AMgBPAEUAbQBpAHMAcwBpAG8AbgBzAF8AQQByAGcAdQBtAGUAbgB0AHMAXABuACAAIAA9AEwAQQBNAEIARABBACgAXABuACAAIAAgACAATQBBAEsARQBBAFIAUgBBAFkAKAA3ACwAIAA0ACwAIABcAG4AIAAgACAAIAAgACAATABBAE0AQgBEAEEAKAByACwAYwAsACAAXABuACAAIAAgACAAIAAgACAAIABJAE4ARABFAFgAKAB7AFwAbgAgACAAIAAgACAAIAAgACAAIAAgAFwAIgBNAE4AXwBqAGYAXAAiACwAXAAiAG0AYQBzAHMAIABvAGYAIABuAGkAdAByAG8AZwBlAG4AIABpAG4AIABpAG4AbwByAGcAYQBuAGkAYwAgAGYAZQByAHQAaQBsAGkAcwBlAHIAIAB0AHkAcABlACAAZgAgAGEAcABwAGwAaQBlAGQAIAB0AG8AIABwAHIAbwBkAHUAYwB0AGkAbwBuACAAcwB5AHMAdABlAG0AIABqAFwAIgAsACAAXAAiAGsAZwAgAE4AXAAiACwAIABcACIAQwBhAGwAYwB1AGwAYQB0AGUAZAAgAGYAcgBvAG0AIAA1AC4AMQAuADEALgAxACAAKAAyACkAXAAiADsAXABuACAAIAAgACAAIAAgACAAIAAgACAAXAAiAEUARgBfAGoATgAyAE8AXAAiACwAXAAiAGUAbQBpAHMAcwBpAG8AbgAgAGYAYQBjAHQAbwByACAAZgBvAHIAIABuAGkAdAByAG8AdQBzACAAbwB4AGkAZABlACAAZgBvAHIAIABpAG4AbwByAGcAYQBuAGkAYwAgAGYAZQByAHQAaQBsAGkAcwBlAHIAcwBcACIALAAgAFwAIgBrAGcAIABOADIATwAtAE4ALwBrAGcAIABOACAAYQBwAHAAbABpAGUAZABcACIALAAgAFwAIgBDAG8AbgBzAHQAYQBuAHQAXAAiADsAXABuACAAIAAgACAAIAAgACAAIAAgACAAXAAiAEMAXwBOADIATwBcACIALABcACIAZgBhAGMAdABvAHIAIAB0AG8AIABjAG8AbgB2AGUAcgB0ACAAZQBsAGUAbQBlAG4AdABhAGwAIABtAGEAcwBzACAAbwBmACAAbgBpAHQAcgBvAHUAcwAgAG8AeABpAGQAZQAgAHQAbwAgAG0AbwBsAGUAYwB1AGwAYQByACAAbQBhAHMAcwBcACIALAAgAFwAIgBcACIALAAgAFwAIgBDAG8AbgBzAHQAYQBuAHQAXAAiADsAXABuACAAIAAgACAAIAAgACAAIAAgACAAXAAiAGoAXAAiACwAXAAiAFAAcgBvAGQAdQBjAHQAaQBvAG4AIABzAHkAcwB0AGUAbQBcACIALAAgAFwAIgBcACIALAAgAFwAIgBJAG4AcAB1AHQAXAAiADsAXABuACAAIAAgACAAIAAgACAAIAAgACAAXAAiAGYAXAAiACwAXAAiAEkAbgBvAHIAZwBhAG4AaQBjACAAZgBlAHIAdABpAGwAaQBzAGUAcgAgAHQAeQBwAGUAXAAiACwAIABcACIAXAAiACwAIABcACIAQwBvAG4AcwB0AGEAbgB0AFwAIgA7AFwAbgAgACAAIAAgACAAIAAgACAAIAAgAFwAIgBpAHIAXAAiACwAIABcACIAaQByAHIAaQBnAGEAdABpAG8AbgAgAG0AZQB0AGgAbwBkAFwAIgAsACAAXAAiAFwAIgAsACAAXAAiAEkAbgBwAHUAdABcACIAOwBcAG4AIAAgACAAIAAgACAAIAAgACAAIABcACIAegBcACIALAAgAFwAIgByAGEAaQBuAGYAYQBsAGwAIAB6AG8AbgBlAFwAIgAsACAAXAAiAFwAIgAsACAAXAAiAEkAbgBwAHUAdABcACIAXABuACAAIAAgACAAIAAgACAAIAB9ACwAIAByACwAIABjACkAXABuACAAIAAgACAAIAAgACkAXABuACAAIAAgACAAKQBcAG4AIAAgACkAOwBcAG4AXABuAFYARQBFAFIARwBfADUAXwAxAF8AMQBfADEAXwBfADEAXwBJAG4AbwByAGcAYQBuAGkAYwBGAGUAcgB0AGkAbABpAHMAZQByAEEAcABwAGwAaQBjAGEAdABpAG8AbgBOADIATwBFAG0AaQBzAHMAaQBvAG4AcwBfAEEAcgBnAHUAbQBlAG4AdABzAF8ATQBlAHQAaABvAGQAMgBcAG4AIAAgAD0ATABBAE0AQgBEAEEAKABcAG4AIAAgACAAIABNAEEASwBFAEEAUgBSAEEAWQAoADgALAAgADQALAAgAFwAbgAgACAAIAAgACAAIABMAEEATQBCAEQAQQAoAHIALABjACwAIABcAG4AIAAgACAAIAAgACAAIAAgAEkATgBEAEUAWAAoAHsAXABuACAAIAAgACAAIAAgACAAIAAgACAAXAAiAE0ATgBfAGoAZgBcACIALABcACIAbQBhAHMAcwAgAG8AZgAgAG4AaQB0AHIAbwBnAGUAbgAgAGkAbgAgAGkAbgBvAHIAZwBhAG4AaQBjACAAZgBlAHIAdABpAGwAaQBzAGUAcgAgAHQAeQBwAGUAIABmACAAYQBwAHAAbABpAGUAZAAgAHQAbwAgAHAAcgBvAGQAdQBjAHQAaQBvAG4AIABzAHkAcwB0AGUAbQAgAGoAXAAiACwAIABcACIAawBnACAATgBcACIALAAgAFwAIgBDAGEAbABjAHUAbABhAHQAZQBkACAAZgByAG8AbQAgADUALgAxAC4AMQAuADEAIAAoADIAKQBcACIAOwBcAG4AIAAgACAAIAAgACAAIAAgACAAIABcACIARQBGAF8AagBOADIATwBcACIALABcACIAZQBtAGkAcwBzAGkAbwBuACAAZgBhAGMAdABvAHIAIABmAG8AcgAgAG4AaQB0AHIAbwB1AHMAIABvAHgAaQBkAGUAIABmAG8AcgAgAGkAbgBvAHIAZwBhAG4AaQBjACAAZgBlAHIAdABpAGwAaQBzAGUAcgBzAFwAIgAsACAAXAAiAGsAZwAgAE4AMgBPAC0ATgAvAGsAZwAgAE4AIABhAHAAcABsAGkAZQBkAFwAIgAsACAAXAAiAEMAYQBsAGMAdQBsAGEAdABlAGQAIABmAHIAbwBtACAANQAuADEALgAxAC4AMgAgACgAMQApACgAMgApACgAMwApAFwAIgA7AFwAbgAgACAAIAAgACAAIAAgACAAIAAgAFwAIgBDAF8ATgAyAE8AXAAiACwAXAAiAGYAYQBjAHQAbwByACAAdABvACAAYwBvAG4AdgBlAHIAdAAgAGUAbABlAG0AZQBuAHQAYQBsACAAbQBhAHMAcwAgAG8AZgAgAG4AaQB0AHIAbwB1AHMAIABvAHgAaQBkAGUAIAB0AG8AIABtAG8AbABlAGMAdQBsAGEAcgAgAG0AYQBzAHMAXAAiACwAIABcACIAXAAiACwAIABcACIAQwBvAG4AcwB0AGEAbgB0AFwAIgA7AFwAbgAgACAAIAAgACAAIAAgACAAIAAgAFwAIgBqAFwAIgAsAFwAIgBQAHIAbwBkAHUAYwB0AGkAbwBuACAAcwB5AHMAdABlAG0AXAAiACwAIABcACIAXAAiACwAIABcACIASQBuAHAAdQB0AFwAIgA7AFwAbgAgACAAIAAgACAAIAAgACAAIAAgAFwAIgBjAFwAIgAsAFwAIgBDAHIAbwBwACAAdAB5AHAAZQBcACIALAAgAFwAIgBcACIALAAgAFwAIgBJAG4AcAB1AHQAXAAiADsAXABuACAAIAAgACAAIAAgACAAIAAgACAAXAAiAGYAXAAiACwAXAAiAEkAbgBvAHIAZwBhAG4AaQBjACAAZgBlAHIAdABpAGwAaQBzAGUAcgAgAHQAeQBwAGUAXAAiACwAIABcACIAXAAiACwAIABcACIAQwBvAG4AcwB0AGEAbgB0AFwAIgA7AFwAbgAgACAAIAAgACAAIAAgACAAIAAgAFwAIgBpAHIAXAAiACwAIABcACIAaQByAHIAaQBnAGEAdABpAG8AbgAgAG0AZQB0AGgAbwBkAFwAIgAsACAAXAAiAFwAIgAsACAAXAAiAEkAbgBwAHUAdABcACIAOwBcAG4AIAAgACAAIAAgACAAIAAgACAAIABcACIAegBcACIALAAgAFwAIgByAGEAaQBuAGYAYQBsAGwAIAB6AG8AbgBlAFwAIgAsACAAXAAiAFwAIgAsACAAXAAiAEkAbgBwAHUAdABcACIAXABuACAAIAAgACAAIAAgACAAIAB9ACwAIAByACwAIABjACkAXABuACAAIAAgACAAIAAgACkAXABuACAAIAAgACAAKQBcAG4AIAAgACkAOwBcAG4AXABuAC8AKgAgAFwAbgAtAC0ALQAtAC0ALQAtAC0ALQAtAC0ALQAtAC0ALQAtAC0ALQAtAC0ALQAtAC0ALQAtAC0ALQAtAC0ALQAtAC0ALQAtAC0ALQAtAC0AXABuAFYARQBFAFIARwBfADUAXwAxAF8AMQBfADEAXwBfADIAXwBNAGEAcwBzAE8AZgBOAGkAdAByAG8AZwBlAG4ASQBuAEkAbgBvAHIAZwBhAG4AaQBjAEYAZQByAHQAaQBsAGkAcwBlAHIAXABuAE0AYQBzAHMAIABvAGYAIABuAGkAdAByAG8AZwBlAG4AIABpAG4AIABpAG4AbwByAGcAYQBuAGkAYwAgAGYAZQByAHQAaQBsAGkAcwBlAHIAIABhAHAAcABsAGkAZQBkACAAdABvACAAcAByAG8AZAB1AGMAdABpAG8AbgAgAHMAeQBzAHQAZQBtAFwAbgBNAE4AXwBqAGYAXABuAGsAZwAgAE4AXABuAHsATQBOAH0AXwB7AGoAZgB9AD0AVABNAF8AewBqAGYAfQBcAFwAdABpAG0AZQBzACAARgBOAF8AewBpAG4AbwByAGcAYQBuAGkAYwAsAGYAfQBcAG4AVABNAF8AagBmAFwAbgBGAE4AXwBpAG4AbwByAGcAYQBuAGkAYwBmAFwAbgBqAFwAbgBpAG4AbwByAGcAYQBuAGkAYwBcAG4AZgBcAG4ALQAtAC0ALQAtAC0ALQAtAC0ALQAtAC0ALQAtAC0ALQAtAC0ALQAtAC0ALQAtAC0ALQAtAC0ALQAtAC0ALQAtAC0ALQAtAC0ALQAtAFwAbgAqAC8AXABuAFwAbgBWAEUARQBSAEcAXwA1AF8AMQBfADEAXwAxAF8AXwAyAF8ATQBhAHMAcwBPAGYATgBpAHQAcgBvAGcAZQBuAEkAbgBJAG4AbwByAGcAYQBuAGkAYwBGAGUAcgB0AGkAbABpAHMAZQByAFwAbgAgACAAPQBMAEEATQBCAEQAQQAoAFwAbgAgACAAIAAgAFQATQBfAGoAZgAsACAARgBOAF8AaQBuAG8AcgBnAGEAbgBpAGMAZgAsAFwAbgAgACAAIAAgAFQATQBfAGoAZgAgACoAIABGAE4AXwBpAG4AbwByAGcAYQBuAGkAYwBmAFwAbgAgACAAKQA7AFwAbgBcAG4AVgBFAEUAUgBHAF8ANQBfADEAXwAxAF8AMQBfAF8AMgBfAE0AYQBzAHMATwBmAE4AaQB0AHIAbwBnAGUAbgBJAG4ASQBuAG8AcgBnAGEAbgBpAGMARgBlAHIAdABpAGwAaQBzAGUAcgBfAFQAaQB0AGwAZQBcAG4AIAAgAD0ATABBAE0AQgBEAEEAKABcACIATQBhAHMAcwAgAG8AZgAgAG4AaQB0AHIAbwBnAGUAbgAgAGkAbgAgAGkAbgBvAHIAZwBhAG4AaQBjACAAZgBlAHIAdABpAGwAaQBzAGUAcgAgAGEAcABwAGwAaQBlAGQAIAB0AG8AIABwAHIAbwBkAHUAYwB0AGkAbwBuACAAcwB5AHMAdABlAG0AXAAiACkAOwBcAG4AXABuAFYARQBFAFIARwBfADUAXwAxAF8AMQBfADEAXwBfADIAXwBNAGEAcwBzAE8AZgBOAGkAdAByAG8AZwBlAG4ASQBuAEkAbgBvAHIAZwBhAG4AaQBjAEYAZQByAHQAaQBsAGkAcwBlAHIAXwBWAGEAcgBpAGEAYgBsAGUAXABuACAAIAA9AEwAQQBNAEIARABBACgAXAAiAE0ATgBfAGoAZgBcACIAKQA7AFwAbgBcAG4AVgBFAEUAUgBHAF8ANQBfADEAXwAxAF8AMQBfAF8AMgBfAE0AYQBzAHMATwBmAE4AaQB0AHIAbwBnAGUAbgBJAG4ASQBuAG8AcgBnAGEAbgBpAGMARgBlAHIAdABpAGwAaQBzAGUAcgBfAFUAbgBpAHQAXABuACAAIAA9AEwAQQBNAEIARABBACgAXAAiAGsAZwAgAE4AXAAiACkAOwBcAG4AXABuAFYARQBFAFIARwBfADUAXwAxAF8AMQBfADEAXwBfADIAXwBNAGEAcwBzAE8AZgBOAGkAdAByAG8AZwBlAG4ASQBuAEkAbgBvAHIAZwBhAG4AaQBjAEYAZQByAHQAaQBsAGkAcwBlAHIAXwBTAG8AdQByAGMAZQBcAG4AIAAgAD0ATABBAE0AQgBEAEEAKABcACIAVgBFAEUAUgBHACAAMgAwADIANgA6ACAANQAuADEALgAxAC4AMQAsACAARQBxAHUAYQB0AGkAbwBuACAAKAAyACkAXAAiACkAOwBcAG4AXABuAFYARQBFAFIARwBfADUAXwAxAF8AMQBfADEAXwBfADIAXwBNAGEAcwBzAE8AZgBOAGkAdAByAG8AZwBlAG4ASQBuAEkAbgBvAHIAZwBhAG4AaQBjAEYAZQByAHQAaQBsAGkAcwBlAHIAXwBOAEkAUgBSAGUAZgBlAHIAZQBuAGMAZQBcAG4AIAAgAD0ATABBAE0AQgBEAEEAKABcACIAXAAiACkAOwBcAG4AXABuAFYARQBFAFIARwBfADUAXwAxAF8AMQBfADEAXwBfADIAXwBNAGEAcwBzAE8AZgBOAGkAdAByAG8AZwBlAG4ASQBuAEkAbgBvAHIAZwBhAG4AaQBjAEYAZQByAHQAaQBsAGkAcwBlAHIAXwBMAGEAdABlAHgARQBxAHUAYQB0AGkAbwBuAFwAbgAgACAAPQBMAEEATQBCAEQAQQAoAFwAIgB7AE0ATgB9AF8AewBqAGYAfQA9AFQATQBfAHsAagBmAH0AXABcAHQAaQBtAGUAcwAgAEYATgBfAHsAaQBuAG8AcgBnAGEAbgBpAGMALABmAH0AXAAiACkAOwBcAG4AXABuAFYARQBFAFIARwBfADUAXwAxAF8AMQBfADEAXwBfADIAXwBNAGEAcwBzAE8AZgBOAGkAdAByAG8AZwBlAG4ASQBuAEkAbgBvAHIAZwBhAG4AaQBjAEYAZQByAHQAaQBsAGkAcwBlAHIAXwBBAHIAZwB1AG0AZQBuAHQAcwBcAG4AIAAgAD0ATABBAE0AQgBEAEEAKABcAG4AIAAgACAAIABNAEEASwBFAEEAUgBSAEEAWQAoADIALAAgADQALAAgAFwAbgAgACAAIAAgACAAIABMAEEATQBCAEQAQQAoAHIALABjACwAIABcAG4AIAAgACAAIAAgACAAIAAgAEkATgBEAEUAWAAoAHsAXABuACAAIAAgACAAIAAgACAAIAAgACAAXAAiAFQATQBfAGoAZgBcACIALABcACIAdABvAHQAYQBsACAAbQBhAHMAcwAgAG8AZgAgAGkAbgBvAHIAZwBhAG4AaQBjACAAZgBlAHIAdABpAGwAaQBzAGUAcgAgAHQAeQBwAGUAIABmACAAYQBwAHAAbABpAGUAZAAgAHQAbwAgAHAAcgBvAGQAdQBjAHQAaQBvAG4AIABzAHkAcwB0AGUAbQAgAGoAXAAiACwAIABcACIAawBnAFwAIgAsACAAXAAiAEkAbgBwAHUAdABcACIAOwBcAG4AIAAgACAAIAAgACAAIAAgACAAIABcACIARgBOAF8AaQBuAG8AcgBnAGEAbgBpAGMAZgBcACIALABcACIAZgByAGEAYwB0AGkAbwBuACAAbwBmACAAbgBpAHQAcgBvAGcAZQBuACAAaQBuACAAaQBuAG8AcgBnAGEAbgBpAGMAIABmAGUAcgB0AGkAbABpAHMAZQByACAAdAB5AHAAZQAgAGYAIABcACIALAAgAFwAIgBrAGcAIABOAC8AawBnAFwAIgAsACAAXAAiAEMAbwBuAHMAdABhAG4AdABcACIAXABuACAAIAAgACAAIAAgACAAIAB9ACwAIAByACwAIABjACkAXABuACAAIAAgACAAIAAgACkAXABuACAAIAAgACAAKQBcAG4AIAAgACkAOwBcAG4AXABuAFwAbgAvACoAIABcAG4ALQAtAC0ALQAtAC0ALQAtAC0ALQAtAC0ALQAtAC0ALQAtAC0ALQAtAC0ALQAtAC0ALQAtAC0ALQAtAC0ALQAtAC0ALQAtAC0ALQAtAFwAbgBWAEUARQBSAEcAXwA1AF8AMQBfADEAXwAyAF8AXwAxAF8ARQBtAGkAcwBzAGkAbwBuAEYAYQBjAHQAbwByAEkAcgByAGkAZwBhAHQAZQBkAE0AYQBpAHoAZQBcAG4ARQBtAGkAcwBzAGkAbwBuACAAZgBhAGMAdABvAHIAIABmAG8AcgAgAG4AaQB0AHIAbwB1AHMAIABvAHgAaQBkAGUAIABmAG8AcgAgAGkAcgByAGkAZwBhAHQAZQBkACAAbQBhAGkAegBlAFwAbgBFAEYAXwBmAGoASQByAHIAaQBnAGEAdABlAGQATQBhAGkAegBlAE4AMgBPAFwAbgBrAGcAIABOADIATwAtAE4ALwBrAGcAIABOACAAYQBwAHAAbABpAGUAZABcAG4ARQBGAF8AewBmAGoAPQBpAHIAcgBpAGcAYQB0AGUAZABtAGEAaQB6AGUALABOADIATwB9AD0AKAAtADAALgAxADQANwA0ACsAKAAwAC4AMAAwADYAMQBcAFwAdABpAG0AZQBzACAATgBfAHsAZgBqAD0AaQByAHIAaQBnAGEAdABlAGQAbQBhAGkAegBlAH0AKQApAFwAXAB0AGkAbQBlAHMAIAAxADAAXgB7AC0AMgB9AFwAbgBOAF8AZgBqAEkAcgByAGkAZwBhAHQAZQBkAE0AYQBpAHoAZQBcAG4AZgBcAG4ALQAtAC0ALQAtAC0ALQAtAC0ALQAtAC0ALQAtAC0ALQAtAC0ALQAtAC0ALQAtAC0ALQAtAC0ALQAtAC0ALQAtAC0ALQAtAC0ALQAtAFwAbgAqAC8AXABuAFwAbgBWAEUARQBSAEcAXwA1AF8AMQBfADEAXwAyAF8AXwAxAF8ARQBtAGkAcwBzAGkAbwBuAEYAYQBjAHQAbwByAEkAcgByAGkAZwBhAHQAZQBkAE0AYQBpAHoAZQBcAG4AIAAgAD0ATABBAE0AQgBEAEEAKABcAG4AIAAgACAAIABOAF8AZgBqAEkAcgByAGkAZwBhAHQAZQBkAE0AYQBpAHoAZQAsAFwAbgAgACAAIAAgACgALQAwAC4AMQA0ADcANAAgACsAIAAoADAALgAwADAANgAxACAAKgAgAE4AXwBmAGoASQByAHIAaQBnAGEAdABlAGQATQBhAGkAegBlACkAKQAgACoAIAAxADAAIABeACAALQAyAFwAbgAgACAAKQA7AFwAbgBcAG4AVgBFAEUAUgBHAF8ANQBfADEAXwAxAF8AMgBfAF8AMQBfAEUAbQBpAHMAcwBpAG8AbgBGAGEAYwB0AG8AcgBJAHIAcgBpAGcAYQB0AGUAZABNAGEAaQB6AGUAXwBUAGkAdABsAGUAXABuACAAIAA9AEwAQQBNAEIARABBACgAXAAiAEUAbQBpAHMAcwBpAG8AbgAgAGYAYQBjAHQAbwByACAAZgBvAHIAIABuAGkAdAByAG8AdQBzACAAbwB4AGkAZABlACAAZgBvAHIAIABpAHIAcgBpAGcAYQB0AGUAZAAgAG0AYQBpAHoAZQBcACIAKQA7AFwAbgBcAG4AVgBFAEUAUgBHAF8ANQBfADEAXwAxAF8AMgBfAF8AMQBfAEUAbQBpAHMAcwBpAG8AbgBGAGEAYwB0AG8AcgBJAHIAcgBpAGcAYQB0AGUAZABNAGEAaQB6AGUAXwBWAGEAcgBpAGEAYgBsAGUAXABuACAAIAA9AEwAQQBNAEIARABBACgAXAAiAEUARgBfAGYAagBJAHIAcgBpAGcAYQB0AGUAZABNAGEAaQB6AGUATgAyAE8AXAAiACkAOwBcAG4AXABuAFYARQBFAFIARwBfADUAXwAxAF8AMQBfADIAXwBfADEAXwBFAG0AaQBzAHMAaQBvAG4ARgBhAGMAdABvAHIASQByAHIAaQBnAGEAdABlAGQATQBhAGkAegBlAF8AVQBuAGkAdABcAG4AIAAgAD0ATABBAE0AQgBEAEEAKABcACIAawBnACAATgAyAE8ALQBOAC8AawBnACAATgAgAGEAcABwAGwAaQBlAGQAXAAiACkAOwBcAG4AXABuAFYARQBFAFIARwBfADUAXwAxAF8AMQBfADIAXwBfADEAXwBFAG0AaQBzAHMAaQBvAG4ARgBhAGMAdABvAHIASQByAHIAaQBnAGEAdABlAGQATQBhAGkAegBlAF8AUwBvAHUAcgBjAGUAXABuACAAIAA9AEwAQQBNAEIARABBACgAXAAiAFYARQBFAFIARwAgADIAMAAyADYAOgAgADUALgAxAC4AMQAuADIALAAgAEUAcQB1AGEAdABpAG8AbgAgACgAMQApAFwAIgApADsAXABuAFwAbgBWAEUARQBSAEcAXwA1AF8AMQBfADEAXwAyAF8AXwAxAF8ARQBtAGkAcwBzAGkAbwBuAEYAYQBjAHQAbwByAEkAcgByAGkAZwBhAHQAZQBkAE0AYQBpAHoAZQBfAE4ASQBSAFIAZQBmAGUAcgBlAG4AYwBlAFwAbgAgACAAPQBMAEEATQBCAEQAQQAoAFwAIgBcACIAKQA7AFwAbgBcAG4AVgBFAEUAUgBHAF8ANQBfADEAXwAxAF8AMgBfAF8AMQBfAEUAbQBpAHMAcwBpAG8AbgBGAGEAYwB0AG8AcgBJAHIAcgBpAGcAYQB0AGUAZABNAGEAaQB6AGUAXwBMAGEAdABlAHgARQBxAHUAYQB0AGkAbwBuAFwAbgAgACAAPQBMAEEATQBCAEQAQQAoAFwAIgBFAEYAXwB7AGYAagA9AGkAcgByAGkAZwBhAHQAZQBkAG0AYQBpAHoAZQAsAE4AMgBPAH0APQAoAC0AMAAuADEANAA3ADQAKwAoADAALgAwADAANgAxAFwAXAB0AGkAbQBlAHMAIABOAF8AewBmAGoAPQBpAHIAcgBpAGcAYQB0AGUAZABtAGEAaQB6AGUAfQApACkAXABcAHQAaQBtAGUAcwAgADEAMABeAHsALQAyAH0AXAAiACkAOwBcAG4AXABuAFYARQBFAFIARwBfADUAXwAxAF8AMQBfADIAXwBfADEAXwBFAG0AaQBzAHMAaQBvAG4ARgBhAGMAdABvAHIASQByAHIAaQBnAGEAdABlAGQATQBhAGkAegBlAF8AQQByAGcAdQBtAGUAbgB0AHMAXABuACAAIAA9AEwAQQBNAEIARABBACgAXABuACAAIAAgACAATQBBAEsARQBBAFIAUgBBAFkAKAAyACwAIAA0ACwAIABcAG4AIAAgACAAIAAgACAATABBAE0AQgBEAEEAKAByACwAYwAsACAAXABuACAAIAAgACAAIAAgACAAIABJAE4ARABFAFgAKAB7AFwAbgAgACAAIAAgACAAIAAgACAAIAAgAFwAIgBOAF8AZgBqAEkAcgByAGkAZwBhAHQAZQBkAE0AYQBpAHoAZQBcACIALABcACIAYQBwAHAAbABpAGMAYQB0AGkAbwBuACAAcgBhAHQAZQAgAG8AZgAgAGkAbgBvAHIAZwBhAG4AaQBjACAAZgBlAHIAdABpAGwAaQBzAGUAcgAgAHQAeQBwAGUAIABmACAAaQBuACAAdABoAGUAIABpAHIAcgBpAGcAYQB0AGUAZAAgAG0AYQBpAHoAZQAgAGMAcgBvAHAAXAAiACwAIABcACIAawBnACAATgAvAGgAYQBcACIALAAgAFwAIgBJAG4AcAB1AHQAXAAiADsAXABuACAAIAAgACAAIAAgACAAIAAgACAAXAAiAGYAXAAiACwAXAAiAEkAbgBvAHIAZwBhAG4AaQBjACAAZgBlAHIAdABpAGwAaQBzAGUAcgAgAHQAeQBwAGUAXAAiACwAIABcACIAXAAiACwAIABcACIAQwBvAG4AcwB0AGEAbgB0AFwAIgBcAG4AIAAgACAAIAAgACAAIAAgAH0ALAAgAHIALAAgAGMAKQBcAG4AIAAgACAAIAAgACAAKQBcAG4AIAAgACAAIAApAFwAbgAgACAAKQA7AFwAbgBcAG4ALwAqACAAXABuAC0ALQAtAC0ALQAtAC0ALQAtAC0ALQAtAC0ALQAtAC0ALQAtAC0ALQAtAC0ALQAtAC0ALQAtAC0ALQAtAC0ALQAtAC0ALQAtAC0ALQBcAG4AVgBFAEUAUgBHAF8ANQBfADEAXwAxAF8AMgBfAF8AMgBfAEUAbQBpAHMAcwBpAG8AbgBGAGEAYwB0AG8AcgBOAG8AbgBJAHIAcgBpAGcAYQB0AGUAZABHAHIAYQBpAG4AcwBIAGkAZwBoAFIAYQBpAG4AZgBhAGwAbABcAG4ARQBtAGkAcwBzAGkAbwBuACAAZgBhAGMAdABvAHIAIABmAG8AcgAgAG4AaQB0AHIAbwB1AHMAIABvAHgAaQBkAGUAIABmAG8AcgAgAG4AbwBuAC0AaQByAHIAaQBnAGEAdABlAGQAIABnAHIAYQBpAG4AcwAgAGkAbgAgAGgAaQBnAGgAIAByAGEAaQBuAGYAYQBsAGwAIAB6AG8AbgBlAFwAbgBFAEYAXwBmAGoATgBvAG4ASQByAHIAaQBnAGEAdABlAGQARwByAGEAaQBuAHMATgAyAE8AXABuAGsAZwAgAE4AMgBPAC0ATgAvAGsAZwAgAE4AIABhAHAAcABsAGkAZQBkAFwAbgBFAEYAXwB7AGYAagA9AG4AbwBuAGkAcgByAGkAZwBhAHQAZQBkAGcAcgBhAGkAbgBzACwATgAyAE8AfQA9ACgAMAAuADAANwA4ADEAKwAoADAALgAwADAANwA1AFwAXAB0AGkAbQBlAHMAIABOAF8AewBmAGoAPQBuAG8AbgBpAHIAcgBpAGcAYQB0AGUAZABnAHIAYQBpAG4AcwB9ACkAKQBcAFwAdABpAG0AZQBzACAAMQAwAF4AewAtADIAfQBcAG4ATgBfAGYAagBOAG8AbgBJAHIAcgBpAGcAYQB0AGUAZABHAHIAYQBpAG4AcwBcAG4AZgBcAG4ALQAtAC0ALQAtAC0ALQAtAC0ALQAtAC0ALQAtAC0ALQAtAC0ALQAtAC0ALQAtAC0ALQAtAC0ALQAtAC0ALQAtAC0ALQAtAC0ALQAtAFwAbgAqAC8AXABuAFwAbgBWAEUARQBSAEcAXwA1AF8AMQBfADEAXwAyAF8AXwAyAF8ARQBtAGkAcwBzAGkAbwBuAEYAYQBjAHQAbwByAE4AbwBuAEkAcgByAGkAZwBhAHQAZQBkAEcAcgBhAGkAbgBzAEgAaQBnAGgAUgBhAGkAbgBmAGEAbABsAFwAbgAgACAAPQBMAEEATQBCAEQAQQAoAFwAbgAgACAAIAAgAE4AXwBmAGoATgBvAG4ASQByAHIAaQBnAGEAdABlAGQARwByAGEAaQBuAHMALABcAG4AIAAgACAAIAAoADAALgAwADcAOAAxACAAKwAgACgAMAAuADAAMAA3ADUAIAAqACAATgBfAGYAagBOAG8AbgBJAHIAcgBpAGcAYQB0AGUAZABHAHIAYQBpAG4AcwApACkAIAAqACAAMQAwACAAXgAgAC0AMgBcAG4AIAAgACkAOwBcAG4AXABuAFYARQBFAFIARwBfADUAXwAxAF8AMQBfADIAXwBfADIAXwBFAG0AaQBzAHMAaQBvAG4ARgBhAGMAdABvAHIATgBvAG4ASQByAHIAaQBnAGEAdABlAGQARwByAGEAaQBuAHMASABpAGcAaABSAGEAaQBuAGYAYQBsAGwAXwBUAGkAdABsAGUAXABuACAAIAA9AEwAQQBNAEIARABBACgAXAAiAEUAbQBpAHMAcwBpAG8AbgAgAGYAYQBjAHQAbwByACAAZgBvAHIAIABuAGkAdAByAG8AdQBzACAAbwB4AGkAZABlACAAZgBvAHIAIABuAG8AbgAtAGkAcgByAGkAZwBhAHQAZQBkACAAZwByAGEAaQBuAHMAIABpAG4AIABoAGkAZwBoACAAcgBhAGkAbgBmAGEAbABsACAAegBvAG4AZQBcACIAKQA7AFwAbgBcAG4AVgBFAEUAUgBHAF8ANQBfADEAXwAxAF8AMgBfAF8AMgBfAEUAbQBpAHMAcwBpAG8AbgBGAGEAYwB0AG8AcgBOAG8AbgBJAHIAcgBpAGcAYQB0AGUAZABHAHIAYQBpAG4AcwBIAGkAZwBoAFIAYQBpAG4AZgBhAGwAbABfAFYAYQByAGkAYQBiAGwAZQBcAG4AIAAgAD0ATABBAE0AQgBEAEEAKABcACIARQBGAF8AZgBqAE4AbwBuAEkAcgByAGkAZwBhAHQAZQBkAEcAcgBhAGkAbgBzAE4AMgBPAFwAIgApADsAXABuAFwAbgBWAEUARQBSAEcAXwA1AF8AMQBfADEAXwAyAF8AXwAyAF8ARQBtAGkAcwBzAGkAbwBuAEYAYQBjAHQAbwByAE4AbwBuAEkAcgByAGkAZwBhAHQAZQBkAEcAcgBhAGkAbgBzAEgAaQBnAGgAUgBhAGkAbgBmAGEAbABsAF8AVQBuAGkAdABcAG4AIAAgAD0ATABBAE0AQgBEAEEAKABcACIAawBnACAATgAyAE8ALQBOAC8AawBnACAATgAgAGEAcABwAGwAaQBlAGQAXAAiACkAOwBcAG4AXABuAFYARQBFAFIARwBfADUAXwAxAF8AMQBfADIAXwBfADIAXwBFAG0AaQBzAHMAaQBvAG4ARgBhAGMAdABvAHIATgBvAG4ASQByAHIAaQBnAGEAdABlAGQARwByAGEAaQBuAHMASABpAGcAaABSAGEAaQBuAGYAYQBsAGwAXwBTAG8AdQByAGMAZQBcAG4AIAAgAD0ATABBAE0AQgBEAEEAKABcACIAVgBFAEUAUgBHACAAMgAwADIANgA6ACAANQAuADEALgAxAC4AMgAsACAARQBxAHUAYQB0AGkAbwBuACAAKAAyACkAXAAiACkAOwBcAG4AXABuAFYARQBFAFIARwBfADUAXwAxAF8AMQBfADIAXwBfADIAXwBFAG0AaQBzAHMAaQBvAG4ARgBhAGMAdABvAHIATgBvAG4ASQByAHIAaQBnAGEAdABlAGQARwByAGEAaQBuAHMASABpAGcAaABSAGEAaQBuAGYAYQBsAGwAXwBOAEkAUgBSAGUAZgBlAHIAZQBuAGMAZQBcAG4AIAAgAD0ATABBAE0AQgBEAEEAKABcACIAXAAiACkAOwBcAG4AXABuAFYARQBFAFIARwBfADUAXwAxAF8AMQBfADIAXwBfADIAXwBFAG0AaQBzAHMAaQBvAG4ARgBhAGMAdABvAHIATgBvAG4ASQByAHIAaQBnAGEAdABlAGQARwByAGEAaQBuAHMASABpAGcAaABSAGEAaQBuAGYAYQBsAGwAXwBMAGEAdABlAHgARQBxAHUAYQB0AGkAbwBuAFwAbgAgACAAPQBMAEEATQBCAEQAQQAoAFwAIgBFAEYAXwB7AGYAagA9AG4AbwBuAGkAcgByAGkAZwBhAHQAZQBkAGcAcgBhAGkAbgBzACwATgAyAE8AfQA9ACgAMAAuADAANwA4ADEAKwAoADAALgAwADAANwA1AFwAXAB0AGkAbQBlAHMAIABOAF8AewBmAGoAPQBuAG8AbgBpAHIAcgBpAGcAYQB0AGUAZABnAHIAYQBpAG4AcwB9ACkAKQBcAFwAdABpAG0AZQBzACAAMQAwAF4AewAtADIAfQBcACIAKQA7AFwAbgBcAG4AVgBFAEUAUgBHAF8ANQBfADEAXwAxAF8AMgBfAF8AMgBfAEUAbQBpAHMAcwBpAG8AbgBGAGEAYwB0AG8AcgBOAG8AbgBJAHIAcgBpAGcAYQB0AGUAZABHAHIAYQBpAG4AcwBIAGkAZwBoAFIAYQBpAG4AZgBhAGwAbABfAEEAcgBnAHUAbQBlAG4AdABzAFwAbgAgACAAPQBMAEEATQBCAEQAQQAoAFwAbgAgACAAIAAgAE0AQQBLAEUAQQBSAFIAQQBZACgAMgAsACAANAAsACAAXABuACAAIAAgACAAIAAgAEwAQQBNAEIARABBACgAcgAsAGMALAAgAFwAbgAgACAAIAAgACAAIAAgACAASQBOAEQARQBYACgAewBcAG4AIAAgACAAIAAgACAAIAAgACAAIABcACIATgBfAGYAagBOAG8AbgBJAHIAcgBpAGcAYQB0AGUAZABHAHIAYQBpAG4AcwBcACIALABcACIAYQBwAHAAbABpAGMAYQB0AGkAbwBuACAAcgBhAHQAZQAgAG8AZgAgAGkAbgBvAHIAZwBhAG4AaQBjACAAZgBlAHIAdABpAGwAaQBzAGUAcgAgAHQAeQBwAGUAIABmACAAaQBuACAAdABoAGUAIABnAHIAYQBpAG4AcwAgAGMAcgBvAHAAXAAiACwAIABcACIAawBnACAATgAvAGgAYQBcACIALAAgAFwAIgBJAG4AcAB1AHQAXAAiADsAXABuACAAIAAgACAAIAAgACAAIAAgACAAXAAiAGYAXAAiACwAXAAiAEkAbgBvAHIAZwBhAG4AaQBjACAAZgBlAHIAdABpAGwAaQBzAGUAcgAgAHQAeQBwAGUAXAAiACwAIABcACIAXAAiACwAIABcACIAQwBvAG4AcwB0AGEAbgB0AFwAIgBcAG4AIAAgACAAIAAgACAAIAAgAH0ALAAgAHIALAAgAGMAKQBcAG4AIAAgACAAIAAgACAAKQBcAG4AIAAgACAAIAApAFwAbgAgACAAKQA7AFwAbgBcAG4ALwAqACAAXABuAC0ALQAtAC0ALQAtAC0ALQAtAC0ALQAtAC0ALQAtAC0ALQAtAC0ALQAtAC0ALQAtAC0ALQAtAC0ALQAtAC0ALQAtAC0ALQAtAC0ALQBcAG4AVgBFAEUAUgBHAF8ANQBfADEAXwAxAF8AMgBfAF8AMwBfAEUAbQBpAHMAcwBpAG8AbgBGAGEAYwB0AG8AcgBDAG8AdAB0AG8AbgBcAG4ARQBtAGkAcwBzAGkAbwBuACAAZgBhAGMAdABvAHIAIABmAG8AcgAgAG4AaQB0AHIAbwB1AHMAIABvAHgAaQBkAGUAIABmAG8AcgAgAGMAbwB0AHQAbwBuAFwAbgBFAEYAXwBmAGoAQwBvAHQAdABvAG4ATgAyAE8AXABuAGsAZwAgAE4AMgBPAC0ATgAvAGsAZwAgAE4AIABhAHAAcABsAGkAZQBkAFwAbgBFAEYAXwB7AGYAagA9AGMAbwB0AHQAbwBuACwATgAyAE8AfQA9AFwAXABtAGkAbgBcAFwAbABlAGYAdAAoACgAMAAuADAAMQBcAFwAdABpAG0AZQBzACgAMAAuADIAOQArADAALgAwADAANwBcAFwAdABpAG0AZQBzACgAKABlAF4AewAoADAALgAwADMANwBcAFwAdABpAG0AZQBzACAATgBfAHsAZgBqAD0AYwBvAHQAdABvAG4AfQApAH0ALQAxACkALwBOAF8AewBmAGoAPQBjAG8AdAB0AG8AbgB9ACkAKQApAFwAXAB0AGkAbQBlAHMAIAAxADAAXgB7AC0AMgB9ACwAMAAuADAAMQA4ADMAXABcAHIAaQBnAGgAdAApAFwAbgBOAF8AZgBqAEMAbwB0AHQAbwBuAFwAbgBmAFwAbgAtAC0ALQAtAC0ALQAtAC0ALQAtAC0ALQAtAC0ALQAtAC0ALQAtAC0ALQAtAC0ALQAtAC0ALQAtAC0ALQAtAC0ALQAtAC0ALQAtAC0AXABuACoALwBcAG4AXABuAFYARQBFAFIARwBfADUAXwAxAF8AMQBfADIAXwBfADMAXwBFAG0AaQBzAHMAaQBvAG4ARgBhAGMAdABvAHIAQwBvAHQAdABvAG4AXABuACAAIAA9AEwAQQBNAEIARABBACgAXABuACAAIAAgACAATgBfAGYAagBDAG8AdAB0AG8AbgAsAFwAbgAgACAAIAAgACgAMAAuADAAMQAgACoAIAAoADAALgAyADkAIAArACAAKAAgACAAKAAwAC4AMAAwADcAIAAqACAAKABFAFgAUAAoADAALgAwADMANwAgACoAIABOAF8AZgBqAEMAbwB0AHQAbwBuACkAIAAtACAAMQApACkAIAAvACAATgBfAGYAagBDAG8AdAB0AG8AbgAgACAAKQAgACkAKQAgACoAIAAxADAAIABeACAALQAyAFwAbgAgACAAKQA7AFwAbgBcAG4AVgBFAEUAUgBHAF8ANQBfADEAXwAxAF8AMgBfAF8AMwBfAEUAbQBpAHMAcwBpAG8AbgBGAGEAYwB0AG8AcgBDAG8AdAB0AG8AbgBfAFQAaQB0AGwAZQBcAG4AIAAgAD0ATABBAE0AQgBEAEEAKABcACIARQBtAGkAcwBzAGkAbwBuACAAZgBhAGMAdABvAHIAIABmAG8AcgAgAG4AaQB0AHIAbwB1AHMAIABvAHgAaQBkAGUAIABmAG8AcgAgAGMAbwB0AHQAbwBuAFwAIgApADsAXABuAFwAbgBWAEUARQBSAEcAXwA1AF8AMQBfADEAXwAyAF8AXwAzAF8ARQBtAGkAcwBzAGkAbwBuAEYAYQBjAHQAbwByAEMAbwB0AHQAbwBuAF8AVgBhAHIAaQBhAGIAbABlAFwAbgAgACAAPQBMAEEATQBCAEQAQQAoAFwAIgBFAEYAXwBmAGoAQwBvAHQAdABvAG4ATgAyAE8AXAAiACkAOwBcAG4AXABuAFYARQBFAFIARwBfADUAXwAxAF8AMQBfADIAXwBfADMAXwBFAG0AaQBzAHMAaQBvAG4ARgBhAGMAdABvAHIAQwBvAHQAdABvAG4AXwBVAG4AaQB0AFwAbgAgACAAPQBMAEEATQBCAEQAQQAoAFwAIgBrAGcAIABOADIATwAtAE4ALwBrAGcAIABOACAAYQBwAHAAbABpAGUAZABcACIAKQA7AFwAbgBcAG4AVgBFAEUAUgBHAF8ANQBfADEAXwAxAF8AMgBfAF8AMwBfAEUAbQBpAHMAcwBpAG8AbgBGAGEAYwB0AG8AcgBDAG8AdAB0AG8AbgBfAFMAbwB1AHIAYwBlAFwAbgAgACAAPQBMAEEATQBCAEQAQQAoAFwAIgBWAEUARQBSAEcAIAAyADAAMgA2ADoAIAA1AC4AMQAuADEALgAyACwAIABFAHEAdQBhAHQAaQBvAG4AIAAoADMAKQBcACIAKQA7AFwAbgBcAG4AVgBFAEUAUgBHAF8ANQBfADEAXwAxAF8AMgBfAF8AMwBfAEUAbQBpAHMAcwBpAG8AbgBGAGEAYwB0AG8AcgBDAG8AdAB0AG8AbgBfAE4ASQBSAFIAZQBmAGUAcgBlAG4AYwBlAFwAbgAgACAAPQBMAEEATQBCAEQAQQAoAFwAIgBcACIAKQA7AFwAbgBcAG4AVgBFAEUAUgBHAF8ANQBfADEAXwAxAF8AMgBfAF8AMwBfAEUAbQBpAHMAcwBpAG8AbgBGAGEAYwB0AG8AcgBDAG8AdAB0AG8AbgBfAEwAYQB0AGUAeABFAHEAdQBhAHQAaQBvAG4AXABuACAAIAA9AEwAQQBNAEIARABBACgAXAAiAEUARgBfAHsAZgBqAD0AYwBvAHQAdABvAG4ALABOADIATwB9AD0AKAAwAC4AMAAxACAAXABcAHQAaQBtAGUAcwAgACgAMAAuADIAOQAgACsAIABcAFwAZgByAGEAYwB7ADAALgAwADAANwAoAGUAXgB7ADAALgAwADMANwAgAFwAXAB0AGkAbQBlAHMAIABOAF8AewBmAGoAPQBjAG8AdAB0AG8AbgB9AH0ALQAxACkAfQB7AE4AXwB7AGYAagA9AGMAbwB0AHQAbwBuAH0AfQApACkAIABcAFwAdABpAG0AZQBzACAAMQAwAF4AewAtADIAfQBcAG4AXAAiACkAOwBcAG4AXABuAFYARQBFAFIARwBfADUAXwAxAF8AMQBfADIAXwBfADMAXwBFAG0AaQBzAHMAaQBvAG4ARgBhAGMAdABvAHIAQwBvAHQAdABvAG4AXwBBAHIAZwB1AG0AZQBuAHQAcwBcAG4AIAAgAD0ATABBAE0AQgBEAEEAKABcAG4AIAAgACAAIABNAEEASwBFAEEAUgBSAEEAWQAoADIALAAgADQALAAgAFwAbgAgACAAIAAgACAAIABMAEEATQBCAEQAQQAoAHIALABjACwAIABcAG4AIAAgACAAIAAgACAAIAAgAEkATgBEAEUAWAAoAHsAXABuACAAIAAgACAAIAAgACAAIAAgACAAXAAiAE4AXwBmAGoAQwBvAHQAdABvAG4AXAAiACwAXAAiAGEAcABwAGwAaQBjAGEAdABpAG8AbgAgAHIAYQB0AGUAIABvAGYAIABpAG4AbwByAGcAYQBuAGkAYwAgAGYAZQByAHQAaQBsAGkAcwBlAHIAIAB0AHkAcABlACAAZgAgAGkAbgAgAHQAaABlACAAYwBvAHQAdABvAG4AIABjAHIAbwBwAFwAIgAsACAAXAAiAGsAZwAgAE4ALwBoAGEAXAAiACwAIABcACIASQBuAHAAdQB0AFwAIgA7AFwAbgAgACAAIAAgACAAIAAgACAAIAAgAFwAIgBmAFwAIgAsAFwAIgBJAG4AbwByAGcAYQBuAGkAYwAgAGYAZQByAHQAaQBsAGkAcwBlAHIAIAB0AHkAcABlAFwAIgAsACAAXAAiAFwAIgAsACAAXAAiAEMAbwBuAHMAdABhAG4AdABcACIAXABuACAAIAAgACAAIAAgACAAIAB9ACwAIAByACwAIABjACkAXABuACAAIAAgACAAIAAgACkAXABuACAAIAAgACAAKQBcAG4AIAAgACkAOwBcAG4AXABuACIAfQAsAHsAIgBwAGEAdABoACIAOgAiAC8AcAByAG8AagBlAGMAdABzAC8ARgBlAHIAdABpAGwAaQBzAGUAcgBfAEUAcQB1AGEAdABpAG8AbgBzAF8ASQBuAG8AcgBnAGEAbgBpAGMAQwBPADIAIgAsACIAdABlAHgAdAAiADoAIgAvACoAXABuAD0APQA9AD0APQA9AD0APQA9AD0APQA9AD0APQA9AD0APQA9AD0APQA9AD0APQA9AD0APQA9AD0APQA9AD0APQA9AD0APQA9AD0APQBcAG4ANQA6ACAARgBlAHIAdABpAGwAaQBzAGUAcgAgAFUAcwBlAFwAbgA9AD0APQA9AD0APQA9AD0APQA9AD0APQA9AD0APQA9AD0APQA9AD0APQA9AD0APQA9AD0APQA9AD0APQA9AD0APQA9AD0APQA9AD0AXABuADUALgAxACAASQBuAG8AcgBnAGEAbgBpAGMAIABmAGUAcgB0AGkAbABpAHMAZQByACAAYQBwAHAAbABpAGMAYQB0AGkAbwBuAFwAbgA9AD0APQA9AD0APQA9AD0APQA9AD0APQA9AD0APQA9AD0APQA9AD0APQA9AD0APQA9AD0APQA9AD0APQA9AD0APQA9AD0APQA9AD0AXABuACoALwBcAG4AXABuAC8AKgAgAFwAbgAtAC0ALQAtAC0ALQAtAC0ALQAtAC0ALQAtAC0ALQAtAC0ALQAtAC0ALQAtAC0ALQAtAC0ALQAtAC0ALQAtAC0ALQAtAC0ALQAtAC0AXABuAFYARQBFAFIARwBfADUAXwAxAF8AMQBfADMAXwBfADEAXwBJAG4AbwByAGcAYQBuAGkAYwBGAGUAcgB0AGkAbABpAHMAZQByAEEAcABwAGwAaQBjAGEAdABpAG8AbgBDAE8AMgBFAG0AaQBzAHMAaQBvAG4AcwBcAG4AQwBhAHIAYgBvAG4AIABkAGkAbwB4AGkAZABlACAAZQBtAGkAcwBzAGkAbwBuAHMAIAByAGUAcwB1AGwAdABpAG4AZwAgAGYAcgBvAG0AIAB0AGgAZQAgAHUAcwBlACAAbwBmACAAYQBsAGwAIABpAG4AbwByAGcAYQBuAGkAYwAsACAAdQByAGUAYQAtAGIAYQBzAGUAZAAgAGYAZQByAHQAaQBsAGkAcwBlAHIAcwBcAG4ARQBfAEMATwAyAFwAbgB0ACAAQwBPADIAXABuAEUAXwB7AEMATwAyAH0APQBcAFwAcwB1AG0AXwB7AGoAfQBcAFwAcwB1AG0AXwB7AGYAfQAoACgATQBVAF8AewBqAGYAfQBcAFwAdABpAG0AZQBzACAARQBGAF8AewB1AHIAZQBhACwAQwBPADIAfQBcAFwAdABpAG0AZQBzACAAQwBfAHsAQwBPADIAfQApAFwAXAB0AGkAbQBlAHMAIAAxADAAXgB7AC0AMwB9ACkAXABuAE0AVQBfAGoAZgBcAG4ARQBGAF8AdQByAGUAYQBDAE8AMgBcAG4AQwBfAEMATwAyAFwAbgBqAFwAbgBmAFwAbgAtAC0ALQAtAC0ALQAtAC0ALQAtAC0ALQAtAC0ALQAtAC0ALQAtAC0ALQAtAC0ALQAtAC0ALQAtAC0ALQAtAC0ALQAtAC0ALQAtAC0AXABuACoALwBcAG4AXABuAFYARQBFAFIARwBfADUAXwAxAF8AMQBfADMAXwBfADEAXwBJAG4AbwByAGcAYQBuAGkAYwBGAGUAcgB0AGkAbABpAHMAZQByAEEAcABwAGwAaQBjAGEAdABpAG8AbgBDAE8AMgBFAG0AaQBzAHMAaQBvAG4AcwBcAG4AIAAgAD0ATABBAE0AQgBEAEEAKABcAG4AIAAgACAAIABNAFUAXwBqAGYALAAgAEUARgBfAHUAcgBlAGEAQwBPADIALAAgAEMAXwBDAE8AMgAsAFwAbgAgACAAIAAgACgATQBVAF8AagBmACAAKgAgAEUARgBfAHUAcgBlAGEAQwBPADIAIAAqACAAQwBfAEMATwAyACkAIAAqACAAMQAwACAAXgAgAC0AMwBcAG4AIAAgACkAOwBcAG4AXABuAFYARQBFAFIARwBfADUAXwAxAF8AMQBfADMAXwBfADEAXwBJAG4AbwByAGcAYQBuAGkAYwBGAGUAcgB0AGkAbABpAHMAZQByAEEAcABwAGwAaQBjAGEAdABpAG8AbgBDAE8AMgBFAG0AaQBzAHMAaQBvAG4AcwBfAFQAaQB0AGwAZQBcAG4AIAAgAD0ATABBAE0AQgBEAEEAKABcACIAQwBhAHIAYgBvAG4AIABkAGkAbwB4AGkAZABlACAAZQBtAGkAcwBzAGkAbwBuAHMAIAByAGUAcwB1AGwAdABpAG4AZwAgAGYAcgBvAG0AIAB0AGgAZQAgAHUAcwBlACAAbwBmACAAYQBsAGwAIABpAG4AbwByAGcAYQBuAGkAYwAsACAAdQByAGUAYQAtAGIAYQBzAGUAZAAgAGYAZQByAHQAaQBsAGkAcwBlAHIAcwBcACIAKQA7AFwAbgBcAG4AVgBFAEUAUgBHAF8ANQBfADEAXwAxAF8AMwBfAF8AMQBfAEkAbgBvAHIAZwBhAG4AaQBjAEYAZQByAHQAaQBsAGkAcwBlAHIAQQBwAHAAbABpAGMAYQB0AGkAbwBuAEMATwAyAEUAbQBpAHMAcwBpAG8AbgBzAF8AVgBhAHIAaQBhAGIAbABlAFwAbgAgACAAPQBMAEEATQBCAEQAQQAoAFwAIgBFAF8AQwBPADIAXAAiACkAOwBcAG4AXABuAFYARQBFAFIARwBfADUAXwAxAF8AMQBfADMAXwBfADEAXwBJAG4AbwByAGcAYQBuAGkAYwBGAGUAcgB0AGkAbABpAHMAZQByAEEAcABwAGwAaQBjAGEAdABpAG8AbgBDAE8AMgBFAG0AaQBzAHMAaQBvAG4AcwBfAFUAbgBpAHQAXABuACAAIAA9AEwAQQBNAEIARABBACgAXAAiAHQAIABDAE8AMgBcACIAKQA7AFwAbgBcAG4AVgBFAEUAUgBHAF8ANQBfADEAXwAxAF8AMwBfAF8AMQBfAEkAbgBvAHIAZwBhAG4AaQBjAEYAZQByAHQAaQBsAGkAcwBlAHIAQQBwAHAAbABpAGMAYQB0AGkAbwBuAEMATwAyAEUAbQBpAHMAcwBpAG8AbgBzAF8AUwBvAHUAcgBjAGUAXABuACAAIAA9AEwAQQBNAEIARABBACgAXAAiAFYARQBFAFIARwAgADIAMAAyADYAOgAgADUALgAxAC4AMQAuADMALAAgAEUAcQB1AGEAdABpAG8AbgAgACgAMQApAFwAIgApADsAXABuAFwAbgBWAEUARQBSAEcAXwA1AF8AMQBfADEAXwAzAF8AXwAxAF8ASQBuAG8AcgBnAGEAbgBpAGMARgBlAHIAdABpAGwAaQBzAGUAcgBBAHAAcABsAGkAYwBhAHQAaQBvAG4AQwBPADIARQBtAGkAcwBzAGkAbwBuAHMAXwBOAEkAUgBSAGUAZgBlAHIAZQBuAGMAZQBcAG4AIAAgAD0ATABBAE0AQgBEAEEAKABcACIAXAAiACkAOwBcAG4AXABuAFYARQBFAFIARwBfADUAXwAxAF8AMQBfADMAXwBfADEAXwBJAG4AbwByAGcAYQBuAGkAYwBGAGUAcgB0AGkAbABpAHMAZQByAEEAcABwAGwAaQBjAGEAdABpAG8AbgBDAE8AMgBFAG0AaQBzAHMAaQBvAG4AcwBfAEwAYQB0AGUAeABFAHEAdQBhAHQAaQBvAG4AXABuACAAIAA9AEwAQQBNAEIARABBACgAXAAiAEUAXwB7AEMATwAyAH0APQBcAFwAcwB1AG0AXwB7AGoAfQBcAFwAcwB1AG0AXwB7AGYAfQAoACgATQBVAF8AewBqAGYAfQBcAFwAdABpAG0AZQBzACAARQBGAF8AewB1AHIAZQBhACwAQwBPADIAfQBcAFwAdABpAG0AZQBzACAAQwBfAHsAQwBPADIAfQApAFwAXAB0AGkAbQBlAHMAIAAxADAAXgB7AC0AMwB9ACkAXAAiACkAOwBcAG4AXABuAFYARQBFAFIARwBfADUAXwAxAF8AMQBfADMAXwBfADEAXwBJAG4AbwByAGcAYQBuAGkAYwBGAGUAcgB0AGkAbABpAHMAZQByAEEAcABwAGwAaQBjAGEAdABpAG8AbgBDAE8AMgBFAG0AaQBzAHMAaQBvAG4AcwBfAEEAcgBnAHUAbQBlAG4AdABzAFwAbgAgACAAPQBMAEEATQBCAEQAQQAoAFwAbgAgACAAIAAgAE0AQQBLAEUAQQBSAFIAQQBZACgANQAsACAANAAsACAAXABuACAAIAAgACAAIAAgAEwAQQBNAEIARABBACgAcgAsAGMALAAgAFwAbgAgACAAIAAgACAAIAAgACAASQBOAEQARQBYACgAewBcAG4AIAAgACAAIAAgACAAIAAgACAAIABcACIATQBVAF8AagBmAFwAIgAsAFwAIgBtAGEAcwBzACAAbwBmACAAdQByAGUAYQAgAG8AZgAgAGkAbgBvAHIAZwBhAG4AaQBjACAAZgBlAHIAdABpAGwAaQBzAGUAcgAgAHQAeQBwAGUAIABmACAAYQBwAHAAbABpAGUAZAAgAHQAbwAgAHAAcgBvAGQAdQBjAHQAaQBvAG4AIABzAHkAcwB0AGUAbQAgAGoAXAAiACwAIABcACIAawBnACAAdQByAGUAYQBcACIALAAgAFwAIgBDAGEAbABjAHUAbABhAHQAZQBkAFwAIgA7AFwAbgAgACAAIAAgACAAIAAgACAAIAAgAFwAIgBFAEYAXwB1AHIAZQBhAEMATwAyAFwAIgAsAFwAIgBlAG0AaQBzAHMAaQBvAG4AIABmAGEAYwB0AG8AcgAgAGYAbwByACAAYwBhAHIAYgBvAG4AIABlAG0AaQBzAHMAaQBvAG4AcwAgAGYAcgBvAG0AIAB1AHIAZQBhAC0AYgBhAHMAZQBkACAAZgBlAHIAdABpAGwAaQBzAGUAcgBzAFwAIgAsACAAXAAiAGsAZwAgAEMALwBrAGcAIAB1AHIAZQBhAFwAIgAsACAAXAAiAEMAbwBuAHMAdABhAG4AdABcACIAOwBcAG4AIAAgACAAIAAgACAAIAAgACAAIABcACIAQwBfAEMATwAyAFwAIgAsAFwAIgBmAGEAYwB0AG8AcgAgAHQAbwAgAGMAbwBuAHYAZQByAHQAIABlAGwAZQBtAGUAbgB0AGEAbAAgAG0AYQBzAHMAIABvAGYAIABjAGEAcgBiAG8AbgAgAHQAbwAgAG0AbwBsAGUAYwB1AGwAYQByACAAbQBhAHMAcwAgAG8AZgAgAGMAYQByAGIAbwBuACAAZABpAG8AeABpAGQAZQBcACIALAAgAFwAIgBcACIALAAgAFwAIgBDAG8AbgBzAHQAYQBuAHQAXAAiADsAXABuACAAIAAgACAAIAAgACAAIAAgACAAXAAiAGoAXAAiACwAXAAiAFAAcgBvAGQAdQBjAHQAaQBvAG4AIABzAHkAcwB0AGUAbQBcACIALAAgAFwAIgBcACIALAAgAFwAIgBJAG4AcAB1AHQAXAAiADsAXABuACAAIAAgACAAIAAgACAAIAAgACAAXAAiAGYAXAAiACwAXAAiAEkAbgBvAHIAZwBhAG4AaQBjACAAZgBlAHIAdABpAGwAaQBzAGUAcgAgAHQAeQBwAGUAXAAiACwAIABcACIAXAAiACwAIABcACIATABvAG8AawB1AHAAXAAiAFwAbgAgACAAIAAgACAAIAAgACAAfQAsACAAcgAsACAAYwApAFwAbgAgACAAIAAgACAAIAApAFwAbgAgACAAIAAgACkAXABuACAAIAApADsAXABuAFwAbgAvACoAIABcAG4ALQAtAC0ALQAtAC0ALQAtAC0ALQAtAC0ALQAtAC0ALQAtAC0ALQAtAC0ALQAtAC0ALQAtAC0ALQAtAC0ALQAtAC0ALQAtAC0ALQAtAFwAbgBWAEUARQBSAEcAXwA1AF8AMQBfADEAXwAzAF8AXwAyAF8ATQBhAHMAcwBPAGYAVQByAGUAYQBJAG4ASQBuAG8AcgBnAGEAbgBpAGMARgBlAHIAdABpAGwAaQBzAGUAcgBcAG4ATQBhAHMAcwAgAG8AZgAgAHUAcgBlAGEAIABhAHAAcABsAGkAZQBkACAAdABvACAAcAByAG8AZAB1AGMAdABpAG8AbgAgAHMAeQBzAHQAZQBtAFwAbgBNAFUAXwBqAGYAXABuAGsAZwAgAHUAcgBlAGEAXABuAHsATQBVAH0AXwB7AGoAZgB9AD0AVABNAF8AewBqAGYAfQBcAFwAdABpAG0AZQBzACAARgBVAF8AZgBcAG4AVABNAF8AagBmAFwAbgBGAFUAXwBmAFwAbgBqAFwAbgBmAFwAbgAtAC0ALQAtAC0ALQAtAC0ALQAtAC0ALQAtAC0ALQAtAC0ALQAtAC0ALQAtAC0ALQAtAC0ALQAtAC0ALQAtAC0ALQAtAC0ALQAtAC0AXABuACoALwBcAG4AXABuAFYARQBFAFIARwBfADUAXwAxAF8AMQBfADMAXwBfADIAXwBNAGEAcwBzAE8AZgBVAHIAZQBhAEkAbgBJAG4AbwByAGcAYQBuAGkAYwBGAGUAcgB0AGkAbABpAHMAZQByAFwAbgAgACAAPQBMAEEATQBCAEQAQQAoAFwAbgAgACAAIAAgAFQATQBfAGoAZgAsACAARgBVAF8AZgAsAFwAbgAgACAAIAAgAFQATQBfAGoAZgAgACoAIABGAFUAXwBmAFwAbgAgACAAKQA7AFwAbgBcAG4AVgBFAEUAUgBHAF8ANQBfADEAXwAxAF8AMwBfAF8AMgBfAE0AYQBzAHMATwBmAFUAcgBlAGEASQBuAEkAbgBvAHIAZwBhAG4AaQBjAEYAZQByAHQAaQBsAGkAcwBlAHIAXwBUAGkAdABsAGUAXABuACAAIAA9AEwAQQBNAEIARABBACgAXAAiAE0AYQBzAHMAIABvAGYAIAB1AHIAZQBhACAAYQBwAHAAbABpAGUAZAAgAHQAbwAgAHAAcgBvAGQAdQBjAHQAaQBvAG4AIABzAHkAcwB0AGUAbQBcACIAKQA7AFwAbgBcAG4AVgBFAEUAUgBHAF8ANQBfADEAXwAxAF8AMwBfAF8AMgBfAE0AYQBzAHMATwBmAFUAcgBlAGEASQBuAEkAbgBvAHIAZwBhAG4AaQBjAEYAZQByAHQAaQBsAGkAcwBlAHIAXwBWAGEAcgBpAGEAYgBsAGUAXABuACAAIAA9AEwAQQBNAEIARABBACgAXAAiAE0AVQBfAGoAZgBcACIAKQA7AFwAbgBcAG4AVgBFAEUAUgBHAF8ANQBfADEAXwAxAF8AMwBfAF8AMgBfAE0AYQBzAHMATwBmAFUAcgBlAGEASQBuAEkAbgBvAHIAZwBhAG4AaQBjAEYAZQByAHQAaQBsAGkAcwBlAHIAXwBVAG4AaQB0AFwAbgAgACAAPQBMAEEATQBCAEQAQQAoAFwAIgBrAGcAIAB1AHIAZQBhAFwAIgApADsAXABuAFwAbgBWAEUARQBSAEcAXwA1AF8AMQBfADEAXwAzAF8AXwAyAF8ATQBhAHMAcwBPAGYAVQByAGUAYQBJAG4ASQBuAG8AcgBnAGEAbgBpAGMARgBlAHIAdABpAGwAaQBzAGUAcgBfAFMAbwB1AHIAYwBlAFwAbgAgACAAPQBMAEEATQBCAEQAQQAoAFwAIgBWAEUARQBSAEcAIAAyADAAMgA2ADoAIAA1AC4AMQAuADEALgAzACwAIABFAHEAdQBhAHQAaQBvAG4AIAAoADIAKQBcACIAKQA7AFwAbgBcAG4AVgBFAEUAUgBHAF8ANQBfADEAXwAxAF8AMwBfAF8AMgBfAE0AYQBzAHMATwBmAFUAcgBlAGEASQBuAEkAbgBvAHIAZwBhAG4AaQBjAEYAZQByAHQAaQBsAGkAcwBlAHIAXwBOAEkAUgBSAGUAZgBlAHIAZQBuAGMAZQBcAG4AIAAgAD0ATABBAE0AQgBEAEEAKABcACIAXAAiACkAOwBcAG4AXABuAFYARQBFAFIARwBfADUAXwAxAF8AMQBfADMAXwBfADIAXwBNAGEAcwBzAE8AZgBVAHIAZQBhAEkAbgBJAG4AbwByAGcAYQBuAGkAYwBGAGUAcgB0AGkAbABpAHMAZQByAF8ATABhAHQAZQB4AEUAcQB1AGEAdABpAG8AbgBcAG4AIAAgAD0ATABBAE0AQgBEAEEAKABcACIAewBNAFUAfQBfAHsAagBmAH0APQBUAE0AXwB7AGoAZgB9AFwAXAB0AGkAbQBlAHMAIABGAFUAXwBmAFwAIgApADsAXABuAFwAbgBWAEUARQBSAEcAXwA1AF8AMQBfADEAXwAzAF8AXwAyAF8ATQBhAHMAcwBPAGYAVQByAGUAYQBJAG4ASQBuAG8AcgBnAGEAbgBpAGMARgBlAHIAdABpAGwAaQBzAGUAcgBfAEEAcgBnAHUAbQBlAG4AdABzAFwAbgAgACAAPQBMAEEATQBCAEQAQQAoAFwAbgAgACAAIAAgAE0AQQBLAEUAQQBSAFIAQQBZACgAMgAsACAANAAsACAAXABuACAAIAAgACAAIAAgAEwAQQBNAEIARABBACgAcgAsAGMALAAgAFwAbgAgACAAIAAgACAAIAAgACAASQBOAEQARQBYACgAewBcAG4AIAAgACAAIAAgACAAIAAgACAAIABcACIAVABNAF8AagBmAFwAIgAsAFwAIgB0AG8AdABhAGwAIABtAGEAcwBzACAAbwBmACAAaQBuAG8AcgBnAGEAbgBpAGMAIABmAGUAcgB0AGkAbABpAHMAZQByACAAdAB5AHAAZQAgAGYAIABhAHAAcABsAGkAZQBkACAAdABvACAAcAByAG8AZAB1AGMAdABpAG8AbgAgAHMAeQBzAHQAZQBtACAAagBcACIALABcACIAawBnAFwAIgAsACAAXAAiAEkAbgBwAHUAdABcACIAOwBcAG4AIAAgACAAIAAgACAAIAAgACAAIABcACIARgBVAF8AZgBcACIALABcACIAZgByAGEAYwB0AGkAbwBuACAAbwBmACAAdQByAGUAYQAgAGkAbgAgAGYAZQByAHQAaQBsAGkAcwBlAHIAIAB0AHkAcABlACAAZgBcACIALABcACIAawBnACAAdQByAGUAYQAvAGsAZwBcACIALAAgAFwAIgBMAG8AbwBrAHUAcABcACIAXABuACAAIAAgACAAIAAgACAAIAB9ACwAIAByACwAIABjACkAXABuACAAIAAgACAAIAAgACkAXABuACAAIAAgACAAKQBcAG4AIAAgACkAOwBcAG4AIgB9ACwAewAiAHAAYQB0AGgAIgA6ACIALwBwAHIAbwBqAGUAYwB0AHMALwBGAGUAcgB0AGkAbABpAHMAZQByAF8ARQBxAHUAYQB0AGkAbwBuAHMAXwBPAHIAZwBhAG4AaQBjAE4AMgBPACIALAAiAHQAZQB4AHQAIgA6ACIALwAqAFwAbgA9AD0APQA9AD0APQA9AD0APQA9AD0APQA9AD0APQA9AD0APQA9AD0APQA9AD0APQA9AD0APQA9AD0APQA9AD0APQA9AD0APQA9AD0AXABuADUAOgAgAEYAZQByAHQAaQBsAGkAcwBlAHIAIABVAHMAZQBcAG4APQA9AD0APQA9AD0APQA9AD0APQA9AD0APQA9AD0APQA9AD0APQA9AD0APQA9AD0APQA9AD0APQA9AD0APQA9AD0APQA9AD0APQA9AFwAbgA1AC4AMgAgAE8AcgBnAGEAbgBpAGMAIABmAGUAcgB0AGkAbABpAHMAZQByACAAYQBwAHAAbABpAGMAYQB0AGkAbwBuAFwAbgA9AD0APQA9AD0APQA9AD0APQA9AD0APQA9AD0APQA9AD0APQA9AD0APQA9AD0APQA9AD0APQA9AD0APQA9AD0APQA9AD0APQA9AD0AXABuACoALwBcAG4AXABuAC8AKgAgAFwAbgAtAC0ALQAtAC0ALQAtAC0ALQAtAC0ALQAtAC0ALQAtAC0ALQAtAC0ALQAtAC0ALQAtAC0ALQAtAC0ALQAtAC0ALQAtAC0ALQAtAC0AXABuAFYARQBFAFIARwBfADUAXwAyAF8AMQBfADEAXwBfADEAXwBPAHIAZwBhAG4AaQBjAEYAZQByAHQAaQBsAGkAcwBlAHIAQQBwAHAAbABpAGMAYQB0AGkAbwBuAE4AMgBPAEUAbQBpAHMAcwBpAG8AbgBzAFwAbgBOAGkAdAByAG8AdQBzACAAbwB4AGkAZABlACAAZQBtAGkAcwBzAGkAbwBuAHMAIABmAHIAbwBtACAAdABoAGUAIABhAHAAcABsAGkAYwBhAHQAaQBvAG4AIABvAGYAIABhAGwAbAAgAG8AcgBnAGEAbgBpAGMAIABmAGUAcgB0AGkAbABpAHMAZQByACAAdAB5AHAAZQBzACAAZgAgAHQAbwAgAGEAbABsACAAcAByAG8AZAB1AGMAdABpAG8AbgAgAHMAeQBzAHQAZQBtAHMAIABqAFwAbgBFAF8ATgAyAE8AXABuAHQAIABOADIATwBcAG4ARQBfAHsATgAyAE8AfQA9AFwAXABzAHUAbQBfAHsAagB9AFwAXABzAHUAbQBfAHsAZgB9ACgAKABNAE4AUwBvAGkAbABfAHsAagBmAH0AXABcAHQAaQBtAGUAcwAgAEUARgBfAHsATgAyAE8ALABpAH0AXABcAHQAaQBtAGUAcwAgAEMAXwB7AE4AMgBPAH0AKQBcAFwAdABpAG0AZQBzACAAMQAwAF4AewAtADMAfQApAFwAbgBNAE4AUwBvAGkAbABfAGoAZgBcAG4ARQBGAF8ATgAyAE8AaQBcAG4AQwBfAE4AMgBPAFwAbgBqAFwAbgBpAFwAbgBmAFwAbgAtAC0ALQAtAC0ALQAtAC0ALQAtAC0ALQAtAC0ALQAtAC0ALQAtAC0ALQAtAC0ALQAtAC0ALQAtAC0ALQAtAC0ALQAtAC0ALQAtAC0AXABuACoALwBcAG4AXABuAFYARQBFAFIARwBfADUAXwAyAF8AMQBfADEAXwBfADEAXwBPAHIAZwBhAG4AaQBjAEYAZQByAHQAaQBsAGkAcwBlAHIAQQBwAHAAbABpAGMAYQB0AGkAbwBuAE4AMgBPAEUAbQBpAHMAcwBpAG8AbgBzAFwAbgAgACAAPQBMAEEATQBCAEQAQQAoAFwAbgAgACAAIAAgAE0ATgBTAG8AaQBsAF8AagBmACwAIABFAEYAXwBOADIATwBpACwAIABDAF8ATgAyAE8ALABcAG4AIAAgACAAIAAoAE0ATgBTAG8AaQBsAF8AagBmACAAKgAgAEUARgBfAE4AMgBPAGkAIAAqACAAQwBfAE4AMgBPACkAIAAqACAAMQAwACAAXgAgAC0AMwBcAG4AIAAgACkAOwBcAG4AXABuAFYARQBFAFIARwBfADUAXwAyAF8AMQBfADEAXwBfADEAXwBPAHIAZwBhAG4AaQBjAEYAZQByAHQAaQBsAGkAcwBlAHIAQQBwAHAAbABpAGMAYQB0AGkAbwBuAE4AMgBPAEUAbQBpAHMAcwBpAG8AbgBzAF8AVABpAHQAbABlAFwAbgAgACAAPQBMAEEATQBCAEQAQQAoAFwAIgBOAGkAdAByAG8AdQBzACAAbwB4AGkAZABlACAAZQBtAGkAcwBzAGkAbwBuAHMAIABmAHIAbwBtACAAdABoAGUAIABhAHAAcABsAGkAYwBhAHQAaQBvAG4AIABvAGYAIABhAGwAbAAgAG8AcgBnAGEAbgBpAGMAIABmAGUAcgB0AGkAbABpAHMAZQByACAAdAB5AHAAZQBzACAAZgAgAHQAbwAgAGEAbABsACAAcAByAG8AZAB1AGMAdABpAG8AbgAgAHMAeQBzAHQAZQBtAHMAIABqAFwAIgApADsAXABuAFwAbgBWAEUARQBSAEcAXwA1AF8AMgBfADEAXwAxAF8AXwAxAF8ATwByAGcAYQBuAGkAYwBGAGUAcgB0AGkAbABpAHMAZQByAEEAcABwAGwAaQBjAGEAdABpAG8AbgBOADIATwBFAG0AaQBzAHMAaQBvAG4AcwBfAFYAYQByAGkAYQBiAGwAZQBcAG4AIAAgAD0ATABBAE0AQgBEAEEAKABcACIARQBfAE4AMgBPAFwAIgApADsAXABuAFwAbgBWAEUARQBSAEcAXwA1AF8AMgBfADEAXwAxAF8AXwAxAF8ATwByAGcAYQBuAGkAYwBGAGUAcgB0AGkAbABpAHMAZQByAEEAcABwAGwAaQBjAGEAdABpAG8AbgBOADIATwBFAG0AaQBzAHMAaQBvAG4AcwBfAFUAbgBpAHQAXABuACAAIAA9AEwAQQBNAEIARABBACgAXAAiAHQAIABOADIATwBcACIAKQA7AFwAbgBcAG4AVgBFAEUAUgBHAF8ANQBfADIAXwAxAF8AMQBfAF8AMQBfAE8AcgBnAGEAbgBpAGMARgBlAHIAdABpAGwAaQBzAGUAcgBBAHAAcABsAGkAYwBhAHQAaQBvAG4ATgAyAE8ARQBtAGkAcwBzAGkAbwBuAHMAXwBTAG8AdQByAGMAZQBcAG4AIAAgAD0ATABBAE0AQgBEAEEAKABcACIAVgBFAEUAUgBHACAAMgAwADIANgA6ACAANQAuADIALgAxAC4AMQAsACAARQBxAHUAYQB0AGkAbwBuACAAKAAxACkAXAAiACkAOwBcAG4AXABuAFYARQBFAFIARwBfADUAXwAyAF8AMQBfADEAXwBfADEAXwBPAHIAZwBhAG4AaQBjAEYAZQByAHQAaQBsAGkAcwBlAHIAQQBwAHAAbABpAGMAYQB0AGkAbwBuAE4AMgBPAEUAbQBpAHMAcwBpAG8AbgBzAF8ATgBJAFIAUgBlAGYAZQByAGUAbgBjAGUAXABuACAAIAA9AEwAQQBNAEIARABBACgAXAAiAFwAIgApADsAXABuAFwAbgBWAEUARQBSAEcAXwA1AF8AMgBfADEAXwAxAF8AXwAxAF8ATwByAGcAYQBuAGkAYwBGAGUAcgB0AGkAbABpAHMAZQByAEEAcABwAGwAaQBjAGEAdABpAG8AbgBOADIATwBFAG0AaQBzAHMAaQBvAG4AcwBfAEwAYQB0AGUAeABFAHEAdQBhAHQAaQBvAG4AXABuACAAIAA9AEwAQQBNAEIARABBACgAXAAiAEUAXwB7AE4AMgBPAH0APQBcAFwAcwB1AG0AXwB7AGoAfQBcAFwAcwB1AG0AXwB7AGYAfQAoACgATQBOAFMAbwBpAGwAXwB7AGoAZgB9AFwAXAB0AGkAbQBlAHMAIABFAEYAXwB7AE4AMgBPACwAaQB9AFwAXAB0AGkAbQBlAHMAIABDAF8AewBOADIATwB9ACkAXABcAHQAaQBtAGUAcwAgADEAMABeAHsALQAzAH0AKQBcACIAKQA7AFwAbgBcAG4AVgBFAEUAUgBHAF8ANQBfADIAXwAxAF8AMQBfAF8AMQBfAE8AcgBnAGEAbgBpAGMARgBlAHIAdABpAGwAaQBzAGUAcgBBAHAAcABsAGkAYwBhAHQAaQBvAG4ATgAyAE8ARQBtAGkAcwBzAGkAbwBuAHMAXwBBAHIAZwB1AG0AZQBuAHQAcwBcAG4AIAAgAD0ATABBAE0AQgBEAEEAKABcAG4AIAAgACAAIABNAEEASwBFAEEAUgBSAEEAWQAoADUALAAgADQALAAgAFwAbgAgACAAIAAgACAAIABMAEEATQBCAEQAQQAoAHIALABjACwAIABcAG4AIAAgACAAIAAgACAAIAAgAEkATgBEAEUAWAAoAHsAXABuACAAIAAgACAAIAAgACAAIAAgACAAXAAiAE0ATgBTAG8AaQBsAF8AagBmAFwAIgAsAFwAIgBtAGEAcwBzACAAbwBmACAAbgBpAHQAcgBvAGcAZQBuACAAaQBuACAAbwByAGcAYQBuAGkAYwAgAGYAZQByAHQAaQBsAGkAcwBlAHIAIAB0AHkAcABlACAAZgAgAGEAcABwAGwAaQBlAGQAIAB0AG8AIABwAHIAbwBkAHUAYwB0AGkAbwBuACAAcwB5AHMAdABlAG0AIABqAFwAIgAsACAAXAAiAGsAZwAgAE4AXAAiACwAIABcACIAQwBhAGwAYwB1AGwAYQB0AGUAZAAgAGYAcgBvAG0AIAA1AC4AMgAuADEALgAxACAAKAAyACkAXAAiADsAXABuACAAIAAgACAAIAAgACAAIAAgACAAXAAiAEUARgBfAE4AMgBPAGkAXAAiACwAXAAiAGUAbQBpAHMAcwBpAG8AbgAgAGYAYQBjAHQAbwByACAAZgBvAHIAIABkAGkAcgBlAGMAdAAgAG4AaQB0AHIAbwB1AHMAIABvAHgAaQBkAGUAIABlAG0AaQBzAHMAaQBvAG4AcwAgAGYAcgBvAG0AIABvAHIAZwBhAG4AaQBjACAAZgBlAHIAdABpAGwAaQBzAGUAcgAgAGEAcABwAGwAaQBlAGQAIAB0AG8AIABzAG8AaQBsAHMAIABhAG4AZAAgAGEAcQB1AGEAdABpAGMAIABzAHkAcwB0AGUAbQBzACAAaQBuACAAYwBsAGkAbQBhAHQAZQAgAHoAbwBuAGUAIABpAFwAIgAsACAAXAAiAGsAZwAgAE4AMgBPAC0ATgAvAGsAZwAgAE4AXAAiACwAIABcACIATABvAG8AawB1AHAAXAAiADsAXABuACAAIAAgACAAIAAgACAAIAAgACAAXAAiAEMAXwBOADIATwBcACIALABcACIAZgBhAGMAdABvAHIAIAB0AG8AIABjAG8AbgB2AGUAcgB0ACAAZQBsAGUAbQBlAG4AdABhAGwAIABtAGEAcwBzACAAbwBmACAAbgBpAHQAcgBvAHUAcwAgAG8AeABpAGQAZQAgAHQAbwAgAG0AbwBsAGUAYwB1AGwAYQByACAAbQBhAHMAcwBcACIALAAgAFwAIgBcACIALAAgAFwAIgBDAG8AbgBzAHQAYQBuAHQAXAAiADsAXABuACAAIAAgACAAIAAgACAAIAAgACAAXAAiAGoAXAAiACwAXAAiAFAAcgBvAGQAdQBjAHQAaQBvAG4AIABzAHkAcwB0AGUAbQBcACIALAAgAFwAIgBcACIALAAgAFwAIgBJAG4AcAB1AHQAXAAiADsAXABuACAAIAAgACAAIAAgACAAIAAgACAAXAAiAGkAXAAiACwAXAAiAFcAZQB0ACAAbwByACAAZAByAHkAIABjAGwAaQBtAGEAdABlACAAegBvAG4AZQBcACIALAAgAFwAIgBcACIALAAgAFwAIgBJAG4AcAB1AHQAXAAiAFwAbgAgACAAIAAgACAAIAAgACAAfQAsACAAcgAsACAAYwApAFwAbgAgACAAIAAgACAAIAApAFwAbgAgACAAIAAgACkAXABuACAAIAApADsAXABuAFwAbgAvACoAIABcAG4ALQAtAC0ALQAtAC0ALQAtAC0ALQAtAC0ALQAtAC0ALQAtAC0ALQAtAC0ALQAtAC0ALQAtAC0ALQAtAC0ALQAtAC0ALQAtAC0ALQAtAFwAbgBWAEUARQBSAEcAXwA1AF8AMgBfADEAXwAxAF8AXwAyAF8ATQBhAHMAcwBPAGYATgBpAHQAcgBvAGcAZQBuAEkAbgBPAHIAZwBhAG4AaQBjAEYAZQByAHQAaQBsAGkAcwBlAHIAXABuAE0AYQBzAHMAIABvAGYAIABuAGkAdAByAG8AZwBlAG4AIABpAG4AIABwAHUAcgBjAGgAYQBzAGUAZAAgAG8AcgBnAGEAbgBpAGMAIABmAGUAcgB0AGkAbABpAHMAZQByAHMAIABhAHAAcABsAGkAZQBkACAAdABvACAAcAByAG8AZAB1AGMAdABpAG8AbgAgAHMAeQBzAHQAZQBtAFwAbgBNAE4AUwBvAGkAbABfAGoAZgBcAG4AawBnACAATgBcAG4ATQBOAFMAbwBpAGwAXwB7AGoAZgB9AD0ATQBfAHsAbwByAGcAYQBuAGkAYwAsAGoAZgB9AFwAXAB0AGkAbQBlAHMAIABGAE4AXwB7AG8AcgBnAGEAbgBpAGMALABmAH0AXABuAE0AXwBvAHIAZwBhAG4AaQBjAGoAZgBcAG4ARgBOAF8AbwByAGcAYQBuAGkAYwBmAFwAbgBqAFwAbgBmAFwAbgAtAC0ALQAtAC0ALQAtAC0ALQAtAC0ALQAtAC0ALQAtAC0ALQAtAC0ALQAtAC0ALQAtAC0ALQAtAC0ALQAtAC0ALQAtAC0ALQAtAC0AXABuACoALwBcAG4AXABuAFYARQBFAFIARwBfADUAXwAyAF8AMQBfADEAXwBfADIAXwBNAGEAcwBzAE8AZgBOAGkAdAByAG8AZwBlAG4ASQBuAE8AcgBnAGEAbgBpAGMARgBlAHIAdABpAGwAaQBzAGUAcgBcAG4AIAAgAD0ATABBAE0AQgBEAEEAKABcAG4AIAAgACAAIABNAF8AbwByAGcAYQBuAGkAYwBqAGYALAAgAEYATgBfAG8AcgBnAGEAbgBpAGMAZgAsAFwAbgAgACAAIAAgAE0AXwBvAHIAZwBhAG4AaQBjAGoAZgAgACoAIABGAE4AXwBvAHIAZwBhAG4AaQBjAGYAXABuACAAIAApADsAXABuAFwAbgBWAEUARQBSAEcAXwA1AF8AMgBfADEAXwAxAF8AXwAyAF8ATQBhAHMAcwBPAGYATgBpAHQAcgBvAGcAZQBuAEkAbgBPAHIAZwBhAG4AaQBjAEYAZQByAHQAaQBsAGkAcwBlAHIAXwBUAGkAdABsAGUAXABuACAAIAA9AEwAQQBNAEIARABBACgAXAAiAE0AYQBzAHMAIABvAGYAIABuAGkAdAByAG8AZwBlAG4AIABpAG4AIABwAHUAcgBjAGgAYQBzAGUAZAAgAG8AcgBnAGEAbgBpAGMAIABmAGUAcgB0AGkAbABpAHMAZQByAHMAIABhAHAAcABsAGkAZQBkACAAdABvACAAcAByAG8AZAB1AGMAdABpAG8AbgAgAHMAeQBzAHQAZQBtAFwAIgApADsAXABuAFwAbgBWAEUARQBSAEcAXwA1AF8AMgBfADEAXwAxAF8AXwAyAF8ATQBhAHMAcwBPAGYATgBpAHQAcgBvAGcAZQBuAEkAbgBPAHIAZwBhAG4AaQBjAEYAZQByAHQAaQBsAGkAcwBlAHIAXwBWAGEAcgBpAGEAYgBsAGUAXABuACAAIAA9AEwAQQBNAEIARABBACgAXAAiAE0ATgBTAG8AaQBsAF8AagBmAFwAIgApADsAXABuAFwAbgBWAEUARQBSAEcAXwA1AF8AMgBfADEAXwAxAF8AXwAyAF8ATQBhAHMAcwBPAGYATgBpAHQAcgBvAGcAZQBuAEkAbgBPAHIAZwBhAG4AaQBjAEYAZQByAHQAaQBsAGkAcwBlAHIAXwBVAG4AaQB0AFwAbgAgACAAPQBMAEEATQBCAEQAQQAoAFwAIgBrAGcAIABOAFwAIgApADsAXABuAFwAbgBWAEUARQBSAEcAXwA1AF8AMgBfADEAXwAxAF8AXwAyAF8ATQBhAHMAcwBPAGYATgBpAHQAcgBvAGcAZQBuAEkAbgBPAHIAZwBhAG4AaQBjAEYAZQByAHQAaQBsAGkAcwBlAHIAXwBTAG8AdQByAGMAZQBcAG4AIAAgAD0ATABBAE0AQgBEAEEAKABcACIAVgBFAEUAUgBHACAAMgAwADIANgA6ACAANQAuADIALgAxAC4AMQAsACAARQBxAHUAYQB0AGkAbwBuACAAKAAyACkAXAAiACkAOwBcAG4AXABuAFYARQBFAFIARwBfADUAXwAyAF8AMQBfADEAXwBfADIAXwBNAGEAcwBzAE8AZgBOAGkAdAByAG8AZwBlAG4ASQBuAE8AcgBnAGEAbgBpAGMARgBlAHIAdABpAGwAaQBzAGUAcgBfAE4ASQBSAFIAZQBmAGUAcgBlAG4AYwBlAFwAbgAgACAAPQBMAEEATQBCAEQAQQAoAFwAIgBcACIAKQA7AFwAbgBcAG4AVgBFAEUAUgBHAF8ANQBfADIAXwAxAF8AMQBfAF8AMgBfAE0AYQBzAHMATwBmAE4AaQB0AHIAbwBnAGUAbgBJAG4ATwByAGcAYQBuAGkAYwBGAGUAcgB0AGkAbABpAHMAZQByAF8ATABhAHQAZQB4AEUAcQB1AGEAdABpAG8AbgBcAG4AIAAgAD0ATABBAE0AQgBEAEEAKABcACIATQBOAFMAbwBpAGwAXwB7AGoAZgB9AD0ATQBfAHsAbwByAGcAYQBuAGkAYwAsAGoAZgB9AFwAXAB0AGkAbQBlAHMAIABGAE4AXwB7AG8AcgBnAGEAbgBpAGMALABmAH0AXAAiACkAOwBcAG4AXABuAFYARQBFAFIARwBfADUAXwAyAF8AMQBfADEAXwBfADIAXwBNAGEAcwBzAE8AZgBOAGkAdAByAG8AZwBlAG4ASQBuAE8AcgBnAGEAbgBpAGMARgBlAHIAdABpAGwAaQBzAGUAcgBfAEEAcgBnAHUAbQBlAG4AdABzAFwAbgAgACAAPQBMAEEATQBCAEQAQQAoAFwAbgAgACAAIAAgAE0AQQBLAEUAQQBSAFIAQQBZACgAMwAsACAANAAsACAAXABuACAAIAAgACAAIAAgAEwAQQBNAEIARABBACgAcgAsAGMALAAgAFwAbgAgACAAIAAgACAAIAAgACAASQBOAEQARQBYACgAewBcAG4AIAAgACAAIAAgACAAIAAgACAAIABcACIATQBfAG8AcgBnAGEAbgBpAGMAagBmAFwAIgAsAFwAIgBtAGEAcwBzACAAbwBmACAAbwByAGcAYQBuAGkAYwAgAGYAZQByAHQAaQBsAGkAcwBlAHIAIAB0AHkAcABlACAAZgAgAGEAcABwAGwAaQBlAGQAIAB0AG8AIABwAHIAbwBkAHUAYwB0AGkAbwBuACAAcwB5AHMAdABlAG0AIABqAFwAIgAsACAAXAAiAGsAZwBcACIALAAgAFwAIgBJAG4AcAB1AHQAXAAiADsAXABuACAAIAAgACAAIAAgACAAIAAgACAAXAAiAEYATgBfAG8AcgBnAGEAbgBpAGMAZgBcACIALABcACIAbgBpAHQAcgBvAGcAZQBuACAAZgByAGEAYwB0AGkAbwBuACAAbwBmACAAbwByAGcAYQBuAGkAYwAgAGYAZQByAHQAaQBsAGkAcwBlAHIAIAB0AHkAcABlACAAZgBcACIALAAgAFwAIgBrAGcAIABOAC8AawBnAFwAIgAsACAAXAAiAEkAbgBwAHUAdABcACIAOwBcAG4AIAAgACAAIAAgACAAIAAgACAAIABcACIAZgBcACIALABcACIATwByAGcAYQBuAGkAYwAgAGYAZQByAHQAaQBsAGkAcwBlAHIAIAB0AHkAcABlAFwAIgAsACAAXAAiAFwAIgAsACAAXAAiAEkAbgBwAHUAdABcACIAXABuACAAIAAgACAAIAAgACAAIAB9ACwAIAByACwAIABjACkAXABuACAAIAAgACAAIAAgACkAXABuACAAIAAgACAAKQBcAG4AIAAgACkAOwBcAG4AIgB9ACwAewAiAHAAYQB0AGgAIgA6ACIALwBwAHIAbwBqAGUAYwB0AHMALwBGAGUAcgB0AGkAbABpAHMAZQByAF8ARQBxAHUAYQB0AGkAbwBuAHMAXwBMAGkAbQBlACIALAAiAHQAZQB4AHQAIgA6ACIALwAqAFwAbgA9AD0APQA9AD0APQA9AD0APQA9AD0APQA9AD0APQA9AD0APQA9AD0APQA9AD0APQA9AD0APQA9AD0APQA9AD0APQA9AD0APQA9AD0AXABuADUAOgAgAEYAZQByAHQAaQBsAGkAcwBlAHIAIABVAHMAZQBcAG4APQA9AD0APQA9AD0APQA9AD0APQA9AD0APQA9AD0APQA9AD0APQA9AD0APQA9AD0APQA9AD0APQA9AD0APQA9AD0APQA9AD0APQA9AFwAbgA1AC4AMwAgAEwAaQBtAGUAIABhAHAAcABsAGkAYwBhAHQAaQBvAG4AXABuAD0APQA9AD0APQA9AD0APQA9AD0APQA9AD0APQA9AD0APQA9AD0APQA9AD0APQA9AD0APQA9AD0APQA9AD0APQA9AD0APQA9AD0APQBcAG4AKgAvAFwAbgBcAG4ALwAqACAAXABuAC0ALQAtAC0ALQAtAC0ALQAtAC0ALQAtAC0ALQAtAC0ALQAtAC0ALQAtAC0ALQAtAC0ALQAtAC0ALQAtAC0ALQAtAC0ALQAtAC0ALQBcAG4AVgBFAEUAUgBHAF8ANQBfADMAXwAxAF8AMQBfAF8AMQBfAEwAaQBtAGUAQQBwAHAAbABpAGMAYQB0AGkAbwBuAEMATwAyAEUAbQBpAHMAcwBpAG8AbgBzAFwAbgBFAG0AaQBzAHMAaQBvAG4AcwAgAGYAcgBvAG0AIAB0AGgAZQAgAGEAcABwAGwAaQBjAGEAdABpAG8AbgAgAG8AZgAgAGwAaQBtAGUAIABhAG4AZAAgAGQAbwBsAG8AbQBpAHQAZQAgAHQAbwAgAHAAcgBvAGQAdQBjAHQAaQBvAG4AIABzAHkAcwB0AGUAbQBzAFwAbgBFAF8AbABpAG0AZQBcAG4AdAAgAEMATwAyAFwAbgBFAF8AewBsAGkAbQBlAH0APQBbACgATQBfAHsAbABpAG0AZQB9AFwAXAB0AGkAbQBlAHMAIABGAHIAYQBjAEwAaQBtAGUAXABcAHQAaQBtAGUAcwAgAFAAXwB7AGwAaQBtAGUAfQBcAFwAdABpAG0AZQBzACAARQBGAF8AewBsAGkAbQBlAH0AKQArACgATQBfAHsAbABpAG0AZQB9AFwAXAB0AGkAbQBlAHMAIABGAHIAYQBjAEQAbwBsAFwAXAB0AGkAbQBlAHMAIABQAF8AewBkAG8AbAB9AFwAXAB0AGkAbQBlAHMAIABFAEYAXwB7AGQAbwBsAH0AKQBdAFwAXAB0AGkAbQBlAHMAIABDAF8AewBDAE8AMgB9AFwAXAB0AGkAbQBlAHMAIAAxADAAXgB7AC0AMwB9AFwAbgBNAF8AbABpAG0AZQBcAG4ARgByAGEAYwBMAGkAbQBlAFwAbgBQAF8AbABpAG0AZQBcAG4ARQBGAF8AbABpAG0AZQBcAG4ARgByAGEAYwBEAG8AbABcAG4AUABfAGQAbwBsAFwAbgBFAEYAXwBkAG8AbABcAG4AQwBfAEMATwAyAFwAbgAtAC0ALQAtAC0ALQAtAC0ALQAtAC0ALQAtAC0ALQAtAC0ALQAtAC0ALQAtAC0ALQAtAC0ALQAtAC0ALQAtAC0ALQAtAC0ALQAtAC0AXABuACoALwBcAG4AXABuAFYARQBFAFIARwBfADUAXwAzAF8AMQBfADEAXwBfADEAXwBMAGkAbQBlAEEAcABwAGwAaQBjAGEAdABpAG8AbgBDAE8AMgBFAG0AaQBzAHMAaQBvAG4AcwBcAG4AIAAgAD0ATABBAE0AQgBEAEEAKABcAG4AIAAgACAAIABNAF8AbABpAG0AZQAsACAARgByAGEAYwBMAGkAbQBlACwAIABQAF8AbABpAG0AZQAsACAARQBGAF8AbABpAG0AZQAsACAARgByAGEAYwBEAG8AbAAsACAAUABfAGQAbwBsACwAIABFAEYAXwBkAG8AbAAsACAAQwBfAEMATwAyACwAXABuACAAIAAgACAAKAAoAE0AXwBsAGkAbQBlACAAKgAgAEYAcgBhAGMATABpAG0AZQAgACoAIABQAF8AbABpAG0AZQAgACoAIABFAEYAXwBsAGkAbQBlACkAIAArACAAKABNAF8AbABpAG0AZQAgACoAIABGAHIAYQBjAEQAbwBsACAAKgAgAFAAXwBkAG8AbAAgACoAIABFAEYAXwBkAG8AbAApACkAIAAqACAAQwBfAEMATwAyACAAKgAgADEAMAAgAF4AIAAtADMAXABuACAAIAApADsAXABuAFwAbgBWAEUARQBSAEcAXwA1AF8AMwBfADEAXwAxAF8AXwAxAF8ATABpAG0AZQBBAHAAcABsAGkAYwBhAHQAaQBvAG4AQwBPADIARQBtAGkAcwBzAGkAbwBuAHMAXwBUAGkAdABsAGUAXABuACAAIAA9AEwAQQBNAEIARABBACgAXAAiAEUAbQBpAHMAcwBpAG8AbgBzACAAZgByAG8AbQAgAHQAaABlACAAYQBwAHAAbABpAGMAYQB0AGkAbwBuACAAbwBmACAAbABpAG0AZQAgAGEAbgBkACAAZABvAGwAbwBtAGkAdABlACAAdABvACAAcAByAG8AZAB1AGMAdABpAG8AbgAgAHMAeQBzAHQAZQBtAHMAXAAiACkAOwBcAG4AXABuAFYARQBFAFIARwBfADUAXwAzAF8AMQBfADEAXwBfADEAXwBMAGkAbQBlAEEAcABwAGwAaQBjAGEAdABpAG8AbgBDAE8AMgBFAG0AaQBzAHMAaQBvAG4AcwBfAFYAYQByAGkAYQBiAGwAZQBcAG4AIAAgAD0ATABBAE0AQgBEAEEAKABcACIARQBfAGwAaQBtAGUAXAAiACkAOwBcAG4AXABuAFYARQBFAFIARwBfADUAXwAzAF8AMQBfADEAXwBfADEAXwBMAGkAbQBlAEEAcABwAGwAaQBjAGEAdABpAG8AbgBDAE8AMgBFAG0AaQBzAHMAaQBvAG4AcwBfAFUAbgBpAHQAXABuACAAIAA9AEwAQQBNAEIARABBACgAXAAiAHQAIABDAE8AMgBcACIAKQA7AFwAbgBcAG4AVgBFAEUAUgBHAF8ANQBfADMAXwAxAF8AMQBfAF8AMQBfAEwAaQBtAGUAQQBwAHAAbABpAGMAYQB0AGkAbwBuAEMATwAyAEUAbQBpAHMAcwBpAG8AbgBzAF8AUwBvAHUAcgBjAGUAXABuACAAIAA9AEwAQQBNAEIARABBACgAXAAiAFYARQBFAFIARwAgADIAMAAyADYAOgAgADUALgAzAC4AMQAuADEALAAgAEUAcQB1AGEAdABpAG8AbgAgACgAMQApAFwAIgApADsAXABuAFwAbgBWAEUARQBSAEcAXwA1AF8AMwBfADEAXwAxAF8AXwAxAF8ATABpAG0AZQBBAHAAcABsAGkAYwBhAHQAaQBvAG4AQwBPADIARQBtAGkAcwBzAGkAbwBuAHMAXwBOAEkAUgBSAGUAZgBlAHIAZQBuAGMAZQBcAG4AIAAgAD0ATABBAE0AQgBEAEEAKABcACIAXAAiACkAOwBcAG4AXABuAFYARQBFAFIARwBfADUAXwAzAF8AMQBfADEAXwBfADEAXwBMAGkAbQBlAEEAcABwAGwAaQBjAGEAdABpAG8AbgBDAE8AMgBFAG0AaQBzAHMAaQBvAG4AcwBfAEwAYQB0AGUAeABFAHEAdQBhAHQAaQBvAG4AXABuACAAIAA9AEwAQQBNAEIARABBACgAXAAiAEUAXwB7AGwAaQBtAGUAfQA9AFsAKABNAF8AewBsAGkAbQBlAH0AXABcAHQAaQBtAGUAcwAgAEYAcgBhAGMATABpAG0AZQBcAFwAdABpAG0AZQBzACAAUABfAHsAbABpAG0AZQB9AFwAXAB0AGkAbQBlAHMAIABFAEYAXwB7AGwAaQBtAGUAfQApACsAKABNAF8AewBsAGkAbQBlAH0AXABcAHQAaQBtAGUAcwAgAEYAcgBhAGMARABvAGwAXABcAHQAaQBtAGUAcwAgAFAAXwB7AGQAbwBsAH0AXABcAHQAaQBtAGUAcwAgAEUARgBfAHsAZABvAGwAfQApAF0AXABcAHQAaQBtAGUAcwAgAEMAXwB7AEMATwAyAH0AXABcAHQAaQBtAGUAcwAgADEAMABeAHsALQAzAH0AXAAiACkAOwBcAG4AXABuAFYARQBFAFIARwBfADUAXwAzAF8AMQBfADEAXwBfADEAXwBMAGkAbQBlAEEAcABwAGwAaQBjAGEAdABpAG8AbgBDAE8AMgBFAG0AaQBzAHMAaQBvAG4AcwBfAEEAcgBnAHUAbQBlAG4AdABzAFwAbgAgACAAPQBMAEEATQBCAEQAQQAoAFwAbgAgACAAIAAgAE0AQQBLAEUAQQBSAFIAQQBZACgAOAAsACAANAAsACAAXABuACAAIAAgACAAIAAgAEwAQQBNAEIARABBACgAcgAsAGMALAAgAFwAbgAgACAAIAAgACAAIAAgACAASQBOAEQARQBYACgAewBcAG4AIAAgACAAIAAgACAAIAAgACAAIABcACIATQBfAGwAaQBtAGUAXAAiACwAXAAiAHQAbwB0AGEAbAAgAG0AYQBzAHMAIABvAGYAIABsAGkAbQBlACAAYQBwAHAAbABpAGUAZAAgAHQAbwAgAHAAcgBvAGQAdQBjAHQAaQBvAG4AIABzAHkAcwB0AGUAbQBcACIALAAgAFwAIgBrAGcAXAAiACwAIABcACIASQBuAHAAdQB0AFwAIgA7AFwAbgAgACAAIAAgACAAIAAgACAAIAAgAFwAIgBGAHIAYQBjAEwAaQBtAGUAXAAiACwAXAAiAGYAcgBhAGMAdABpAG8AbgAgAG8AZgAgAGwAaQBtAGUAIABhAHMAIABsAGkAbQBlAHMAdABvAG4AZQAgACgAQwBhAEMATwAzACkAXAAiACwAIABcACIAZgByAGEAYwB0AGkAbwBuAFwAIgAsACAAXAAiAEkAbgBwAHUAdABcACIAOwBcAG4AIAAgACAAIAAgACAAIAAgACAAIABcACIAUABfAGwAaQBtAGUAXAAiACwAXAAiAGYAcgBhAGMAdABpAG8AbgBhAGwAIABwAHUAcgBpAHQAeQAgAG8AZgAgAGwAaQBtAGUAcwB0AG8AbgBlAFwAIgAsACAAXAAiAGYAcgBhAGMAdABpAG8AbgBcACIALAAgAFwAIgBDAG8AbgBzAHQAYQBuAHQAXAAiADsAXABuACAAIAAgACAAIAAgACAAIAAgACAAXAAiAEUARgBfAGwAaQBtAGUAXAAiACwAXAAiAGUAbQBpAHMAcwBpAG8AbgAgAGYAYQBjAHQAbwByACAAZgBvAHIAIABsAGkAbQBlAHMAdABvAG4AZQAgAGYAcgBhAGMAdABpAG8AbgAgAG8AZgAgAGwAaQBtAGUAXAAiACwAIABcACIAawBnACAAQwAvAGsAZwBcACIALAAgAFwAIgBDAG8AbgBzAHQAYQBuAHQAXAAiADsAXABuACAAIAAgACAAIAAgACAAIAAgACAAXAAiAEYAcgBhAGMARABvAGwAXAAiACwAXAAiAGYAcgBhAGMAdABpAG8AbgAgAG8AZgAgAGwAaQBtAGUAIABhAHMAIABkAG8AbABvAG0AaQB0AGUAXAAiACwAIABcACIAZgByAGEAYwB0AGkAbwBuAFwAIgAsACAAXAAiAEkAbgBwAHUAdABcACIAOwBcAG4AIAAgACAAIAAgACAAIAAgACAAIABcACIAUABfAGQAbwBsAFwAIgAsAFwAIgBmAHIAYQBjAHQAaQBvAG4AYQBsACAAcAB1AHIAaQB0AHkAIABvAGYAIABkAG8AbABvAG0AaQB0AGUAXAAiACwAIABcACIAZgByAGEAYwB0AGkAbwBuAFwAIgAsACAAXAAiAEMAbwBuAHMAdABhAG4AdABcACIAOwBcAG4AIAAgACAAIAAgACAAIAAgACAAIABcACIARQBGAF8AZABvAGwAXAAiACwAXAAiAGUAbQBpAHMAcwBpAG8AbgAgAGYAYQBjAHQAbwByACAAZgBvAHIAIABkAG8AbABvAG0AaQB0AGUAIABmAHIAYQBjAHQAaQBvAG4AIABvAGYAIABsAGkAbQBlAFwAIgAsACAAXAAiAGsAZwAgAEMALwBrAGcAXAAiACwAIABcACIAQwBvAG4AcwB0AGEAbgB0AFwAIgA7AFwAbgAgACAAIAAgACAAIAAgACAAIAAgAFwAIgBDAF8AQwBPADIAXAAiACwAXAAiAGYAYQBjAHQAbwByACAAdABvACAAYwBvAG4AdgBlAHIAdAAgAGUAbABlAG0AZQBuAHQAYQBsACAAbQBhAHMAcwAgAG8AZgAgAGMAYQByAGIAbwBuACAAZABpAG8AeABpAGQAZQAgAHQAbwAgAG0AbwBsAGUAYwB1AGwAYQByACAAbQBhAHMAcwBcACIALAAgAFwAIgBcACIALAAgAFwAIgBDAG8AbgBzAHQAYQBuAHQAXAAiAFwAbgAgACAAIAAgACAAIAAgACAAfQAsACAAcgAsACAAYwApAFwAbgAgACAAIAAgACAAIAApAFwAbgAgACAAIAAgACkAXABuACAAIAApADsAXABuAFwAbgBcAG4AIgB9ACwAewAiAHAAYQB0AGgAIgA6ACIALwBwAHIAbwBqAGUAYwB0AHMALwBGAGUAcgB0AGkAbABpAHMAZQByAF8ARQBxAHUAYQB0AGkAbwBuAHMAXwBBAHQAbQBvAHMAcABoAGUAcgBpAGMARABlAHAAbwBzAGkAdABpAG8AbgAiACwAIgB0AGUAeAB0ACIAOgAiAC8AKgBcAG4APQA9AD0APQA9AD0APQA9AD0APQA9AD0APQA9AD0APQA9AD0APQA9AD0APQA9AD0APQA9AD0APQA9AD0APQA9AD0APQA9AD0APQA9AFwAbgA1ADoAIABGAGUAcgB0AGkAbABpAHMAZQByACAAVQBzAGUAXABuAD0APQA9AD0APQA9AD0APQA9AD0APQA9AD0APQA9AD0APQA9AD0APQA9AD0APQA9AD0APQA9AD0APQA9AD0APQA9AD0APQA9AD0APQBcAG4ANQAuADQAIABJAG4AbwByAGcAYQBuAGkAYwAgAGYAZQByAHQAaQBsAGkAcwBlAHIAIABhAHQAbQBvAHMAcABoAGUAcgBpAGMAIABkAGUAcABvAHMAaQB0AGkAbwBuAFwAbgA9AD0APQA9AD0APQA9AD0APQA9AD0APQA9AD0APQA9AD0APQA9AD0APQA9AD0APQA9AD0APQA9AD0APQA9AD0APQA9AD0APQA9AD0AXABuACoALwBcAG4AXABuAC8AKgAgAFwAbgAtAC0ALQAtAC0ALQAtAC0ALQAtAC0ALQAtAC0ALQAtAC0ALQAtAC0ALQAtAC0ALQAtAC0ALQAtAC0ALQAtAC0ALQAtAC0ALQAtAC0AXABuAFYARQBFAFIARwBfADUAXwA0AF8AMQBfADEAXwBfADEAXwBJAG4AbwByAGcAYQBuAGkAYwBGAGUAcgB0AGkAbABpAHMAZQByAEEAdABtAG8AcwBwAGgAZQByAGkAYwBEAGUAcABvAHMAaQB0AGkAbwBuAE4AMgBPAEUAbQBpAHMAcwBpAG8AbgBzAFwAbgBOAGkAdAByAG8AdQBzACAAbwB4AGkAZABlACAAZQBtAGkAcwBzAGkAbwBuAHMAIABmAHIAbwBtACAAYQB0AG0AbwBzAHAAaABlAHIAaQBjACAAZABlAHAAbwBzAGkAdABpAG8AbgAgAGYAcgBvAG0AIABhAGwAbAAgAGkAbgBvAHIAZwBhAG4AaQBjACAAZgBlAHIAdABpAGwAaQBzAGUAcgAgAHQAeQBwAGUAcwAgAGYAIABhAG4AZAAgAGEAbABsACAAcAByAG8AZAB1AGMAdABpAG8AbgAgAHMAeQBzAHQAZQBtAHMAIABqAFwAbgBFAF8AYQBkAGkAbgBvAHIAZwBhAG4AaQBjAFwAbgB0ACAATgAyAE8AXABuAEUAXwB7AGEAZAAsAGkAbgBvAHIAZwBhAG4AaQBjAH0APQBcAFwAcwB1AG0AXwB7AGoAfQBcAFwAcwB1AG0AXwB7AGYAfQAoACgATQBfAHsAdgBvAGwALABpAG4AbwByAGcAYQBuAGkAYwAsAGoAZgB9AFwAXAB0AGkAbQBlAHMAIABFAEYAXwB7AE4AMgBPACwAagB9ACkAXABcAHQAaQBtAGUAcwAgAEMAXwB7AE4AMgBPAH0AXABcAHQAaQBtAGUAcwAgADEAMABeAHsALQAzAH0AKQBcAG4ATQBfAHYAbwBsAGkAbgBvAHIAZwBhAG4AaQBjAGoAZgBcAG4ARQBGAF8ATgAyAE8AagBcAG4AQwBfAE4AMgBPAFwAbgBqAFwAbgBmAFwAbgAtAC0ALQAtAC0ALQAtAC0ALQAtAC0ALQAtAC0ALQAtAC0ALQAtAC0ALQAtAC0ALQAtAC0ALQAtAC0ALQAtAC0ALQAtAC0ALQAtAC0AXABuACoALwBcAG4AXABuAFYARQBFAFIARwBfADUAXwA0AF8AMQBfADEAXwBfADEAXwBJAG4AbwByAGcAYQBuAGkAYwBGAGUAcgB0AGkAbABpAHMAZQByAEEAdABtAG8AcwBwAGgAZQByAGkAYwBEAGUAcABvAHMAaQB0AGkAbwBuAE4AMgBPAEUAbQBpAHMAcwBpAG8AbgBzAFwAbgAgACAAPQBMAEEATQBCAEQAQQAoAFwAbgAgACAAIAAgAE0AXwB2AG8AbABpAG4AbwByAGcAYQBuAGkAYwBqAGYALAAgAEUARgBfAE4AMgBPAGoALAAgAEMAXwBOADIATwAsAFwAbgAgACAAIAAgACgATQBfAHYAbwBsAGkAbgBvAHIAZwBhAG4AaQBjAGoAZgAgACoAIABFAEYAXwBOADIATwBqACkAIAAqACAAQwBfAE4AMgBPACAAKgAgADEAMAAgAF4AIAAtADMAXABuACAAIAApADsAXABuAFwAbgBWAEUARQBSAEcAXwA1AF8ANABfADEAXwAxAF8AXwAxAF8ASQBuAG8AcgBnAGEAbgBpAGMARgBlAHIAdABpAGwAaQBzAGUAcgBBAHQAbQBvAHMAcABoAGUAcgBpAGMARABlAHAAbwBzAGkAdABpAG8AbgBOADIATwBFAG0AaQBzAHMAaQBvAG4AcwBfAFQAaQB0AGwAZQBcAG4AIAAgAD0ATABBAE0AQgBEAEEAKABcACIATgBpAHQAcgBvAHUAcwAgAG8AeABpAGQAZQAgAGUAbQBpAHMAcwBpAG8AbgBzACAAZgByAG8AbQAgAGEAdABtAG8AcwBwAGgAZQByAGkAYwAgAGQAZQBwAG8AcwBpAHQAaQBvAG4AIABmAHIAbwBtACAAYQBsAGwAIABpAG4AbwByAGcAYQBuAGkAYwAgAGYAZQByAHQAaQBsAGkAcwBlAHIAIAB0AHkAcABlAHMAIABmACAAYQBuAGQAIABhAGwAbAAgAHAAcgBvAGQAdQBjAHQAaQBvAG4AIABzAHkAcwB0AGUAbQBzACAAagBcACIAKQA7AFwAbgBcAG4AVgBFAEUAUgBHAF8ANQBfADQAXwAxAF8AMQBfAF8AMQBfAEkAbgBvAHIAZwBhAG4AaQBjAEYAZQByAHQAaQBsAGkAcwBlAHIAQQB0AG0AbwBzAHAAaABlAHIAaQBjAEQAZQBwAG8AcwBpAHQAaQBvAG4ATgAyAE8ARQBtAGkAcwBzAGkAbwBuAHMAXwBWAGEAcgBpAGEAYgBsAGUAXABuACAAIAA9AEwAQQBNAEIARABBACgAXAAiAEUAXwBhAGQAaQBuAG8AcgBnAGEAbgBpAGMAXAAiACkAOwBcAG4AXABuAFYARQBFAFIARwBfADUAXwA0AF8AMQBfADEAXwBfADEAXwBJAG4AbwByAGcAYQBuAGkAYwBGAGUAcgB0AGkAbABpAHMAZQByAEEAdABtAG8AcwBwAGgAZQByAGkAYwBEAGUAcABvAHMAaQB0AGkAbwBuAE4AMgBPAEUAbQBpAHMAcwBpAG8AbgBzAF8AVQBuAGkAdABcAG4AIAAgAD0ATABBAE0AQgBEAEEAKABcACIAdAAgAE4AMgBPAFwAIgApADsAXABuAFwAbgBWAEUARQBSAEcAXwA1AF8ANABfADEAXwAxAF8AXwAxAF8ASQBuAG8AcgBnAGEAbgBpAGMARgBlAHIAdABpAGwAaQBzAGUAcgBBAHQAbQBvAHMAcABoAGUAcgBpAGMARABlAHAAbwBzAGkAdABpAG8AbgBOADIATwBFAG0AaQBzAHMAaQBvAG4AcwBfAFMAbwB1AHIAYwBlAFwAbgAgACAAPQBMAEEATQBCAEQAQQAoAFwAIgBWAEUARQBSAEcAIAAyADAAMgA2ADoAIAA1AC4ANAAuADEALgAxACwAIABFAHEAdQBhAHQAaQBvAG4AIAAoADEAKQBcACIAKQA7AFwAbgBcAG4AVgBFAEUAUgBHAF8ANQBfADQAXwAxAF8AMQBfAF8AMQBfAEkAbgBvAHIAZwBhAG4AaQBjAEYAZQByAHQAaQBsAGkAcwBlAHIAQQB0AG0AbwBzAHAAaABlAHIAaQBjAEQAZQBwAG8AcwBpAHQAaQBvAG4ATgAyAE8ARQBtAGkAcwBzAGkAbwBuAHMAXwBOAEkAUgBSAGUAZgBlAHIAZQBuAGMAZQBcAG4AIAAgAD0ATABBAE0AQgBEAEEAKABcACIAXAAiACkAOwBcAG4AXABuAFYARQBFAFIARwBfADUAXwA0AF8AMQBfADEAXwBfADEAXwBJAG4AbwByAGcAYQBuAGkAYwBGAGUAcgB0AGkAbABpAHMAZQByAEEAdABtAG8AcwBwAGgAZQByAGkAYwBEAGUAcABvAHMAaQB0AGkAbwBuAE4AMgBPAEUAbQBpAHMAcwBpAG8AbgBzAF8ATABhAHQAZQB4AEUAcQB1AGEAdABpAG8AbgBcAG4AIAAgAD0ATABBAE0AQgBEAEEAKABcACIARQBfAHsAYQBkACwAaQBuAG8AcgBnAGEAbgBpAGMAfQA9AFwAXABzAHUAbQBcAFwAbgBvAGwAaQBtAGkAdABzAF8AewBqAH0AXABcAHMAdQBtAFwAXABuAG8AbABpAG0AaQB0AHMAXwB7AGYAfQAoACgATQBfAHsAdgBvAGwALABpAG4AbwByAGcAYQBuAGkAYwAsAGoAZgB9AFwAXAB0AGkAbQBlAHMAIABFAEYAXwB7AE4AMgBPACwAagB9ACkAXABcAHQAaQBtAGUAcwAgAEMAXwB7AE4AMgBPAH0AXABcAHQAaQBtAGUAcwAgADEAMABeAHsALQAzAH0AKQBcACIAKQA7AFwAbgBcAG4AVgBFAEUAUgBHAF8ANQBfADQAXwAxAF8AMQBfAF8AMQBfAEkAbgBvAHIAZwBhAG4AaQBjAEYAZQByAHQAaQBsAGkAcwBlAHIAQQB0AG0AbwBzAHAAaABlAHIAaQBjAEQAZQBwAG8AcwBpAHQAaQBvAG4ATgAyAE8ARQBtAGkAcwBzAGkAbwBuAHMAXwBBAHIAZwB1AG0AZQBuAHQAcwBcAG4AIAAgAD0ATABBAE0AQgBEAEEAKABcAG4AIAAgACAAIABNAEEASwBFAEEAUgBSAEEAWQAoADYALAAgADQALAAgAFwAbgAgACAAIAAgACAAIABMAEEATQBCAEQAQQAoAHIALABjACwAIABcAG4AIAAgACAAIAAgACAAIAAgAEkATgBEAEUAWAAoAHsAXABuACAAIAAgACAAIAAgACAAIAAgACAAXAAiAE0AXwB2AG8AbABpAG4AbwByAGcAYQBuAGkAYwBqAGYAXAAiACwAXAAiAG0AYQBzAHMAIABvAGYAIABuAGkAdAByAG8AZwBlAG4AIAB2AG8AbABhAHQAaQBsAGkAcwBlAGQAIABmAHIAbwBtACAAaQBuAG8AcgBnAGEAbgBpAGMAIABmAGUAcgB0AGkAbABpAHMAZQByACAAYQBwAHAAbABpAGUAZAAgAHQAbwAgAHAAcgBvAGQAdQBjAHQAaQBvAG4AIABzAHkAcwB0AGUAbQBcACIALAAgAFwAIgBrAGcAIABOAFwAIgAsACAAXAAiAEMAYQBsAGMAdQBsAGEAdABlAGQAIABmAHIAbwBtACAANQAuADQALgAxAC4AMQAgACgAMgApAFwAIgA7AFwAbgAgACAAIAAgACAAIAAgACAAIAAgAFwAIgBFAEYAXwBOADIATwBqAFwAIgAsAFwAIgBlAG0AaQBzAHMAaQBvAG4AIABmAGEAYwB0AG8AcgAgAGYAbwByACAAYQB0AG0AbwBzAHAAaABlAHIAaQBjACAAZABlAHAAbwBzAGkAdABpAG8AbgBcACIALAAgAFwAIgBrAGcAIABOADIATwAtAE4ALwBrAGcAIABOAFwAIgAsACAAXAAiAEMAbwBuAHMAdABhAG4AdABcACIAOwBcAG4AIAAgACAAIAAgACAAIAAgACAAIABcACIAQwBfAE4AMgBPAFwAIgAsAFwAIgBmAGEAYwB0AG8AcgAgAHQAbwAgAGMAbwBuAHYAZQByAHQAIABlAGwAZQBtAGUAbgB0AGEAbAAgAG0AYQBzAHMAIABvAGYAIABuAGkAdAByAG8AdQBzACAAbwB4AGkAZABlACAAdABvACAAbQBvAGwAZQBjAHUAbABhAHIAIABtAGEAcwBzAFwAIgAsACAAXAAiAFwAIgAsACAAXAAiAEMAbwBuAHMAdABhAG4AdABcACIAOwBcAG4AIAAgACAAIAAgACAAIAAgACAAIABcACIAagBcACIALABcACIAUAByAG8AZAB1AGMAdABpAG8AbgAgAHMAeQBzAHQAZQBtAFwAIgAsACAAXAAiAFwAIgAsACAAXAAiAEkAbgBwAHUAdABcACIAOwBcAG4AIAAgACAAIAAgACAAIAAgACAAIABcACIAaQByAFwAIgAsAFwAIgBpAHIAcgBpAGcAYQB0AGkAbwBuACAAbQBlAHQAaABvAGQAXAAiACwAIABcACIAXAAiACwAIABcACIASQBuAHAAdQB0AFwAIgA7AFwAbgAgACAAIAAgACAAIAAgACAAIAAgAFwAIgByAFwAIgAsAFwAIgByAGEAaQBuAGYAYQBsAGwAIAByAGUAZwBpAG8AbgBcACIALAAgAFwAIgBcACIALAAgAFwAIgBJAG4AcAB1AHQAXAAiAFwAbgAgACAAIAAgACAAIAAgACAAfQAsACAAcgAsACAAYwApAFwAbgAgACAAIAAgACAAIAApAFwAbgAgACAAIAAgACkAXABuACAAIAApADsAXABuAFwAbgAvACoAIABcAG4ALQAtAC0ALQAtAC0ALQAtAC0ALQAtAC0ALQAtAC0ALQAtAC0ALQAtAC0ALQAtAC0ALQAtAC0ALQAtAC0ALQAtAC0ALQAtAC0ALQAtAFwAbgBWAEUARQBSAEcAXwA1AF8ANABfADEAXwAxAF8AXwAyAF8ATQBhAHMAcwBPAGYATgBpAHQAcgBvAGcAZQBuAFYAbwBsAGEAdABpAGwAaQBzAGUAZABGAHIAbwBtAEkAbgBvAHIAZwBhAG4AaQBjAEYAZQByAHQAaQBsAGkAcwBlAHIAXABuAE0AYQBzAHMAIABvAGYAIABuAGkAdAByAG8AZwBlAG4AIAB2AG8AbABhAHQAaQBsAGkAcwBlAGQAIABmAHIAbwBtACAAaQBuAG8AcgBnAGEAbgBpAGMAIABmAGUAcgB0AGkAbABpAHMAZQByACAAYQBwAHAAbABpAGUAZAAgAHQAbwAgAHAAcgBvAGQAdQBjAHQAaQBvAG4AIABzAHkAcwB0AGUAbQBcAG4ATQBfAHYAbwBsAGkAbgBvAHIAZwBhAG4AaQBjAGoAZgBcAG4AawBnACAATgBcAG4ATQBfAHsAdgBvAGwALABpAG4AbwByAGcAYQBuAGkAYwAsAGoAZgB9AD0AewBNAE4AfQBfAHsAagBmAH0AXABcAHQAaQBtAGUAcwAgAEYAcgBhAGMARwBBAFMARgBfAHsAZgB9AFwAbgBNAE4AXwBqAGYAXABuAEYAcgBhAGMARwBBAFMARgBfAGYAXABuAGoAXABuAGYAXABuAC0ALQAtAC0ALQAtAC0ALQAtAC0ALQAtAC0ALQAtAC0ALQAtAC0ALQAtAC0ALQAtAC0ALQAtAC0ALQAtAC0ALQAtAC0ALQAtAC0ALQBcAG4AKgAvAFwAbgBcAG4AVgBFAEUAUgBHAF8ANQBfADQAXwAxAF8AMQBfAF8AMgBfAE0AYQBzAHMATwBmAE4AaQB0AHIAbwBnAGUAbgBWAG8AbABhAHQAaQBsAGkAcwBlAGQARgByAG8AbQBJAG4AbwByAGcAYQBuAGkAYwBGAGUAcgB0AGkAbABpAHMAZQByAFwAbgAgACAAPQBMAEEATQBCAEQAQQAoAFwAbgAgACAAIAAgAE0ATgBfAGoAZgAsACAARgByAGEAYwBHAEEAUwBGAF8AZgAsAFwAbgAgACAAIAAgAE0ATgBfAGoAZgAgACoAIABGAHIAYQBjAEcAQQBTAEYAXwBmAFwAbgAgACAAKQA7AFwAbgBcAG4AVgBFAEUAUgBHAF8ANQBfADQAXwAxAF8AMQBfAF8AMgBfAE0AYQBzAHMATwBmAE4AaQB0AHIAbwBnAGUAbgBWAG8AbABhAHQAaQBsAGkAcwBlAGQARgByAG8AbQBJAG4AbwByAGcAYQBuAGkAYwBGAGUAcgB0AGkAbABpAHMAZQByAF8AVABpAHQAbABlAFwAbgAgACAAPQBMAEEATQBCAEQAQQAoAFwAIgBNAGEAcwBzACAAbwBmACAAbgBpAHQAcgBvAGcAZQBuACAAdgBvAGwAYQB0AGkAbABpAHMAZQBkACAAZgByAG8AbQAgAGkAbgBvAHIAZwBhAG4AaQBjACAAZgBlAHIAdABpAGwAaQBzAGUAcgAgAGEAcABwAGwAaQBlAGQAIAB0AG8AIABwAHIAbwBkAHUAYwB0AGkAbwBuACAAcwB5AHMAdABlAG0AXAAiACkAOwBcAG4AXABuAFYARQBFAFIARwBfADUAXwA0AF8AMQBfADEAXwBfADIAXwBNAGEAcwBzAE8AZgBOAGkAdAByAG8AZwBlAG4AVgBvAGwAYQB0AGkAbABpAHMAZQBkAEYAcgBvAG0ASQBuAG8AcgBnAGEAbgBpAGMARgBlAHIAdABpAGwAaQBzAGUAcgBfAFYAYQByAGkAYQBiAGwAZQBcAG4AIAAgAD0ATABBAE0AQgBEAEEAKABcACIATQBfAHYAbwBsAGkAbgBvAHIAZwBhAG4AaQBjAGoAZgBcACIAKQA7AFwAbgBcAG4AVgBFAEUAUgBHAF8ANQBfADQAXwAxAF8AMQBfAF8AMgBfAE0AYQBzAHMATwBmAE4AaQB0AHIAbwBnAGUAbgBWAG8AbABhAHQAaQBsAGkAcwBlAGQARgByAG8AbQBJAG4AbwByAGcAYQBuAGkAYwBGAGUAcgB0AGkAbABpAHMAZQByAF8AVQBuAGkAdABcAG4AIAAgAD0ATABBAE0AQgBEAEEAKABcACIAawBnACAATgBcACIAKQA7AFwAbgBcAG4AVgBFAEUAUgBHAF8ANQBfADQAXwAxAF8AMQBfAF8AMgBfAE0AYQBzAHMATwBmAE4AaQB0AHIAbwBnAGUAbgBWAG8AbABhAHQAaQBsAGkAcwBlAGQARgByAG8AbQBJAG4AbwByAGcAYQBuAGkAYwBGAGUAcgB0AGkAbABpAHMAZQByAF8AUwBvAHUAcgBjAGUAXABuACAAIAA9AEwAQQBNAEIARABBACgAXAAiAFYARQBFAFIARwAgADIAMAAyADYAOgAgADUALgA0AC4AMQAuADEALAAgAEUAcQB1AGEAdABpAG8AbgAgACgAMgApAFwAIgApADsAXABuAFwAbgBWAEUARQBSAEcAXwA1AF8ANABfADEAXwAxAF8AXwAyAF8ATQBhAHMAcwBPAGYATgBpAHQAcgBvAGcAZQBuAFYAbwBsAGEAdABpAGwAaQBzAGUAZABGAHIAbwBtAEkAbgBvAHIAZwBhAG4AaQBjAEYAZQByAHQAaQBsAGkAcwBlAHIAXwBOAEkAUgBSAGUAZgBlAHIAZQBuAGMAZQBcAG4AIAAgAD0ATABBAE0AQgBEAEEAKABcACIAXAAiACkAOwBcAG4AXABuAFYARQBFAFIARwBfADUAXwA0AF8AMQBfADEAXwBfADIAXwBNAGEAcwBzAE8AZgBOAGkAdAByAG8AZwBlAG4AVgBvAGwAYQB0AGkAbABpAHMAZQBkAEYAcgBvAG0ASQBuAG8AcgBnAGEAbgBpAGMARgBlAHIAdABpAGwAaQBzAGUAcgBfAEwAYQB0AGUAeABFAHEAdQBhAHQAaQBvAG4AXABuACAAIAA9AEwAQQBNAEIARABBACgAXAAiAE0AXwB7AHYAbwBsACwAaQBuAG8AcgBnAGEAbgBpAGMALABqAGYAfQA9AHsATQBOAH0AXwB7AGoAZgB9AFwAXAB0AGkAbQBlAHMAIABGAHIAYQBjAEcAQQBTAEYAXwB7AGYAfQBcACIAKQA7AFwAbgBcAG4AVgBFAEUAUgBHAF8ANQBfADQAXwAxAF8AMQBfAF8AMgBfAE0AYQBzAHMATwBmAE4AaQB0AHIAbwBnAGUAbgBWAG8AbABhAHQAaQBsAGkAcwBlAGQARgByAG8AbQBJAG4AbwByAGcAYQBuAGkAYwBGAGUAcgB0AGkAbABpAHMAZQByAF8AQQByAGcAdQBtAGUAbgB0AHMAXABuACAAIAA9AEwAQQBNAEIARABBACgAXABuACAAIAAgACAATQBBAEsARQBBAFIAUgBBAFkAKAAyACwAIAA0ACwAIABcAG4AIAAgACAAIAAgACAATABBAE0AQgBEAEEAKAByACwAYwAsACAAXABuACAAIAAgACAAIAAgACAAIABJAE4ARABFAFgAKAB7AFwAbgAgACAAIAAgACAAIAAgACAAIAAgAFwAIgBNAE4AXwBqAGYAXAAiACwAXAAiAG0AYQBzAHMAIABvAGYAIABuAGkAdAByAG8AZwBlAG4AIABpAG4AIABpAG4AbwByAGcAYQBuAGkAYwAgAGYAZQByAHQAaQBsAGkAcwBlAHIAIABhAHAAcABsAGkAZQBkAFwAIgAsACAAXAAiAGsAZwAgAE4AXAAiACwAIABcACIAQwBhAGwAYwB1AGwAYQB0AGUAZAAgAGYAcgBvAG0AIAA1AC4AMQAuADEALgAxACAAKAAyACkAXAAiADsAXABuACAAIAAgACAAIAAgACAAIAAgACAAXAAiAEYAcgBhAGMARwBBAFMARgBfAGYAXAAiACwAXAAiAGYAcgBhAGMAdABpAG8AbgAgAG8AZgAgAGkAbgBvAHIAZwBhAG4AaQBjACAAZgBlAHIAdABpAGwAaQBzAGUAcgAgAHQAaABhAHQAIAB2AG8AbABhAHQAaQBsAGkAcwBlAHMAXAAiACwAIABcACIAKABrAGcAIABOAEgAMwAtAE4AIAArACAATgBPAHgALQBOACkALwBrAGcAIABOAFwAIgAsACAAXAAiAEMAbwBuAHMAdABhAG4AdABcACIAXABuACAAIAAgACAAIAAgACAAIAB9ACwAIAByACwAIABjACkAXABuACAAIAAgACAAIAAgACkAXABuACAAIAAgACAAKQBcAG4AIAAgACkAOwBcAG4AXABuAFwAbgAvACoAIABcAG4ALQAtAC0ALQAtAC0ALQAtAC0ALQAtAC0ALQAtAC0ALQAtAC0ALQAtAC0ALQAtAC0ALQAtAC0ALQAtAC0ALQAtAC0ALQAtAC0ALQAtAFwAbgBWAEUARQBSAEcAXwA1AF8ANABfADEAXwAzAF8AXwAxAF8ATwByAGcAYQBuAGkAYwBGAGUAcgB0AGkAbABpAHMAZQByAEEAdABtAG8AcwBwAGgAZQByAGkAYwBEAGUAcABvAHMAaQB0AGkAbwBuAE4AMgBPAEUAbQBpAHMAcwBpAG8AbgBzAFwAbgBOAGkAdAByAG8AdQBzACAAbwB4AGkAZABlACAAZQBtAGkAcwBzAGkAbwBuAHMAIABmAHIAbwBtACAAYQB0AG0AbwBzAHAAaABlAHIAaQBjACAAZABlAHAAbwBzAGkAdABpAG8AbgAgAG8AZgAgAGEAbABsACAAbwByAGcAYQBuAGkAYwAgAGYAZQByAHQAaQBsAGkAcwBlAHIAIAB0AHkAcABlAHMAIABmACAAYQBuAGQAIABhAGwAbAAgAHAAcgBvAGQAdQBjAHQAaQBvAG4AIABzAHkAcwB0AGUAbQBzACAAagBcAG4ARQBfAGEAZABvAHIAZwBhAG4AaQBjAFwAbgB0ACAATgAyAE8AXABuAEUAXwB7AGEAZAAsAG8AcgBnAGEAbgBpAGMAfQA9AFwAXABzAHUAbQBfAHsAagB9AFwAXABzAHUAbQBfAHsAZgB9ACgAKABNAF8AewB2AG8AbAAsAG8AcgBnAGEAbgBpAGMALABqAGYAfQBcAFwAdABpAG0AZQBzACAARQBGAF8AewBOADIATwAsAGoAfQApAFwAXAB0AGkAbQBlAHMAIABDAF8AewBOADIATwB9AFwAXAB0AGkAbQBlAHMAIAAxADAAXgB7AC0AMwB9ACkAXABuAE0AXwB2AG8AbABvAHIAZwBhAG4AaQBjAGoAZgBcAG4ARQBGAF8ATgAyAE8AagBcAG4AQwBfAE4AMgBPAFwAbgBqAFwAbgBmAFwAbgAtAC0ALQAtAC0ALQAtAC0ALQAtAC0ALQAtAC0ALQAtAC0ALQAtAC0ALQAtAC0ALQAtAC0ALQAtAC0ALQAtAC0ALQAtAC0ALQAtAC0AXABuACoALwBcAG4AXABuAFYARQBFAFIARwBfADUAXwA0AF8AMQBfADMAXwBfADEAXwBPAHIAZwBhAG4AaQBjAEYAZQByAHQAaQBsAGkAcwBlAHIAQQB0AG0AbwBzAHAAaABlAHIAaQBjAEQAZQBwAG8AcwBpAHQAaQBvAG4ATgAyAE8ARQBtAGkAcwBzAGkAbwBuAHMAXABuACAAIAA9AEwAQQBNAEIARABBACgAXABuACAAIAAgACAATQBfAHYAbwBsAG8AcgBnAGEAbgBpAGMAagBmACwAIABFAEYAXwBOADIATwBqACwAIABDAF8ATgAyAE8ALABcAG4AIAAgACAAIAAoAE0AXwB2AG8AbABvAHIAZwBhAG4AaQBjAGoAZgAgACoAIABFAEYAXwBOADIATwBqACkAIAAqACAAQwBfAE4AMgBPACAAKgAgADEAMAAgAF4AIAAtADMAXABuACAAIAApADsAXABuAFwAbgBWAEUARQBSAEcAXwA1AF8ANABfADEAXwAzAF8AXwAxAF8ATwByAGcAYQBuAGkAYwBGAGUAcgB0AGkAbABpAHMAZQByAEEAdABtAG8AcwBwAGgAZQByAGkAYwBEAGUAcABvAHMAaQB0AGkAbwBuAE4AMgBPAEUAbQBpAHMAcwBpAG8AbgBzAF8AVABpAHQAbABlAFwAbgAgACAAPQBMAEEATQBCAEQAQQAoAFwAIgBOAGkAdAByAG8AdQBzACAAbwB4AGkAZABlACAAZQBtAGkAcwBzAGkAbwBuAHMAIABmAHIAbwBtACAAYQB0AG0AbwBzAHAAaABlAHIAaQBjACAAZABlAHAAbwBzAGkAdABpAG8AbgAgAG8AZgAgAGEAbABsACAAbwByAGcAYQBuAGkAYwAgAGYAZQByAHQAaQBsAGkAcwBlAHIAIAB0AHkAcABlAHMAIABmACAAYQBuAGQAIABhAGwAbAAgAHAAcgBvAGQAdQBjAHQAaQBvAG4AIABzAHkAcwB0AGUAbQBzACAAagBcACIAKQA7AFwAbgBcAG4AVgBFAEUAUgBHAF8ANQBfADQAXwAxAF8AMwBfAF8AMQBfAE8AcgBnAGEAbgBpAGMARgBlAHIAdABpAGwAaQBzAGUAcgBBAHQAbQBvAHMAcABoAGUAcgBpAGMARABlAHAAbwBzAGkAdABpAG8AbgBOADIATwBFAG0AaQBzAHMAaQBvAG4AcwBfAFYAYQByAGkAYQBiAGwAZQBcAG4AIAAgAD0ATABBAE0AQgBEAEEAKABcACIARQBfAGEAZABvAHIAZwBhAG4AaQBjAFwAIgApADsAXABuAFwAbgBWAEUARQBSAEcAXwA1AF8ANABfADEAXwAzAF8AXwAxAF8ATwByAGcAYQBuAGkAYwBGAGUAcgB0AGkAbABpAHMAZQByAEEAdABtAG8AcwBwAGgAZQByAGkAYwBEAGUAcABvAHMAaQB0AGkAbwBuAE4AMgBPAEUAbQBpAHMAcwBpAG8AbgBzAF8AVQBuAGkAdABcAG4AIAAgAD0ATABBAE0AQgBEAEEAKABcACIAdAAgAE4AMgBPAFwAIgApADsAXABuAFwAbgBWAEUARQBSAEcAXwA1AF8ANABfADEAXwAzAF8AXwAxAF8ATwByAGcAYQBuAGkAYwBGAGUAcgB0AGkAbABpAHMAZQByAEEAdABtAG8AcwBwAGgAZQByAGkAYwBEAGUAcABvAHMAaQB0AGkAbwBuAE4AMgBPAEUAbQBpAHMAcwBpAG8AbgBzAF8AUwBvAHUAcgBjAGUAXABuACAAIAA9AEwAQQBNAEIARABBACgAXAAiAFYARQBFAFIARwAgADIAMAAyADYAOgAgADUALgA0AC4AMQAuADMALAAgAEUAcQB1AGEAdABpAG8AbgAgACgAMQApAFwAIgApADsAXABuAFwAbgBWAEUARQBSAEcAXwA1AF8ANABfADEAXwAzAF8AXwAxAF8ATwByAGcAYQBuAGkAYwBGAGUAcgB0AGkAbABpAHMAZQByAEEAdABtAG8AcwBwAGgAZQByAGkAYwBEAGUAcABvAHMAaQB0AGkAbwBuAE4AMgBPAEUAbQBpAHMAcwBpAG8AbgBzAF8ATgBJAFIAUgBlAGYAZQByAGUAbgBjAGUAXABuACAAIAA9AEwAQQBNAEIARABBACgAXAAiAFwAIgApADsAXABuAFwAbgBWAEUARQBSAEcAXwA1AF8ANABfADEAXwAzAF8AXwAxAF8ATwByAGcAYQBuAGkAYwBGAGUAcgB0AGkAbABpAHMAZQByAEEAdABtAG8AcwBwAGgAZQByAGkAYwBEAGUAcABvAHMAaQB0AGkAbwBuAE4AMgBPAEUAbQBpAHMAcwBpAG8AbgBzAF8ATABhAHQAZQB4AEUAcQB1AGEAdABpAG8AbgBcAG4AIAAgAD0ATABBAE0AQgBEAEEAKABcACIARQBfAHsAYQBkACwAbwByAGcAYQBuAGkAYwB9AD0AXABcAHMAdQBtAFwAXABuAG8AbABpAG0AaQB0AHMAXwB7AGoAfQBcAFwAcwB1AG0AXABcAG4AbwBsAGkAbQBpAHQAcwBfAHsAZgB9ACgAKABNAF8AewB2AG8AbAAsAG8AcgBnAGEAbgBpAGMALABqAGYAfQBcAFwAdABpAG0AZQBzACAARQBGAF8AewBOADIATwAsAGoAfQApAFwAXAB0AGkAbQBlAHMAIABDAF8AewBOADIATwB9AFwAXAB0AGkAbQBlAHMAIAAxADAAXgB7AC0AMwB9ACkAXAAiACkAOwBcAG4AXABuAFYARQBFAFIARwBfADUAXwA0AF8AMQBfADMAXwBfADEAXwBPAHIAZwBhAG4AaQBjAEYAZQByAHQAaQBsAGkAcwBlAHIAQQB0AG0AbwBzAHAAaABlAHIAaQBjAEQAZQBwAG8AcwBpAHQAaQBvAG4ATgAyAE8ARQBtAGkAcwBzAGkAbwBuAHMAXwBBAHIAZwB1AG0AZQBuAHQAcwBcAG4AIAAgAD0ATABBAE0AQgBEAEEAKABcAG4AIAAgACAAIABNAEEASwBFAEEAUgBSAEEAWQAoADYALAAgADQALAAgAFwAbgAgACAAIAAgACAAIABMAEEATQBCAEQAQQAoAHIALABjACwAIABcAG4AIAAgACAAIAAgACAAIAAgAEkATgBEAEUAWAAoAHsAXABuACAAIAAgACAAIAAgACAAIAAgACAAXAAiAE0AXwB2AG8AbABvAHIAZwBhAG4AaQBjAGoAZgBcACIALABcACIAbQBhAHMAcwAgAG8AZgAgAG4AaQB0AHIAbwBnAGUAbgAgAHYAbwBsAGEAdABpAGwAaQBzAGUAZAAgAGYAcgBvAG0AIABvAHIAZwBhAG4AaQBjACAAZgBlAHIAdABpAGwAaQBzAGUAcgAgAGEAcABwAGwAaQBlAGQAIAB0AG8AIABwAHIAbwBkAHUAYwB0AGkAbwBuACAAcwB5AHMAdABlAG0AXAAiACwAIABcACIAawBnACAATgBcACIALAAgAFwAIgBDAGEAbABjAHUAbABhAHQAZQBkACAAZgByAG8AbQAgADUALgA0AC4AMQAuADMAIAAoADIAKQBcACIAOwBcAG4AIAAgACAAIAAgACAAIAAgACAAIABcACIARQBGAF8ATgAyAE8AagBcACIALABcACIAZQBtAGkAcwBzAGkAbwBuACAAZgBhAGMAdABvAHIAIABmAG8AcgAgAGEAdABtAG8AcwBwAGgAZQByAGkAYwAgAGQAZQBwAG8AcwBpAHQAaQBvAG4AIABpAG4AIABwAHIAbwBkAHUAYwB0AGkAbwBuACAAcwB5AHMAdABlAG0AIABqAFwAIgAsACAAXAAiAGsAZwAgAE4AMgBPAC0ATgAvAGsAZwAgAE4AXAAiACwAIABcACIAQwBvAG4AcwB0AGEAbgB0AFwAIgA7AFwAbgAgACAAIAAgACAAIAAgACAAIAAgAFwAIgBDAF8ATgAyAE8AXAAiACwAXAAiAGYAYQBjAHQAbwByACAAdABvACAAYwBvAG4AdgBlAHIAdAAgAGUAbABlAG0AZQBuAHQAYQBsACAAbQBhAHMAcwAgAG8AZgAgAG4AaQB0AHIAbwB1AHMAIABvAHgAaQBkAGUAIAB0AG8AIABtAG8AbABlAGMAdQBsAGEAcgAgAG0AYQBzAHMAXAAiACwAIABcACIAXAAiACwAIABcACIAQwBvAG4AcwB0AGEAbgB0AFwAIgA7AFwAbgAgACAAIAAgACAAIAAgACAAIAAgAFwAIgBqAFwAIgAsAFwAIgBQAHIAbwBkAHUAYwB0AGkAbwBuACAAcwB5AHMAdABlAG0AXAAiACwAIABcACIAXAAiACwAIABcACIASQBuAHAAdQB0AFwAIgA7AFwAbgAgACAAIAAgACAAIAAgACAAIAAgAFwAIgBpAHIAXAAiACwAXAAiAGkAcgByAGkAZwBhAHQAaQBvAG4AIABtAGUAdABoAG8AZABcACIALAAgAFwAIgBcACIALAAgAFwAIgBJAG4AcAB1AHQAXAAiADsAXABuACAAIAAgACAAIAAgACAAIAAgACAAXAAiAHIAXAAiACwAXAAiAHIAYQBpAG4AZgBhAGwAbAAgAHIAZQBnAGkAbwBuAFwAIgAsACAAXAAiAFwAIgAsACAAXAAiAEkAbgBwAHUAdABcACIAXABuACAAIAAgACAAIAAgACAAIAB9ACwAIAByACwAIABjACkAXABuACAAIAAgACAAIAAgACkAXABuACAAIAAgACAAKQBcAG4AIAAgACkAOwBcAG4AXABuAC8AKgAgAFwAbgAtAC0ALQAtAC0ALQAtAC0ALQAtAC0ALQAtAC0ALQAtAC0ALQAtAC0ALQAtAC0ALQAtAC0ALQAtAC0ALQAtAC0ALQAtAC0ALQAtAC0AXABuAFYARQBFAFIARwBfADUAXwA0AF8AMQBfADMAXwBfADIAXwBNAGEAcwBzAE8AZgBOAGkAdAByAG8AZwBlAG4AVgBvAGwAYQB0AGkAbABpAHMAZQBkAEYAcgBvAG0ATwByAGcAYQBuAGkAYwBGAGUAcgB0AGkAbABpAHMAZQByAFwAbgBNAGEAcwBzACAAbwBmACAAbgBpAHQAcgBvAGcAZQBuACAAdgBvAGwAYQB0AGkAbABpAHMAZQBkACAAZgByAG8AbQAgAG8AcgBnAGEAbgBpAGMAIABmAGUAcgB0AGkAbABpAHMAZQByACAAYQBwAHAAbABpAGUAZAAgAHQAbwAgAHAAcgBvAGQAdQBjAHQAaQBvAG4AIABzAHkAcwB0AGUAbQBcAG4ATQBfAHYAbwBsAG8AcgBnAGEAbgBpAGMAagBmAFwAbgBrAGcAIABOAFwAbgBNAF8AewB2AG8AbAAsAG8AcgBnAGEAbgBpAGMALABqAGYAfQA9AE0ATgBTAG8AaQBsAF8AewBqAGYAfQBcAFwAdABpAG0AZQBzACAARgByAGEAYwBHAEEAUwBNAF8AewBzAG8AaQBsAH0AXABuAE0ATgBTAG8AaQBsAF8AagBmAFwAbgBGAHIAYQBjAEcAQQBTAE0AXwBzAG8AaQBsAFwAbgBqAFwAbgBmAFwAbgAtAC0ALQAtAC0ALQAtAC0ALQAtAC0ALQAtAC0ALQAtAC0ALQAtAC0ALQAtAC0ALQAtAC0ALQAtAC0ALQAtAC0ALQAtAC0ALQAtAC0AXABuACoALwBcAG4AXABuAFYARQBFAFIARwBfADUAXwA0AF8AMQBfADMAXwBfADIAXwBNAGEAcwBzAE8AZgBOAGkAdAByAG8AZwBlAG4AVgBvAGwAYQB0AGkAbABpAHMAZQBkAEYAcgBvAG0ATwByAGcAYQBuAGkAYwBGAGUAcgB0AGkAbABpAHMAZQByAFwAbgAgACAAPQBMAEEATQBCAEQAQQAoAFwAbgAgACAAIAAgAE0ATgBTAG8AaQBsAF8AagBmACwAIABGAHIAYQBjAEcAQQBTAE0AXwBzAG8AaQBsACwAXABuACAAIAAgACAATQBOAFMAbwBpAGwAXwBqAGYAIAAqACAARgByAGEAYwBHAEEAUwBNAF8AcwBvAGkAbABcAG4AIAAgACkAOwBcAG4AXABuAFYARQBFAFIARwBfADUAXwA0AF8AMQBfADMAXwBfADIAXwBNAGEAcwBzAE8AZgBOAGkAdAByAG8AZwBlAG4AVgBvAGwAYQB0AGkAbABpAHMAZQBkAEYAcgBvAG0ATwByAGcAYQBuAGkAYwBGAGUAcgB0AGkAbABpAHMAZQByAF8AVABpAHQAbABlAFwAbgAgACAAPQBMAEEATQBCAEQAQQAoAFwAIgBNAGEAcwBzACAAbwBmACAAbgBpAHQAcgBvAGcAZQBuACAAdgBvAGwAYQB0AGkAbABpAHMAZQBkACAAZgByAG8AbQAgAG8AcgBnAGEAbgBpAGMAIABmAGUAcgB0AGkAbABpAHMAZQByACAAYQBwAHAAbABpAGUAZAAgAHQAbwAgAHAAcgBvAGQAdQBjAHQAaQBvAG4AIABzAHkAcwB0AGUAbQBcACIAKQA7AFwAbgBcAG4AVgBFAEUAUgBHAF8ANQBfADQAXwAxAF8AMwBfAF8AMgBfAE0AYQBzAHMATwBmAE4AaQB0AHIAbwBnAGUAbgBWAG8AbABhAHQAaQBsAGkAcwBlAGQARgByAG8AbQBPAHIAZwBhAG4AaQBjAEYAZQByAHQAaQBsAGkAcwBlAHIAXwBWAGEAcgBpAGEAYgBsAGUAXABuACAAIAA9AEwAQQBNAEIARABBACgAXAAiAE0AXwB2AG8AbABvAHIAZwBhAG4AaQBjAGoAZgBcACIAKQA7AFwAbgBcAG4AVgBFAEUAUgBHAF8ANQBfADQAXwAxAF8AMwBfAF8AMgBfAE0AYQBzAHMATwBmAE4AaQB0AHIAbwBnAGUAbgBWAG8AbABhAHQAaQBsAGkAcwBlAGQARgByAG8AbQBPAHIAZwBhAG4AaQBjAEYAZQByAHQAaQBsAGkAcwBlAHIAXwBVAG4AaQB0AFwAbgAgACAAPQBMAEEATQBCAEQAQQAoAFwAIgBrAGcAIABOAFwAIgApADsAXABuAFwAbgBWAEUARQBSAEcAXwA1AF8ANABfADEAXwAzAF8AXwAyAF8ATQBhAHMAcwBPAGYATgBpAHQAcgBvAGcAZQBuAFYAbwBsAGEAdABpAGwAaQBzAGUAZABGAHIAbwBtAE8AcgBnAGEAbgBpAGMARgBlAHIAdABpAGwAaQBzAGUAcgBfAFMAbwB1AHIAYwBlAFwAbgAgACAAPQBMAEEATQBCAEQAQQAoAFwAIgBWAEUARQBSAEcAIAAyADAAMgA2ADoAIAA1AC4ANAAuADEALgAzACwAIABFAHEAdQBhAHQAaQBvAG4AIAAoADIAKQBcACIAKQA7AFwAbgBcAG4AVgBFAEUAUgBHAF8ANQBfADQAXwAxAF8AMwBfAF8AMgBfAE0AYQBzAHMATwBmAE4AaQB0AHIAbwBnAGUAbgBWAG8AbABhAHQAaQBsAGkAcwBlAGQARgByAG8AbQBPAHIAZwBhAG4AaQBjAEYAZQByAHQAaQBsAGkAcwBlAHIAXwBOAEkAUgBSAGUAZgBlAHIAZQBuAGMAZQBcAG4AIAAgAD0ATABBAE0AQgBEAEEAKABcACIAXAAiACkAOwBcAG4AXABuAFYARQBFAFIARwBfADUAXwA0AF8AMQBfADMAXwBfADIAXwBNAGEAcwBzAE8AZgBOAGkAdAByAG8AZwBlAG4AVgBvAGwAYQB0AGkAbABpAHMAZQBkAEYAcgBvAG0ATwByAGcAYQBuAGkAYwBGAGUAcgB0AGkAbABpAHMAZQByAF8ATABhAHQAZQB4AEUAcQB1AGEAdABpAG8AbgBcAG4AIAAgAD0ATABBAE0AQgBEAEEAKABcACIATQBfAHsAdgBvAGwALABvAHIAZwBhAG4AaQBjACwAagBmAH0APQBNAE4AUwBvAGkAbABfAHsAagBmAH0AXABcAHQAaQBtAGUAcwAgAEYAcgBhAGMARwBBAFMATQBfAHsAcwBvAGkAbAB9AFwAIgApADsAXABuAFwAbgBWAEUARQBSAEcAXwA1AF8ANABfADEAXwAzAF8AXwAyAF8ATQBhAHMAcwBPAGYATgBpAHQAcgBvAGcAZQBuAFYAbwBsAGEAdABpAGwAaQBzAGUAZABGAHIAbwBtAE8AcgBnAGEAbgBpAGMARgBlAHIAdABpAGwAaQBzAGUAcgBfAEEAcgBnAHUAbQBlAG4AdABzAFwAbgAgACAAPQBMAEEATQBCAEQAQQAoAFwAbgAgACAAIAAgAE0AQQBLAEUAQQBSAFIAQQBZACgAMgAsACAANAAsACAAXABuACAAIAAgACAAIAAgAEwAQQBNAEIARABBACgAcgAsAGMALAAgAFwAbgAgACAAIAAgACAAIAAgACAASQBOAEQARQBYACgAewBcAG4AIAAgACAAIAAgACAAIAAgACAAIABcACIATQBOAFMAbwBpAGwAXwBqAGYAXAAiACwAXAAiAG0AYQBzAHMAIABvAGYAIABuAGkAdAByAG8AZwBlAG4AIABpAG4AIABvAHIAZwBhAG4AaQBjACAAZgBlAHIAdABpAGwAaQBzAGUAcgAgAHQAeQBwAGUAIABmACAAYQBwAHAAbABpAGUAZAAgAHQAbwAgAHAAcgBvAGQAdQBjAHQAaQBvAG4AIABzAHkAcwB0AGUAbQAgAGoAXAAiACwAIABcACIAawBnACAATgBcACIALAAgAFwAIgBDAGEAbABjAHUAbABhAHQAZQBkACAAZgByAG8AbQAgADUALgAyAC4AMQAuADEAIAAoADIAKQBcACIAOwBcAG4AIAAgACAAIAAgACAAIAAgACAAIABcACIARgByAGEAYwBHAEEAUwBNAF8AcwBvAGkAbABcACIALABcACIAZgByAGEAYwB0AGkAbwBuACAAbwBmACAAbwByAGcAYQBuAGkAYwAgAGYAZQByAHQAaQBsAGkAcwBlAHIAIABOACAAdABoAGEAdAAgAHYAbwBsAGEAdABpAGwAaQBzAGUAcwBcACIALAAgAFwAIgAoAGsAZwAgAE4ASAAzAC0ATgAgACsAIABOAE8AeAAtAE4AKQAvAGsAZwAgAE4AXAAiACwAIABcACIAQwBvAG4AcwB0AGEAbgB0AFwAIgBcAG4AIAAgACAAIAAgACAAIAAgAH0ALAAgAHIALAAgAGMAKQBcAG4AIAAgACAAIAAgACAAKQBcAG4AIAAgACAAIAApAFwAbgAgACAAKQA7AFwAbgAiAH0ALAB7ACIAcABhAHQAaAAiADoAIgAvAHAAcgBvAGoAZQBjAHQAcwAvAEYAZQByAHQAaQBsAGkAcwBlAHIAXwBFAHEAdQBhAHQAaQBvAG4AcwBfAEwAZQBhAGMAaABpAG4AZwBBAG4AZABSAHUAbgBvAGYAZgAiACwAIgB0AGUAeAB0ACIAOgAiAC8AKgBcAG4APQA9AD0APQA9AD0APQA9AD0APQA9AD0APQA9AD0APQA9AD0APQA9AD0APQA9AD0APQA9AD0APQA9AD0APQA9AD0APQA9AD0APQA9AFwAbgA1ADoAIABGAGUAcgB0AGkAbABpAHMAZQByACAAVQBzAGUAXABuAD0APQA9AD0APQA9AD0APQA9AD0APQA9AD0APQA9AD0APQA9AD0APQA9AD0APQA9AD0APQA9AD0APQA9AD0APQA9AD0APQA9AD0APQBcAG4ANQAuADUAIABMAGUAYQBjAGgAaQBuAGcAIABhAG4AZAAgAHIAdQBuAC0AbwBmAGYAIAByAGUAcwB1AGwAdABpAG4AZwAgAGYAcgBvAG0AIABmAGUAcgB0AGkAbABpAHMAZQByACAAYQBwAHAAbABpAGMAYQB0AGkAbwBuAFwAbgA9AD0APQA9AD0APQA9AD0APQA9AD0APQA9AD0APQA9AD0APQA9AD0APQA9AD0APQA9AD0APQA9AD0APQA9AD0APQA9AD0APQA9AD0AXABuACoALwBcAG4AXABuAC8AKgAgAFwAbgAtAC0ALQAtAC0ALQAtAC0ALQAtAC0ALQAtAC0ALQAtAC0ALQAtAC0ALQAtAC0ALQAtAC0ALQAtAC0ALQAtAC0ALQAtAC0ALQAtAC0AXABuAFYARQBFAFIARwBfADUAXwA1AF8AMQBfADEAXwBfADEAXwBGAGUAcgB0AGkAbABpAHMAZQByAEwAZQBhAGMAaABpAG4AZwBBAG4AZABSAHUAbgBvAGYAZgBOADIATwBFAG0AaQBzAHMAaQBvAG4AcwBcAG4ATgBpAHQAcgBvAHUAcwAgAG8AeABpAGQAZQAgAGUAbQBpAHMAcwBpAG8AbgBzACAAZgByAG8AbQAgAG4AaQB0AHIAbwBnAGUAbgAgAGwAZQBhAGMAaABpAG4AZwAgAGEAbgBkACAAcgB1AG4AbwBmAGYAIABmAHIAbwBtACAAdABoAGUAIABhAHAAcABsAGkAYwBhAHQAaQBvAG4AIABvAGYAIABhAGwAbAAgAGYAZQByAHQAaQBsAGkAcwBlAHIAcwAgAGEAYwByAG8AcwBzACAAYQBsAGwAIABwAHIAbwBkAHUAYwB0AGkAbwBuACAAcwB5AHMAdABlAG0AcwAgAGoAXABuAEUAXwBmAGUAcgB0AGwAZQBhAGMAaABcAG4AdAAgAE4AMgBPAFwAbgBFAF8AewBmAGUAcgB0ACwAbABlAGEAYwBoAH0APQBcAFwAcwB1AG0AXwB7AGoAfQAoACgATQBfAHsAbABlAGEAYwBoACwAaQBuAG8AcgBnAGEAbgBpAGMALABqAH0AKwBNAF8AewBsAGUAYQBjAGgALABvAHIAZwBhAG4AaQBjACwAagB9ACkAXABcAHQAaQBtAGUAcwAgAEUARgBfAHsAbABlAGEAYwBoAH0AXABcAHQAaQBtAGUAcwAgAEMAXwB7AE4AMgBPAH0AXABcAHQAaQBtAGUAcwAgADEAMABeAHsALQAzAH0AKQBcAG4ATQBfAGwAZQBhAGMAaABpAG4AbwByAGcAYQBuAGkAYwBqAFwAbgBNAF8AbABlAGEAYwBoAG8AcgBnAGEAbgBpAGMAagBcAG4ARQBGAF8AbABlAGEAYwBoAFwAbgBDAF8ATgAyAE8AXABuAGoAXABuAC0ALQAtAC0ALQAtAC0ALQAtAC0ALQAtAC0ALQAtAC0ALQAtAC0ALQAtAC0ALQAtAC0ALQAtAC0ALQAtAC0ALQAtAC0ALQAtAC0ALQBcAG4AKgAvAFwAbgBcAG4AVgBFAEUAUgBHAF8ANQBfADUAXwAxAF8AMQBfAF8AMQBfAEYAZQByAHQAaQBsAGkAcwBlAHIATABlAGEAYwBoAGkAbgBnAEEAbgBkAFIAdQBuAG8AZgBmAE4AMgBPAEUAbQBpAHMAcwBpAG8AbgBzAFwAbgAgACAAPQBMAEEATQBCAEQAQQAoAFwAbgAgACAAIAAgAE0AXwBsAGUAYQBjAGgAaQBuAG8AcgBnAGEAbgBpAGMAagAsACAATQBfAGwAZQBhAGMAaABvAHIAZwBhAG4AaQBjAGoALAAgAEUARgBfAGwAZQBhAGMAaAAsACAAQwBfAE4AMgBPACwAXABuACAAIAAgACAAKABNAF8AbABlAGEAYwBoAGkAbgBvAHIAZwBhAG4AaQBjAGoAIAArACAATQBfAGwAZQBhAGMAaABvAHIAZwBhAG4AaQBjAGoAKQAgACoAIABFAEYAXwBsAGUAYQBjAGgAIAAqACAAQwBfAE4AMgBPACAAKgAgADEAMAAgAF4AIAAtADMAXABuACAAIAApADsAXABuAFwAbgBWAEUARQBSAEcAXwA1AF8ANQBfADEAXwAxAF8AXwAxAF8ARgBlAHIAdABpAGwAaQBzAGUAcgBMAGUAYQBjAGgAaQBuAGcAQQBuAGQAUgB1AG4AbwBmAGYATgAyAE8ARQBtAGkAcwBzAGkAbwBuAHMAXwBUAGkAdABsAGUAXABuACAAIAA9AEwAQQBNAEIARABBACgAXAAiAE4AaQB0AHIAbwB1AHMAIABvAHgAaQBkAGUAIABlAG0AaQBzAHMAaQBvAG4AcwAgAGYAcgBvAG0AIABuAGkAdAByAG8AZwBlAG4AIABsAGUAYQBjAGgAaQBuAGcAIABhAG4AZAAgAHIAdQBuAG8AZgBmACAAZgByAG8AbQAgAHQAaABlACAAYQBwAHAAbABpAGMAYQB0AGkAbwBuACAAbwBmACAAYQBsAGwAIABmAGUAcgB0AGkAbABpAHMAZQByAHMAIABhAGMAcgBvAHMAcwAgAGEAbABsACAAcAByAG8AZAB1AGMAdABpAG8AbgAgAHMAeQBzAHQAZQBtAHMAIABqAFwAIgApADsAXABuAFwAbgBWAEUARQBSAEcAXwA1AF8ANQBfADEAXwAxAF8AXwAxAF8ARgBlAHIAdABpAGwAaQBzAGUAcgBMAGUAYQBjAGgAaQBuAGcAQQBuAGQAUgB1AG4AbwBmAGYATgAyAE8ARQBtAGkAcwBzAGkAbwBuAHMAXwBWAGEAcgBpAGEAYgBsAGUAXABuACAAIAA9AEwAQQBNAEIARABBACgAXAAiAEUAXwBmAGUAcgB0AGwAZQBhAGMAaABcACIAKQA7AFwAbgBcAG4AVgBFAEUAUgBHAF8ANQBfADUAXwAxAF8AMQBfAF8AMQBfAEYAZQByAHQAaQBsAGkAcwBlAHIATABlAGEAYwBoAGkAbgBnAEEAbgBkAFIAdQBuAG8AZgBmAE4AMgBPAEUAbQBpAHMAcwBpAG8AbgBzAF8AVQBuAGkAdABcAG4AIAAgAD0ATABBAE0AQgBEAEEAKABcACIAdAAgAE4AMgBPAFwAIgApADsAXABuAFwAbgBWAEUARQBSAEcAXwA1AF8ANQBfADEAXwAxAF8AXwAxAF8ARgBlAHIAdABpAGwAaQBzAGUAcgBMAGUAYQBjAGgAaQBuAGcAQQBuAGQAUgB1AG4AbwBmAGYATgAyAE8ARQBtAGkAcwBzAGkAbwBuAHMAXwBTAG8AdQByAGMAZQBcAG4AIAAgAD0ATABBAE0AQgBEAEEAKABcACIAVgBFAEUAUgBHACAAMgAwADIANgA6ACAANQAuADUALAAgAEUAcQB1AGEAdABpAG8AbgAgACgAMQApAFwAIgApADsAXABuAFwAbgBWAEUARQBSAEcAXwA1AF8ANQBfADEAXwAxAF8AXwAxAF8ARgBlAHIAdABpAGwAaQBzAGUAcgBMAGUAYQBjAGgAaQBuAGcAQQBuAGQAUgB1AG4AbwBmAGYATgAyAE8ARQBtAGkAcwBzAGkAbwBuAHMAXwBOAEkAUgBSAGUAZgBlAHIAZQBuAGMAZQBcAG4AIAAgAD0ATABBAE0AQgBEAEEAKABcACIAXAAiACkAOwBcAG4AXABuAFYARQBFAFIARwBfADUAXwA1AF8AMQBfADEAXwBfADEAXwBGAGUAcgB0AGkAbABpAHMAZQByAEwAZQBhAGMAaABpAG4AZwBBAG4AZABSAHUAbgBvAGYAZgBOADIATwBFAG0AaQBzAHMAaQBvAG4AcwBfAEwAYQB0AGUAeABFAHEAdQBhAHQAaQBvAG4AXABuACAAIAA9AEwAQQBNAEIARABBACgAXAAiAEUAXwB7AGYAZQByAHQALABsAGUAYQBjAGgAfQA9AFwAXABzAHUAbQBfAHsAagB9ACgAKABNAF8AewBsAGUAYQBjAGgALABpAG4AbwByAGcAYQBuAGkAYwAsAGoAfQArAE0AXwB7AGwAZQBhAGMAaAAsAG8AcgBnAGEAbgBpAGMALABqAH0AKQBcAFwAdABpAG0AZQBzACAARQBGAF8AewBsAGUAYQBjAGgAfQBcAFwAdABpAG0AZQBzACAAQwBfAHsATgAyAE8AfQBcAFwAdABpAG0AZQBzACAAMQAwAF4AewAtADMAfQApAFwAIgApADsAXABuAFwAbgBWAEUARQBSAEcAXwA1AF8ANQBfADEAXwAxAF8AXwAxAF8ARgBlAHIAdABpAGwAaQBzAGUAcgBMAGUAYQBjAGgAaQBuAGcAQQBuAGQAUgB1AG4AbwBmAGYATgAyAE8ARQBtAGkAcwBzAGkAbwBuAHMAXwBBAHIAZwB1AG0AZQBuAHQAcwBcAG4AIAAgAD0ATABBAE0AQgBEAEEAKABcAG4AIAAgACAAIABNAEEASwBFAEEAUgBSAEEAWQAoADQALAAgADQALAAgAFwAbgAgACAAIAAgACAAIABMAEEATQBCAEQAQQAoAHIALABjACwAIABcAG4AIAAgACAAIAAgACAAIAAgAEkATgBEAEUAWAAoAHsAXABuACAAIAAgACAAIAAgACAAIAAgACAAXAAiAE0AXwBsAGUAYQBjAGgAaQBuAG8AcgBnAGEAbgBpAGMAagBcACIALABcACIAbQBhAHMAcwAgAG8AZgAgAG4AaQB0AHIAbwBnAGUAbgAgAGwAbwBzAHQAIAB0AGgAcgBvAHUAZwBoACAAbABlAGEAYwBoAGkAbgBnACAAYQBuAGQAIAByAHUAbgBvAGYAZgAgAGYAcgBvAG0AIABpAG4AbwByAGcAYQBuAGkAYwAgAGYAZQByAHQAaQBsAGkAcwBlAHIAIABhAHAAcABsAGkAYwBhAHQAaQBvAG4AIABpAG4AIABwAHIAbwBkAHUAYwB0AGkAbwBuACAAcwB5AHMAdABlAG0AIABqAFwAIgAsACAAXAAiAGsAZwAgAE4AXAAiACwAIABcACIAQwBhAGwAYwB1AGwAYQB0AGUAZAAgAGYAcgBvAG0AIAA1AC4ANQAuADEALgAxACAAKAAyACkAXAAiADsAXABuACAAIAAgACAAIAAgACAAIAAgACAAXAAiAE0AXwBsAGUAYQBjAGgAbwByAGcAYQBuAGkAYwBqAFwAIgAsAFwAIgBtAGEAcwBzACAAbwBmACAAbgBpAHQAcgBvAGcAZQBuACAAbABvAHMAdAAgAHQAaAByAG8AdQBnAGgAIABsAGUAYQBjAGgAaQBuAGcAIABhAG4AZAAgAHIAdQBuAG8AZgBmACAAZgByAG8AbQAgAG8AcgBnAGEAbgBpAGMAIABmAGUAcgB0AGkAbABpAHMAZQByACAAYQBwAHAAbABpAGMAYQB0AGkAbwBuAFwAIgAsACAAXAAiAGsAZwAgAE4AXAAiACwAIABcACIAQwBhAGwAYwB1AGwAYQB0AGUAZAAgAGYAcgBvAG0AIAA1AC4ANQAuADEALgAxACAAKAAzACkAXAAiADsAXABuACAAIAAgACAAIAAgACAAIAAgACAAXAAiAEUARgBfAGwAZQBhAGMAaABcACIALABcACIAZQBtAGkAcwBzAGkAbwBuACAAZgBhAGMAdABvAHIAIABmAG8AcgAgAG4AaQB0AHIAbwBnAGUAbgAgAGwAZQBhAGMAaABpAG4AZwAgAGEAbgBkACAAcgB1AG4AbwBmAGYAXAAiACwAIABcACIAawBnACAATgAyAE8ALQBOAC8AawBnACAATgBcACIALAAgAFwAIgBDAG8AbgBzAHQAYQBuAHQAXAAiADsAXABuACAAIAAgACAAIAAgACAAIAAgACAAXAAiAEMAXwBOADIATwBcACIALABcACIAZgBhAGMAdABvAHIAIAB0AG8AIABjAG8AbgB2AGUAcgB0ACAAZQBsAGUAbQBlAG4AdABhAGwAIABtAGEAcwBzACAAbwBmACAAbgBpAHQAcgBvAHUAcwAgAG8AeABpAGQAZQAgAHQAbwAgAG0AbwBsAGUAYwB1AGwAYQByACAAbQBhAHMAcwBcACIALAAgAFwAIgBcACIALAAgAFwAIgBDAG8AbgBzAHQAYQBuAHQAXAAiAFwAbgAgACAAIAAgACAAIAAgACAAfQAsACAAcgAsACAAYwApAFwAbgAgACAAIAAgACAAIAApAFwAbgAgACAAIAAgACkAXABuACAAIAApADsAXABuAFwAbgAvACoAIABcAG4ALQAtAC0ALQAtAC0ALQAtAC0ALQAtAC0ALQAtAC0ALQAtAC0ALQAtAC0ALQAtAC0ALQAtAC0ALQAtAC0ALQAtAC0ALQAtAC0ALQAtAFwAbgBWAEUARQBSAEcAXwA1AF8ANQBfADEAXwAxAF8AXwAyAF8ATQBhAHMAcwBPAGYATgBpAHQAcgBvAGcAZQBuAEwAZQBhAGMAaABlAGQARgByAG8AbQBJAG4AbwByAGcAYQBuAGkAYwBGAGUAcgB0AGkAbABpAHMAZQByAFwAbgBNAGEAcwBzACAAbwBmACAAbgBpAHQAcgBvAGcAZQBuACAAbABvAHMAdAAgAHQAaAByAG8AdQBnAGgAIABsAGUAYQBjAGgAaQBuAGcAIABhAG4AZAAgAHIAdQBuAG8AZgBmACAAZgByAG8AbQAgAGkAbgBvAHIAZwBhAG4AaQBjACAAZgBlAHIAdABpAGwAaQBzAGUAcgAgAGEAcABwAGwAaQBjAGEAdABpAG8AbgAgAGkAbgAgAHAAcgBvAGQAdQBjAHQAaQBvAG4AIABzAHkAcwB0AGUAbQAgAGoAXABuAE0AXwBsAGUAYQBjAGgAaQBuAG8AcgBnAGEAbgBpAGMAagBcAG4AawBnACAATgBcAG4ATQBfAHsAbABlAGEAYwBoACwAaQBuAG8AcgBnAGEAbgBpAGMALABqAH0APQBcAFwAcwB1AG0AXwB7AGYAfQAoAHsATQBOAH0AXwB7AGoAZgB9AFwAXAB0AGkAbQBlAHMAIABGAHIAYQBjAF8AewBXAEUAVAAsAGoAfQBcAFwAdABpAG0AZQBzACAARgByAGEAYwBfAHsATABFAEEAQwBIAH0AKQBcAG4ATQBOAF8AagBmAFwAbgBGAHIAYQBjAFcARQBUAGoAXABuAEYAcgBhAGMATABFAEEAQwBIAFwAbgBqAFwAbgBmAFwAbgAtAC0ALQAtAC0ALQAtAC0ALQAtAC0ALQAtAC0ALQAtAC0ALQAtAC0ALQAtAC0ALQAtAC0ALQAtAC0ALQAtAC0ALQAtAC0ALQAtAC0AXABuACoALwBcAG4AXABuAFYARQBFAFIARwBfADUAXwA1AF8AMQBfADEAXwBfADIAXwBNAGEAcwBzAE8AZgBOAGkAdAByAG8AZwBlAG4ATABlAGEAYwBoAGUAZABGAHIAbwBtAEkAbgBvAHIAZwBhAG4AaQBjAEYAZQByAHQAaQBsAGkAcwBlAHIAXABuACAAIAA9AEwAQQBNAEIARABBACgAXABuACAAIAAgACAATQBOAF8AagBmACwAIABGAHIAYQBjAFcARQBUAGoALAAgAEYAcgBhAGMATABFAEEAQwBIACwAXABuACAAIAAgACAATQBOAF8AagBmACAAKgAgAEYAcgBhAGMAVwBFAFQAagAgACoAIABGAHIAYQBjAEwARQBBAEMASABcAG4AIAAgACkAOwBcAG4AXABuAFYARQBFAFIARwBfADUAXwA1AF8AMQBfADEAXwBfADIAXwBNAGEAcwBzAE8AZgBOAGkAdAByAG8AZwBlAG4ATABlAGEAYwBoAGUAZABGAHIAbwBtAEkAbgBvAHIAZwBhAG4AaQBjAEYAZQByAHQAaQBsAGkAcwBlAHIAXwBUAGkAdABsAGUAXABuACAAIAA9AEwAQQBNAEIARABBACgAXAAiAE0AYQBzAHMAIABvAGYAIABuAGkAdAByAG8AZwBlAG4AIABsAG8AcwB0ACAAdABoAHIAbwB1AGcAaAAgAGwAZQBhAGMAaABpAG4AZwAgAGEAbgBkACAAcgB1AG4AbwBmAGYAIABmAHIAbwBtACAAaQBuAG8AcgBnAGEAbgBpAGMAIABmAGUAcgB0AGkAbABpAHMAZQByACAAYQBwAHAAbABpAGMAYQB0AGkAbwBuACAAaQBuACAAcAByAG8AZAB1AGMAdABpAG8AbgAgAHMAeQBzAHQAZQBtACAAagBcACIAKQA7AFwAbgBcAG4AVgBFAEUAUgBHAF8ANQBfADUAXwAxAF8AMQBfAF8AMgBfAE0AYQBzAHMATwBmAE4AaQB0AHIAbwBnAGUAbgBMAGUAYQBjAGgAZQBkAEYAcgBvAG0ASQBuAG8AcgBnAGEAbgBpAGMARgBlAHIAdABpAGwAaQBzAGUAcgBfAFYAYQByAGkAYQBiAGwAZQBcAG4AIAAgAD0ATABBAE0AQgBEAEEAKABcACIATQBfAGwAZQBhAGMAaABpAG4AbwByAGcAYQBuAGkAYwBqAFwAIgApADsAXABuAFwAbgBWAEUARQBSAEcAXwA1AF8ANQBfADEAXwAxAF8AXwAyAF8ATQBhAHMAcwBPAGYATgBpAHQAcgBvAGcAZQBuAEwAZQBhAGMAaABlAGQARgByAG8AbQBJAG4AbwByAGcAYQBuAGkAYwBGAGUAcgB0AGkAbABpAHMAZQByAF8AVQBuAGkAdABcAG4AIAAgAD0ATABBAE0AQgBEAEEAKABcACIAawBnACAATgBcACIAKQA7AFwAbgBcAG4AVgBFAEUAUgBHAF8ANQBfADUAXwAxAF8AMQBfAF8AMgBfAE0AYQBzAHMATwBmAE4AaQB0AHIAbwBnAGUAbgBMAGUAYQBjAGgAZQBkAEYAcgBvAG0ASQBuAG8AcgBnAGEAbgBpAGMARgBlAHIAdABpAGwAaQBzAGUAcgBfAFMAbwB1AHIAYwBlAFwAbgAgACAAPQBMAEEATQBCAEQAQQAoAFwAIgBWAEUARQBSAEcAIAAyADAAMgA2ADoAIAA1AC4ANQAsACAARQBxAHUAYQB0AGkAbwBuACAAKAAyACkAXAAiACkAOwBcAG4AXABuAFYARQBFAFIARwBfADUAXwA1AF8AMQBfADEAXwBfADIAXwBNAGEAcwBzAE8AZgBOAGkAdAByAG8AZwBlAG4ATABlAGEAYwBoAGUAZABGAHIAbwBtAEkAbgBvAHIAZwBhAG4AaQBjAEYAZQByAHQAaQBsAGkAcwBlAHIAXwBOAEkAUgBSAGUAZgBlAHIAZQBuAGMAZQBcAG4AIAAgAD0ATABBAE0AQgBEAEEAKABcACIAXAAiACkAOwBcAG4AXABuAFYARQBFAFIARwBfADUAXwA1AF8AMQBfADEAXwBfADIAXwBNAGEAcwBzAE8AZgBOAGkAdAByAG8AZwBlAG4ATABlAGEAYwBoAGUAZABGAHIAbwBtAEkAbgBvAHIAZwBhAG4AaQBjAEYAZQByAHQAaQBsAGkAcwBlAHIAXwBMAGEAdABlAHgARQBxAHUAYQB0AGkAbwBuAFwAbgAgACAAPQBMAEEATQBCAEQAQQAoAFwAIgBNAF8AewBsAGUAYQBjAGgALABpAG4AbwByAGcAYQBuAGkAYwAsAGoAfQA9AFwAXABzAHUAbQBcAFwAbgBvAGwAaQBtAGkAdABzAF8AewBmAH0AXABcAGwAZQBmAHQAKAB7AE0ATgB9AF8AewBqAGYAfQBcAFwAdABpAG0AZQBzACAARgByAGEAYwBfAHsAVwBFAFQALABqAH0AXABcAHQAaQBtAGUAcwAgAEYAcgBhAGMAXwB7AEwARQBBAEMASAB9AFwAXAByAGkAZwBoAHQAKQBcACIAKQA7AFwAbgBcAG4AVgBFAEUAUgBHAF8ANQBfADUAXwAxAF8AMQBfAF8AMgBfAE0AYQBzAHMATwBmAE4AaQB0AHIAbwBnAGUAbgBMAGUAYQBjAGgAZQBkAEYAcgBvAG0ASQBuAG8AcgBnAGEAbgBpAGMARgBlAHIAdABpAGwAaQBzAGUAcgBfAEEAcgBnAHUAbQBlAG4AdABzAFwAbgAgACAAPQBMAEEATQBCAEQAQQAoAFwAbgAgACAAIAAgAE0AQQBLAEUAQQBSAFIAQQBZACgANgAsACAANAAsACAAXABuACAAIAAgACAAIAAgAEwAQQBNAEIARABBACgAcgAsAGMALAAgAFwAbgAgACAAIAAgACAAIAAgACAASQBOAEQARQBYACgAewBcAG4AIAAgACAAIAAgACAAIAAgACAAIABcACIATQBOAF8AagBmAFwAIgAsAFwAIgBtAGEAcwBzACAAbwBmACAAbgBpAHQAcgBvAGcAZQBuACAAaQBuACAAaQBuAG8AcgBnAGEAbgBpAGMAIABmAGUAcgB0AGkAbABpAHMAZQByAFwAIgAsACAAXAAiAGsAZwAgAE4AXAAiACwAIABcACIAQwBhAGwAYwB1AGwAYQB0AGUAZAAgAGYAcgBvAG0AIAA1AC4AMQAuADEALgAxACAAKAAyACkAXAAiADsAXABuACAAIAAgACAAIAAgACAAIAAgACAAXAAiAEYAcgBhAGMAVwBFAFQAagBcACIALABcACIAZgByAGEAYwB0AGkAbwBuACAAbwBmACAATgAgAGEAdgBhAGkAbABhAGIAbABlACAAZgBvAHIAIABsAGUAYQBjAGgAaQBuAGcAIABhAG4AZAAgAHIAdQBuAG8AZgBmAFwAIgAsACAAXAAiAGYAcgBhAGMAdABpAG8AbgBcACIALAAgAFwAIgBDAG8AbgBzAHQAYQBuAHQAXAAiADsAXABuACAAIAAgACAAIAAgACAAIAAgACAAXAAiAEYAcgBhAGMATABFAEEAQwBIAFwAIgAsAFwAIgBmAHIAYQBjAHQAaQBvAG4AIABvAGYAIABOACAAdABoAGEAdAAgAGkAcwAgAGwAbwBzAHQAIAB0AGgAcgBvAHUAZwBoACAAbABlAGEAYwBoAGkAbgBnACAAYQBuAGQAIAByAHUAbgBvAGYAZgBcACIALAAgAFwAIgBmAHIAYQBjAHQAaQBvAG4AXAAiACwAIABcACIAQwBvAG4AcwB0AGEAbgB0AFwAIgA7AFwAbgAgACAAIAAgACAAIAAgACAAIAAgACAAIABcACIAegBcACIALABcACIAbABvAGMAYQB0AGkAbwBuACAAaQBuACAAbABlAGEAYwBoAGkAbgBnACAAegBvAG4AZQBcACIALAAgAFwAIgBcACIALAAgAFwAIgBJAG4AcAB1AHQAXAAiADsAXABuACAAIAAgACAAIAAgACAAIAAgACAAIAAgAFwAIgBqAFwAIgAsAFwAIgBwAHIAbwBkAHUAYwB0AGkAbwBuACAAcwB5AHMAdABlAG0AXAAiACwAIABcACIAXAAiACwAIABcACIASQBuAHAAdQB0AFwAIgA7AFwAbgAgACAAIAAgACAAIAAgACAAIAAgACAAIABcACIAaQByAFwAIgAsAFwAIgBpAHIAcgBpAGcAYQB0AGkAbwBuACAAbQBlAHQAaABvAGQAXAAiACwAIABcACIAXAAiACwAIABcACIASQBuAHAAdQB0AFwAIgBcAG4AIAAgACAAIAAgACAAIAAgAH0ALAAgAHIALAAgAGMAKQBcAG4AIAAgACAAIAAgACAAKQBcAG4AIAAgACAAIAApAFwAbgAgACAAKQA7AFwAbgBcAG4ALwAqACAAXABuAC0ALQAtAC0ALQAtAC0ALQAtAC0ALQAtAC0ALQAtAC0ALQAtAC0ALQAtAC0ALQAtAC0ALQAtAC0ALQAtAC0ALQAtAC0ALQAtAC0ALQBcAG4AVgBFAEUAUgBHAF8ANQBfADUAXwAxAF8AMQBfAF8AMwBfAE0AYQBzAHMATwBmAE4AaQB0AHIAbwBnAGUAbgBMAGUAYQBjAGgAZQBkAEYAcgBvAG0ATwByAGcAYQBuAGkAYwBGAGUAcgB0AGkAbABpAHMAZQByAFwAbgBNAGEAcwBzACAAbwBmACAAbgBpAHQAcgBvAGcAZQBuACAAbABvAHMAdAAgAHQAaAByAG8AdQBnAGgAIABsAGUAYQBjAGgAaQBuAGcAIABhAG4AZAAgAHIAdQBuAG8AZgBmACAAZgByAG8AbQAgAG8AcgBnAGEAbgBpAGMAIABmAGUAcgB0AGkAbABpAHMAZQByACAAYQBwAHAAbABpAGMAYQB0AGkAbwBuACAAaQBuACAAcAByAG8AZAB1AGMAdABpAG8AbgAgAHMAeQBzAHQAZQBtACAAagBcAG4ATQBfAGwAZQBhAGMAaABvAHIAZwBhAG4AaQBjAGoAXABuAGsAZwAgAE4AXABuAE0AXwB7AGwAZQBhAGMAaAAsAG8AcgBnAGEAbgBpAGMALABqAH0APQBcAFwAcwB1AG0AXwB7AGYAfQAoAHsATQBOAFMAbwBpAGwAfQBfAHsAagBmAH0AXABcAHQAaQBtAGUAcwAgAEYAcgBhAGMAXwB7AFcARQBUACwAagB9AFwAXAB0AGkAbQBlAHMAIABGAHIAYQBjAF8AewBMAEUAQQBDAEgAfQApAFwAbgBNAE4AUwBvAGkAbABfAGoAZgBcAG4ARgByAGEAYwBXAEUAVABqAFwAbgBGAHIAYQBjAEwARQBBAEMASABcAG4AagBcAG4AZgBcAG4ALQAtAC0ALQAtAC0ALQAtAC0ALQAtAC0ALQAtAC0ALQAtAC0ALQAtAC0ALQAtAC0ALQAtAC0ALQAtAC0ALQAtAC0ALQAtAC0ALQAtAFwAbgAqAC8AXABuAFwAbgBWAEUARQBSAEcAXwA1AF8ANQBfADEAXwAxAF8AXwAzAF8ATQBhAHMAcwBPAGYATgBpAHQAcgBvAGcAZQBuAEwAZQBhAGMAaABlAGQARgByAG8AbQBPAHIAZwBhAG4AaQBjAEYAZQByAHQAaQBsAGkAcwBlAHIAXABuACAAIAA9AEwAQQBNAEIARABBACgAXABuACAAIAAgACAATQBOAFMAbwBpAGwAXwBqAGYALAAgAEYAcgBhAGMAVwBFAFQAagAsACAARgByAGEAYwBMAEUAQQBDAEgALABcAG4AIAAgACAAIABNAE4AUwBvAGkAbABfAGoAZgAgACoAIABGAHIAYQBjAFcARQBUAGoAIAAqACAARgByAGEAYwBMAEUAQQBDAEgAXABuACAAIAApADsAXABuAFwAbgBWAEUARQBSAEcAXwA1AF8ANQBfADEAXwAxAF8AXwAzAF8ATQBhAHMAcwBPAGYATgBpAHQAcgBvAGcAZQBuAEwAZQBhAGMAaABlAGQARgByAG8AbQBPAHIAZwBhAG4AaQBjAEYAZQByAHQAaQBsAGkAcwBlAHIAXwBUAGkAdABsAGUAXABuACAAIAA9AEwAQQBNAEIARABBACgAXAAiAE0AYQBzAHMAIABvAGYAIABuAGkAdAByAG8AZwBlAG4AIABsAG8AcwB0ACAAdABoAHIAbwB1AGcAaAAgAGwAZQBhAGMAaABpAG4AZwAgAGEAbgBkACAAcgB1AG4AbwBmAGYAIABmAHIAbwBtACAAbwByAGcAYQBuAGkAYwAgAGYAZQByAHQAaQBsAGkAcwBlAHIAIABhAHAAcABsAGkAYwBhAHQAaQBvAG4AIABpAG4AIABwAHIAbwBkAHUAYwB0AGkAbwBuACAAcwB5AHMAdABlAG0AIABqAFwAIgApADsAXABuAFwAbgBWAEUARQBSAEcAXwA1AF8ANQBfADEAXwAxAF8AXwAzAF8ATQBhAHMAcwBPAGYATgBpAHQAcgBvAGcAZQBuAEwAZQBhAGMAaABlAGQARgByAG8AbQBPAHIAZwBhAG4AaQBjAEYAZQByAHQAaQBsAGkAcwBlAHIAXwBWAGEAcgBpAGEAYgBsAGUAXABuACAAIAA9AEwAQQBNAEIARABBACgAXAAiAE0AXwBsAGUAYQBjAGgAbwByAGcAYQBuAGkAYwBqAFwAIgApADsAXABuAFwAbgBWAEUARQBSAEcAXwA1AF8ANQBfADEAXwAxAF8AXwAzAF8ATQBhAHMAcwBPAGYATgBpAHQAcgBvAGcAZQBuAEwAZQBhAGMAaABlAGQARgByAG8AbQBPAHIAZwBhAG4AaQBjAEYAZQByAHQAaQBsAGkAcwBlAHIAXwBVAG4AaQB0AFwAbgAgACAAPQBMAEEATQBCAEQAQQAoAFwAIgBrAGcAIABOAFwAIgApADsAXABuAFwAbgBWAEUARQBSAEcAXwA1AF8ANQBfADEAXwAxAF8AXwAzAF8ATQBhAHMAcwBPAGYATgBpAHQAcgBvAGcAZQBuAEwAZQBhAGMAaABlAGQARgByAG8AbQBPAHIAZwBhAG4AaQBjAEYAZQByAHQAaQBsAGkAcwBlAHIAXwBTAG8AdQByAGMAZQBcAG4AIAAgAD0ATABBAE0AQgBEAEEAKABcACIAVgBFAEUAUgBHACAAMgAwADIANgA6ACAANQAuADUALAAgAEUAcQB1AGEAdABpAG8AbgAgACgAMwApAFwAIgApADsAXABuAFwAbgBWAEUARQBSAEcAXwA1AF8ANQBfADEAXwAxAF8AXwAzAF8ATQBhAHMAcwBPAGYATgBpAHQAcgBvAGcAZQBuAEwAZQBhAGMAaABlAGQARgByAG8AbQBPAHIAZwBhAG4AaQBjAEYAZQByAHQAaQBsAGkAcwBlAHIAXwBOAEkAUgBSAGUAZgBlAHIAZQBuAGMAZQBcAG4AIAAgAD0ATABBAE0AQgBEAEEAKABcACIAXAAiACkAOwBcAG4AXABuAFYARQBFAFIARwBfADUAXwA1AF8AMQBfADEAXwBfADMAXwBNAGEAcwBzAE8AZgBOAGkAdAByAG8AZwBlAG4ATABlAGEAYwBoAGUAZABGAHIAbwBtAE8AcgBnAGEAbgBpAGMARgBlAHIAdABpAGwAaQBzAGUAcgBfAEwAYQB0AGUAeABFAHEAdQBhAHQAaQBvAG4AXABuACAAIAA9AEwAQQBNAEIARABBACgAXAAiAE0AXwB7AGwAZQBhAGMAaAAsAG8AcgBnAGEAbgBpAGMALABqAH0APQBcAFwAcwB1AG0AXABcAG4AbwBsAGkAbQBpAHQAcwBfAHsAZgB9AFwAXABsAGUAZgB0ACgAewBNAE4AUwBvAGkAbAB9AF8AewBqAGYAfQBcAFwAdABpAG0AZQBzACAARgByAGEAYwBfAHsAVwBFAFQALABqAH0AXABcAHQAaQBtAGUAcwAgAEYAcgBhAGMAXwB7AEwARQBBAEMASAB9AFwAXAByAGkAZwBoAHQAKQBcACIAKQA7AFwAbgBcAG4AVgBFAEUAUgBHAF8ANQBfADUAXwAxAF8AMQBfAF8AMwBfAE0AYQBzAHMATwBmAE4AaQB0AHIAbwBnAGUAbgBMAGUAYQBjAGgAZQBkAEYAcgBvAG0ATwByAGcAYQBuAGkAYwBGAGUAcgB0AGkAbABpAHMAZQByAF8AQQByAGcAdQBtAGUAbgB0AHMAXABuACAAIAA9AEwAQQBNAEIARABBACgAXABuACAAIAAgACAATQBBAEsARQBBAFIAUgBBAFkAKAA2ACwAIAA0ACwAIABcAG4AIAAgACAAIAAgACAATABBAE0AQgBEAEEAKAByACwAYwAsACAAXABuACAAIAAgACAAIAAgACAAIABJAE4ARABFAFgAKAB7AFwAbgAgACAAIAAgACAAIAAgACAAIAAgAFwAIgBNAE4AUwBvAGkAbABfAGoAZgBcACIALABcACIAbQBhAHMAcwAgAG8AZgAgAG4AaQB0AHIAbwBnAGUAbgAgAGkAbgAgAG8AcgBnAGEAbgBpAGMAIABmAGUAcgB0AGkAbABpAHMAZQByAFwAIgAsACAAXAAiAGsAZwAgAE4AXAAiACwAIABcACIAQwBhAGwAYwB1AGwAYQB0AGUAZAAgAGYAcgBvAG0AIAA1AC4AMgAuADEALgAxACAAKAAyACkAXAAiADsAXABuACAAIAAgACAAIAAgACAAIAAgACAAXAAiAEYAcgBhAGMAVwBFAFQAagBcACIALABcACIAZgByAGEAYwB0AGkAbwBuACAAbwBmACAATgAgAGEAdgBhAGkAbABhAGIAbABlACAAZgBvAHIAIABsAGUAYQBjAGgAaQBuAGcAIABhAG4AZAAgAHIAdQBuAG8AZgBmAFwAIgAsACAAXAAiAGYAcgBhAGMAdABpAG8AbgBcACIALAAgAFwAIgBDAG8AbgBzAHQAYQBuAHQAXAAiADsAXABuACAAIAAgACAAIAAgACAAIAAgACAAXAAiAEYAcgBhAGMATABFAEEAQwBIAFwAIgAsAFwAIgBmAHIAYQBjAHQAaQBvAG4AIABvAGYAIABOACAAdABoAGEAdAAgAGkAcwAgAGwAbwBzAHQAIAB0AGgAcgBvAHUAZwBoACAAbABlAGEAYwBoAGkAbgBnACAAYQBuAGQAIAByAHUAbgBvAGYAZgBcACIALAAgAFwAIgBmAHIAYQBjAHQAaQBvAG4AXAAiACwAIABcACIAQwBvAG4AcwB0AGEAbgB0AFwAIgA7AFwAbgAgACAAIAAgACAAIAAgACAAIAAgAFwAIgB6AFwAIgAsAFwAIgBsAG8AYwBhAHQAaQBvAG4AIABpAG4AIABsAGUAYQBjAGgAaQBuAGcAIAB6AG8AbgBlAFwAIgAsACAAXAAiAFwAIgAsACAAXAAiAEkAbgBwAHUAdABcACIAOwBcAG4AIAAgACAAIAAgACAAIAAgACAAIABcACIAagBcACIALABcACIAcAByAG8AZAB1AGMAdABpAG8AbgAgAHMAeQBzAHQAZQBtAFwAIgAsACAAXAAiAFwAIgAsACAAXAAiAEkAbgBwAHUAdABcACIAOwBcAG4AIAAgACAAIAAgACAAIAAgACAAIABcACIAaQByAFwAIgAsAFwAIgBpAHIAcgBpAGcAYQB0AGkAbwBuACAAbQBlAHQAaABvAGQAXAAiACwAIABcACIAXAAiACwAIABcACIASQBuAHAAdQB0AFwAIgBcAG4AIAAgACAAIAAgACAAIAAgAH0ALAAgAHIALAAgAGMAKQBcAG4AIAAgACAAIAAgACAAKQBcAG4AIAAgACAAIAApAFwAbgAgACAAKQA7AFwAbgAiAH0ALAB7ACIAcABhAHQAaAAiADoAIgAvAHAAcgBvAGoAZQBjAHQAcwAvAEYAZQByAHQAaQBsAGkAcwBlAHIAXwBJAG4AcAB1AHQARgB1AG4AYwB0AGkAbwBuAHMAIgAsACIAdABlAHgAdAAiADoAIgBGAGUAcgB0AGkAbABpAHMAZQByAF8ARgBlAHIAdABpAGwAaQBzAGUAcgBQAHIAbwBkAHUAYwB0AEwAbwBvAGsAdQBwAFwAbgA9AEwAQQBNAEIARABBACgAXABuACAAIABQAHIAbwBkAHUAYwB0ACwAXABuACAAIABQAHIAbwBkAHUAYwB0AEEAdAB0AHIAaQBiAHUAdABlACwAXABuACAAIABQAHIAbwBkAHUAYwB0AEEAcgByAGEAeQAsAFwAbgAgACAAUAByAG8AZAB1AGMAdABBAHIAcgBhAHkAQwBvAGwAdQBtAG4ALABcAG4AIAAgAFAAcgBvAGQAdQBjAHQAQQByAHIAYQB5AEgAZQBhAGQAZQByAHMALABcAG4AIAAgAEkARgBFAFIAUgBPAFIAKABcAG4AIAAgACAAIABJAE4ARABFAFgAKABcAG4AIAAgACAAIAAgACAAUAByAG8AZAB1AGMAdABBAHIAcgBhAHkALABcAG4AIAAgACAAIAAgACAAWABNAEEAVABDAEgAKABcAG4AIAAgACAAIAAgACAAIAAgAFQAUgBJAE0AKABcAG4AIAAgACAAIAAgACAAIAAgACAAIABQAHIAbwBkAHUAYwB0AFwAbgAgACAAIAAgACAAIAAgACAAKQAsAFwAbgAgACAAIAAgACAAIAAgACAAUAByAG8AZAB1AGMAdABBAHIAcgBhAHkAQwBvAGwAdQBtAG4ALABcAG4AIAAgACAAIAAgACAAIAAgADAAXABuACAAIAAgACAAIAAgACkALABcAG4AIAAgACAAIAAgACAAWABNAEEAVABDAEgAKABcAG4AIAAgACAAIAAgACAAIAAgAFQAUgBJAE0AKABcAG4AIAAgACAAIAAgACAAIAAgACAAIABQAHIAbwBkAHUAYwB0AEEAdAB0AHIAaQBiAHUAdABlAFwAbgAgACAAIAAgACAAIAAgACAAKQAsAFwAbgAgACAAIAAgACAAIAAgACAAUAByAG8AZAB1AGMAdABBAHIAcgBhAHkASABlAGEAZABlAHIAcwAsAFwAbgAgACAAIAAgACAAIAAgACAAMABcAG4AIAAgACAAIAAgACAAKQBcAG4AIAAgACAAIAApACwAXABuACAAIAAgACAAXAAiAFwAIgBcAG4AIAAgACkAXABuACkAOwBcAG4AXABuAEYAZQByAHQAaQBsAGkAcwBlAHIAXwBTAHUAbQBQAHIAbwBkAHUAYwB0AEEAcABwAGwAaQBlAGQAXABuAD0ATABBAE0AQgBEAEEAKABcAG4AIAAgAEwAbwBvAGsAdQBwAFQAYQByAGcAZQB0ADEALABcAG4AIAAgAEwAbwBvAGsAdQBwAEEAcgByAGEAeQAxACwAXABuACAAIABBAG0AbwB1AG4AdABBAHAAcABsAGkAZQBkACwAXABuACAAIABbAEwAbwBvAGsAdQBwAFQAYQByAGcAZQB0ADIAXQAsAFwAbgAgACAAWwBMAG8AbwBrAHUAcABBAHIAcgBhAHkAMgBdACwAXABuACAAIABMAEUAVAAoAFwAbgAgACAAIAAgAGMAcgBpAHQAZQByAGkAYQAxACwAXABuACAAIAAgACAALQAtACgAXABuACAAIAAgACAAIAAgAEwAbwBvAGsAdQBwAEEAcgByAGEAeQAxACAAPQAgAEwAbwBvAGsAdQBwAFQAYQByAGcAZQB0ADEAXABuACAAIAAgACAAKQAsAFwAbgAgACAAIAAgAGMAcgBpAHQAZQByAGkAYQAyACwAXABuACAAIAAgACAASQBGACgAXABuACAAIAAgACAAIAAgAEkAUwBPAE0ASQBUAFQARQBEACgAXABuACAAIAAgACAAIAAgACAAIABMAG8AbwBrAHUAcABUAGEAcgBnAGUAdAAyAFwAbgAgACAAIAAgACAAIAApACwAXABuACAAIAAgACAAIAAgADEALABcAG4AIAAgACAAIAAgACAALQAtACgAXABuACAAIAAgACAAIAAgACAAIABMAG8AbwBrAHUAcABBAHIAcgBhAHkAMgAgAD0AIABMAG8AbwBrAHUAcABUAGEAcgBnAGUAdAAyAFwAbgAgACAAIAAgACAAIAApAFwAbgAgACAAIAAgACkALABcAG4AIAAgACAAIABTAFUATQBQAFIATwBEAFUAQwBUACgAXABuACAAIAAgACAAIAAgAEkARgBFAFIAUgBPAFIAKABjAHIAaQB0AGUAcgBpAGEAMQAgACoAIABjAHIAaQB0AGUAcgBpAGEAMgAgACoAIABBAG0AbwB1AG4AdABBAHAAcABsAGkAZQBkACwAIAAwACkAXABuACAAIAAgACAAKQBcAG4AIAAgACkAXABuACkAOwBcAG4AXABuAEYAZQByAHQAaQBsAGkAcwBlAHIAXwBUAG8AdABhAGwAUwBvAGkAbABBAG0AZQBuAGQAbQBlAG4AdABBAHAAcABsAGkAZQBkAFwAbgA9AEwAQQBNAEIARABBACgAXABuACAAIABBAG0AbwB1AG4AdABBAHAAcABsAGkAZQBkACwAXABuACAAIABBAG0AZQBuAGQAbQBlAG4AdABQAGUAcgBjAGUAbgB0ACwAXABuACAAIABTAFUATQBQAFIATwBEAFUAQwBUACgAXABuACAAIAAgACAAQQBtAG8AdQBuAHQAQQBwAHAAbABpAGUAZAAgACoAIABBAG0AZQBuAGQAbQBlAG4AdABQAGUAcgBjAGUAbgB0AFwAbgAgACAAKQBcAG4AKQA7AFwAbgBcAG4ARgBlAHIAdABpAGwAaQBzAGUAcgBfAFQAbwB0AGEAbABDAGgAZQBtAGkAYwBhAGwAQwBvAG0AcABvAHUAbgBkAEEAcABwAGwAaQBlAGQAQQBsAGwASQBuAGcAcgBlAGQAaQBlAG4AdABzAFwAbgA9AEwAQQBNAEIARABBACgAXABuACAAIABDAGgAZQBtAGkAYwBhAGwAQwBvAG0AcABvAHUAbgBkACwAXABuACAAIABBAG0AbwB1AG4AdABBAHAAcABsAGkAZQBkACwAXABuACAAIABQAHIAbwBkAHUAYwB0AEkAbgBnAHIAZQBkAGkAZQBuAHQAMQAsAFwAbgAgACAAUAByAG8AZAB1AGMAdABJAG4AZwByAGUAZABpAGUAbgB0AFAAZQByAGMAZQBuAHQAMQAsAFwAbgAgACAAWwBQAHIAbwBkAHUAYwB0AEkAbgBnAHIAZQBkAGkAZQBuAHQAMgBdACwAXABuACAAIABbAFAAcgBvAGQAdQBjAHQASQBuAGcAcgBlAGQAaQBlAG4AdABQAGUAcgBjAGUAbgB0ADIAXQAsAFwAbgAgACAAWwBQAHIAbwBkAHUAYwB0AEkAbgBnAHIAZQBkAGkAZQBuAHQAMwBdACwAXABuACAAIABbAFAAcgBvAGQAdQBjAHQASQBuAGcAcgBlAGQAaQBlAG4AdABQAGUAcgBjAGUAbgB0ADMAXQAsAFwAbgAgACAAWwBQAHIAbwBkAHUAYwB0AEkAbgBnAHIAZQBkAGkAZQBuAHQANABdACwAXABuACAAIABbAFAAcgBvAGQAdQBjAHQASQBuAGcAcgBlAGQAaQBlAG4AdABQAGUAcgBjAGUAbgB0ADQAXQAsAFwAbgAgACAAWwBQAHIAbwBkAHUAYwB0AEkAbgBnAHIAZQBkAGkAZQBuAHQANQBdACwAXABuACAAIABbAFAAcgBvAGQAdQBjAHQASQBuAGcAcgBlAGQAaQBlAG4AdABQAGUAcgBjAGUAbgB0ADUAXQAsAFwAbgAgACAAWwBQAHIAbwBkAHUAYwB0AEkAbgBnAHIAZQBkAGkAZQBuAHQANgBdACwAXABuACAAIABbAFAAcgBvAGQAdQBjAHQASQBuAGcAcgBlAGQAaQBlAG4AdABQAGUAcgBjAGUAbgB0ADYAXQAsAFwAbgAgACAATABFAFQAKABcAG4AIAAgACAAIABjAGEAbABjAHUAbABhAHQAZQBkAEEAbQBvAHUAbgB0ADEALABcAG4AIAAgACAAIAAoAFwAbgAgACAAIAAgACAAIABBAG0AbwB1AG4AdABBAHAAcABsAGkAZQBkACAAKgAgAFAAcgBvAGQAdQBjAHQASQBuAGcAcgBlAGQAaQBlAG4AdABQAGUAcgBjAGUAbgB0ADEAXABuACAAIAAgACAAKQAsAFwAbgAgACAAIAAgAGMAYQBsAGMAdQBsAGEAdABlAGQAQQBtAG8AdQBuAHQAMgAsAFwAbgAgACAAIAAgACgAXABuACAAIAAgACAAIAAgAEEAbQBvAHUAbgB0AEEAcABwAGwAaQBlAGQAIAAqACAAUAByAG8AZAB1AGMAdABJAG4AZwByAGUAZABpAGUAbgB0AFAAZQByAGMAZQBuAHQAMgBcAG4AIAAgACAAIAApACwAXABuACAAIAAgACAAYwBhAGwAYwB1AGwAYQB0AGUAZABBAG0AbwB1AG4AdAAzACwAXABuACAAIAAgACAAKABcAG4AIAAgACAAIAAgACAAQQBtAG8AdQBuAHQAQQBwAHAAbABpAGUAZAAgACoAIABQAHIAbwBkAHUAYwB0AEkAbgBnAHIAZQBkAGkAZQBuAHQAUABlAHIAYwBlAG4AdAAzAFwAbgAgACAAIAAgACkALABcAG4AIAAgACAAIABjAGEAbABjAHUAbABhAHQAZQBkAEEAbQBvAHUAbgB0ADQALABcAG4AIAAgACAAIAAoAFwAbgAgACAAIAAgACAAIABBAG0AbwB1AG4AdABBAHAAcABsAGkAZQBkACAAKgAgAFAAcgBvAGQAdQBjAHQASQBuAGcAcgBlAGQAaQBlAG4AdABQAGUAcgBjAGUAbgB0ADQAXABuACAAIAAgACAAKQAsAFwAbgAgACAAIAAgAGMAYQBsAGMAdQBsAGEAdABlAGQAQQBtAG8AdQBuAHQANQAsAFwAbgAgACAAIAAgACgAXABuACAAIAAgACAAIAAgAEEAbQBvAHUAbgB0AEEAcABwAGwAaQBlAGQAIAAqACAAUAByAG8AZAB1AGMAdABJAG4AZwByAGUAZABpAGUAbgB0AFAAZQByAGMAZQBuAHQANQBcAG4AIAAgACAAIAApACwAXABuACAAIAAgACAAYwBhAGwAYwB1AGwAYQB0AGUAZABBAG0AbwB1AG4AdAA2ACwAXABuACAAIAAgACAAKABcAG4AIAAgACAAIAAgACAAQQBtAG8AdQBuAHQAQQBwAHAAbABpAGUAZAAgACoAIABQAHIAbwBkAHUAYwB0AEkAbgBnAHIAZQBkAGkAZQBuAHQAUABlAHIAYwBlAG4AdAA2AFwAbgAgACAAIAAgACkALABcAG4AIAAgACAAIABGAGUAcgB0AGkAbABpAHMAZQByAF8AUwB1AG0AUAByAG8AZAB1AGMAdABBAHAAcABsAGkAZQBkACgAXABuACAAIAAgACAAIAAgAEMAaABlAG0AaQBjAGEAbABDAG8AbQBwAG8AdQBuAGQALABcAG4AIAAgACAAIAAgACAAUAByAG8AZAB1AGMAdABJAG4AZwByAGUAZABpAGUAbgB0ADEALABcAG4AIAAgACAAIAAgACAAYwBhAGwAYwB1AGwAYQB0AGUAZABBAG0AbwB1AG4AdAAxAFwAbgAgACAAIAAgACkAIAArACAASQBGAEUAUgBSAE8AUgAoAFwAbgAgACAAIAAgACAAIABGAGUAcgB0AGkAbABpAHMAZQByAF8AUwB1AG0AUAByAG8AZAB1AGMAdABBAHAAcABsAGkAZQBkACgAXABuACAAIAAgACAAIAAgACAAIABDAGgAZQBtAGkAYwBhAGwAQwBvAG0AcABvAHUAbgBkACwAXABuACAAIAAgACAAIAAgACAAIABQAHIAbwBkAHUAYwB0AEkAbgBnAHIAZQBkAGkAZQBuAHQAMgAsAFwAbgAgACAAIAAgACAAIAAgACAAYwBhAGwAYwB1AGwAYQB0AGUAZABBAG0AbwB1AG4AdAAyAFwAbgAgACAAIAAgACAAIAApACwAXABuACAAIAAgACAAIAAgADAAXABuACAAIAAgACAAKQAgACsAIABJAEYARQBSAFIATwBSACgAXABuACAAIAAgACAAIAAgAEYAZQByAHQAaQBsAGkAcwBlAHIAXwBTAHUAbQBQAHIAbwBkAHUAYwB0AEEAcABwAGwAaQBlAGQAKABcAG4AIAAgACAAIAAgACAAIAAgAEMAaABlAG0AaQBjAGEAbABDAG8AbQBwAG8AdQBuAGQALABcAG4AIAAgACAAIAAgACAAIAAgAFAAcgBvAGQAdQBjAHQASQBuAGcAcgBlAGQAaQBlAG4AdAAzACwAXABuACAAIAAgACAAIAAgACAAIABjAGEAbABjAHUAbABhAHQAZQBkAEEAbQBvAHUAbgB0ADMAXABuACAAIAAgACAAIAAgACkALABcAG4AIAAgACAAIAAgACAAMABcAG4AIAAgACAAIAApACAAKwAgAEkARgBFAFIAUgBPAFIAKABcAG4AIAAgACAAIAAgACAARgBlAHIAdABpAGwAaQBzAGUAcgBfAFMAdQBtAFAAcgBvAGQAdQBjAHQAQQBwAHAAbABpAGUAZAAoAFwAbgAgACAAIAAgACAAIAAgACAAQwBoAGUAbQBpAGMAYQBsAEMAbwBtAHAAbwB1AG4AZAAsAFwAbgAgACAAIAAgACAAIAAgACAAUAByAG8AZAB1AGMAdABJAG4AZwByAGUAZABpAGUAbgB0ADQALABcAG4AIAAgACAAIAAgACAAIAAgAGMAYQBsAGMAdQBsAGEAdABlAGQAQQBtAG8AdQBuAHQANABcAG4AIAAgACAAIAAgACAAKQAsAFwAbgAgACAAIAAgACAAIAAwAFwAbgAgACAAIAAgACkAIAArACAASQBGAEUAUgBSAE8AUgAoAFwAbgAgACAAIAAgACAAIABGAGUAcgB0AGkAbABpAHMAZQByAF8AUwB1AG0AUAByAG8AZAB1AGMAdABBAHAAcABsAGkAZQBkACgAXABuACAAIAAgACAAIAAgACAAIABDAGgAZQBtAGkAYwBhAGwAQwBvAG0AcABvAHUAbgBkACwAXABuACAAIAAgACAAIAAgACAAIABQAHIAbwBkAHUAYwB0AEkAbgBnAHIAZQBkAGkAZQBuAHQANQAsAFwAbgAgACAAIAAgACAAIAAgACAAYwBhAGwAYwB1AGwAYQB0AGUAZABBAG0AbwB1AG4AdAA1AFwAbgAgACAAIAAgACAAIAApACwAXABuACAAIAAgACAAIAAgADAAXABuACAAIAAgACAAKQAgACsAIABJAEYARQBSAFIATwBSACgAXABuACAAIAAgACAAIAAgAEYAZQByAHQAaQBsAGkAcwBlAHIAXwBTAHUAbQBQAHIAbwBkAHUAYwB0AEEAcABwAGwAaQBlAGQAKABcAG4AIAAgACAAIAAgACAAIAAgAEMAaABlAG0AaQBjAGEAbABDAG8AbQBwAG8AdQBuAGQALABcAG4AIAAgACAAIAAgACAAIAAgAFAAcgBvAGQAdQBjAHQASQBuAGcAcgBlAGQAaQBlAG4AdAA2ACwAXABuACAAIAAgACAAIAAgACAAIABjAGEAbABjAHUAbABhAHQAZQBkAEEAbQBvAHUAbgB0ADYAXABuACAAIAAgACAAIAAgACkALABcAG4AIAAgACAAIAAgACAAMABcAG4AIAAgACAAIAApAFwAbgAgACAAKQBcAG4AKQA7AFwAbgBcAG4ARgBlAHIAdABpAGwAaQBzAGUAcgBfAFQAbwB0AGEAbABDAGgAZQBtAGkAYwBhAGwAQwBvAG0AcABvAHUAbgBkAHQAQQBwAHAAbABpAGUAZABCAHkAUwBvAHUAcgBjAGUAQQBsAGwASQBuAGcAcgBlAGQAaQBlAG4AdABzAFwAbgA9AEwAQQBNAEIARABBACgAXABuACAAIABDAGgAZQBtAGkAYwBhAGwAQwBvAG0AcABvAHUAbgBkACwAXABuACAAIABTAG8AdQByAGMAZQAsAFwAbgAgACAAQQBtAG8AdQBuAHQAQQBwAHAAbABpAGUAZAAsAFwAbgAgACAAUAByAG8AZAB1AGMAdABJAG4AZwByAGUAZABpAGUAbgB0ADEALABcAG4AIAAgAFAAcgBvAGQAdQBjAHQASQBuAGcAcgBlAGQAaQBlAG4AdABQAGUAcgBjAGUAbgB0ADEALABcAG4AIAAgAFsAUAByAG8AZAB1AGMAdABJAG4AZwByAGUAZABpAGUAbgB0AFMAbwB1AHIAYwBlAF0ALABcAG4AIAAgAFsAUAByAG8AZAB1AGMAdABJAG4AZwByAGUAZABpAGUAbgB0ADIAXQAsAFwAbgAgACAAWwBQAHIAbwBkAHUAYwB0AEkAbgBnAHIAZQBkAGkAZQBuAHQAUABlAHIAYwBlAG4AdAAyAF0ALABcAG4AIAAgAFsAUAByAG8AZAB1AGMAdABJAG4AZwByAGUAZABpAGUAbgB0ADMAXQAsAFwAbgAgACAAWwBQAHIAbwBkAHUAYwB0AEkAbgBnAHIAZQBkAGkAZQBuAHQAUABlAHIAYwBlAG4AdAAzAF0ALABcAG4AIAAgAFsAUAByAG8AZAB1AGMAdABJAG4AZwByAGUAZABpAGUAbgB0ADQAXQAsAFwAbgAgACAAWwBQAHIAbwBkAHUAYwB0AEkAbgBnAHIAZQBkAGkAZQBuAHQAUABlAHIAYwBlAG4AdAA0AF0ALABcAG4AIAAgAFsAUAByAG8AZAB1AGMAdABJAG4AZwByAGUAZABpAGUAbgB0ADUAXQAsAFwAbgAgACAAWwBQAHIAbwBkAHUAYwB0AEkAbgBnAHIAZQBkAGkAZQBuAHQAUABlAHIAYwBlAG4AdAA1AF0ALABcAG4AIAAgAFsAUAByAG8AZAB1AGMAdABJAG4AZwByAGUAZABpAGUAbgB0ADYAXQAsAFwAbgAgACAAWwBQAHIAbwBkAHUAYwB0AEkAbgBnAHIAZQBkAGkAZQBuAHQAUABlAHIAYwBlAG4AdAA2AF0ALABcAG4AIAAgAEwARQBUACgAXABuACAAIAAgACAAYwBhAGwAYwB1AGwAYQB0AGUAZABBAG0AbwB1AG4AdAAxACwAXABuACAAIAAgACAAKABcAG4AIAAgACAAIAAgACAAQQBtAG8AdQBuAHQAQQBwAHAAbABpAGUAZAAgACoAIABQAHIAbwBkAHUAYwB0AEkAbgBnAHIAZQBkAGkAZQBuAHQAUABlAHIAYwBlAG4AdAAxAFwAbgAgACAAIAAgACkALABcAG4AIAAgACAAIABjAGEAbABjAHUAbABhAHQAZQBkAEEAbQBvAHUAbgB0ADIALABcAG4AIAAgACAAIAAoAFwAbgAgACAAIAAgACAAIABBAG0AbwB1AG4AdABBAHAAcABsAGkAZQBkACAAKgAgAFAAcgBvAGQAdQBjAHQASQBuAGcAcgBlAGQAaQBlAG4AdABQAGUAcgBjAGUAbgB0ADIAXABuACAAIAAgACAAKQAsAFwAbgAgACAAIAAgAGMAYQBsAGMAdQBsAGEAdABlAGQAQQBtAG8AdQBuAHQAMwAsAFwAbgAgACAAIAAgACgAXABuACAAIAAgACAAIAAgAEEAbQBvAHUAbgB0AEEAcABwAGwAaQBlAGQAIAAqACAAUAByAG8AZAB1AGMAdABJAG4AZwByAGUAZABpAGUAbgB0AFAAZQByAGMAZQBuAHQAMwBcAG4AIAAgACAAIAApACwAXABuACAAIAAgACAAYwBhAGwAYwB1AGwAYQB0AGUAZABBAG0AbwB1AG4AdAA0ACwAXABuACAAIAAgACAAKABcAG4AIAAgACAAIAAgACAAQQBtAG8AdQBuAHQAQQBwAHAAbABpAGUAZAAgACoAIABQAHIAbwBkAHUAYwB0AEkAbgBnAHIAZQBkAGkAZQBuAHQAUABlAHIAYwBlAG4AdAA0AFwAbgAgACAAIAAgACkALABcAG4AIAAgACAAIABjAGEAbABjAHUAbABhAHQAZQBkAEEAbQBvAHUAbgB0ADUALABcAG4AIAAgACAAIAAoAFwAbgAgACAAIAAgACAAIABBAG0AbwB1AG4AdABBAHAAcABsAGkAZQBkACAAKgAgAFAAcgBvAGQAdQBjAHQASQBuAGcAcgBlAGQAaQBlAG4AdABQAGUAcgBjAGUAbgB0ADUAXABuACAAIAAgACAAKQAsAFwAbgAgACAAIAAgAGMAYQBsAGMAdQBsAGEAdABlAGQAQQBtAG8AdQBuAHQANgAsAFwAbgAgACAAIAAgACgAXABuACAAIAAgACAAIAAgAEEAbQBvAHUAbgB0AEEAcABwAGwAaQBlAGQAIAAqACAAUAByAG8AZAB1AGMAdABJAG4AZwByAGUAZABpAGUAbgB0AFAAZQByAGMAZQBuAHQANgBcAG4AIAAgACAAIAApACwAXABuACAAIAAgACAAUAByAG8AZAB1AGMAdABJAG4AZwByAGUAZABpAGUAbgB0AFMAbwB1AHIAYwBlACwAXABuACAAIAAgACAASQBGACgAXABuACAAIAAgACAAIAAgAFAAcgBvAGQAdQBjAHQASQBuAGcAcgBlAGQAaQBlAG4AdABTAG8AdQByAGMAZQAgAD0AIABcACIAXAAiACwAXABuACAAIAAgACAAIAAgAFwAIgBHAGwAbwBiAGEAbABcACIALABcAG4AIAAgACAAIAAgACAAUAByAG8AZAB1AGMAdABJAG4AZwByAGUAZABpAGUAbgB0AFMAbwB1AHIAYwBlAFwAbgAgACAAIAAgACkALABcAG4AIAAgACAAIABGAGUAcgB0AGkAbABpAHMAZQByAF8AUwB1AG0AUAByAG8AZAB1AGMAdABBAHAAcABsAGkAZQBkACgAXABuACAAIAAgACAAIAAgAEMAaABlAG0AaQBjAGEAbABDAG8AbQBwAG8AdQBuAGQALABcAG4AIAAgACAAIAAgACAAUAByAG8AZAB1AGMAdABJAG4AZwByAGUAZABpAGUAbgB0ADEALABcAG4AIAAgACAAIAAgACAAYwBhAGwAYwB1AGwAYQB0AGUAZABBAG0AbwB1AG4AdAAxACwAXABuACAAIAAgACAAIAAgAFMAbwB1AHIAYwBlACwAXABuACAAIAAgACAAIAAgAFAAcgBvAGQAdQBjAHQASQBuAGcAcgBlAGQAaQBlAG4AdABTAG8AdQByAGMAZQBcAG4AIAAgACAAIAApACAAKwAgAEkARgBFAFIAUgBPAFIAKABcAG4AIAAgACAAIAAgACAARgBlAHIAdABpAGwAaQBzAGUAcgBfAFMAdQBtAFAAcgBvAGQAdQBjAHQAQQBwAHAAbABpAGUAZAAoAFwAbgAgACAAIAAgACAAIAAgACAAQwBoAGUAbQBpAGMAYQBsAEMAbwBtAHAAbwB1AG4AZAAsAFwAbgAgACAAIAAgACAAIAAgACAAUAByAG8AZAB1AGMAdABJAG4AZwByAGUAZABpAGUAbgB0ADIALABcAG4AIAAgACAAIAAgACAAIAAgAGMAYQBsAGMAdQBsAGEAdABlAGQAQQBtAG8AdQBuAHQAMgAsAFwAbgAgACAAIAAgACAAIAAgACAAUwBvAHUAcgBjAGUALABcAG4AIAAgACAAIAAgACAAIAAgAFAAcgBvAGQAdQBjAHQASQBuAGcAcgBlAGQAaQBlAG4AdABTAG8AdQByAGMAZQBcAG4AIAAgACAAIAAgACAAKQAsAFwAbgAgACAAIAAgACAAIAAwAFwAbgAgACAAIAAgACkAIAArACAASQBGAEUAUgBSAE8AUgAoAFwAbgAgACAAIAAgACAAIABGAGUAcgB0AGkAbABpAHMAZQByAF8AUwB1AG0AUAByAG8AZAB1AGMAdABBAHAAcABsAGkAZQBkACgAXABuACAAIAAgACAAIAAgACAAIABDAGgAZQBtAGkAYwBhAGwAQwBvAG0AcABvAHUAbgBkACwAXABuACAAIAAgACAAIAAgACAAIABQAHIAbwBkAHUAYwB0AEkAbgBnAHIAZQBkAGkAZQBuAHQAMwAsAFwAbgAgACAAIAAgACAAIAAgACAAYwBhAGwAYwB1AGwAYQB0AGUAZABBAG0AbwB1AG4AdAAzACwAXABuACAAIAAgACAAIAAgACAAIABTAG8AdQByAGMAZQAsAFwAbgAgACAAIAAgACAAIAAgACAAUAByAG8AZAB1AGMAdABJAG4AZwByAGUAZABpAGUAbgB0AFMAbwB1AHIAYwBlAFwAbgAgACAAIAAgACAAIAApACwAXABuACAAIAAgACAAIAAgADAAXABuACAAIAAgACAAKQAgACsAIABJAEYARQBSAFIATwBSACgAXABuACAAIAAgACAAIAAgAEYAZQByAHQAaQBsAGkAcwBlAHIAXwBTAHUAbQBQAHIAbwBkAHUAYwB0AEEAcABwAGwAaQBlAGQAKABcAG4AIAAgACAAIAAgACAAIAAgAEMAaABlAG0AaQBjAGEAbABDAG8AbQBwAG8AdQBuAGQALABcAG4AIAAgACAAIAAgACAAIAAgAFAAcgBvAGQAdQBjAHQASQBuAGcAcgBlAGQAaQBlAG4AdAA0ACwAXABuACAAIAAgACAAIAAgACAAIABjAGEAbABjAHUAbABhAHQAZQBkAEEAbQBvAHUAbgB0ADQALABcAG4AIAAgACAAIAAgACAAIAAgAFMAbwB1AHIAYwBlACwAXABuACAAIAAgACAAIAAgACAAIABQAHIAbwBkAHUAYwB0AEkAbgBnAHIAZQBkAGkAZQBuAHQAUwBvAHUAcgBjAGUAXABuACAAIAAgACAAIAAgACkALABcAG4AIAAgACAAIAAgACAAMABcAG4AIAAgACAAIAApACAAKwAgAEkARgBFAFIAUgBPAFIAKABcAG4AIAAgACAAIAAgACAARgBlAHIAdABpAGwAaQBzAGUAcgBfAFMAdQBtAFAAcgBvAGQAdQBjAHQAQQBwAHAAbABpAGUAZAAoAFwAbgAgACAAIAAgACAAIAAgACAAQwBoAGUAbQBpAGMAYQBsAEMAbwBtAHAAbwB1AG4AZAAsAFwAbgAgACAAIAAgACAAIAAgACAAUAByAG8AZAB1AGMAdABJAG4AZwByAGUAZABpAGUAbgB0ADUALABcAG4AIAAgACAAIAAgACAAIAAgAGMAYQBsAGMAdQBsAGEAdABlAGQAQQBtAG8AdQBuAHQANQAsAFwAbgAgACAAIAAgACAAIAAgACAAUwBvAHUAcgBjAGUALABcAG4AIAAgACAAIAAgACAAIAAgAFAAcgBvAGQAdQBjAHQASQBuAGcAcgBlAGQAaQBlAG4AdABTAG8AdQByAGMAZQBcAG4AIAAgACAAIAAgACAAKQAsAFwAbgAgACAAIAAgACAAIAAwAFwAbgAgACAAIAAgACkAIAArACAASQBGAEUAUgBSAE8AUgAoAFwAbgAgACAAIAAgACAAIABGAGUAcgB0AGkAbABpAHMAZQByAF8AUwB1AG0AUAByAG8AZAB1AGMAdABBAHAAcABsAGkAZQBkACgAXABuACAAIAAgACAAIAAgACAAIABDAGgAZQBtAGkAYwBhAGwAQwBvAG0AcABvAHUAbgBkACwAXABuACAAIAAgACAAIAAgACAAIABQAHIAbwBkAHUAYwB0AEkAbgBnAHIAZQBkAGkAZQBuAHQANgAsAFwAbgAgACAAIAAgACAAIAAgACAAYwBhAGwAYwB1AGwAYQB0AGUAZABBAG0AbwB1AG4AdAA2ACwAXABuACAAIAAgACAAIAAgACAAIABTAG8AdQByAGMAZQAsAFwAbgAgACAAIAAgACAAIAAgACAAUAByAG8AZAB1AGMAdABJAG4AZwByAGUAZABpAGUAbgB0AFMAbwB1AHIAYwBlAFwAbgAgACAAIAAgACAAIAApACwAXABuACAAIAAgACAAIAAgADAAXABuACAAIAAgACAAKQBcAG4AIAAgACkAXABuACkAOwBcAG4AXABuAEYAZQByAHQAaQBsAGkAcwBlAHIAXwBHAGUAdABTAGMAbwBwAGUAMwBFAEYAXABuAD0ATABBAE0AQgBEAEEAKABcAG4AIAAgAEMAaABlAG0AaQBjAGEAbABDAG8AbQBwAG8AdQBuAGQALABcAG4AIAAgAFMAYwBvAHAAZQAzAEEAcgByAGEAeQAsAFwAbgAgACAAQwBoAGUAbQBpAGMAYQBsAEMAbwBtAHAAbwB1AG4AZABDAG8AbAB1AG0AbgAsAFwAbgAgACAAUwBvAHUAcgBjAGUALABcAG4AIAAgAFMAbwB1AHIAYwBlAFIAbwB3ACwAXABuACAAIABJAE4ARABFAFgAKABcAG4AIAAgACAAIABTAGMAbwBwAGUAMwBBAHIAcgBhAHkALABcAG4AIAAgACAAIABNAEEAVABDAEgAKABcAG4AIAAgACAAIAAgACAAQwBoAGUAbQBpAGMAYQBsAEMAbwBtAHAAbwB1AG4AZAAsAFwAbgAgACAAIAAgACAAIABDAGgAZQBtAGkAYwBhAGwAQwBvAG0AcABvAHUAbgBkAEMAbwBsAHUAbQBuACwAXABuACAAIAAgACAAIAAgADAAXABuACAAIAAgACAAKQAsAFwAbgAgACAAIAAgAE0AQQBUAEMASAAoAFwAbgAgACAAIAAgACAAIABTAG8AdQByAGMAZQAsAFwAbgAgACAAIAAgACAAIABTAG8AdQByAGMAZQBSAG8AdwAsAFwAbgAgACAAIAAgACAAIAAwAFwAbgAgACAAIAAgACkAXABuACAAIAApAFwAbgApADsAXABuAFwAbgBGAGUAcgB0AGkAbABpAHMAZQByAF8ARwBlAHQAQwBoAGUAbQBpAGMAYQBsAEMAbwBtAHAAbwB1AG4AZABFAGwAZQBtAGUAbgB0AEYAcgBhAGMAdABpAG8AbgBcAG4APQBMAEEATQBCAEQAQQAoAFwAbgAgACAAQwBoAGUAbQBpAGMAYQBsAEMAbwBtAHAAbwB1AG4AZAAsAFwAbgAgACAARQBsAGUAbQBlAG4AdAAsAFwAbgAgACAAQwBoAGUAbQBpAGMAYQBsAEMAbwBtAHAAbwB1AG4AZABBAHIAcgBhAHkALABcAG4AIAAgAEMAaABlAG0AaQBjAGEAbABDAG8AbQBwAG8AdQBuAGQAQwBvAGwAdQBtAG4ALABcAG4AIAAgAEUAbABlAG0AZQBuAHQAUgBvAHcALABcAG4AIAAgAEkATgBEAEUAWAAoAFwAbgAgACAAIAAgAEMAaABlAG0AaQBjAGEAbABDAG8AbQBwAG8AdQBuAGQAQQByAHIAYQB5ACwAXABuACAAIAAgACAATQBBAFQAQwBIACgAXABuACAAIAAgACAAIAAgAEMAaABlAG0AaQBjAGEAbABDAG8AbQBwAG8AdQBuAGQALABcAG4AIAAgACAAIAAgACAAQwBoAGUAbQBpAGMAYQBsAEMAbwBtAHAAbwB1AG4AZABDAG8AbAB1AG0AbgAsAFwAbgAgACAAIAAgACAAIAAwAFwAbgAgACAAIAAgACkALABcAG4AIAAgACAAIABNAEEAVABDAEgAKABcAG4AIAAgACAAIAAgACAARQBsAGUAbQBlAG4AdAAsAFwAbgAgACAAIAAgACAAIABFAGwAZQBtAGUAbgB0AFIAbwB3ACwAXABuACAAIAAgACAAIAAgADAAXABuACAAIAAgACAAKQBcAG4AIAAgACkAXABuACkAOwBcAG4AXABuAEYAZQByAHQAaQBsAGkAcwBlAHIAXwBUAG8AdABhAGwAQQBjAHQAaQB2AGUASQBuAGcAcgBlAGQAaQBlAG4AdABBAHAAcABsAGkAZQBkAEEAbABsAEkAbgBnAHIAZQBkAGkAZQBuAHQAcwBcAG4APQBMAEEATQBCAEQAQQAoAFwAbgAgACAAQwBoAGUAbQBpAGMAYQBsAEMAbwBtAHAAbwB1AG4AZAAsAFwAbgAgACAAQQBtAG8AdQBuAHQAQQBwAHAAbABpAGUAZAAsAFwAbgAgACAAUAByAG8AZAB1AGMAdABJAG4AZwByAGUAZABpAGUAbgB0ADEALABcAG4AIAAgAFAAcgBvAGQAdQBjAHQASQBuAGcAcgBlAGQAaQBlAG4AdABVAG4AaQB0ADEALABcAG4AIAAgAFAAcgBvAGQAdQBjAHQASQBuAGcAcgBlAGQAaQBlAG4AdABQAGUAcgBjAGUAbgB0ADEALABcAG4AIAAgAFsAUAByAG8AZAB1AGMAdABJAG4AZwByAGUAZABpAGUAbgB0ADIAXQAsAFwAbgAgACAAWwBQAHIAbwBkAHUAYwB0AEkAbgBnAHIAZQBkAGkAZQBuAHQAVQBuAGkAdAAyAF0ALABcAG4AIAAgAFsAUAByAG8AZAB1AGMAdABJAG4AZwByAGUAZABpAGUAbgB0AFAAZQByAGMAZQBuAHQAMgBdACwAXABuACAAIABbAFAAcgBvAGQAdQBjAHQASQBuAGcAcgBlAGQAaQBlAG4AdAAzAF0ALABcAG4AIAAgAFsAUAByAG8AZAB1AGMAdABJAG4AZwByAGUAZABpAGUAbgB0AFUAbgBpAHQAMwBdACwAXABuACAAIABbAFAAcgBvAGQAdQBjAHQASQBuAGcAcgBlAGQAaQBlAG4AdABQAGUAcgBjAGUAbgB0ADMAXQAsAFwAbgAgACAATABFAFQAKABcAG4AIAAgACAAIABjAGEAbABjAHUAbABhAHQAZQBkAEEAbQBvAHUAbgB0ADEALABcAG4AIAAgACAAIAAoAFwAbgAgACAAIAAgACAAIABJAEYAKABcAG4AIAAgACAAIAAgACAAIAAgAFAAcgBvAGQAdQBjAHQASQBuAGcAcgBlAGQAaQBlAG4AdABVAG4AaQB0ADEAIAA9ACAAXAAiAFAAZQByAGMAZQBuAHQAIABvAGYAIABwAHIAbwBkAHUAYwB0AFwAIgAsAFwAbgAgACAAIAAgACAAIAAgACAAQQBtAG8AdQBuAHQAQQBwAHAAbABpAGUAZAAgACoAIABQAHIAbwBkAHUAYwB0AEkAbgBnAHIAZQBkAGkAZQBuAHQAUABlAHIAYwBlAG4AdAAxACwAXABuACAAIAAgACAAIAAgACAAIABBAG0AbwB1AG4AdABBAHAAcABsAGkAZQBkACAAKgAoAFwAbgAgACAAIAAgACAAIAAgACAAIAAgAFAAcgBvAGQAdQBjAHQASQBuAGcAcgBlAGQAaQBlAG4AdABQAGUAcgBjAGUAbgB0ADEAIAAqACAAMQAwACAAXgAgAC0AIAAzAFwAbgAgACAAIAAgACAAIAAgACAAKQBcAG4AIAAgACAAIAAgACAAKQBcAG4AIAAgACAAIAApACwAXABuACAAIAAgACAAYwBhAGwAYwB1AGwAYQB0AGUAZABBAG0AbwB1AG4AdAAyACwAXABuACAAIAAgACAAKABcAG4AIAAgACAAIAAgACAASQBGACgAXABuACAAIAAgACAAIAAgACAAIABQAHIAbwBkAHUAYwB0AEkAbgBnAHIAZQBkAGkAZQBuAHQAVQBuAGkAdAAxACAAPQAgAFwAIgBQAGUAcgBjAGUAbgB0ACAAbwBmACAAcAByAG8AZAB1AGMAdABcACIALABcAG4AIAAgACAAIAAgACAAIAAgAEEAbQBvAHUAbgB0AEEAcABwAGwAaQBlAGQAIAAqACAAUAByAG8AZAB1AGMAdABJAG4AZwByAGUAZABpAGUAbgB0AFAAZQByAGMAZQBuAHQAMgAsAFwAbgAgACAAIAAgACAAIAAgACAAQQBtAG8AdQBuAHQAQQBwAHAAbABpAGUAZAAgACoAKABcAG4AIAAgACAAIAAgACAAIAAgACAAIABQAHIAbwBkAHUAYwB0AEkAbgBnAHIAZQBkAGkAZQBuAHQAUABlAHIAYwBlAG4AdAAyACAAKgAgADEAMAAgAF4AIAAtACAAMwBcAG4AIAAgACAAIAAgACAAIAAgACkAXABuACAAIAAgACAAIAAgACkAXABuACAAIAAgACAAKQAsAFwAbgAgACAAIAAgAGMAYQBsAGMAdQBsAGEAdABlAGQAQQBtAG8AdQBuAHQAMwAsAFwAbgAgACAAIAAgACgAXABuACAAIAAgACAAIAAgAEkARgAoAFwAbgAgACAAIAAgACAAIAAgACAAUAByAG8AZAB1AGMAdABJAG4AZwByAGUAZABpAGUAbgB0AFUAbgBpAHQAMQAgAD0AIABcACIAUABlAHIAYwBlAG4AdAAgAG8AZgAgAHAAcgBvAGQAdQBjAHQAXAAiACwAXABuACAAIAAgACAAIAAgACAAIABBAG0AbwB1AG4AdABBAHAAcABsAGkAZQBkACAAKgAgAFAAcgBvAGQAdQBjAHQASQBuAGcAcgBlAGQAaQBlAG4AdABQAGUAcgBjAGUAbgB0ADMALABcAG4AIAAgACAAIAAgACAAIAAgAEEAbQBvAHUAbgB0AEEAcABwAGwAaQBlAGQAIAAqACgAXABuACAAIAAgACAAIAAgACAAIAAgACAAUAByAG8AZAB1AGMAdABJAG4AZwByAGUAZABpAGUAbgB0AFAAZQByAGMAZQBuAHQAMwAgACoAIAAxADAAIABeACAALQAgADMAXABuACAAIAAgACAAIAAgACAAIAApAFwAbgAgACAAIAAgACAAIAApAFwAbgAgACAAIAAgACkALABcAG4AIAAgACAAIABGAGUAcgB0AGkAbABpAHMAZQByAF8ASQBuAHAAdQB0AEYAdQBuAGMAdABpAG8AbgBzAC4ARgBlAHIAdABpAGwAaQBzAGUAcgBfAFMAdQBtAFAAcgBvAGQAdQBjAHQAQQBwAHAAbABpAGUAZAAoAFwAbgAgACAAIAAgACAAIABDAGgAZQBtAGkAYwBhAGwAQwBvAG0AcABvAHUAbgBkACwAXABuACAAIAAgACAAIAAgAFAAcgBvAGQAdQBjAHQASQBuAGcAcgBlAGQAaQBlAG4AdAAxACwAXABuACAAIAAgACAAIAAgAGMAYQBsAGMAdQBsAGEAdABlAGQAQQBtAG8AdQBuAHQAMQBcAG4AIAAgACAAIAApACAAKwAgAEkARgBFAFIAUgBPAFIAKABcAG4AIAAgACAAIAAgACAARgBlAHIAdABpAGwAaQBzAGUAcgBfAEkAbgBwAHUAdABGAHUAbgBjAHQAaQBvAG4AcwAuAEYAZQByAHQAaQBsAGkAcwBlAHIAXwBTAHUAbQBQAHIAbwBkAHUAYwB0AEEAcABwAGwAaQBlAGQAKABcAG4AIAAgACAAIAAgACAAIAAgAEMAaABlAG0AaQBjAGEAbABDAG8AbQBwAG8AdQBuAGQALABcAG4AIAAgACAAIAAgACAAIAAgAFAAcgBvAGQAdQBjAHQASQBuAGcAcgBlAGQAaQBlAG4AdAAyACwAXABuACAAIAAgACAAIAAgACAAIABjAGEAbABjAHUAbABhAHQAZQBkAEEAbQBvAHUAbgB0ADIAXABuACAAIAAgACAAIAAgACkALABcAG4AIAAgACAAIAAgACAAMABcAG4AIAAgACAAIAApACAAKwAgAEkARgBFAFIAUgBPAFIAKABcAG4AIAAgACAAIAAgACAARgBlAHIAdABpAGwAaQBzAGUAcgBfAEkAbgBwAHUAdABGAHUAbgBjAHQAaQBvAG4AcwAuAEYAZQByAHQAaQBsAGkAcwBlAHIAXwBTAHUAbQBQAHIAbwBkAHUAYwB0AEEAcABwAGwAaQBlAGQAKABcAG4AIAAgACAAIAAgACAAIAAgAEMAaABlAG0AaQBjAGEAbABDAG8AbQBwAG8AdQBuAGQALABcAG4AIAAgACAAIAAgACAAIAAgAFAAcgBvAGQAdQBjAHQASQBuAGcAcgBlAGQAaQBlAG4AdAAzACwAXABuACAAIAAgACAAIAAgACAAIABjAGEAbABjAHUAbABhAHQAZQBkAEEAbQBvAHUAbgB0ADMAXABuACAAIAAgACAAIAAgACkALABcAG4AIAAgACAAIAAgACAAMABcAG4AIAAgACAAIAApAFwAbgAgACAAKQBcAG4AKQAiAH0ALAB7ACIAcABhAHQAaAAiADoAIgAvAHAAcgBvAGoAZQBjAHQAcwAvAEYAZQByAHQAaQBsAGkAcwBlAHIAXwBTAG8AdQByAGMAZQBEAGEAdABhACIALAAiAHQAZQB4AHQAIgA6ACIALwAqAFwAbgA9AD0APQA9AD0APQA9AD0APQA9AD0APQA9AD0APQA9AD0APQA9AD0APQA9AD0APQA9AD0APQA9AD0APQA9AD0APQA9AD0APQA9AD0APQA9AD0APQA9AD0APQA9AD0APQA9AD0APQA9AD0APQA9AD0APQA9AD0APQA9AD0APQA9AD0APQA9AD0APQA9AD0APQA9AD0APQA9AFwAbgBGAGUAcgB0AGkAbABpAHMAZQByACAAYwBoAGUAbQBpAGMAYQBsACAAYwBvAG0AcABvAHUAbgBkAHMAXABuAD0APQA9AD0APQA9AD0APQA9AD0APQA9AD0APQA9AD0APQA9AD0APQA9AD0APQA9AD0APQA9AD0APQA9AD0APQA9AD0APQA9AD0APQA9AD0APQA9AD0APQA9AD0APQA9AD0APQA9AD0APQA9AD0APQA9AD0APQA9AD0APQA9AD0APQA9AD0APQA9AD0APQA9AD0APQA9AD0AXABuACoALwBcAG4AXABuAEYAZQByAHQAaQBsAGkAcwBlAHIAXwBDAGgAZQBtAGkAYwBhAGwAQwBvAG0AcABvAHUAbgBkAEUAbABlAG0AZQBuAHQAcwBfAFQAaQB0AGwAZQBcAG4APQBMAEEATQBCAEQAQQAoACgAXAAiAEMAbwBtAG0AbwBuACAAaQBuAG8AcgBnAGEAbgBpAGMAIABmAGUAcgB0AGkAbABpAHMAZQByAHMAXAAiACkAKQA7AFwAbgBcAG4ARgBlAHIAdABpAGwAaQBzAGUAcgBfAEMAaABlAG0AaQBjAGEAbABDAG8AbQBwAG8AdQBuAGQARQBsAGUAbQBlAG4AdABzAF8AUwBvAHUAcgBjAGUAXABuAD0ATABBAE0AQgBEAEEAKAAoAFwAIgBUAGEAYgBsAGUAIABBAC4AMgAuADIALgAzADoAIABGAHIAYQBjAHQAaQBvAG4AIABvAGYAIABuAGkAdAByAG8AZwBlAG4AIABpAG4AIABjAG8AbQBtAG8AbgAgAGkAbgBvAHIAZwBhAG4AaQBjACAAZgBlAHIAdABpAGwAaQBzAGUAcgBzACAAKABrAGcATgAvAGsAZwApACAAKABGAE4AbwByAGcAYQBuAGkAYwAsAGYAKQAgAEEATgBEACAAVABhAGIAbABlACAAQQAuADIALgAyAC4ANAA6ACAARgByAGEAYwB0AGkAbwBuACAAbwBmACAAdQByAGUAYQAgAGkAbgAgAGMAbwBtAG0AbwBuACAAaQBuAG8AcgBnAGEAbgBpAGMAIABmAGUAcgB0AGkAbABpAHMAZQByAHMAIAAoAGsAZwAgAHUAcgBlAGEALwBrAGcAKQAgACgARgBVAGYAKQBcACIAKQApADsAXABuAFwAbgBGAGUAcgB0AGkAbABpAHMAZQByAF8AQwBoAGUAbQBpAGMAYQBsAEMAbwBtAHAAbwB1AG4AZABFAGwAZQBtAGUAbgB0AHMAXwBEAGEAdABhAFwAbgA9AEwAQQBNAEIARABBACgAXABuACAATQBBAEsARQBBAFIAUgBBAFkAKAAyADAALAAgADYALABcAG4AIABMAEEATQBCAEQAQQAoAHIALABjACwAXABuACAAIABJAE4ARABFAFgAKAB7AFwAbgAgACAAXAAiAEYAZQByAHQAaQBsAGkAcwBlAHIAIABUAHkAcABlACAAZgBcACIALAAgAFwAIgBGAE4AaQBuAG8AcgBnAGEAbgBpAGMALABmAFwAIgAsACAAXAAiAEYAVQBmAFwAIgAsACAAXAAiAEIAYQBzAGkAcwBcACIALAAgAFwAIgBMAGkAZgBlAEMAeQBjAGwAZQBzACAAUwBjAG8AcABlACAAMwAgAGQAZQBmAGkAbgBpAHQAaQBvAG4AXAAiACwAIABcACIAUwBvAHUAcgBjAGUAXAAiADsAXABuACAAIABcACIATQBvAG4AbwBhAG0AbQBvAG4AaQB1AG0AIABwAGgAbwBzAHAAaABhAHQAZQAgACgATQBBAFAAKQBcACIALAAgADAALgAxADAALAAgADAALAAgAFwAIgBBAG0AbQBvAG4AaQB1AG0ALQBiAGEAcwBlAGQAIABmAGUAcgB0AGkAbABpAHMAZQByAHMAXAAiACwAIABcACIATQBvAG4AbwBhAG0AbQBvAG4AaQB1AG0AIABwAGgAbwBzAHAAaABhAHQAZQAgACgATQBBAFAAKQBcACIALAAgAFwAIgBWAEUARQBSAEcAXAAiADsAXABuACAAIABcACIARABpAGEAbQBtAG8AbgBpAHUAbQAgAHAAaABvAHMAcABoAGEAdABlACAAKABEAEEAUAApAFwAIgAsACAAMAAuADEAOAAsACAAMAAsACAAXAAiAEEAbQBtAG8AbgBpAHUAbQAtAGIAYQBzAGUAZAAgAGYAZQByAHQAaQBsAGkAcwBlAHIAcwBcACIALAAgAFwAIgBEAGkAYQBtAG0AbwBuAGkAdQBtACAAcABoAG8AcwBwAGgAYQB0AGUAIAAoAEQAQQBQACkAXAAiACwAIABcACIAVgBFAEUAUgBHAFwAIgA7AFwAbgAgACAAXAAiAFUAcgBlAGEAXAAiACwAIAAwAC4ANAA2ACwAIAAxACwAIABcACIAVQByAGUAYQAtAGIAYQBzAGUAZAAgAGYAZQByAHQAaQBsAGkAcwBlAHIAcwBcACIALAAgAFwAIgBVAHIAZQBhAFwAIgAsACAAXAAiAFYARQBFAFIARwBcACIAOwBcAG4AIAAgAFwAIgBTAHUAbABwAGgAYQB0AGUAIABvAGYAIABhAG0AbQBvAG4AaQBhACAAKABTAE8AQQApAFwAIgAsACAAMAAuADIAMQAsACAAMAAsACAAXAAiAEEAbQBtAG8AbgBpAHUAbQAtAGIAYQBzAGUAZAAgAGYAZQByAHQAaQBsAGkAcwBlAHIAcwBcACIALAAgAFwAIgBTAHUAbABwAGgAYQB0AGUAIABvAGYAIABhAG0AbQBvAG4AaQBhACAAKABTAE8AQQApAFwAIgAsACAAXAAiAFYARQBFAFIARwBcACIAOwBcAG4AIAAgAFwAIgBVAHIAZQBhAC0AYQBtAG0AbwBuAGkAdQBtACAAbgBpAHQAcgBhAHQAZQAgACgAVQBBAE4AKQBcACIALAAgADAALgAzADIALAAgADAALgAzADUALAAgAFwAIgBVAHIAZQBhAC0AYgBhAHMAZQBkACAAZgBlAHIAdABpAGwAaQBzAGUAcgBzAFwAIgAsACAAXAAiAFUAcgBlAGEALQBhAG0AbQBvAG4AaQB1AG0AIABuAGkAdAByAGEAdABlACAAKABVAEEATgApAFwAIgAsACAAXAAiAFYARQBFAFIARwBcACIAOwBcAG4AIAAgAFwAIgBBAG0AbQBvAG4AaQB1AG0AIABuAGkAdAByAGEAdABlACAAKABBAE4AKQBcACIALAAgADAALgAzADMANwAsACAAMAAsACAAXAAiAEEAbQBtAG8AbgBpAHUAbQAtAG4AaQB0AHIAYQB0AGUAIABiAGEAcwBlAGQAIABmAGUAcgB0AGkAbABpAHMAZQByAHMAXAAiACwAIABcACIAQQBtAG0AbwBuAGkAdQBtACAAbgBpAHQAcgBhAHQAZQAgACgAQQBOACkAXAAiACwAIABcACIAVgBFAEUAUgBHAFwAIgA7AFwAbgAgACAAXAAiAEMAYQBsAGMAaQB1AG0AIABhAG0AbQBvAG4AaQB1AG0AIABuAGkAdAByAGEAdABlACAAKABDAEEATgApAFwAIgAsACAAMAAuADIANwAsACAAMAAsACAAXAAiAEEAbQBtAG8AbgBpAHUAbQAtAG4AaQB0AHIAYQB0AGUAIABiAGEAcwBlAGQAIABmAGUAcgB0AGkAbABpAHMAZQByAHMAXAAiACwAIABcACIAQwBhAGwAYwBpAHUAbQAgAGEAbQBtAG8AbgBpAHUAbQAgAG4AaQB0AHIAYQB0AGUAIAAoAEMAQQBOACkAXAAiACwAIABcACIAVgBFAEUAUgBHAFwAIgA7AFwAbgAgACAAXAAiAE4AaQB0AHIAbwBnAGUAbgAgAC0AIABBAG0AbQBvAG4AaQBhAGMAYQBsAFwAIgAsACAAMQAsACAAMAAsACAAXAAiAEEAbQBtAG8AbgBpAHUAbQAtAGIAYQBzAGUAZAAgAGYAZQByAHQAaQBsAGkAcwBlAHIAcwBcACIALAAgAFwAIgBOAGkAdAByAG8AZwBlAG4AIAAtACAAQQBtAG0AbwBuAGkAYQBjAGEAbABcACIALAAgAFwAIgBMAGkAZgBlAEMAeQBjAGwAZQBzAFwAIgA7AFwAbgAgACAAXAAiAE4AaQB0AHIAbwBnAGUAbgAgAC0AIABOAGkAdAByAGEAdABlAFwAIgAsACAAMQAsACAAMAAsACAAXAAiAE4AaQB0AHIAYQB0AGUALQBiAGEAcwBlAGQAIABmAGUAcgB0AGkAbABpAHMAZQByAHMAXAAiACwAIABcACIATgBpAHQAcgBvAGcAZQBuACAAZgByAG8AbQAgAE4AaQB0AHIAYQB0AGUAXAAiACwAIABcACIATABpAGYAZQBDAHkAYwBsAGUAcwBcACIAOwBcAG4AIAAgAFwAIgBOAGkAdAByAG8AZwBlAG4AIAAtACAARwBlAG4AZQByAGkAYwBcACIALAAgADEALAAgADAALAAgAFwAIgBVAHIAZQBhAC0AYgBhAHMAZQBkACAAZgBlAHIAdABpAGwAaQBzAGUAcgBzAFwAIgAsACAAXAAiAE4AaQB0AHIAbwBnAGUAbgAgAGYAcgBvAG0AIABmAGUAcgB0AGkAbABpAHMAZQByAFwAIgAsACAAXAAiAEwAaQBmAGUAQwB5AGMAbABlAHMAXAAiADsAXABuACAAIABcACIAUABoAG8AcwBwAGgAbwByAHUAcwAgAC0AIABHAGUAbgBlAHIAaQBjAFwAIgAsACAAMAAsACAAMAAsACAAXAAiAE8AdABoAGUAcgAgAGYAZQByAHQAaQBsAGkAcwBlAHIAcwBcACIALAAgAFwAIgBQAGgAbwBzAHAAaABvAHIAdQBzACAAZgByAG8AbQAgAGYAZQByAHQAaQBsAGkAcwBlAHIAXAAiACwAIABcACIATABpAGYAZQBDAHkAYwBsAGUAcwBcACIAOwBcAG4AIAAgAFwAIgBQAG8AdABhAHMAcwBpAHUAbQAgAC0AIABHAGUAbgBlAHIAaQBjAFwAIgAsACAAMAAsACAAMAAsACAAXAAiAE8AdABoAGUAcgAgAGYAZQByAHQAaQBsAGkAcwBlAHIAcwBcACIALAAgAFwAIgBQAG8AdABhAHMAcwBpAHUAbQAgAGYAcgBvAG0AIABmAGUAcgB0AGkAbABpAHMAZQByAFwAIgAsACAAXAAiAEwAaQBmAGUAQwB5AGMAbABlAHMAXAAiADsAXABuACAAIABcACIAUwB1AGwAZgB1AHIAIAAtACAARwBlAG4AZQByAGkAYwBcACIALAAgADAALAAgADAALAAgAFwAIgBPAHQAaABlAHIAIABmAGUAcgB0AGkAbABpAHMAZQByAHMAXAAiACwAIABcACIAUwB1AGwAZgB1AHIAIABmAHIAbwBtACAAZgBlAHIAdABpAGwAaQBzAGUAcgBcACIALAAgAFwAIgBMAGkAZgBlAEMAeQBjAGwAZQBzAFwAIgA7AFwAbgAgACAAXAAiAFoAaQBuAGMAIAAtACAARwBlAG4AZQByAGkAYwBcACIALAAgADAALAAgADAALAAgAFwAIgBPAHQAaABlAHIAIABmAGUAcgB0AGkAbABpAHMAZQByAHMAXAAiACwAIABcACIAWgBpAG4AYwAgAGYAcgBvAG0AIABmAGUAcgB0AGkAbABpAHMAZQByAFwAIgAsACAAXAAiAEwAaQBmAGUAQwB5AGMAbABlAHMAXAAiADsAXABuACAAIABcACIATQB1AHIAaQBhAHQAZQAgAG8AZgAgAHAAbwB0AGEAcwBoACAAKABNAE8AUAApAFwAIgAsACAAMAAsACAAMAAsACAAXAAiAE8AdABoAGUAcgAgAGYAZQByAHQAaQBsAGkAcwBlAHIAcwBcACIALAAgAFwAIgBNAHUAcgBpAGEAdABlACAAbwBmACAAcABvAHQAYQBzAGgAIAAoAE0ATwBQACkAXAAiACwAIABcACIATABpAGYAZQBDAHkAYwBsAGUAcwBcACIAOwBcAG4AIAAgAFwAIgBEAG8AdQBiAGwAZQAgAHMAdQBwAGUAcgBwAGgAbwBzAHAAaABhAHQAZQBcACIALAAgADAALAAgADAALAAgAFwAIgBPAHQAaABlAHIAIABmAGUAcgB0AGkAbABpAHMAZQByAHMAXAAiACwAIABcACIARABvAHUAYgBsAGUAIABzAHUAcABlAHIAcABoAG8AcwBwAGgAYQB0AGUAXAAiACwAIABcACIATABpAGYAZQBDAHkAYwBsAGUAcwBcACIAOwBcAG4AIAAgAFwAIgBTAGkAbgBnAGwAZQAgAHMAdQBwAGUAcgBwAGgAbwBzAHAAaABhAHQAZQAgACgAUwBTAFAAKQBcACIALAAgADAALAAgADAALAAgAFwAIgBPAHQAaABlAHIAIABmAGUAcgB0AGkAbABpAHMAZQByAHMAXAAiACwAIABcACIAUwBpAG4AZwBsAGUAIABzAHUAcABlAHIAcABoAG8AcwBwAGgAYQB0AGUAIAAoAFMAUwBQACkAXAAiACwAIABcACIATABpAGYAZQBDAHkAYwBsAGUAcwBcACIAOwBcAG4AIAAgAFwAIgBBAG0AbQBvAG4AaQBhAFwAIgAsACAAMAAuADgAMgAzADUALAAgADAALAAgAFwAIgBBAG0AbQBvAG4AaQB1AG0ALQBiAGEAcwBlAGQAIABmAGUAcgB0AGkAbABpAHMAZQByAHMAXAAiACwAIABcACIAQQBtAG0AbwBuAGkAYQBcACIALAAgAFwAIgBMAGkAZgBlAEMAeQBjAGwAZQBzAFwAIgA7AFwAbgAgACAAXAAiAEMAYQBsAGMAaQB1AG0AIABuAGkAdAByAGEAdABlAFwAIgAsACAAMAAuADEANQA1ACwAIAAwACwAIABcACIATgBpAHQAcgBhAHQAZQAtAGIAYQBzAGUAZAAgAGYAZQByAHQAaQBsAGkAcwBlAHIAcwBcACIALAAgAFwAIgBDAGEAbABjAGkAdQBtACAAbgBpAHQAcgBhAHQAZQBcACIALAAgAFwAIgBWAEUARQBSAEcAXAAiAFwAbgAgACAAfQAsACAAcgAsACAAYwApAFwAbgApACkAKQA7AFwAbgBcAG4ARgBlAHIAdABpAGwAaQBzAGUAcgBfAEMAaABlAG0AaQBjAGEAbABDAG8AbQBwAG8AdQBuAGQARQBsAGUAbQBlAG4AdABzAF8AVgBhAHIAaQBhAHQAaQBvAG4AXABuAD0ATABBAE0AQgBEAEEAKABcAG4AIABNAEEASwBFAEEAUgBSAEEAWQAoADEAMgAsACAAMQAsAFwAbgAgAEwAQQBNAEIARABBACgAcgAsAGMALABcAG4AIAAgAEkATgBEAEUAWAAoAHsAXABuACAAIABcACIAVgBBAFIASQBBAFQASQBPAE4AIABPAE4AIABTAE8AVQBSAEMARQBcACIAOwBcAG4AIAAgAFwAIgBBAGQAZABlAGQAIABcAHUAMAAwADIANwBCAGEAcwBpAHMAXAB1ADAAMAAyADcAIABjAG8AbAB1AG0AbgAgAHQAbwAgAGEAbABsAG8AdwAgAGMAcgBvAHMAcwAtAHIAZQBmAGUAcgBlAG4AYwBpAG4AZwAgAHcAaQB0AGgAIAB0AGEAYgBsAGUAIABUAGEAYgBsAGUAIABBAC4AMgAuADIALgA2ADoAIABGAHIAYQBjAHQAaQBvAG4AIABvAGYAIABpAG4AbwByAGcAYQBuAGkAYwAgAGYAZQByAHQAaQBsAGkAcwBlAHIAIABmACAAdABoAGEAdAAgAHYAbwBsAGEAdABpAGwAaQBzAGUAcwAgAGEAcwAgAE4ASAAzACAAYQBuAGQAIABOAE8AeAAgACgAKABrAGcAIABOAEgAMwAtAE4AIAArACAATgBPAHgALQBOACkALwBrAGcAIABOACkAIAAoAEYAcgBhAGMARwBBAFMARgBmACkAXAAiADsAXABuACAAIABcACIAQQBkAGQAZQBkACAAZQB4AHQAcgBhACAAZgBlAHIAdABpAGwAaQBzAGUAcgAgAHQAeQBwAGUAcwAgAGEAbgBkACAAZwBlAG4AZQByAGkAYwAgAGMAaABlAG0AaQBjAGEAbAAgAGMAbwBtAHAAbwB1AG4AZABzACAAdABvACAAYQBsAGwAbwB3ACAAZgBvAHIAIABjAHUAcwB0AG8AbQAgAE4AUABLAFMAIABiAGwAZQBuAGQAcwBcACIAOwBcAG4AIAAgAFwAIgBBAGQAZABlAGQAIABlAHgAdAByAGEAIABcAHUAMAAwADIANwBTAGMAbwBwAGUAIAAzACAAZABlAGYAaQBuAGkAdABpAG8AbgBcAHUAMAAwADIANwAgAGMAbwBsAHUAbQBuACAAdABvACAAYQBsAGwAbwB3ACAAbQBhAHAAcABpAG4AZwAgAHcAaQB0AGgAIABzAGMAbwBwAGUAIAAzACAAZABhAHQAYQBcACIAOwBcAG4AIAAgAFwAIgBBAGQAZABlAGQAIABcAHUAMAAwADIANwBTAG8AdQByAGMAZQBcAHUAMAAwADIANwAgAGMAbwBsAHUAbQBuAFwAIgA7AFwAbgAgACAAXAAiAEMAbwBtAGIAaQBuAGUAZAAgAGQAYQB0AGEAIABmAHIAbwBtACAAVABhAGIAbABlACAAQQAuADIALgAyAC4AMwAgAGEAbgBkACAAVABhAGIAbABlACAAQQAuADIALgAyAC4ANAAgAGkAbgB0AG8AIABvAG4AZQAgAHQAYQBiAGwAZQAgAHQAbwAgAGEAaQBkACAAbABvAG8AawB1AHAALgBcACIAOwBcAG4AIAAgAFwAIgBFAHgAYwBsAHUAZABlAGQAIABcAHUAMAAwADIANwBSAGUAZgBlAHIAZQBuAGMAZQBzAFwAdQAwADAAMgA3ACAAYwBvAGwAdQBtAG4AXAAiADsAXABuACAAIABcACIARQB4AGMAbAB1AGQAZQBkACAAXAB1ADAAMAAyADcAQQBtAG0AbwBuAGkAdQBtACAAcwB1AGwAZgBhAHQAZQBcAHUAMAAwADIANwAgAGEAcwAgAGkAdAAgAGkAcwAgAGEAIABkAHUAcABsAGkAYwBhAHQAZQAgAG8AZgAgAFwAdQAwADAAMgA3AFMAdQBsAHAAaABhAHQAZQAgAG8AZgAgAGEAbQBtAG8AbgBpAGEAIAAoAFMATwBBACkAXAB1ADAAMAAyADcAXAAiADsAXABuACAAIABcACIARQB4AGMAbAB1AGQAZQBkACAAXAB1ADAAMAAyADcAQwBhAGwAYwBpAHUAbQAgAG4AaQB0AHIAYQB0AGUAXAB1ADAAMAAyADcAIABhAHMAIABuAG8AIABzAGMAbwBwAGUAIAAzACAAdgBhAGwAdQBlACAAYQB2AGEAaQBsAGEAYgBsAGUALgBcACIAOwBcAG4AIAAgAFwAIgBTAGUAdAAgAFwAdQAwADAAMgA3AE4AaQB0AHIAbwBnAGUAbgAgAC0AIABHAGUAbgBlAHIAaQBjAFwAdQAwADAAMgA3ACAAYgBhAHMAaQBzACAAYQBzACAAXAB1ADAAMAAyADcAVQByAGUAYQAtAGIAYQBzAGUAZAAgAGYAZQByAHQAaQBsAGkAcwBlAHIAcwAsACAAYQBzACAAdQByAGUAYQAgAGkAcwAgAHQAaABlACAAbQBvAHMAdAAgAGMAbwBtAG0AbwBuAGwAeQAgAHUAcwBlAGQAIABmAG8AcgBtACAAbwBmACAAbgBpAHQAcgBvAGcAZQBuACAAaQBuACAAQQB1AHMAdAByAGEAbABpAGEAbgAgAGYAZQByAHQAaQBsAGkAcwBlAHIAcwBcACIAOwBcAG4AIAAgAFwAIgBTAGUAdAAgAFwAdQAwADAAMgA3AFUAcgBlAGEALQBhAG0AbQBvAG4AaQB1AG0AIABuAGkAdAByAGEAdABlAFwAdQAwADAAMgA3ACAAYgBhAHMAaQBzACAAYQBzACAAXAB1ADAAMAAyADcAVQByAGUAYQAtAGIAYQBzAGUAZAAgAGYAZQByAHQAaQBsAGkAcwBlAHIAXAB1ADAAMAAyADcAXAAiADsAXABuACAAIABcACIAQQBtAG0AbwBuAGkAYQAgAGgAYQBzACAAYQBuACAARgBOACAAdgBhAGwAdQBlACAAbwBmACAAMAAuADgAMgAzADUAIABiAGEAcwBlAGQAIABvAG4AIAAoADEANAAvADEANwApAHgAMQAwADAALAAgAHcAaABlAHIAZQAgADEANAAgAGkAcwAgAHQAaABlACAAbQBhAHMAcwAgAG8AZgAgAG4AaQB0AHIAbwBnAGUAbgAgAGkAbgAgAGEAbQBtAG8AbgBpAGEAIABhAG4AZAAgADEANwAgAGkAcwAgAHQAaABlACAAbQBvAGwAYQByACAAbQBhAHMAcwAgAG8AZgAgAGEAbQBtAG8AbgBpAGEALgBcACIAXABuACAAIAB9ACwAIAByACwAIABjACkAXABuACkAKQApADsAXABuAFwAbgBcAG4ALwAqAFwAbgA9AD0APQA9AD0APQA9AD0APQA9AD0APQA9AD0APQA9AD0APQA9AD0APQA9AD0APQA9AD0APQA9AD0APQA9AD0APQA9AD0APQA9AD0APQA9AD0APQA9AD0APQA9AD0APQA9AD0APQA9AD0APQA9AD0APQA9AD0APQA9AD0APQA9AD0APQA9AD0APQA9AD0APQA9AD0APQA9AFwAbgBGAHIAYQBjAHQAaQBvAG4AIABvAGYAIABpAG4AbwByAGcAYQBuAGkAYwAgAGYAZQByAHQAaQBsAGkAcwBlAHIAIAB0AGgAYQB0ACAAdgBvAGwAYQB0AGkAbABpAHMAZQBzACAAYQBzACAATgBIADMAIABhAG4AZAAgAE4ATwB4AFwAbgA9AD0APQA9AD0APQA9AD0APQA9AD0APQA9AD0APQA9AD0APQA9AD0APQA9AD0APQA9AD0APQA9AD0APQA9AD0APQA9AD0APQA9AD0APQA9AD0APQA9AD0APQA9AD0APQA9AD0APQA9AD0APQA9AD0APQA9AD0APQA9AD0APQA9AD0APQA9AD0APQA9AD0APQA9AD0APQA9AFwAbgAqAC8AXABuAFwAbgBGAGUAcgB0AGkAbABpAHMAZQByAF8ARgByAGEAYwBHAEEAUwBGAF8AVABpAHQAbABlAFwAbgA9AEwAQQBNAEIARABBACgAKABcACIARgByAGEAYwB0AGkAbwBuACAAbwBmACAAaQBuAG8AcgBnAGEAbgBpAGMAIABmAGUAcgB0AGkAbABpAHMAZQByACAAdABoAGEAdAAgAHYAbwBsAGEAdABpAGwAaQBzAGUAcwAgAGEAcwAgAE4ASAAzACAAYQBuAGQAIABOAE8AeABcACIAKQApADsAXABuAFwAbgBGAGUAcgB0AGkAbABpAHMAZQByAF8ARgByAGEAYwBHAEEAUwBGAF8AUwBvAHUAcgBjAGUAXABuAD0ATABBAE0AQgBEAEEAKAAoAFwAIgBUAGEAYgBsAGUAIABBAC4AMgAuADIALgA2ADoAIABGAHIAYQBjAHQAaQBvAG4AIABvAGYAIABpAG4AbwByAGcAYQBuAGkAYwAgAGYAZQByAHQAaQBsAGkAcwBlAHIAIABmACAAdABoAGEAdAAgAHYAbwBsAGEAdABpAGwAaQBzAGUAcwAgAGEAcwAgAE4ASAAzACAAYQBuAGQAIABOAE8AeAAgACgAKABrAGcAIABOAEgAMwAtAE4AIAArACAATgBPAHgALQBOACkALwBrAGcAIABOACkAIAAoAEYAcgBhAGMARwBBAFMARgBmACkAXAAiACkAKQA7AFwAbgBcAG4ARgBlAHIAdABpAGwAaQBzAGUAcgBfAEYAcgBhAGMARwBBAFMARgBfAEQAYQB0AGEAXABuAD0ATABBAE0AQgBEAEEAKABcAG4AIABNAEEASwBFAEEAUgBSAEEAWQAoADYALAAgADIALABcAG4AIABMAEEATQBCAEQAQQAoAHIALABjACwAXABuACAAIABJAE4ARABFAFgAKAB7AFwAbgAgACAAXAAiAEYAZQByAHQAaQBsAGkAcwBlAHIAIAB0AHkAcABlACAAZgBcACIALAAgAFwAIgBGAHIAYQBjAEcAQQBTAEYAZgBcACIAOwBcAG4AIAAgAFwAIgBVAHIAZQBhAC0AYgBhAHMAZQBkACAAZgBlAHIAdABpAGwAaQBzAGUAcgBzAFwAIgAsACAAMAAuADEANQA7AFwAbgAgACAAXAAiAEEAbQBtAG8AbgBpAHUAbQAtAGIAYQBzAGUAZAAgAGYAZQByAHQAaQBsAGkAcwBlAHIAcwBcACIALAAgADAALgAwADgAOwBcAG4AIAAgAFwAIgBOAGkAdAByAGEAdABlAC0AYgBhAHMAZQBkACAAZgBlAHIAdABpAGwAaQBzAGUAcgBzAFwAIgAsACAAMAAuADAAMQA7AFwAbgAgACAAXAAiAEEAbQBtAG8AbgBpAHUAbQAtAG4AaQB0AHIAYQB0AGUAIABiAGEAcwBlAGQAIABmAGUAcgB0AGkAbABpAHMAZQByAHMAXAAiACwAIAAwAC4AMAA1ADsAXABuACAAIABcACIATwB0AGgAZQByACAAZgBlAHIAdABpAGwAaQBzAGUAcgBzAFwAIgAsACAAMAAuADEAMQBcAG4AIAAgAH0ALAAgAHIALAAgAGMAKQBcAG4AKQApACkAOwBcAG4AXABuAEYAZQByAHQAaQBsAGkAcwBlAHIAXwBGAHIAYQBjAEcAQQBTAEYAXwBWAGEAcgBpAGEAdABpAG8AbgBcAG4APQBMAEEATQBCAEQAQQAoAFwAIgBcACIAKQA7AFwAbgBcAG4AXABuAC8AKgBcAG4APQA9AD0APQA9AD0APQA9AD0APQA9AD0APQA9AD0APQA9AD0APQA9AD0APQA9AD0APQA9AD0APQA9AD0APQA9AD0APQA9AD0APQA9AD0APQA9AD0APQA9AD0APQA9AD0APQA9AD0APQA9AD0APQA9AD0APQA9AD0APQA9AD0APQA9AD0APQA9AD0APQA9AD0APQA9AD0APQBcAG4ARQBtAGkAcwBzAGkAbwBuACAAZgBhAGMAdABvAHIAIABmAG8AcgAgAGMAYQByAGIAbwBuACAAZQBtAGkAcwBzAGkAbwBuAHMAIABmAHIAbwBtACAAdQByAGUAYQAgAGEAcABwAGwAaQBjAGEAdABpAG8AbgBcAG4APQA9AD0APQA9AD0APQA9AD0APQA9AD0APQA9AD0APQA9AD0APQA9AD0APQA9AD0APQA9AD0APQA9AD0APQA9AD0APQA9AD0APQA9AD0APQA9AD0APQA9AD0APQA9AD0APQA9AD0APQA9AD0APQA9AD0APQA9AD0APQA9AD0APQA9AD0APQA9AD0APQA9AD0APQA9AD0APQBcAG4AKgAvAFwAbgBcAG4ARgBlAHIAdABpAGwAaQBzAGUAcgBfAEUARgBVAHIAZQBhAEMATwAyAF8AVABpAHQAbABlAFwAbgA9AEwAQQBNAEIARABBACgAKABcACIARQBtAGkAcwBzAGkAbwBuACAAZgBhAGMAdABvAHIAIABmAG8AcgAgAGMAYQByAGIAbwBuACAAZQBtAGkAcwBzAGkAbwBuAHMAIABmAHIAbwBtACAAdQByAGUAYQAgAGEAcABwAGwAaQBjAGEAdABpAG8AbgBcACIAKQApADsAXABuAFwAbgBGAGUAcgB0AGkAbABpAHMAZQByAF8ARQBGAFUAcgBlAGEAQwBPADIAXwBTAG8AdQByAGMAZQBcAG4APQBMAEEATQBCAEQAQQAoACgAXAAiAFYARQBFAFIARwAgADIAMAAyADYAOgAgADUALgAxAC4AMgAuADIAIABDAG8AbgBzAHQAYQBuAHQAIABQAGEAcgBhAG0AZQB0AGUAcgBzAFwAIgApACkAOwBcAG4AXABuAEYAZQByAHQAaQBsAGkAcwBlAHIAXwBFAEYAVQByAGUAYQBDAE8AMgBfAFYAYQByAGkAYQBiAGwAZQBcAG4APQBMAEEATQBCAEQAQQAoACgAXAAiAEUARgB1AHIAZQBhAEMATwAyAFwAIgApACkAOwBcAG4AXABuAEYAZQByAHQAaQBsAGkAcwBlAHIAXwBFAEYAVQByAGUAYQBDAE8AMgBfAFUAbgBpAHQAXABuAD0ATABBAE0AQgBEAEEAKAAoAFwAIgBrAGcAIABDAC8AawBnACAAdQByAGUAYQBcACIAKQApADsAXABuAFwAbgBGAGUAcgB0AGkAbABpAHMAZQByAF8ARQBGAFUAcgBlAGEAQwBPADIAXwBEAGEAdABhAFwAbgA9AEwAQQBNAEIARABBACgAMAAuADIAKQA7AFwAbgBcAG4ARgBlAHIAdABpAGwAaQBzAGUAcgBfAEUARgBVAHIAZQBhAEMATwAyAF8AVgBhAHIAaQBhAHQAaQBvAG4AXABuAD0ATABBAE0AQgBEAEEAKABcACIAXAAiACkAOwBcAG4AXABuAFwAbgAvACoAXABuAD0APQA9AD0APQA9AD0APQA9AD0APQA9AD0APQA9AD0APQA9AD0APQA9AD0APQA9AD0APQA9AD0APQA9AD0APQA9AD0APQA9AD0APQA9AD0APQA9AD0APQA9AD0APQA9AD0APQA9AD0APQA9AD0APQA9AD0APQA9AD0APQA9AD0APQA9AD0APQA9AD0APQA9AD0APQA9AD0AXABuAEYAcgBhAGMAdABpAG8AbgAgAG8AZgAgAG8AcgBnAGEAbgBpAGMAIABmAGUAcgB0AGkAbABpAHMAZQByACAAdABoAGEAdAAgAHYAbwBsAGEAdABpAGwAaQBzAGUAcwAgAGEAcwAgAE4ASAAzACAAYQBuAGQAIABOAE8AeABcAG4APQA9AD0APQA9AD0APQA9AD0APQA9AD0APQA9AD0APQA9AD0APQA9AD0APQA9AD0APQA9AD0APQA9AD0APQA9AD0APQA9AD0APQA9AD0APQA9AD0APQA9AD0APQA9AD0APQA9AD0APQA9AD0APQA9AD0APQA9AD0APQA9AD0APQA9AD0APQA9AD0APQA9AD0APQA9AD0APQBcAG4AKgAvAFwAbgBcAG4ARgBlAHIAdABpAGwAaQBzAGUAcgBfAEYAcgBhAGMARwBBAFMATQBTAG8AaQBsAF8AVABpAHQAbABlAFwAbgA9AEwAQQBNAEIARABBACgAKABcACIARgByAGEAYwB0AGkAbwBuACAAbwBmACAAbwByAGcAYQBuAGkAYwAgAGYAZQByAHQAaQBsAGkAcwBlAHIAIAB0AGgAYQB0ACAAdgBvAGwAYQB0AGkAbABpAHMAZQBzACAAYQBzACAATgBIADMAIABhAG4AZAAgAE4ATwB4AFwAIgApACkAOwBcAG4AXABuAEYAZQByAHQAaQBsAGkAcwBlAHIAXwBGAHIAYQBjAEcAQQBTAE0AUwBvAGkAbABfAFMAbwB1AHIAYwBlAFwAbgA9AEwAQQBNAEIARABBACgAKABcACIAVgBFAEUAUgBHACAAMgAwADIANgA6ACAANQAuADQALgAyAC4AMwAgAEMAbwBuAHMAdABhAG4AdAAgAFAAYQByAGEAbQBlAHQAZQByAHMAXAAiACkAKQA7AFwAbgBcAG4ARgBlAHIAdABpAGwAaQBzAGUAcgBfAEYAcgBhAGMARwBBAFMATQBTAG8AaQBsAF8AVgBhAHIAaQBhAGIAbABlAFwAbgA9AEwAQQBNAEIARABBACgAKABcACIARgByAGEAYwBHAEEAUwBNAHMAbwBpAGwAXAAiACkAKQA7AFwAbgBcAG4ARgBlAHIAdABpAGwAaQBzAGUAcgBfAEYAcgBhAGMARwBBAFMATQBTAG8AaQBsAF8AVQBuAGkAdABcAG4APQBMAEEATQBCAEQAQQAoACgAXAAiACgAawBnACAATgBIADMALQBOACAAKwAgAE4ATwB4AC0ATgApAC8AawBnACAATgBcACIAKQApADsAXABuAFwAbgBGAGUAcgB0AGkAbABpAHMAZQByAF8ARgByAGEAYwBHAEEAUwBNAFMAbwBpAGwAXwBEAGEAdABhAFwAbgA9AEwAQQBNAEIARABBACgAMAAuADIAMQApADsAXABuAFwAbgBGAGUAcgB0AGkAbABpAHMAZQByAF8ARgByAGEAYwBHAEEAUwBNAFMAbwBpAGwAXwBWAGEAcgBpAGEAdABpAG8AbgBcAG4APQBMAEEATQBCAEQAQQAoAFwAIgBcACIAKQA7AFwAbgBcAG4AXABuAC8AKgBcAG4APQA9AD0APQA9AD0APQA9AD0APQA9AD0APQA9AD0APQA9AD0APQA9AD0APQA9AD0APQA9AD0APQA9AD0APQA9AD0APQA9AD0APQA9AD0APQA9AD0APQA9AD0APQA9AD0APQA9AD0APQA9AD0APQA9AD0APQA9AD0APQA9AD0APQA9AD0APQA9AD0APQA9AD0APQA9AD0APQBcAG4ARgByAGEAYwB0AGkAbwBuACAAbwBmACAAbgBpAHQAcgBvAGcAZQBuACAAdABoAGEAdAAgAGkAcwAgAGwAbwBzAHQAIAB0AGgAcgBvAHUAZwBoACAAbABlAGEAYwBoAGkAbgBnACAAYQBuAGQAIAByAHUAbgBvAGYAZgBcAG4APQA9AD0APQA9AD0APQA9AD0APQA9AD0APQA9AD0APQA9AD0APQA9AD0APQA9AD0APQA9AD0APQA9AD0APQA9AD0APQA9AD0APQA9AD0APQA9AD0APQA9AD0APQA9AD0APQA9AD0APQA9AD0APQA9AD0APQA9AD0APQA9AD0APQA9AD0APQA9AD0APQA9AD0APQA9AD0APQBcAG4AKgAvAFwAbgBcAG4ARgBlAHIAdABpAGwAaQBzAGUAcgBfAEYAcgBhAGMATABFAEEAQwBIAF8AVABpAHQAbABlAFwAbgA9AEwAQQBNAEIARABBACgAKABcACIARgByAGEAYwB0AGkAbwBuACAAbwBmACAAbgBpAHQAcgBvAGcAZQBuACAAdABoAGEAdAAgAGkAcwAgAGwAbwBzAHQAIAB0AGgAcgBvAHUAZwBoACAAbABlAGEAYwBoAGkAbgBnACAAYQBuAGQAIAByAHUAbgBvAGYAZgBcACIAKQApADsAXABuAFwAbgBGAGUAcgB0AGkAbABpAHMAZQByAF8ARgByAGEAYwBMAEUAQQBDAEgAXwBTAG8AdQByAGMAZQBcAG4APQBMAEEATQBCAEQAQQAoACgAXAAiAFYARQBFAFIARwAgADIAMAAyADYAOgAgADUALgA1AC4AMgAuADMAIABDAG8AbgBzAHQAYQBuAHQAIABQAGEAcgBhAG0AZQB0AGUAcgBzAFwAIgApACkAOwBcAG4AXABuAEYAZQByAHQAaQBsAGkAcwBlAHIAXwBGAHIAYQBjAEwARQBBAEMASABfAFYAYQByAGkAYQBiAGwAZQBcAG4APQBMAEEATQBCAEQAQQAoACgAXAAiAEYAcgBhAGMATABFAEEAQwBIAFwAIgApACkAOwBcAG4AXABuAEYAZQByAHQAaQBsAGkAcwBlAHIAXwBGAHIAYQBjAEwARQBBAEMASABfAFUAbgBpAHQAXABuAD0ATABBAE0AQgBEAEEAKAAoAFwAIgBmAHIAYQBjAHQAaQBvAG4AXAAiACkAKQA7AFwAbgBcAG4ARgBlAHIAdABpAGwAaQBzAGUAcgBfAEYAcgBhAGMATABFAEEAQwBIAF8ARABhAHQAYQBcAG4APQBMAEEATQBCAEQAQQAoADAALgAyADQAKQA7AFwAbgBcAG4ARgBlAHIAdABpAGwAaQBzAGUAcgBfAEYAcgBhAGMATABFAEEAQwBIAF8AVgBhAHIAaQBhAHQAaQBvAG4AXABuAD0ATABBAE0AQgBEAEEAKABcACIAXAAiACkAOwBcAG4AXABuAFwAbgAvACoAXABuAD0APQA9AD0APQA9AD0APQA9AD0APQA9AD0APQA9AD0APQA9AD0APQA9AD0APQA9AD0APQA9AD0APQA9AD0APQA9AD0APQA9AD0APQA9AD0APQA9AD0APQA9AD0APQA9AD0APQA9AD0APQA9AD0APQA9AD0APQA9AD0APQA9AD0APQA9AD0APQA9AD0APQA9AD0APQA9AD0AXABuAEUAbQBpAHMAcwBpAG8AbgAgAGYAYQBjAHQAbwByACAAZgBvAHIAIABuAGkAdAByAG8AZwBlAG4AIABsAGUAYQBjAGgAaQBuAGcAIABhAG4AZAAgAHIAdQBuAG8AZgBmAFwAbgA9AD0APQA9AD0APQA9AD0APQA9AD0APQA9AD0APQA9AD0APQA9AD0APQA9AD0APQA9AD0APQA9AD0APQA9AD0APQA9AD0APQA9AD0APQA9AD0APQA9AD0APQA9AD0APQA9AD0APQA9AD0APQA9AD0APQA9AD0APQA9AD0APQA9AD0APQA9AD0APQA9AD0APQA9AD0APQA9AFwAbgAqAC8AXABuAFwAbgBGAGUAcgB0AGkAbABpAHMAZQByAF8ARQBGAEwAZQBhAGMAaABfAFQAaQB0AGwAZQBcAG4APQBMAEEATQBCAEQAQQAoACgAXAAiAEUAbQBpAHMAcwBpAG8AbgAgAGYAYQBjAHQAbwByACAAZgBvAHIAIABuAGkAdAByAG8AZwBlAG4AIABsAGUAYQBjAGgAaQBuAGcAIABhAG4AZAAgAHIAdQBuAG8AZgBmAFwAIgApACkAOwBcAG4AXABuAEYAZQByAHQAaQBsAGkAcwBlAHIAXwBFAEYATABlAGEAYwBoAF8AUwBvAHUAcgBjAGUAXABuAD0ATABBAE0AQgBEAEEAKAAoAFwAIgBWAEUARQBSAEcAIAAyADAAMgA2ADoAIAA1AC4ANQAuADIALgAzACAAQwBvAG4AcwB0AGEAbgB0ACAAUABhAHIAYQBtAGUAdABlAHIAcwBcACIAKQApADsAXABuAFwAbgBGAGUAcgB0AGkAbABpAHMAZQByAF8ARQBGAEwAZQBhAGMAaABfAFYAYQByAGkAYQBiAGwAZQBcAG4APQBMAEEATQBCAEQAQQAoACgAXAAiAEUARgBMAGUAYQBjAGgAXAAiACkAKQA7AFwAbgBcAG4ARgBlAHIAdABpAGwAaQBzAGUAcgBfAEUARgBMAGUAYQBjAGgAXwBVAG4AaQB0AFwAbgA9AEwAQQBNAEIARABBACgAKABcACIAawBnACAATgAyAE8ALQBOACAALwAgAGsAZwAgAE4AXAAiACkAKQA7AFwAbgBcAG4ARgBlAHIAdABpAGwAaQBzAGUAcgBfAEUARgBMAGUAYQBjAGgAXwBEAGEAdABhAFwAbgA9AEwAQQBNAEIARABBACgAMAAuADAAMQAxACkAOwBcAG4AXABuAEYAZQByAHQAaQBsAGkAcwBlAHIAXwBFAEYATABlAGEAYwBoAF8AVgBhAHIAaQBhAHQAaQBvAG4AXABuAD0ATABBAE0AQgBEAEEAKABcACIAXAAiACkAOwBcAG4AXABuAFwAbgBcAG4ALwAqAFwAbgA9AD0APQA9AD0APQA9AD0APQA9AD0APQA9AD0APQA9AD0APQA9AD0APQA9AD0APQA9AD0APQA9AD0APQA9AD0APQA9AD0APQA9AD0APQA9AD0APQA9AD0APQA9AD0APQA9AD0APQA9AD0APQA9AD0APQA9AD0APQA9AD0APQA9AD0APQA9AD0APQA9AD0APQA9AD0APQA9AFwAbgBMAGkAbQBlACwAIABkAG8AbABvAG0AaQB0AGUAIABhAG4AZAAgAGcAeQBwAHMAdQBtAFwAbgA9AD0APQA9AD0APQA9AD0APQA9AD0APQA9AD0APQA9AD0APQA9AD0APQA9AD0APQA9AD0APQA9AD0APQA9AD0APQA9AD0APQA9AD0APQA9AD0APQA9AD0APQA9AD0APQA9AD0APQA9AD0APQA9AD0APQA9AD0APQA9AD0APQA9AD0APQA9AD0APQA9AD0APQA9AD0APQA9AFwAbgAqAC8AXABuAFwAbgBGAGUAcgB0AGkAbABpAHMAZQByAF8ATABpAG0AZQBEAG8AbABvAG0AaQB0AGUARwB5AHAAcwB1AG0AQwBvAG4AcwB0AGEAbgB0AHMAXwBUAGkAdABsAGUAXABuAD0ATABBAE0AQgBEAEEAKAAoAFwAIgBDAG8AbgBzAHQAYQBuAHQAcwAgAGYAbwByACAAbABpAG0AZQAsACAAZABvAGwAbwBtAGkAdABlACAAYQBuAGQAIABnAHkAcABzAHUAbQBcACIAKQApADsAXABuAFwAbgBGAGUAcgB0AGkAbABpAHMAZQByAF8ATABpAG0AZQBEAG8AbABvAG0AaQB0AGUARwB5AHAAcwB1AG0AQwBvAG4AcwB0AGEAbgB0AHMAXwBEAGUAcwBjAHIAaQBwAHQAaQBvAG4AXABuAD0ATABBAE0AQgBEAEEAKAAoAFwAIgBDAG8AbgBzAHQAYQBuAHQAcwAgAGYAbwByACAAbABpAG0AZQAsACAAZABvAGwAbwBtAGkAdABlACAAYQBuAGQAIABnAHkAcABzAHUAbQBcACIAKQApADsAXABuAFwAbgBGAGUAcgB0AGkAbABpAHMAZQByAF8ATABpAG0AZQBEAG8AbABvAG0AaQB0AGUARwB5AHAAcwB1AG0AQwBvAG4AcwB0AGEAbgB0AHMAXwBTAG8AdQByAGMAZQBcAG4APQBMAEEATQBCAEQAQQAoACgAXAAiAFYARQBFAFIARwAgADIAMAAyADYAOgAgADUALgAzAC4AMgAuADMAIABDAG8AbgBzAHQAYQBuAHQAIABQAGEAcgBhAG0AZQB0AGUAcgBzAFwAIgApACkAOwBcAG4AXABuAEYAZQByAHQAaQBsAGkAcwBlAHIAXwBMAGkAbQBlAEQAbwBsAG8AbQBpAHQAZQBHAHkAcABzAHUAbQBDAG8AbgBzAHQAYQBuAHQAcwBfAEQAYQB0AGEAXABuAD0ATABBAE0AQgBEAEEAKABcAG4AIABNAEEASwBFAEEAUgBSAEEAWQAoADQALAAgADMALABcAG4AIABMAEEATQBCAEQAQQAoAHIALABjACwAXABuACAAIABJAE4ARABFAFgAKAB7AFwAbgAgACAAXAAiAEUAbABlAG0AZQBuAHQAXAAiACwAIABcACIAUABcACIALAAgAFwAIgBFAEYAXAAiADsAXABuACAAIABcACIATABpAG0AZQAgACgAQwBhAGwAYwBpAHUAbQAgAGMAYQByAGIAbwBuAGEAdABlACkAXAAiACwAIAAwAC4AOQAsACAAMAAuADEAMgA7AFwAbgAgACAAXAAiAEQAbwBsAG8AbQBpAHQAZQAgACgATQBhAGcAbgBlAHMAaQB1AG0AIABjAGEAcgBiAG8AbgBhAHQAZQApAFwAIgAsACAAMAAuADkANQAsACAAMAAuADEAMwA7AFwAbgAgACAAXAAiAEcAeQBwAHMAdQBtAFwAIgAsACAAMAAsACAAMABcAG4AIAAgAH0ALAAgAHIALAAgAGMAKQBcAG4AKQApACkAOwBcAG4AXABuAEYAZQByAHQAaQBsAGkAcwBlAHIAXwBMAGkAbQBlAEQAbwBsAG8AbQBpAHQAZQBHAHkAcABzAHUAbQBDAG8AbgBzAHQAYQBuAHQAcwBfAFYAYQByAGkAYQB0AGkAbwBuAFwAbgA9AEwAQQBNAEIARABBACgAKABcACIAVgBBAFIASQBBAFQASQBPAE4AIABGAFIATwBNACAAUwBPAFUAUgBDAEUAIABEAEEAVABBADoAIABHAHkAcABzAHUAbQAgAGgAYQBzACAAYgBlAGUAbgAgAGEAZABkAGUAZAAgAHcAaQB0AGgAIABwAGwAYQBjAGUAaABvAGwAZABlAHIAIAB2AGEAbAB1AGUAcwAgAG8AZgAgADAAIABmAG8AcgAgAFAAIABhAG4AZAAgAEUARgAuAFwAIgApACkAOwBcAG4AXABuAFwAbgAvACoAXABuAD0APQA9AD0APQA9AD0APQA9AD0APQA9AD0APQA9AD0APQA9AD0APQA9AD0APQA9AD0APQA9AD0APQA9AD0APQA9AD0APQA9AD0APQA9AD0APQA9AD0APQA9AD0APQA9AD0APQA9AD0APQA9AD0APQA9AD0APQA9AD0APQA9AD0APQA9AD0APQA9AD0APQA9AD0APQA9AD0AXABuAEYAcgBhAGMAdABpAG8AbgAgAG8AZgAgAG4AaQB0AHIAbwBnAGUAbgAgAGkAbgAgAGMAbwBtAG0AbwBuACAAaQBuAG8AcgBnAGEAbgBpAGMAIABmAGUAcgB0AGkAbABpAHMAZQByAHMAXABuAD0APQA9AD0APQA9AD0APQA9AD0APQA9AD0APQA9AD0APQA9AD0APQA9AD0APQA9AD0APQA9AD0APQA9AD0APQA9AD0APQA9AD0APQA9AD0APQA9AD0APQA9AD0APQA9AD0APQA9AD0APQA9AD0APQA9AD0APQA9AD0APQA9AD0APQA9AD0APQA9AD0APQA9AD0APQA9AD0AXABuACoALwBcAG4AXABuAEYAZQByAHQAaQBsAGkAcwBlAHIAXwBGAHIAYQBjAHQAaQBvAG4ATgBDAG8AbQBtAG8AbgBGAGUAcgB0AGkAbABpAHMAZQByAHMAXwBUAGkAdABsAGUAXABuAD0ATABBAE0AQgBEAEEAKAAoAFwAIgBGAHIAYQBjAHQAaQBvAG4AIABvAGYAIABuAGkAdAByAG8AZwBlAG4AIABpAG4AIABjAG8AbQBtAG8AbgAgAGkAbgBvAHIAZwBhAG4AaQBjACAAZgBlAHIAdABpAGwAaQBzAGUAcgBzACAAKABrAGcATgAvAGsAZwApACAAKABGAE4AbwByAGcAYQBuAGkAYwAsAGYAKQBcACIAKQApADsAXABuAFwAbgBGAGUAcgB0AGkAbABpAHMAZQByAF8ARgByAGEAYwB0AGkAbwBuAE4AQwBvAG0AbQBvAG4ARgBlAHIAdABpAGwAaQBzAGUAcgBzAF8AUwBvAHUAcgBjAGUAXABuAD0ATABBAE0AQgBEAEEAKAAoAFwAIgBWAEUARQBSAEcAIAAyADAAMgA2ADoAIABUAGEAYgBsAGUAIABBAC4AMgAuADIALgAzAFwAIgApACkAOwBcAG4AXABuAEYAZQByAHQAaQBsAGkAcwBlAHIAXwBGAHIAYQBjAHQAaQBvAG4ATgBDAG8AbQBtAG8AbgBGAGUAcgB0AGkAbABpAHMAZQByAHMAXwBEAGEAdABhAFwAbgA9AEwAQQBNAEIARABBACgAXABuACAATQBBAEsARQBBAFIAUgBBAFkAKAAxADAALAAgADIALABcAG4AIABMAEEATQBCAEQAQQAoAHIALABjACwAXABuACAAIABJAE4ARABFAFgAKAB7AFwAbgAgACAAXAAiAEYAZQByAHQAaQBsAGkAcwBlAHIAIABUAHkAcABlACAAZgBcACIALAAgAFwAIgBGAE4AaQBuAG8AcgBnAGEAbgBpAGMAZgBcACIAOwBcAG4AIAAgAFwAIgBNAG8AbgBvAGEAbQBtAG8AbgBpAHUAbQAgAHAAaABvAHMAcABoAGEAdABlACAAKABNAEEAUAApAFwAIgAsACAAMAAuADEAMAA7AFwAbgAgACAAXAAiAEQAaQBhAG0AbQBvAG4AaQB1AG0AIABwAGgAbwBzAHAAaABhAHQAZQAgACgARABBAFAAKQBcACIALAAgADAALgAxADgAOwBcAG4AIAAgAFwAIgBVAHIAZQBhAFwAIgAsACAAMAAuADQANgA7AFwAbgAgACAAXAAiAFMAdQBsAHAAaABhAHQAZQAgAG8AZgAgAGEAbQBtAG8AbgBpAGEAIAAoAFMATwBBACkAXAAiACwAIAAwAC4AMgAxADsAXABuACAAIABcACIAVQByAGUAYQAtAGEAbQBtAG8AbgBpAHUAbQAgAG4AaQB0AHIAYQB0AGUAIAAoAFUAQQBOACkAXAAiACwAIAAwAC4AMwAyADsAXABuACAAIABcACIAQQBtAG0AbwBuAGkAdQBtACAAbgBpAHQAcgBhAHQAZQAgACgAQQBOACkAXAAiACwAIAAwAC4AMwAzADcAOwBcAG4AIAAgAFwAIgBDAGEAbABjAGkAdQBtACAAYQBtAG0AbwBuAGkAdQBtACAAbgBpAHQAcgBhAHQAZQAgACgAQwBBAE4AKQBcACIALAAgADAALgAyADcAOwBcAG4AIAAgAFwAIgBBAG0AbQBvAG4AaQB1AG0AIABTAHUAbABmAGEAdABlAFwAIgAsACAAMAAuADIAMQA7AFwAbgAgACAAXAAiAEMAYQBsAGMAaQB1AG0AIABOAGkAdAByAGEAdABlAFwAIgAsACAAMAAuADEANQA1AFwAbgAgACAAfQAsACAAcgAsACAAYwApAFwAbgApACkAKQA7AFwAbgBcAG4ARgBlAHIAdABpAGwAaQBzAGUAcgBfAEYAcgBhAGMAdABpAG8AbgBOAEMAbwBtAG0AbwBuAEYAZQByAHQAaQBsAGkAcwBlAHIAcwBfAFYAYQByAGkAYQB0AGkAbwBuAFwAbgA9AEwAQQBNAEIARABBACgAKABcACIAXAAiACkAKQA7AFwAbgBcAG4AXABuAC8AKgBcAG4APQA9AD0APQA9AD0APQA9AD0APQA9AD0APQA9AD0APQA9AD0APQA9AD0APQA9AD0APQA9AD0APQA9AD0APQA9AD0APQA9AD0APQA9AD0APQA9AD0APQA9AD0APQA9AD0APQA9AD0APQA9AD0APQA9AD0APQA9AD0APQA9AD0APQA9AD0APQA9AD0APQA9AD0APQA9AD0APQBcAG4ARgByAGEAYwB0AGkAbwBuACAAbwBmACAAdQByAGUAYQAgAGkAbgAgAGMAbwBtAG0AbwBuACAAaQBuAG8AcgBnAGEAbgBpAGMAIABmAGUAcgB0AGkAbABpAHMAZQByAHMAXABuAD0APQA9AD0APQA9AD0APQA9AD0APQA9AD0APQA9AD0APQA9AD0APQA9AD0APQA9AD0APQA9AD0APQA9AD0APQA9AD0APQA9AD0APQA9AD0APQA9AD0APQA9AD0APQA9AD0APQA9AD0APQA9AD0APQA9AD0APQA9AD0APQA9AD0APQA9AD0APQA9AD0APQA9AD0APQA9AD0AXABuACoALwBcAG4AXABuAEYAZQByAHQAaQBsAGkAcwBlAHIAXwBGAHIAYQBjAHQAaQBvAG4AVQByAGUAYQBDAG8AbQBtAG8AbgBGAGUAcgB0AGkAbABpAHMAZQByAHMAXwBUAGkAdABsAGUAXABuAD0ATABBAE0AQgBEAEEAKAAoAFwAIgBGAHIAYQBjAHQAaQBvAG4AIABvAGYAIAB1AHIAZQBhACAAaQBuACAAYwBvAG0AbQBvAG4AIABpAG4AbwByAGcAYQBuAGkAYwAgAGYAZQByAHQAaQBsAGkAcwBlAHIAcwAgACgAawBnACAAdQByAGUAYQAvAGsAZwApACAAKABGAFUAZgApAFwAIgApACkAOwBcAG4AXABuAEYAZQByAHQAaQBsAGkAcwBlAHIAXwBGAHIAYQBjAHQAaQBvAG4AVQByAGUAYQBDAG8AbQBtAG8AbgBGAGUAcgB0AGkAbABpAHMAZQByAHMAXwBTAG8AdQByAGMAZQBcAG4APQBMAEEATQBCAEQAQQAoACgAXAAiAFYARQBFAFIARwAgADIAMAAyADYAOgAgAFQAYQBiAGwAZQAgAEEALgAyAC4AMgAuADQAXAAiACkAKQA7AFwAbgBcAG4ARgBlAHIAdABpAGwAaQBzAGUAcgBfAEYAcgBhAGMAdABpAG8AbgBVAHIAZQBhAEMAbwBtAG0AbwBuAEYAZQByAHQAaQBsAGkAcwBlAHIAcwBfAEQAYQB0AGEAXABuAD0ATABBAE0AQgBEAEEAKABcAG4AIABNAEEASwBFAEEAUgBSAEEAWQAoADEAMAAsACAAMgAsAFwAbgAgAEwAQQBNAEIARABBACgAcgAsAGMALABcAG4AIAAgAEkATgBEAEUAWAAoAHsAXABuACAAIABcACIARgBlAHIAdABpAGwAaQBzAGUAcgAgAFQAeQBwAGUAIABmAFwAIgAsACAAXAAiAEYAVQBmAFwAIgA7AFwAbgAgACAAXAAiAE0AbwBuAG8AYQBtAG0AbwBuAGkAdQBtACAAcABoAG8AcwBwAGgAYQB0AGUAIAAoAE0AQQBQACkAXAAiACwAIAAwADsAXABuACAAIABcACIARABpAGEAbQBtAG8AbgBpAHUAbQAgAHAAaABvAHMAcABoAGEAdABlACAAKABEAEEAUAApAFwAIgAsACAAMAA7AFwAbgAgACAAXAAiAFUAcgBlAGEAXAAiACwAIAAxADsAXABuACAAIABcACIAUwB1AGwAcABoAGEAdABlACAAbwBmACAAYQBtAG0AbwBuAGkAYQAgACgAUwBPAEEAKQBcACIALAAgADAAOwBcAG4AIAAgAFwAIgBVAHIAZQBhAC0AYQBtAG0AbwBuAGkAdQBtACAAbgBpAHQAcgBhAHQAZQAgACgAVQBBAE4AKQBcACIALAAgADAALgAzADUAOwBcAG4AIAAgAFwAIgBBAG0AbQBvAG4AaQB1AG0AIABuAGkAdAByAGEAdABlACAAKABBAE4AKQBcACIALAAgADAAOwBcAG4AIAAgAFwAIgBDAGEAbABjAGkAdQBtACAAYQBtAG0AbwBuAGkAdQBtACAAbgBpAHQAcgBhAHQAZQAgACgAQwBBAE4AKQBcACIALAAgADAAOwBcAG4AIAAgAFwAIgBBAG0AbQBvAG4AaQB1AG0AIABTAHUAbABmAGEAdABlAFwAIgAsACAAMAA7AFwAbgAgACAAXAAiAEMAYQBsAGMAaQB1AG0AIABOAGkAdAByAGEAdABlAFwAIgAsACAAMABcAG4AIAAgAH0ALAAgAHIALAAgAGMAKQBcAG4AKQApACkAOwBcAG4AXABuAEYAZQByAHQAaQBsAGkAcwBlAHIAXwBGAHIAYQBjAHQAaQBvAG4AVQByAGUAYQBDAG8AbQBtAG8AbgBGAGUAcgB0AGkAbABpAHMAZQByAHMAXwBWAGEAcgBpAGEAdABpAG8AbgBcAG4APQBMAEEATQBCAEQAQQAoACgAXAAiAFwAIgApACkAOwBcAG4AXABuAFwAbgAvACoAXABuAD0APQA9AD0APQA9AD0APQA9AD0APQA9AD0APQA9AD0APQA9AD0APQA9AD0APQA9AD0APQA9AD0APQA9AD0APQA9AD0APQA9AD0APQA9AD0APQA9AD0APQA9AD0APQA9AD0APQA9AD0APQA9AD0APQA9AD0APQA9AD0APQA9AD0APQA9AD0APQA9AD0APQA9AD0APQA9AD0AXABuAFMAbwB1AHIAYwBlACAAcgBlAGcAaQBvAG4AcwAgAGYAbwByACAAdQByAGUAYQAgAGEAbgBkACAAYQBtAG0AbwBuAGkAYQBcAG4APQA9AD0APQA9AD0APQA9AD0APQA9AD0APQA9AD0APQA9AD0APQA9AD0APQA9AD0APQA9AD0APQA9AD0APQA9AD0APQA9AD0APQA9AD0APQA9AD0APQA9AD0APQA9AD0APQA9AD0APQA9AD0APQA9AD0APQA9AD0APQA9AD0APQA9AD0APQA9AD0APQA9AD0APQA9AD0APQBcAG4AKgAvAFwAbgBcAG4ARgBlAHIAdABpAGwAaQBzAGUAcgBfAFUAcgBlAGEAQQBtAG0AbwBuAGkAYQBTAG8AdQByAGMAZQBSAGUAZwBpAG8AbgBzAF8AVABpAHQAbABlAFwAbgA9AEwAQQBNAEIARABBACgAXAAiAFMAbwB1AHIAYwBlACAAcgBlAGcAaQBvAG4AcwAgAGYAbwByACAAdQByAGUAYQAgAGEAbgBkACAAYQBtAG0AbwBuAGkAYQBcACIAKQA7AFwAbgBcAG4ARgBlAHIAdABpAGwAaQBzAGUAcgBfAFUAcgBlAGEAQQBtAG0AbwBuAGkAYQBTAG8AdQByAGMAZQBSAGUAZwBpAG8AbgBzAF8AUwBvAHUAcgBjAGUAXABuAD0ATABBAE0AQgBEAEEAKABcACIATABpAGYAZQBjAHkAYwBsAGUAcwAuACAAKAAyADAAMgA2ACkALgAgAEcAcgBlAGUAbgBoAG8AdQBzAGUAIABHAGEAcwAgAEUAbQBpAHMAcwBpAG8AbgAgAEkAbgB0AGUAbgBzAGkAdABpAGUAcwAgAGYAbwByACAATQBhAHQAZQByAGkAYQBsACAASQBuAHAAdQB0AHMAIAB0AG8AIABBAHUAcwB0AHIAYQBsAGkAYQBuACAAQQBnAHIAaQBjAHUAbAB0AHUAcgBlACwAIABGAGkAcwBoAGUAcgBpAGUAcwAgAGEAbgBkACAARgBvAHIAZQBzAHQAcgB5AC4AIABWAGUAcgBzAGkAbwBuACAANAA4AC4AIABkAG8AaQAgADEAMAAuADUAMgA4ADEALwB6AGUAbgBvAGQAbwAuADEAOQA2ADUANgA1ADgAMABcACIAKQA7AFwAbgBcAG4ARgBlAHIAdABpAGwAaQBzAGUAcgBfAFUAcgBlAGEAQQBtAG0AbwBuAGkAYQBTAG8AdQByAGMAZQBSAGUAZwBpAG8AbgBzAF8ARABhAHQAYQBcAG4APQBMAEEATQBCAEQAQQAoAFwAbgAgAE0AQQBLAEUAQQBSAFIAQQBZACgANQAsACAAMQAsAFwAbgAgAEwAQQBNAEIARABBACgAcgAsAGMALABcAG4AIAAgAEkATgBEAEUAWAAoAHsAXABuACAAIABcACIAUwBvAHUAcgBjAGUAXAAiADsAXABuACAAIABcACIARwBsAG8AYgBhAGwAXAAiADsAXABuACAAIABcACIAQwBhAG4AYQBkAGEAXAAiADsAXABuACAAIABcACIAQwBoAGkAbgBhAFwAIgA7AFwAbgAgACAAXAAiAFkAZQBtAGUAbgBcACIAXABuACAAIAB9ACwAIAByACwAIABjACkAXABuACkAKQApADsAXABuAFwAbgAvACoAXABuAD0APQA9AD0APQA9AD0APQA9AD0APQA9AD0APQA9AD0APQA9AD0APQA9AD0APQA9AD0APQA9AD0APQA9AD0APQA9AD0APQA9AD0APQA9AD0APQA9AD0APQA9AD0APQA9AD0APQA9AD0APQA9AD0APQA9AD0APQA9AD0APQA9AD0APQA9AD0APQA9AD0APQA9AD0APQA9AD0AXABuAEIAcgBhAG4AZABlAGQAIABmAGUAcgB0AGkAbABpAHMAZQByACAAcAByAG8AZAB1AGMAdABzAFwAbgA9AD0APQA9AD0APQA9AD0APQA9AD0APQA9AD0APQA9AD0APQA9AD0APQA9AD0APQA9AD0APQA9AD0APQA9AD0APQA9AD0APQA9AD0APQA9AD0APQA9AD0APQA9AD0APQA9AD0APQA9AD0APQA9AD0APQA9AD0APQA9AD0APQA9AD0APQA9AD0APQA9AD0APQA9AD0APQA9AFwAbgAqAC8AXABuAFwAbgBGAGUAcgB0AGkAbABpAHMAZQByAF8AUAByAG8AZAB1AGMAdABzAF8AVABpAHQAbABlAFwAbgA9AEwAQQBNAEIARABBACgAKABcACIAQgByAGEAbgBkAGUAZAAgAGYAZQByAHQAaQBsAGkAcwBlAHIAIABwAHIAbwBkAHUAYwB0AHMAIABhAG4AZAAgAHQAaABlAGkAcgAgAGMAaABlAG0AaQBjAGEAbAAgAGMAbwBtAHAAbwBzAGkAdABpAG8AbgBcACIAKQApADsAXABuAFwAbgBGAGUAcgB0AGkAbABpAHMAZQByAF8AUAByAG8AZAB1AGMAdABzAF8AUwBvAHUAcgBjAGUAXABuAD0ATABBAE0AQgBEAEEAKAAoAFwAIgBcACIAKQApADsAXABuAFwAbgAvACoAXABuAEYAZQByAHQAaQBsAGkAcwBlAHIAIABwAHIAbwBkAHUAYwB0ACAAZABhAHQAYQAgAC0AIABFAHgAYwBlAGwAIABNAEEASwBFAEEAUgBSAEEAWQAgAGUAeABwAG8AcgB0AFwAbgAtAC0ALQAtAC0ALQAtAC0ALQAtAC0ALQAtAC0ALQAtAC0ALQAtAC0ALQAtAC0ALQAtAC0ALQAtAC0ALQAtAC0ALQAtAC0ALQAtAC0ALQAtAC0ALQAtAC0ALQAtAC0ALQAtAC0ALQAtAC0ALQAtAC0ALQAtAC0ALQBcAG4AUAByAG8AZAB1AGMAdABzADoAIAAxADMANAAgACgASQBuAGMAbAB1AGQAZQAgAG8AbgBsAHkAOwAgAGMAbwBtAGIAaQBuAGUAZAAgAGYAcgBvAG0AIABtAGEAaQBuACAAKwAgAGIAYQB0AGMAaAAgADEAIAArACAAYgBhAHQAYwBoACAAMgAgAHcAbwByAGsAYgBvAG8AawBzACkAXABuAEEAcgByAGEAeQBzADoAIAA1ACAAfAAgAFIAbwB3AHMAIABwAGUAcgAgAGEAcgByAGEAeQA6ACAAMwAwACAAKABmAGkAbgBhAGwAIABhAHIAcgBhAHkAOgAgADEANAApACAAfAAgAEMAbwBsAHUAbQBuAHMAOgAgADMAMQBcAG4AXABuAEUAeABjAGwAdQBkAGUAZAAgAGMAbwBsAHUAbQBuAHMAOgAgAEkAbgBjAGwAdQBkAGUAIABvAHIAIABlAHgAYwBsAHUAZABlACwAIABBAG4AYQBsAHkAcwBpAHMAIABiAGEAcwBlACwAIABBAG4AYQBsAHkAcwBpAHMAIABzAG8AdQByAGMAZQAsACAAQQBuAGEAbAB5AHMAaQBzACAAZgBsAGEAZwAsACAATgBvAHQAZQBzACwAIABMAGkAbgBrACwAIABEAGEAdABhACAAcwBvAHUAcgBjAGUALAAgAEUATgBEACAAUgBPAFcALgBcAG4ASQBuAGcAcgBlAGQAaQBlAG4AdAAgAHAAZQByAGMAZQBuAHQAIAB2AGEAbAB1AGUAcwAgAGEAcgBlACAAZQB2AGEAbAB1AGEAdABlAGQAIABkAGUAYwBpAG0AYQBsACAAZgByAGEAYwB0AGkAbwBuAHMAIAAoAD0ANAA2AC8AMQAwADAAIAAtAFwAdQAwADAAMwBlACAAMAAuADQANgApADsAIABlAG0AcAB0AHkAIABjAGUAbABsAHMAIABhAHIAZQAgAFwAIgBcACIALgBcAG4AXABuAEMAbwBsAHUAbQBuACAAbwByAGQAZQByACAAKAAzADEAKQA6AFwAbgAgACAAMQAuACAAQwBvAG0AcABhAG4AeQBcAG4AIAAgADIALgAgAFAAcgBvAGQAdQBjAHQAIABuAGEAbQBlAFwAbgAgACAAMwAuACAAVQBuAGkAdABcAG4AIAAgADQALgAgAEQAZQBuAHMAaQB0AHkAXABuACAAIAA1AC4AIABDAG8AbgB0AGEAaQBuAHMAIABpAG4AaABpAGIAaQB0AG8AcgBcAG4AIAAgADYALgAgAFUAcgBlAGEAIABzAG8AdQByAGMAZQBcAG4AIAAgADcALgAgAEEAbQBtAG8AbgBpAGEAIABzAG8AdQByAGMAZQBcAG4AIAAgADgALgAgAE4AIABkAGUAYwBsAGEAcgBlAGQAXABuACAAIAA5AC4AIABQACAAZABlAGMAbABhAHIAZQBkAFwAbgAgACAAMQAwAC4AIABLACAAZABlAGMAbABhAHIAZQBkAFwAbgAgACAAMQAxAC4AIABTACAAZABlAGMAbABhAHIAZQBkAFwAbgAgACAAMQAyAC4AIABJAG4AZwByAGUAZABpAGUAbgB0ACAAMQBcAG4AIAAgADEAMwAuACAASQBuAGcAcgBlAGQAaQBlAG4AdAAgADEAIABwAGUAcgBjAGUAbgB0AFwAbgAgACAAMQA0AC4AIABJAG4AZwByAGUAZABpAGUAbgB0ACAAMgBcAG4AIAAgADEANQAuACAASQBuAGcAcgBlAGQAaQBlAG4AdAAgADIAIABwAGUAcgBjAGUAbgB0AFwAbgAgACAAMQA2AC4AIABJAG4AZwByAGUAZABpAGUAbgB0ACAAMwBcAG4AIAAgADEANwAuACAASQBuAGcAcgBlAGQAaQBlAG4AdAAgADMAIABwAGUAcgBjAGUAbgB0AFwAbgAgACAAMQA4AC4AIABJAG4AZwByAGUAZABpAGUAbgB0ACAANABcAG4AIAAgADEAOQAuACAASQBuAGcAcgBlAGQAaQBlAG4AdAAgADQAIABwAGUAcgBjAGUAbgB0AFwAbgAgACAAMgAwAC4AIABJAG4AZwByAGUAZABpAGUAbgB0ACAANQBcAG4AIAAgADIAMQAuACAASQBuAGcAcgBlAGQAaQBlAG4AdAAgADUAIABwAGUAcgBjAGUAbgB0AFwAbgAgACAAMgAyAC4AIABJAG4AZwByAGUAZABpAGUAbgB0ACAANgBcAG4AIAAgADIAMwAuACAASQBuAGcAcgBlAGQAaQBlAG4AdAAgADYAIABwAGUAcgBjAGUAbgB0AFwAbgAgACAAMgA0AC4AIABJAG4AZwByAGUAZABpAGUAbgB0ACAANwBcAG4AIAAgADIANQAuACAASQBuAGcAcgBlAGQAaQBlAG4AdAAgADcAIABwAGUAcgBjAGUAbgB0AFwAbgAgACAAMgA2AC4AIABJAG4AZwByAGUAZABpAGUAbgB0ACAAOABcAG4AIAAgADIANwAuACAASQBuAGcAcgBlAGQAaQBlAG4AdAAgADgAIABwAGUAcgBjAGUAbgB0AFwAbgAgACAAMgA4AC4AIABJAG4AZwByAGUAZABpAGUAbgB0ACAAOQBcAG4AIAAgADIAOQAuACAASQBuAGcAcgBlAGQAaQBlAG4AdAAgADkAIABwAGUAcgBjAGUAbgB0AFwAbgAgACAAMwAwAC4AIABJAG4AZwByAGUAZABpAGUAbgB0ACAAMQAwAFwAbgAgACAAMwAxAC4AIABJAG4AZwByAGUAZABpAGUAbgB0ACAAMQAwACAAcABlAHIAYwBlAG4AdABcAG4AIAAgAFwAbgAtAC0ALQAtAC0ALQAtAC0ALQAtAC0ALQAtAC0ALQAtAC0ALQAtAC0ALQAtAC0ALQAtAC0ALQAtAC0ALQAtAC0ALQAtAC0ALQAtAC0ALQAtAC0ALQAtAC0ALQAtAC0ALQAtAC0ALQAtAC0ALQAtAC0ALQAtAC0ALQBcAG4AKgAvAFwAbgBcAG4ARgBlAHIAdABpAGwAaQBzAGUAcgBfAFAAcgBvAGQAdQBjAHQAcwBfAEQAYQB0AGEAMQBcAG4APQBMAEEATQBCAEQAQQAoAFwAbgAgAE0AQQBLAEUAQQBSAFIAQQBZACgAMwAwACwAIAAzADEALABcAG4AIABMAEEATQBCAEQAQQAoAHIALABjACwAXABuACAAIABJAE4ARABFAFgAKAB7AFwAbgBcACIAQwBhAG0AcABiAGUAbABsAHMAIABmAGUAcgB0AGkAbABpAHMAZQByAHMAIABBAHUAcwB0AHIAYQBsAGkAYQBcACIALABcACIAQQBxAHUAYQAgAEYAaQBuAGkAcwBoAFwAIgAsAFwAIgBMAFwAIgAsADEALgAyADYALABcACIAXAAiACwAXAAiAFwAIgAsAFwAIgBcACIALAAyAC4ANgAsADQALAAyADIALgA1ACwAXAAiAFwAIgAsAFwAIgBQAG8AdABhAHMAcwBpAHUAbQAgAC0AIABHAGUAbgBlAHIAaQBjAFwAIgAsADAALgAyADIANQAsAFwAIgBQAGgAbwBzAHAAaABvAHIAdQBzACAALQAgAEcAZQBuAGUAcgBpAGMAXAAiACwAMAAuADAANAAsAFwAIgBOAGkAdAByAG8AZwBlAG4AIAAtACAARwBlAG4AZQByAGkAYwBcACIALAAwAC4AMAAyADYALABcACIAXAAiACwAXAAiAFwAIgAsAFwAIgBcACIALABcACIAXAAiACwAXAAiAFwAIgAsAFwAIgBcACIALABcACIAXAAiACwAXAAiAFwAIgAsAFwAIgBcACIALABcACIAXAAiACwAXAAiAFwAIgAsAFwAIgBcACIALABcACIAXAAiACwAXAAiAFwAIgA7AFwAbgBcACIAQwBhAG0AcABiAGUAbABsAHMAIABmAGUAcgB0AGkAbABpAHMAZQByAHMAIABBAHUAcwB0AHIAYQBsAGkAYQBcACIALABcACIAQQBxAHUAYQAgAEcAcgBvAHcAXAAiACwAXAAiAEwAXAAiACwAMQAuADIANgAsAFwAIgBcACIALABcACIAXAAiACwAXAAiAFwAIgAsADkALgA2ACwANQAsADEAMAAuADUALABcACIAXAAiACwAXAAiAFAAbwB0AGEAcwBzAGkAdQBtACAALQAgAEcAZQBuAGUAcgBpAGMAXAAiACwAMAAuADEAMAA1ACwAXAAiAE4AaQB0AHIAbwBnAGUAbgAgAC0AIABHAGUAbgBlAHIAaQBjAFwAIgAsADAALgAwADkANgAsAFwAIgBQAGgAbwBzAHAAaABvAHIAdQBzACAALQAgAEcAZQBuAGUAcgBpAGMAXAAiACwAMAAuADAANQAsAFwAIgBcACIALABcACIAXAAiACwAXAAiAFwAIgAsAFwAIgBcACIALABcACIAXAAiACwAXAAiAFwAIgAsAFwAIgBcACIALABcACIAXAAiACwAXAAiAFwAIgAsAFwAIgBcACIALABcACIAXAAiACwAXAAiAFwAIgAsAFwAIgBcACIALABcACIAXAAiADsAXABuAFwAIgBDAGEAbQBwAGIAZQBsAGwAcwAgAGYAZQByAHQAaQBsAGkAcwBlAHIAcwAgAEEAdQBzAHQAcgBhAGwAaQBhAFwAIgAsAFwAIgBBAHEAdQBhACAATgBpAHQAcgBvACAAQQBOAFwAIgAsAFwAIgBMAFwAIgAsADEALgAyADQALABcACIAXAAiACwAXAAiAFwAIgAsAFwAIgBcACIALAAyADIALgAzACwAXAAiAFwAIgAsAFwAIgBcACIALABcACIAXAAiACwAXAAiAE4AaQB0AHIAbwBnAGUAbgAgAC0AIABBAG0AbQBvAG4AaQBhAGMAYQBsAFwAIgAsADAALgAyADIAMwAsAFwAIgBcACIALABcACIAXAAiACwAXAAiAFwAIgAsAFwAIgBcACIALABcACIAXAAiACwAXAAiAFwAIgAsAFwAIgBcACIALABcACIAXAAiACwAXAAiAFwAIgAsAFwAIgBcACIALABcACIAXAAiACwAXAAiAFwAIgAsAFwAIgBcACIALABcACIAXAAiACwAXAAiAFwAIgAsAFwAIgBcACIALABcACIAXAAiACwAXAAiAFwAIgA7AFwAbgBcACIAQwBhAG0AcABiAGUAbABsAHMAIABmAGUAcgB0AGkAbABpAHMAZQByAHMAIABBAHUAcwB0AHIAYQBsAGkAYQBcACIALABcACIAQQBxAHUAYQAgAE4AaQB0AHIAbwBDAGEAbABcACIALABcACIATABcACIALAAxAC4ANQAsAFwAIgBcACIALABcACIAXAAiACwAXAAiAFwAIgAsADEAMwAuADIALABcACIAXAAiACwAXAAiAFwAIgAsAFwAIgBcACIALABcACIAQwBhAGwAYwBpAHUAbQBcACIALAAwAC4AMQA2ADIALABcACIATgBpAHQAcgBvAGcAZQBuACAALQAgAE4AaQB0AHIAYQB0AGUAXAAiACwAMAAuADEAMwAyACwAXAAiAFwAIgAsAFwAIgBcACIALABcACIAXAAiACwAXAAiAFwAIgAsAFwAIgBcACIALABcACIAXAAiACwAXAAiAFwAIgAsAFwAIgBcACIALABcACIAXAAiACwAXAAiAFwAIgAsAFwAIgBcACIALABcACIAXAAiACwAXAAiAFwAIgAsAFwAIgBcACIALABcACIAXAAiACwAXAAiAFwAIgA7AFwAbgBcACIAQwBhAG0AcABiAGUAbABsAHMAIABmAGUAcgB0AGkAbABpAHMAZQByAHMAIABBAHUAcwB0AHIAYQBsAGkAYQBcACIALABcACIAQQBxAHUAYQAgAE4AaQB0AHIAbwBDAGEAbAAgACgAVgBJACkAXAAiACwAXAAiAEwAXAAiACwAMQAuADUALABcACIAXAAiACwAXAAiAFwAIgAsAFwAIgBcACIALAAxADMALgAyACwAXAAiAFwAIgAsAFwAIgBcACIALABcACIAXAAiACwAXAAiAEMAYQBsAGMAaQB1AG0AXAAiACwAMAAuADEAOAA3ACwAXAAiAE4AaQB0AHIAbwBnAGUAbgAgAC0AIABOAGkAdAByAGEAdABlAFwAIgAsADAALgAxADMAMgAsAFwAIgBcACIALABcACIAXAAiACwAXAAiAFwAIgAsAFwAIgBcACIALABcACIAXAAiACwAXAAiAFwAIgAsAFwAIgBcACIALABcACIAXAAiACwAXAAiAFwAIgAsAFwAIgBcACIALABcACIAXAAiACwAXAAiAFwAIgAsAFwAIgBcACIALABcACIAXAAiACwAXAAiAFwAIgAsAFwAIgBcACIAOwBcAG4AXAAiAEMAYQBtAHAAYgBlAGwAbABzACAAZgBlAHIAdABpAGwAaQBzAGUAcgBzACAAQQB1AHMAdAByAGEAbABpAGEAXAAiACwAXAAiAEEAcQB1AGEAIABOAGkAdAByAG8AQwBhAGwAIABVAGwAdABpAG0AYQB0AGUAXAAiACwAXAAiAEwAXAAiACwAMQAuADUALABcACIAXAAiACwAXAAiAFwAIgAsAFwAIgBcACIALAAxADMALgAyACwAXAAiAFwAIgAsAFwAIgBcACIALABcACIAXAAiACwAXAAiAEMAYQBsAGMAaQB1AG0AXAAiACwAMAAuADEAOAAzACwAXAAiAE4AaQB0AHIAbwBnAGUAbgAgAC0AIABOAGkAdAByAGEAdABlAFwAIgAsADAALgAxADMAMgAsAFwAIgBcACIALABcACIAXAAiACwAXAAiAFwAIgAsAFwAIgBcACIALABcACIAXAAiACwAXAAiAFwAIgAsAFwAIgBcACIALABcACIAXAAiACwAXAAiAFwAIgAsAFwAIgBcACIALABcACIAXAAiACwAXAAiAFwAIgAsAFwAIgBcACIALABcACIAXAAiACwAXAAiAFwAIgAsAFwAIgBcACIAOwBcAG4AXAAiAEMAYQBtAHAAYgBlAGwAbABzACAAZgBlAHIAdABpAGwAaQBzAGUAcgBzACAAQQB1AHMAdAByAGEAbABpAGEAXAAiACwAXAAiAEEAcQB1AGEAIABTAHQAYQByAHQAXAAiACwAXAAiAEwAXAAiACwAMQAuADIANQAsAFwAIgBcACIALABcACIAXAAiACwAXAAiAFwAIgAsADEAMAAuADMALAAxADAALAAzAC4ANAAsAFwAIgBcACIALABcACIATgBpAHQAcgBvAGcAZQBuACAALQAgAEcAZQBuAGUAcgBpAGMAXAAiACwAMAAuADEAMAAzACwAXAAiAFAAaABvAHMAcABoAG8AcgB1AHMAIAAtACAARwBlAG4AZQByAGkAYwBcACIALAAwAC4AMQAsAFwAIgBQAG8AdABhAHMAcwBpAHUAbQAgAC0AIABHAGUAbgBlAHIAaQBjAFwAIgAsADAALgAwADMANAAsAFwAIgBcACIALABcACIAXAAiACwAXAAiAFwAIgAsAFwAIgBcACIALABcACIAXAAiACwAXAAiAFwAIgAsAFwAIgBcACIALABcACIAXAAiACwAXAAiAFwAIgAsAFwAIgBcACIALABcACIAXAAiACwAXAAiAFwAIgAsAFwAIgBcACIALABcACIAXAAiADsAXABuAFwAIgBDAGEAbQBwAGIAZQBsAGwAcwAgAGYAZQByAHQAaQBsAGkAcwBlAHIAcwAgAEEAdQBzAHQAcgBhAGwAaQBhAFwAIgAsAFwAIgBBAHEAdQBhACAAVABoAGkAbwAtAEMAbwBtAHAAbABlAHQAZQBcACIALABcACIATABcACIALAAxAC4ANAAzACwAXAAiAFwAIgAsAFwAIgBcACIALABcACIAXAAiACwAMgAuADUALAAzAC4AOAAsADIAMgAuADUALABcACIAXAAiACwAXAAiAFAAbwB0AGEAcwBzAGkAdQBtACAALQAgAEcAZQBuAGUAcgBpAGMAXAAiACwAMAAuADIAMgA1ACwAXAAiAFAAaABvAHMAcABoAG8AcgB1AHMAIAAtACAARwBlAG4AZQByAGkAYwBcACIALAAwAC4AMAAzADgALABcACIATgBpAHQAcgBvAGcAZQBuACAALQAgAEcAZQBuAGUAcgBpAGMAXAAiACwAMAAuADAAMgA1ACwAXAAiAFwAIgAsAFwAIgBcACIALABcACIAXAAiACwAXAAiAFwAIgAsAFwAIgBcACIALABcACIAXAAiACwAXAAiAFwAIgAsAFwAIgBcACIALABcACIAXAAiACwAXAAiAFwAIgAsAFwAIgBcACIALABcACIAXAAiACwAXAAiAFwAIgAsAFwAIgBcACIAOwBcAG4AXAAiAEMAYQBtAHAAYgBlAGwAbABzACAAZgBlAHIAdABpAGwAaQBzAGUAcgBzACAAQQB1AHMAdAByAGEAbABpAGEAXAAiACwAXAAiAEEAcQB1AGEAIABUAGgAaQBvAC0ARQBtAGUAcgBnAGUAXAAiACwAXAAiAEwAXAAiACwAMQAuADIAOQAsAFwAIgBcACIALABcACIAXAAiACwAXAAiAFwAIgAsADEAMAAuADUALAA5AC4ANAAsADQALAAzACwAXAAiAE4AaQB0AHIAbwBnAGUAbgAgAC0AIABHAGUAbgBlAHIAaQBjAFwAIgAsADAALgAxADAANQAsAFwAIgBQAGgAbwBzAHAAaABvAHIAdQBzACAALQAgAEcAZQBuAGUAcgBpAGMAXAAiACwAMAAuADAAOQA0ACwAXAAiAFAAbwB0AGEAcwBzAGkAdQBtACAALQAgAEcAZQBuAGUAcgBpAGMAXAAiACwAMAAuADAANAAsAFwAIgBTAHUAbABmAHUAcgAgAC0AIABHAGUAbgBlAHIAaQBjAFwAIgAsADAALgAwADMALABcACIAXAAiACwAXAAiAFwAIgAsAFwAIgBcACIALABcACIAXAAiACwAXAAiAFwAIgAsAFwAIgBcACIALABcACIAXAAiACwAXAAiAFwAIgAsAFwAIgBcACIALABcACIAXAAiACwAXAAiAFwAIgAsAFwAIgBcACIAOwBcAG4AXAAiAEMAYQBtAHAAYgBlAGwAbABzACAAZgBlAHIAdABpAGwAaQBzAGUAcgBzACAAQQB1AHMAdAByAGEAbABpAGEAXAAiACwAXAAiAEEAcQB1AGEAIABUAGgAaQBvAC0ARgBsAG8AdQByAGkAcwBoAFwAIgAsAFwAIgBMAFwAIgAsADEALgAzADIALABcACIAXAAiACwAXAAiAFwAIgAsAFwAIgBcACIALAA5AC4ANQAsADQALgA3ACwAMQAwAC4AOAAsADgALgAxACwAXAAiAFAAbwB0AGEAcwBzAGkAdQBtACAALQAgAEcAZQBuAGUAcgBpAGMAXAAiACwAMAAuADEAMAA4ACwAXAAiAE4AaQB0AHIAbwBnAGUAbgAgAC0AIABHAGUAbgBlAHIAaQBjAFwAIgAsADAALgAwADkANQAsAFwAIgBTAHUAbABmAHUAcgAgAC0AIABHAGUAbgBlAHIAaQBjAFwAIgAsADAALgAwADgAMQAsAFwAIgBQAGgAbwBzAHAAaABvAHIAdQBzACAALQAgAEcAZQBuAGUAcgBpAGMAXAAiACwAMAAuADAANAA3ACwAXAAiAFwAIgAsAFwAIgBcACIALABcACIAXAAiACwAXAAiAFwAIgAsAFwAIgBcACIALABcACIAXAAiACwAXAAiAFwAIgAsAFwAIgBcACIALABcACIAXAAiACwAXAAiAFwAIgAsAFwAIgBcACIALABcACIAXAAiADsAXABuAFwAIgBDAGEAbQBwAGIAZQBsAGwAcwAgAGYAZQByAHQAaQBsAGkAcwBlAHIAcwAgAEEAdQBzAHQAcgBhAGwAaQBhAFwAIgAsAFwAIgBCAG8AbwBzAHQALQBJAHQAXAAiACwAXAAiAGsAZwBcACIALAAxACwAXAAiAFwAIgAsAFwAIgBcACIALABcACIAXAAiACwAMgA0ACwANQAuADIALAA4ACwANQAuADMALABcACIAVQByAGUAYQBcACIALAAwAC4ANQAyADEANwAzADkALABcACIAUABvAHQAYQBzAHMAaQB1AG0AIAAtACAARwBlAG4AZQByAGkAYwBcACIALAAwAC4AMAA4ACwAXAAiAFMAdQBsAGYAdQByACAALQAgAEcAZQBuAGUAcgBpAGMAXAAiACwAMAAuADAANQAzACwAXAAiAFAAaABvAHMAcABoAG8AcgB1AHMAIAAtACAARwBlAG4AZQByAGkAYwBcACIALAAwAC4AMAA1ADIALABcACIATQBhAGcAbgBlAHMAaQB1AG0AXAAiACwAMAAuADAAMQAzACwAXAAiAFoAaQBuAGMAXAAiACwAMAAuADAAMAAyACwAXAAiAE0AYQBuAGcAYQBuAGUAcwBlAFwAIgAsADAALgAwADAAMwA1ACwAXAAiAEkAcgBvAG4AXAAiACwAMAAuADAAMAAxADMALABcACIAQwBvAHAAcABlAHIAXAAiACwAMAAuADAAMAAwADcALABcACIAQgBvAHIAbwBuAFwAIgAsADAALgAwADAAMAA3ADsAXABuAFwAIgBDAGEAbQBwAGIAZQBsAGwAcwAgAGYAZQByAHQAaQBsAGkAcwBlAHIAcwAgAEEAdQBzAHQAcgBhAGwAaQBhAFwAIgAsAFwAIgBCAHIAbwBuAHoAZQBcACIALABcACIAawBnAFwAIgAsADEALABcACIAXAAiACwAXAAiAFwAIgAsAFwAIgBcACIALAAxADcALAAwAC4AMAA0ACwAMQAxAC4ANgAsADAALgA1ACwAXAAiAE0AdQByAGkAYQB0AGUAIABvAGYAIABwAG8AdABhAHMAaAAgACgATQBPAFAAKQBcACIALAAwAC4AMgAzADIALABcACIATgBpAHQAcgBvAGcAZQBuACAALQAgAEcAZQBuAGUAcgBpAGMAXAAiACwAMAAuADEANwAsAFwAIgBTAHUAbABmAHUAcgAgAC0AIABHAGUAbgBlAHIAaQBjAFwAIgAsADAALgAwADAANQAsAFwAIgBNAGEAZwBuAGUAcwBpAHUAbQBcACIALAAwAC4AMAAwADIANAAsAFwAIgBQAGgAbwBzAHAAaABvAHIAdQBzACAALQAgAEcAZQBuAGUAcgBpAGMAXAAiACwAMAAuADAAMAAwADQALABcACIAXAAiACwAXAAiAFwAIgAsAFwAIgBcACIALABcACIAXAAiACwAXAAiAFwAIgAsAFwAIgBcACIALABcACIAXAAiACwAXAAiAFwAIgAsAFwAIgBcACIALABcACIAXAAiADsAXABuAFwAIgBDAGEAbQBwAGIAZQBsAGwAcwAgAGYAZQByAHQAaQBsAGkAcwBlAHIAcwAgAEEAdQBzAHQAcgBhAGwAaQBhAFwAIgAsAFwAIgBDAGEAbABiAGkAdAAgAEMAXAAiACwAXAAiAEwAXAAiACwAMQAuADQANQAsAFwAIgBcACIALABcACIAXAAiACwAXAAiAFwAIgAsAFwAIgBcACIALABcACIAXAAiACwAXAAiAFwAIgAsAFwAIgBcACIALABcACIAQwBhAGwAYwBpAHUAbQBcACIALAAwAC4AMQAwADcALABcACIAXAAiACwAXAAiAFwAIgAsAFwAIgBcACIALABcACIAXAAiACwAXAAiAFwAIgAsAFwAIgBcACIALABcACIAXAAiACwAXAAiAFwAIgAsAFwAIgBcACIALABcACIAXAAiACwAXAAiAFwAIgAsAFwAIgBcACIALABcACIAXAAiACwAXAAiAFwAIgAsAFwAIgBcACIALABcACIAXAAiACwAXAAiAFwAIgAsAFwAIgBcACIAOwBcAG4AXAAiAEMAYQBtAHAAYgBlAGwAbABzACAAZgBlAHIAdABpAGwAaQBzAGUAcgBzACAAQQB1AHMAdAByAGEAbABpAGEAXAAiACwAXAAiAEMAbwBtAHAAYQBzAHMAXAAiACwAXAAiAGsAZwBcACIALAAxACwAXAAiAFwAIgAsAFwAIgBcACIALABcACIAXAAiACwAMQA1ACwANgAuADUALAAxADIALgA1ACwANgAsAFwAIgBOAGkAdAByAG8AZwBlAG4AIAAtACAAQQBtAG0AbwBuAGkAYQBjAGEAbABcACIALAAwAC4AMAA3ADUALABcACIATgBpAHQAcgBvAGcAZQBuACAALQAgAE4AaQB0AHIAYQB0AGUAXAAiACwAMAAuADAANwA1ACwAXAAiAFAAbwB0AGEAcwBzAGkAdQBtACAALQAgAEcAZQBuAGUAcgBpAGMAXAAiACwAMAAuADEAMgA1ACwAXAAiAFAAaABvAHMAcABoAG8AcgB1AHMAIAAtACAARwBlAG4AZQByAGkAYwBcACIALAAwAC4AMAA2ADUALABcACIAUwB1AGwAZgB1AHIAIAAtACAARwBlAG4AZQByAGkAYwBcACIALAAwAC4AMAA2ACwAXAAiAFwAIgAsAFwAIgBcACIALABcACIAXAAiACwAXAAiAFwAIgAsAFwAIgBcACIALABcACIAXAAiACwAXAAiAFwAIgAsAFwAIgBcACIALABcACIAXAAiACwAXAAiAFwAIgA7AFwAbgBcACIAQwBhAG0AcABiAGUAbABsAHMAIABmAGUAcgB0AGkAbABpAHMAZQByAHMAIABBAHUAcwB0AHIAYQBsAGkAYQBcACIALABcACIAQwBvAFIAbwBOACAAMQAyAC0AMAAtADEAMABcACIALABcACIATABcACIALAAxAC4AMgAxADUALABcACIAXAAiACwAXAAiAFwAIgAsAFwAIgBcACIALAAxADIALABcACIAXAAiACwAMQAwACwAXAAiAFwAIgAsAFwAIgBVAHIAZQBhAFwAIgAsADAALgAxADkANQA2ADUAMgAsAFwAIgBQAG8AdABhAHMAcwBpAHUAbQAgAC0AIABHAGUAbgBlAHIAaQBjAFwAIgAsADAALgAxACwAXAAiAE4AaQB0AHIAbwBnAGUAbgAgAC0AIABHAGUAbgBlAHIAaQBjAFwAIgAsADAALgAwADMALABcACIAQgBvAHIAbwBuAFwAIgAsADAALgAwADAANQAsAFwAIgBcACIALABcACIAXAAiACwAXAAiAFwAIgAsAFwAIgBcACIALABcACIAXAAiACwAXAAiAFwAIgAsAFwAIgBcACIALABcACIAXAAiACwAXAAiAFwAIgAsAFwAIgBcACIALABcACIAXAAiACwAXAAiAFwAIgA7AFwAbgBcACIAQwBhAG0AcABiAGUAbABsAHMAIABmAGUAcgB0AGkAbABpAHMAZQByAHMAIABBAHUAcwB0AHIAYQBsAGkAYQBcACIALABcACIATQBhAHgAaQBtAHUAbQAgAFEAdQBpAGMAawAtAE4AXAAiACwAXAAiAGsAZwBcACIALAAxACwAXAAiAFwAIgAsAFwAIgBcACIALABcACIAXAAiACwAMgAxAC4ANgA2ACwAXAAiAFwAIgAsAFwAIgBcACIALAAxADMALgAyACwAXAAiAFMAdQBsAHAAaABhAHQAZQAgAG8AZgAgAGEAbQBtAG8AbgBpAGEAIAAoAFMATwBBACkAXAAiACwAMAAuADUANQAsAFwAIgBBAG0AbQBvAG4AaQB1AG0AIABuAGkAdAByAGEAdABlACAAKABBAE4AKQBcACIALAAwAC4AMwAsAFwAIgBcACIALABcACIAXAAiACwAXAAiAFwAIgAsAFwAIgBcACIALABcACIAXAAiACwAXAAiAFwAIgAsAFwAIgBcACIALABcACIAXAAiACwAXAAiAFwAIgAsAFwAIgBcACIALABcACIAXAAiACwAXAAiAFwAIgAsAFwAIgBcACIALABcACIAXAAiACwAXAAiAFwAIgAsAFwAIgBcACIAOwBcAG4AXAAiAFMATAAgAFQAZQBjAFwAIgAsAFwAIgBDAHIAbwBwACAAQgBvAG8AcwB0AGUAcgAgAFAATABVAFMAXAAiACwAXAAiAEwAXAAiACwAMQAuADMAMQA5ACwAXAAiAFwAIgAsAFwAIgBcACIALABcACIAXAAiACwANQAsADEANQAsADIALgAxACwAXAAiAFwAIgAsAFwAIgBQAGgAbwBzAHAAaABvAHIAdQBzACAALQAgAEcAZQBuAGUAcgBpAGMAXAAiACwAMAAuADEANQAsAFwAIgBDAGEAbABjAGkAdQBtAFwAIgAsADAALgAwADQALABcACIATgBpAHQAcgBvAGcAZQBuACAALQAgAEEAbQBtAG8AbgBpAGEAYwBhAGwAXAAiACwAMAAuADAAMgA5ACwAXAAiAE4AaQB0AHIAbwBnAGUAbgAgAC0AIABOAGkAdAByAGEAdABlAFwAIgAsADAALgAwADIAMQAsAFwAIgBQAG8AdABhAHMAcwBpAHUAbQAgAC0AIABHAGUAbgBlAHIAaQBjAFwAIgAsADAALgAwADIAMQAsAFwAIgBDAG8AcABwAGUAcgBcACIALAAwAC4AMAAwADUALABcACIAWgBpAG4AYwBcACIALAAwAC4AMAAwADQALABcACIATQBhAG4AZwBhAG4AZQBzAGUAXAAiACwAMAAuADAAMAA0ACwAXAAiAE0AYQBnAG4AZQBzAGkAdQBtAFwAIgAsADAALgAwADAAMgAsAFwAIgBcACIALABcACIAXAAiADsAXABuAFwAIgBSAGkAcwBzAG8ALQBDAGgAZQBtAGkAYwBhAGwAXAAiACwAXAAiAEEAbQBtAG8AbgBpAHUAbQAgAEIAaQBjAGEAcgBiAG8AbgBhAHQAZQBcACIALABcACIAawBnAFwAIgAsADEALABcACIAXAAiACwAXAAiAFwAIgAsAFwAIgBDAGgAaQBuAGEAXAAiACwAMQA3AC4ANwAsAFwAIgBcACIALABcACIAXAAiACwAXAAiAFwAIgAsAFwAIgBOAGkAdAByAG8AZwBlAG4AIAAtACAAQQBtAG0AbwBuAGkAYQBjAGEAbABcACIALAAwAC4AMQA3ADcALABcACIAXAAiACwAXAAiAFwAIgAsAFwAIgBcACIALABcACIAXAAiACwAXAAiAFwAIgAsAFwAIgBcACIALABcACIAXAAiACwAXAAiAFwAIgAsAFwAIgBcACIALABcACIAXAAiACwAXAAiAFwAIgAsAFwAIgBcACIALABcACIAXAAiACwAXAAiAFwAIgAsAFwAIgBcACIALABcACIAXAAiACwAXAAiAFwAIgAsAFwAIgBcACIAOwBcAG4AXAAiAFIAaQBzAHMAbwAtAEMAaABlAG0AaQBjAGEAbABcACIALABcACIAQQBtAG0AbwBuAGkAdQBtACAAUwB1AGwAZgBhAHQAZQBcACIALABcACIAawBnAFwAIgAsADEALABcACIAXAAiACwAXAAiAFwAIgAsAFwAIgBDAGgAaQBuAGEAXAAiACwAMgAxACwAXAAiAFwAIgAsAFwAIgBcACIALAAyADQALABcACIAUwB1AGwAZgB1AHIAIAAtACAARwBlAG4AZQByAGkAYwBcACIALAAwAC4AMgA0ACwAXAAiAE4AaQB0AHIAbwBnAGUAbgAgAC0AIABBAG0AbQBvAG4AaQBhAGMAYQBsAFwAIgAsADAALgAyADEALABcACIAXAAiACwAXAAiAFwAIgAsAFwAIgBcACIALABcACIAXAAiACwAXAAiAFwAIgAsAFwAIgBcACIALABcACIAXAAiACwAXAAiAFwAIgAsAFwAIgBcACIALABcACIAXAAiACwAXAAiAFwAIgAsAFwAIgBcACIALABcACIAXAAiACwAXAAiAFwAIgAsAFwAIgBcACIALABcACIAXAAiADsAXABuAFwAIgBSAGEAdgBlAG4AcwBkAG8AdwBuAFwAIgAsAFwAIgBBAG0AbQBvAG4AaQB1AG0AIABTAHUAbABwAGgAYQB0AGUAIAAtACAARwByAGEAbgB1AGwAYQByAFwAIgAsAFwAIgBrAGcAXAAiACwAMQAsAFwAIgBcACIALABcACIAXAAiACwAXAAiAFwAIgAsADIAMQAsAFwAIgBcACIALABcACIAXAAiACwAMgA0ACwAXAAiAFMAdQBsAHAAaABhAHQAZQAgAG8AZgAgAGEAbQBtAG8AbgBpAGEAIAAoAFMATwBBACkAXAAiACwAMQAsAFwAIgBcACIALABcACIAXAAiACwAXAAiAFwAIgAsAFwAIgBcACIALABcACIAXAAiACwAXAAiAFwAIgAsAFwAIgBcACIALABcACIAXAAiACwAXAAiAFwAIgAsAFwAIgBcACIALABcACIAXAAiACwAXAAiAFwAIgAsAFwAIgBcACIALABcACIAXAAiACwAXAAiAFwAIgAsAFwAIgBcACIALABcACIAXAAiACwAXAAiAFwAIgA7AFwAbgBcACIASQBtAHAAYQBjAHQAIABGAGUAcgB0AGkAbABpAHMAZQByAHMAXAAiACwAXAAiAEQAaQAtAEEAbQBtAG8AbgBpAHUAbQAgAFAAaABvAHMAcABoAGEAdABlACAAKABEAEEAUAApAFwAIgAsAFwAIgBrAGcAXAAiACwAMQAsAFwAIgBcACIALABcACIAXAAiACwAXAAiAFwAIgAsADEAOAAsADIAMAAsAFwAIgBcACIALABcACIAXAAiACwAXAAiAEQAaQBhAG0AbQBvAG4AaQB1AG0AIABwAGgAbwBzAHAAaABhAHQAZQAgACgARABBAFAAKQBcACIALAAxACwAXAAiAFwAIgAsAFwAIgBcACIALABcACIAXAAiACwAXAAiAFwAIgAsAFwAIgBcACIALABcACIAXAAiACwAXAAiAFwAIgAsAFwAIgBcACIALABcACIAXAAiACwAXAAiAFwAIgAsAFwAIgBcACIALABcACIAXAAiACwAXAAiAFwAIgAsAFwAIgBcACIALABcACIAXAAiACwAXAAiAFwAIgAsAFwAIgBcACIALABcACIAXAAiADsAXABuAFwAIgBJAG4AYwBpAHQAZQBjACAAUABpAHYAbwB0ACAARgBlAHIAdABpAGwAaQBzAGUAcgBzAFwAIgAsAFwAIgBCAGEAcwBhAGwAdAAgAEIAbwBvAFMAUwB0AGEAXAAiACwAXAAiAGsAZwBcACIALAAxACwAXAAiAFwAIgAsAFwAIgBcACIALABcACIAXAAiACwAOAAsADEANAAsAFwAIgBcACIALAAyADcALgA2ACwAXAAiAFMAdQBsAGYAdQByACAALQAgAEcAZQBuAGUAcgBpAGMAXAAiACwAMAAuADIANwA2ACwAXAAiAFAAaABvAHMAcABoAG8AcgB1AHMAIAAtACAARwBlAG4AZQByAGkAYwBcACIALAAwAC4AMQA0ACwAXAAiAE4AaQB0AHIAbwBnAGUAbgAgAC0AIABHAGUAbgBlAHIAaQBjAFwAIgAsADAALgAwADgALABcACIARgBsAHUAbwByAGkAZABlAFwAIgAsADAALgAwADIANAAsAFwAIgBcACIALABcACIAXAAiACwAXAAiAFwAIgAsAFwAIgBcACIALABcACIAXAAiACwAXAAiAFwAIgAsAFwAIgBcACIALABcACIAXAAiACwAXAAiAFwAIgAsAFwAIgBcACIALABcACIAXAAiACwAXAAiAFwAIgA7AFwAbgBcACIAUwB1AG0AbQBpAHQAIABGAGUAcgB0AGkAbABpAHoAZQByAHMAXAAiACwAXAAiAEQAQQBQAFMAWgBDAFwAIgAsAFwAIgBrAGcAXAAiACwAMQAsAFwAIgBcACIALABcACIAXAAiACwAXAAiAFwAIgAsADEANgAuADkALAAxADgALgAyACwAXAAiAFwAIgAsADgALABcACIAUABoAG8AcwBwAGgAbwByAHUAcwAgAC0AIABHAGUAbgBlAHIAaQBjAFwAIgAsADAALgAxADgAMgAsAFwAIgBOAGkAdAByAG8AZwBlAG4AIAAtACAARwBlAG4AZQByAGkAYwBcACIALAAwAC4AMQA2ADkALABcACIAUwB1AGwAZgB1AHIAIAAtACAARwBlAG4AZQByAGkAYwBcACIALAAwAC4AMAA4ACwAXAAiAFoAaQBuAGMAXAAiACwAMAAuADAAMAAyACwAXAAiAEMAbwBwAHAAZQByAFwAIgAsADAALgAwADAAMQAsAFwAIgBcACIALABcACIAXAAiACwAXAAiAFwAIgAsAFwAIgBcACIALABcACIAXAAiACwAXAAiAFwAIgAsAFwAIgBcACIALABcACIAXAAiACwAXAAiAFwAIgAsAFwAIgBcACIAOwBcAG4AXAAiAEkAbgBjAGkAdABlAGMAIABQAGkAdgBvAHQAIABGAGUAcgB0AGkAbABpAHMAZQByAHMAXAAiACwAXAAiAEUAYQBzAHkAIABOAFwAIgAsAFwAIgBMAFwAIgAsADEALgAzADIALABcACIAXAAiACwAXAAiAFwAIgAsAFwAIgBcACIALAA0ADIALgA1ACwAXAAiAFwAIgAsAFwAIgBcACIALABcACIAXAAiACwAXAAiAFUAcgBlAGEAXAAiACwAMAAuADQANgA3ADMAOQAxACwAXAAiAE4AaQB0AHIAbwBnAGUAbgAgAC0AIABOAGkAdAByAGEAdABlAFwAIgAsADAALgAxADAANQAsAFwAIgBOAGkAdAByAG8AZwBlAG4AIAAtACAAQQBtAG0AbwBuAGkAYQBjAGEAbABcACIALAAwAC4AMQAwADUALABcACIAQgBpAHUAcgBlAHQAXAAiACwAMAAuADAAMAA2ACwAXAAiAFwAIgAsAFwAIgBcACIALABcACIAXAAiACwAXAAiAFwAIgAsAFwAIgBcACIALABcACIAXAAiACwAXAAiAFwAIgAsAFwAIgBcACIALABcACIAXAAiACwAXAAiAFwAIgAsAFwAIgBcACIALABcACIAXAAiADsAXABuAFwAIgBSAGkAcwBzAG8ALQBDAGgAZQBtAGkAYwBhAGwAXAAiACwAXAAiAEMAYQBsAGMAaQB1AG0AIABBAG0AbQBvAG4AaQB1AG0AIABuAGkAdAByAGEAdABlAFwAIgAsAFwAIgBrAGcAXAAiACwAMQAsAFwAIgBcACIALABcACIAXAAiACwAXAAiAEMAaABpAG4AYQBcACIALAA0ADAALgA1ACwAXAAiAFwAIgAsAFwAIgBcACIALABcACIAXAAiACwAXAAiAE4AaQB0AHIAbwBnAGUAbgAgAC0AIABBAG0AbQBvAG4AaQBhAGMAYQBsAFwAIgAsADAALgAyADcALABcACIATgBpAHQAcgBvAGcAZQBuACAALQAgAE4AaQB0AHIAYQB0AGUAXAAiACwAMAAuADEAMwA1ACwAXAAiAEMAYQBsAGMAaQB1AG0AXAAiACwAMAAuADEAMgAsAFwAIgBcACIALABcACIAXAAiACwAXAAiAFwAIgAsAFwAIgBcACIALABcACIAXAAiACwAXAAiAFwAIgAsAFwAIgBcACIALABcACIAXAAiACwAXAAiAFwAIgAsAFwAIgBcACIALABcACIAXAAiACwAXAAiAFwAIgAsAFwAIgBcACIALABcACIAXAAiADsAXABuAFwAIgBTAEwAIABUAGUAYwBcACIALABcACIAQwBlAGwAbABDAEEATAAgAFAAbAB1AHMAXAAiACwAXAAiAEwAXAAiACwAMQAuADEAMwA4ACwAXAAiAFwAIgAsAFwAIgBcACIALABcACIAXAAiACwAXAAiAFwAIgAsAFwAIgBcACIALABcACIAXAAiACwAXAAiAFwAIgAsAFwAIgBDAGEAbABjAGkAdQBtAFwAIgAsADAALgAwADUAOQAsAFwAIgBDAG8AcABwAGUAcgBcACIALAAwAC4AMAAwADMALABcACIAQgBvAHIAbwBuAFwAIgAsADAALgAwADAAMQAsAFwAIgBcACIALABcACIAXAAiACwAXAAiAFwAIgAsAFwAIgBcACIALABcACIAXAAiACwAXAAiAFwAIgAsAFwAIgBcACIALABcACIAXAAiACwAXAAiAFwAIgAsAFwAIgBcACIALABcACIAXAAiACwAXAAiAFwAIgAsAFwAIgBcACIALABcACIAXAAiADsAXABuAFwAIgBJAG4AYwBpAHQAZQBjACAAUABpAHYAbwB0ACAARgBlAHIAdABpAGwAaQBzAGUAcgBzAFwAIgAsAFwAIgBDAEsANQA1AFwAIgAsAFwAIgBrAGcAXAAiACwAMQAsAFwAIgBcACIALABcACIAXAAiACwAXAAiAFwAIgAsADEAMwAuADUALAAxADUALAA2AC4AMgA1ACwAMQAuADIALABcACIAUABoAG8AcwBwAGgAbwByAHUAcwAgAC0AIABHAGUAbgBlAHIAaQBjAFwAIgAsADAALgAxADUALABcACIATgBpAHQAcgBvAGcAZQBuACAALQAgAEEAbQBtAG8AbgBpAGEAYwBhAGwAXAAiACwAMAAuADEAMwA1ACwAXAAiAE0AdQByAGkAYQB0AGUAIABvAGYAIABwAG8AdABhAHMAaAAgACgATQBPAFAAKQBcACIALAAwAC4AMQAyADUALABcACIARgBsAHUAbwByAGkAZABlAFwAIgAsADAALgAwADIAMwAsAFwAIgBTAHUAbABmAHUAcgAgAC0AIABHAGUAbgBlAHIAaQBjAFwAIgAsADAALgAwADEAMgAsAFwAIgBcACIALABcACIAXAAiACwAXAAiAFwAIgAsAFwAIgBcACIALABcACIAXAAiACwAXAAiAFwAIgAsAFwAIgBcACIALABcACIAXAAiACwAXAAiAFwAIgAsAFwAIgBcACIAOwBcAG4AXAAiAFMAdwBpAHQAYwBoACAAQQBnAFwAIgAsAFwAIgBDAHIAbwBwACAASwBcACIALABcACIATABcACIALAAxAC4AMgA1ACwAXAAiAFwAIgAsAFwAIgBcACIALABcACIAXAAiACwAMwAsAFwAIgBcACIALAAyADEALABcACIAXAAiACwAXAAiAFAAbwB0AGEAcwBzAGkAdQBtACAALQAgAEcAZQBuAGUAcgBpAGMAXAAiACwAMAAuADIAMQAsAFwAIgBOAGkAdAByAG8AZwBlAG4AIAAtACAARwBlAG4AZQByAGkAYwBcACIALAAwAC4AMAAzACwAXAAiAFwAIgAsAFwAIgBcACIALABcACIAXAAiACwAXAAiAFwAIgAsAFwAIgBcACIALABcACIAXAAiACwAXAAiAFwAIgAsAFwAIgBcACIALABcACIAXAAiACwAXAAiAFwAIgAsAFwAIgBcACIALABcACIAXAAiACwAXAAiAFwAIgAsAFwAIgBcACIALABcACIAXAAiACwAXAAiAFwAIgA7AFwAbgBcACIAUwB3AGkAdABjAGgAIABBAGcAXAAiACwAXAAiAEMAcgBvAHAAIABTAHQAYQByAHQAZQByAFwAIgAsAFwAIgBMAFwAIgAsADEALgAyACwAXAAiAFwAIgAsAFwAIgBcACIALABcACIAXAAiACwANQAsADMALAA4ACwAXAAiAFwAIgAsAFwAIgBQAG8AdABhAHMAcwBpAHUAbQAgAC0AIABHAGUAbgBlAHIAaQBjAFwAIgAsADAALgAwADgALABcACIATgBpAHQAcgBvAGcAZQBuACAALQAgAEcAZQBuAGUAcgBpAGMAXAAiACwAMAAuADAANQAsAFwAIgBQAGgAbwBzAHAAaABvAHIAdQBzACAALQAgAEcAZQBuAGUAcgBpAGMAXAAiACwAMAAuADAAMwAsAFwAIgBcACIALABcACIAXAAiACwAXAAiAFwAIgAsAFwAIgBcACIALABcACIAXAAiACwAXAAiAFwAIgAsAFwAIgBcACIALABcACIAXAAiACwAXAAiAFwAIgAsAFwAIgBcACIALABcACIAXAAiACwAXAAiAFwAIgAsAFwAIgBcACIALABcACIAXAAiADsAXABuAFwAIgBJAG4AYwBpAHQAZQBjACAAUABpAHYAbwB0ACAARgBlAHIAdABpAGwAaQBzAGUAcgBzAFwAIgAsAFwAIgBHAHIAYQBuAC0AQQBtAFwAIgAsAFwAIgBrAGcAXAAiACwAMQAsAFwAIgBcACIALABcACIAXAAiACwAXAAiAFwAIgAsADIAMQAsAFwAIgBcACIALABcACIAXAAiACwAMgA0ACwAXAAiAFMAdQBsAHAAaABhAHQAZQAgAG8AZgAgAGEAbQBtAG8AbgBpAGEAIAAoAFMATwBBACkAXAAiACwAMQAsAFwAIgBcACIALABcACIAXAAiACwAXAAiAFwAIgAsAFwAIgBcACIALABcACIAXAAiACwAXAAiAFwAIgAsAFwAIgBcACIALABcACIAXAAiACwAXAAiAFwAIgAsAFwAIgBcACIALABcACIAXAAiACwAXAAiAFwAIgAsAFwAIgBcACIALABcACIAXAAiACwAXAAiAFwAIgAsAFwAIgBcACIALABcACIAXAAiACwAXAAiAFwAIgBcAG4AIAAgAH0ALAAgAHIALAAgAGMAKQBcAG4AIAApACkAKQBcAG4AXABuAFwAbgBGAGUAcgB0AGkAbABpAHMAZQByAF8AUAByAG8AZAB1AGMAdABzAF8ARABhAHQAYQAyAFwAbgA9AEwAQQBNAEIARABBACgAXABuACAATQBBAEsARQBBAFIAUgBBAFkAKAAzADAALAAgADMAMQAsAFwAbgAgAEwAQQBNAEIARABBACgAcgAsAGMALABcAG4AIAAgAEkATgBEAEUAWAAoAHsAXABuAFwAIgBDAGEAbQBwAGIAZQBsAGwAcwAgAGYAZQByAHQAaQBsAGkAcwBlAHIAcwAgAEEAdQBzAHQAcgBhAGwAaQBhAFwAIgAsAFwAIgBFAG4AYwBhAGwAXAAiACwAXAAiAEwAXAAiACwAMQAuADUALABcACIAXAAiACwAXAAiAFwAIgAsAFwAIgBcACIALAA5ACwAXAAiAFwAIgAsAFwAIgBcACIALAAxADMALgA5ADQALABcACIAUwB1AGwAcABoAGEAdABlACAAbwBmACAAYQBtAG0AbwBuAGkAYQAgACgAUwBPAEEAKQBcACIALAAwAC4ANQA4ADAANgA0ADUALABcACIATQBhAGcAbgBlAHMAaQB1AG0AXAAiACwAMAAuADAAMQAyACwAXAAiAFwAIgAsAFwAIgBcACIALABcACIAXAAiACwAXAAiAFwAIgAsAFwAIgBcACIALABcACIAXAAiACwAXAAiAFwAIgAsAFwAIgBcACIALABcACIAXAAiACwAXAAiAFwAIgAsAFwAIgBcACIALABcACIAXAAiACwAXAAiAFwAIgAsAFwAIgBcACIALABcACIAXAAiACwAXAAiAFwAIgA7AFwAbgBcACIASQBuAGMAaQB0AGUAYwAgAFAAaQB2AG8AdAAgAEYAZQByAHQAaQBsAGkAcwBlAHIAcwBcACIALABcACIARwByAGEAbgB1AGwAbwBjAGsAIABTAFMAXAAiACwAXAAiAGsAZwBcACIALAAxACwAXAAiAFwAIgAsAFwAIgBcACIALABcACIAXAAiACwAMQAwACwAMQA3AC4ANQAsAFwAIgBcACIALAAxADIALABcACIAUABoAG8AcwBwAGgAbwByAHUAcwAgAC0AIABHAGUAbgBlAHIAaQBjAFwAIgAsADAALgAxADcANQAsAFwAIgBTAHUAbABmAHUAcgAgAC0AIABHAGUAbgBlAHIAaQBjAFwAIgAsADAALgAxADIALABcACIATgBpAHQAcgBvAGcAZQBuACAALQAgAEEAbQBtAG8AbgBpAGEAYwBhAGwAXAAiACwAMAAuADEALABcACIARgBsAHUAbwByAGkAZABlAFwAIgAsADAALgAwADMALABcACIAXAAiACwAXAAiAFwAIgAsAFwAIgBcACIALABcACIAXAAiACwAXAAiAFwAIgAsAFwAIgBcACIALABcACIAXAAiACwAXAAiAFwAIgAsAFwAIgBcACIALABcACIAXAAiACwAXAAiAFwAIgAsAFwAIgBcACIAOwBcAG4AXAAiAEkAbgBjAGkAdABlAGMAIABQAGkAdgBvAHQAIABGAGUAcgB0AGkAbABpAHMAZQByAHMAXAAiACwAXAAiAEcAcgBhAG4AdQBsAG8AYwBrACAAWgBcACIALABcACIAawBnAFwAIgAsADEALABcACIAXAAiACwAXAAiAFwAIgAsAFwAIgBcACIALAAxADEALAAyADEALgA4ACwAXAAiAFwAIgAsADQALABcACIAUABoAG8AcwBwAGgAbwByAHUAcwAgAC0AIABHAGUAbgBlAHIAaQBjAFwAIgAsADAALgAyADEAOAAsAFwAIgBOAGkAdAByAG8AZwBlAG4AIAAtACAARwBlAG4AZQByAGkAYwBcACIALAAwAC4AMQAxACwAXAAiAFMAdQBsAGYAdQByACAALQAgAEcAZQBuAGUAcgBpAGMAXAAiACwAMAAuADAANAAsAFwAIgBGAGwAdQBvAHIAaQBkAGUAXAAiACwAMAAuADAAMwAsAFwAIgBaAGkAbgBjAFwAIgAsADAALgAwADEALABcACIAXAAiACwAXAAiAFwAIgAsAFwAIgBcACIALABcACIAXAAiACwAXAAiAFwAIgAsAFwAIgBcACIALABcACIAXAAiACwAXAAiAFwAIgAsAFwAIgBcACIALABcACIAXAAiADsAXABuAFwAIgBJAG4AYwBpAHQAZQBjACAAUABpAHYAbwB0ACAARgBlAHIAdABpAGwAaQBzAGUAcgBzAFwAIgAsAFwAIgBGAGEAcgBtACAAQQBnACAATABlAGkAYwBoAGgAYQByAGQAdABcACIALABcACIAawBnAFwAIgAsADEALABcACIAXAAiACwAXAAiAFwAIgAsAFwAIgBcACIALAAzADIALgA1ACwANQAuADQALAA2AC4AMgA1ACwAXAAiAFwAIgAsAFwAIgBVAHIAZQBhAFwAIgAsADAALgA2ACwAXAAiAE4AaQB0AHIAbwBnAGUAbgAgAC0AIABBAG0AbQBvAG4AaQBhAGMAYQBsAFwAIgAsADAALgAwADQAOQAsAFwAIgBQAGgAbwBzAHAAaABvAHIAdQBzACAALQAgAEcAZQBuAGUAcgBpAGMAXAAiACwAMAAuADAANQA0ACwAXAAiAE0AdQByAGkAYQB0AGUAIABvAGYAIABwAG8AdABhAHMAaAAgACgATQBPAFAAKQBcACIALAAwAC4AMQAyADUALABcACIAXAAiACwAXAAiAFwAIgAsAFwAIgBcACIALABcACIAXAAiACwAXAAiAFwAIgAsAFwAIgBcACIALABcACIAXAAiACwAXAAiAFwAIgAsAFwAIgBcACIALABcACIAXAAiACwAXAAiAFwAIgAsAFwAIgBcACIAOwBcAG4AXAAiAFIAYQB2AGUAbgBzAGQAbwB3AG4AXAAiACwAXAAiAEYAbABlAHgAaQAtAE4AIABOAEIAUABUAFwAIgAsAFwAIgBrAGcAXAAiACwAMQAsAFwAIgBZAGUAcwBcACIALABcACIAXAAiACwAXAAiAFwAIgAsADQANQAuADUANAAsAFwAIgBcACIALABcACIAXAAiACwAXAAiAFwAIgAsAFwAIgBVAHIAZQBhAFwAIgAsADAALgA5ADkALABcACIAXAAiACwAXAAiAFwAIgAsAFwAIgBcACIALABcACIAXAAiACwAXAAiAFwAIgAsAFwAIgBcACIALABcACIAXAAiACwAXAAiAFwAIgAsAFwAIgBcACIALABcACIAXAAiACwAXAAiAFwAIgAsAFwAIgBcACIALABcACIAXAAiACwAXAAiAFwAIgAsAFwAIgBcACIALABcACIAXAAiACwAXAAiAFwAIgAsAFwAIgBcACIAOwBcAG4AXAAiAEMAYQBtAHAAYgBlAGwAbABzACAAZgBlAHIAdABpAGwAaQBzAGUAcgBzACAAQQB1AHMAdAByAGEAbABpAGEAXAAiACwAXAAiAEcAbwBsAGQAIABQAHIAZQBtAGkAdQBtAFwAIgAsAFwAIgBrAGcAXAAiACwAMQAsAFwAIgBcACIALABcACIAXAAiACwAXAAiAFwAIgAsADEANAAuADgANwAsADIALgAyACwAMQA2AC4ANgAsADgALABcACIAQQBtAG0AbwBuAGkAdQBtACAAbgBpAHQAcgBhAHQAZQAgACgAQQBOACkAXAAiACwAMAAuADQANAAxADEANwA2ACwAXAAiAFAAbwB0AGEAcwBzAGkAdQBtACAALQAgAEcAZQBuAGUAcgBpAGMAXAAiACwAMAAuADEANgA2ACwAXAAiAFMAdQBsAGYAdQByACAALQAgAEcAZQBuAGUAcgBpAGMAXAAiACwAMAAuADAAOAAsAFwAIgBQAGgAbwBzAHAAaABvAHIAdQBzACAALQAgAEcAZQBuAGUAcgBpAGMAXAAiACwAMAAuADAAMgAyACwAXAAiAE0AYQBnAG4AZQBzAGkAdQBtAFwAIgAsADAALgAwADEAMgAsAFwAIgBCAG8AcgBvAG4AXAAiACwAMAAuADAAMAAwADIALABcACIAWgBpAG4AYwBcACIALAAwAC4AMAAwADAAMQAsAFwAIgBcACIALABcACIAXAAiACwAXAAiAFwAIgAsAFwAIgBcACIALABcACIAXAAiACwAXAAiAFwAIgA7AFwAbgBcACIAUwBMACAAVABlAGMAXAAiACwAXAAiAEgAaQBnAGgAIABOAFMAXAAiACwAXAAiAEwAXAAiACwAMQAuADIAOQA5ACwAXAAiAFwAIgAsAFwAIgBcACIALABcACIAXAAiACwAMwA4ACwAXAAiAFwAIgAsAFwAIgBcACIALAAyACwAXAAiAFUAcgBlAGEAXAAiACwAMAAuADQANgAwADgANwAsAFwAIgBOAGkAdAByAG8AZwBlAG4AIAAtACAAQQBtAG0AbwBuAGkAYQBjAGEAbABcACIALAAwAC4AMAA5ADIALABcACIATgBpAHQAcgBvAGcAZQBuACAALQAgAE4AaQB0AHIAYQB0AGUAXAAiACwAMAAuADAANwA2ACwAXAAiAFMAdQBsAGYAdQByACAALQAgAEcAZQBuAGUAcgBpAGMAXAAiACwAMAAuADAAMgAsAFwAIgBcACIALABcACIAXAAiACwAXAAiAFwAIgAsAFwAIgBcACIALABcACIAXAAiACwAXAAiAFwAIgAsAFwAIgBcACIALABcACIAXAAiACwAXAAiAFwAIgAsAFwAIgBcACIALABcACIAXAAiACwAXAAiAFwAIgA7AFwAbgBcACIASQBtAHAAYQBjAHQAIABGAGUAcgB0AGkAbABpAHMAZQByAHMAXAAiACwAXAAiAEkAbQBwAGEAYwB0ACAAUwBTAFAAXAAiACwAXAAiAGsAZwBcACIALAAxACwAXAAiAFwAIgAsAFwAIgBcACIALABcACIAXAAiACwAXAAiAFwAIgAsADgALgA4ACwAXAAiAFwAIgAsADEAMQAsAFwAIgBTAGkAbgBnAGwAZQAgAHMAdQBwAGUAcgBwAGgAbwBzAHAAaABhAHQAZQAgACgAUwBTAFAAKQBcACIALAAxACwAXAAiAFwAIgAsAFwAIgBcACIALABcACIAXAAiACwAXAAiAFwAIgAsAFwAIgBcACIALABcACIAXAAiACwAXAAiAFwAIgAsAFwAIgBcACIALABcACIAXAAiACwAXAAiAFwAIgAsAFwAIgBcACIALABcACIAXAAiACwAXAAiAFwAIgAsAFwAIgBcACIALABcACIAXAAiACwAXAAiAFwAIgAsAFwAIgBcACIALABcACIAXAAiADsAXABuAFwAIgBTAHcAaQB0AGMAaAAgAEEAZwBcACIALABcACIASQBuACAAQwByAG8AcABcACIALABcACIATABcACIALAAxAC4AMgAsAFwAIgBcACIALABcACIAXAAiACwAXAAiAFwAIgAsADEAMAAsADEALAAxADEALABcACIAXAAiACwAXAAiAFAAbwB0AGEAcwBzAGkAdQBtACAALQAgAEcAZQBuAGUAcgBpAGMAXAAiACwAMAAuADEAMQAsAFwAIgBOAGkAdAByAG8AZwBlAG4AIAAtACAARwBlAG4AZQByAGkAYwBcACIALAAwAC4AMQAsAFwAIgBQAGgAbwBzAHAAaABvAHIAdQBzACAALQAgAEcAZQBuAGUAcgBpAGMAXAAiACwAMAAuADAAMQAsAFwAIgBcACIALABcACIAXAAiACwAXAAiAFwAIgAsAFwAIgBcACIALABcACIAXAAiACwAXAAiAFwAIgAsAFwAIgBcACIALABcACIAXAAiACwAXAAiAFwAIgAsAFwAIgBcACIALABcACIAXAAiACwAXAAiAFwAIgAsAFwAIgBcACIALABcACIAXAAiADsAXABuAFwAIgBTAHcAaQB0AGMAaAAgAEEAZwBcACIALABcACIASwAyADAAXAAiACwAXAAiAEwAXAAiACwAMQAuADMALABcACIAXAAiACwAXAAiAFwAIgAsAFwAIgBcACIALAAzACwAXAAiAFwAIgAsADIAMgAsAFwAIgBcACIALABcACIAUABvAHQAYQBzAHMAaQB1AG0AIAAtACAARwBlAG4AZQByAGkAYwBcACIALAAwAC4AMgAyACwAXAAiAE4AaQB0AHIAbwBnAGUAbgAgAC0AIABHAGUAbgBlAHIAaQBjAFwAIgAsADAALgAwADMALABcACIAXAAiACwAXAAiAFwAIgAsAFwAIgBcACIALABcACIAXAAiACwAXAAiAFwAIgAsAFwAIgBcACIALABcACIAXAAiACwAXAAiAFwAIgAsAFwAIgBcACIALABcACIAXAAiACwAXAAiAFwAIgAsAFwAIgBcACIALABcACIAXAAiACwAXAAiAFwAIgAsAFwAIgBcACIALABcACIAXAAiADsAXABuAFwAIgBMAG8AdgBlAGwAYQBuAGQAIABBAGcAcgBpAHAAcgBvAGQAdQBjAHQAcwBcACIALABcACIATQBhAHgAaQBtAHUAbQAgAE4ALQBQAGEAYwB0AFwAIgAsAFwAIgBMAFwAIgAsADEALgAxADgANQAsAFwAIgBcACIALABcACIAXAAiACwAXAAiAFwAIgAsADIAMwAuADgALABcACIAXAAiACwAXAAiAFwAIgAsAFwAIgBcACIALABcACIAVQByAGUAYQBcACIALAAwAC4ANQAxADcAMwA5ADEALABcACIAXAAiACwAXAAiAFwAIgAsAFwAIgBcACIALABcACIAXAAiACwAXAAiAFwAIgAsAFwAIgBcACIALABcACIAXAAiACwAXAAiAFwAIgAsAFwAIgBcACIALABcACIAXAAiACwAXAAiAFwAIgAsAFwAIgBcACIALABcACIAXAAiACwAXAAiAFwAIgAsAFwAIgBcACIALABcACIAXAAiACwAXAAiAFwAIgAsAFwAIgBcACIAOwBcAG4AXAAiAFMATAAgAFQAZQBjAFwAIgAsAFwAIgBOAGkAdAByAG8AIABDAG8AbQBiAGkAIABUAEUAXAAiACwAXAAiAEwAXAAiACwAMQAuADIANQA1ACwAXAAiAFwAIgAsAFwAIgBcACIALABcACIAXAAiACwAXAAiAFwAIgAsAFwAIgBcACIALAAwAC4AMQAsADQALgA0ACwAXAAiAFMAdQBsAGYAdQByACAALQAgAEcAZQBuAGUAcgBpAGMAXAAiACwAMAAuADAANAA0ACwAXAAiAFoAaQBuAGMAXAAiACwAMAAuADAAMgAyACwAXAAiAEkAcgBvAG4AXAAiACwAMAAuADAAMgAyACwAXAAiAE0AYQBuAGcAYQBuAGUAcwBlAFwAIgAsADAALgAwADEANgAsAFwAIgBCAG8AcgBvAG4AXAAiACwAMAAuADAAMAA4ACwAXAAiAE0AYQBnAG4AZQBzAGkAdQBtAFwAIgAsADAALgAwADAANwAsAFwAIgBGAHUAbAB2AGkAYwAgAGEAYwBpAGQAIAAoAG8AcgBnAGEAbgBpAGMAKQBcACIALAAwAC4AMAAwADUALABcACIAQwBvAHAAcABlAHIAXAAiACwAMAAuADAAMAAzACwAXAAiAFAAbwB0AGEAcwBzAGkAdQBtACAALQAgAEcAZQBuAGUAcgBpAGMAXAAiACwAMAAuADAAMAAxACwAXAAiAE0AbwBsAHkAYgBkAGUAbgB1AG0AXAAiACwAMAAuADAAMAAwADMAOwBcAG4AXAAiAFMAdwBpAHQAYwBoACAAQQBnAFwAIgAsAFwAIgBQAGEAcwB0AHUAcgBlAE0AQQBYAFgAXAAiACwAXAAiAEwAXAAiACwAMQAuADIAMwAsAFwAIgBcACIALABcACIAXAAiACwAXAAiAFwAIgAsADkALgA3ADEALABcACIAXAAiACwAMwAuADIANQAsADIALgAxADEALABcACIATgBpAHQAcgBvAGcAZQBuACAALQAgAEcAZQBuAGUAcgBpAGMAXAAiACwAMAAuADAAOQA3ADEALABcACIAUABvAHQAYQBzAHMAaQB1AG0AIAAtACAARwBlAG4AZQByAGkAYwBcACIALAAwAC4AMAAzADIANQAsAFwAIgBTAHUAbABmAHUAcgAgAC0AIABHAGUAbgBlAHIAaQBjAFwAIgAsADAALgAwADIAMQAxACwAXAAiAFoAaQBuAGMAXAAiACwAMAAuADAAMQA1ACwAXAAiAEkAcgBvAG4AXAAiACwAMAAuADAAMQAxADEALABcACIATQBhAG4AZwBhAG4AZQBzAGUAXAAiACwAMAAuADAAMQAxADUALABcACIATQBhAGcAbgBlAHMAaQB1AG0AXAAiACwAMAAuADAAMAA0ADUALABcACIAQgBvAHIAbwBuAFwAIgAsADAALgAwADAAMgAsAFwAIgBcACIALABcACIAXAAiACwAXAAiAFwAIgAsAFwAIgBcACIAOwBcAG4AXAAiAEMAYQBtAHAAYgBlAGwAbABzACAAZgBlAHIAdABpAGwAaQBzAGUAcgBzACAAQQB1AHMAdAByAGEAbABpAGEAXAAiACwAXAAiAFAAbABhAHQAaQBuAHUAbQAgAE4AZQByAGcAZQB0AGkAYwBcACIALABcACIAawBnAFwAIgAsADEALABcACIAXAAiACwAXAAiAFwAIgAsAFwAIgBcACIALAAxADAALAAxADAALgA5ACwAMQAwACwANAAuADMANAAsAFwAIgBNAG8AbgBvAGEAbQBtAG8AbgBpAHUAbQAgAHAAaABvAHMAcABoAGEAdABlACAAKABNAEEAUAApAFwAIgAsADAALgA0ADEANwA4ACwAXAAiAEEAbQBtAG8AbgBpAHUAbQAgAG4AaQB0AHIAYQB0AGUAIAAoAEEATgApAFwAIgAsADAALgAxADcAMgA4ACwAXAAiAFAAbwB0AGEAcwBzAGkAdQBtACAAcwB1AGwAcABoAGEAdABlAFwAIgAsADAALgAyADQAMAA5ADYANAAsAFwAIgBEAG8AdQBiAGwAZQAgAHMAdQBwAGUAcgBwAGgAbwBzAHAAaABhAHQAZQBcACIALAAwAC4AMQAsAFwAIgBNAGEAZwBuAGUAcwBpAHUAbQBcACIALAAwAC4AMAAxADIALABcACIAWgBpAG4AYwBcACIALAAwAC4AMAAwADMANgAsAFwAIgBCAG8AcgBvAG4AXAAiACwAMAAuADAAMAAxACwAXAAiAEcAbABhAHoAZQAgAEUAeAB0AGUAbgBkACAARwAzACAARgBsAGUAeABpAFwAIgAsADAALgAwADUAMQA5ACwAXAAiAFwAIgAsAFwAIgBcACIALABcACIAXAAiACwAXAAiAFwAIgA7AFwAbgBcACIASQBtAHAAYQBjAHQAIABGAGUAcgB0AGkAbABpAHMAZQByAHMAXAAiACwAXAAiAFMAdQBsAHAAaABhAHQAZQAgAG8AZgAgAGEAbQBtAG8AbgBpAGEAIAAoAFMATwBBACkAXAAiACwAXAAiAGsAZwBcACIALAAxACwAXAAiAFwAIgAsAFwAIgBcACIALABcACIAXAAiACwAMgAxACwAXAAiAFwAIgAsAFwAIgBcACIALAAyADQALABcACIAUwB1AGwAcABoAGEAdABlACAAbwBmACAAYQBtAG0AbwBuAGkAYQAgACgAUwBPAEEAKQBcACIALAAxACwAXAAiAFwAIgAsAFwAIgBcACIALABcACIAXAAiACwAXAAiAFwAIgAsAFwAIgBcACIALABcACIAXAAiACwAXAAiAFwAIgAsAFwAIgBcACIALABcACIAXAAiACwAXAAiAFwAIgAsAFwAIgBcACIALABcACIAXAAiACwAXAAiAFwAIgAsAFwAIgBcACIALABcACIAXAAiACwAXAAiAFwAIgAsAFwAIgBcACIALABcACIAXAAiADsAXABuAFwAIgBJAG0AcABhAGMAdAAgAEYAZQByAHQAaQBsAGkAcwBlAHIAcwBcACIALABcACIATQBvAG4AbwAtAEEAbQBtAG8AbgBpAHUAbQAgAFAAaABvAHMAcABoAGEAdABlACAAKABNAEEAUAApAFwAIgAsAFwAIgBrAGcAXAAiACwAMQAsAFwAIgBcACIALABcACIAXAAiACwAXAAiAFwAIgAsADEAMAAsADIAMQAuADkALABcACIAXAAiACwAMQAuADUALABcACIATQBvAG4AbwBhAG0AbQBvAG4AaQB1AG0AIABwAGgAbwBzAHAAaABhAHQAZQAgACgATQBBAFAAKQBcACIALAAxACwAXAAiAFwAIgAsAFwAIgBcACIALABcACIAXAAiACwAXAAiAFwAIgAsAFwAIgBcACIALABcACIAXAAiACwAXAAiAFwAIgAsAFwAIgBcACIALABcACIAXAAiACwAXAAiAFwAIgAsAFwAIgBcACIALABcACIAXAAiACwAXAAiAFwAIgAsAFwAIgBcACIALABcACIAXAAiACwAXAAiAFwAIgAsAFwAIgBcACIALABcACIAXAAiADsAXABuAFwAIgBJAG0AcABhAGMAdAAgAEYAZQByAHQAaQBsAGkAcwBlAHIAcwBcACIALABcACIAVQByAGUAYQBcACIALABcACIAawBnAFwAIgAsADEALABcACIAXAAiACwAXAAiAFwAIgAsAFwAIgBcACIALAA0ADYALABcACIAXAAiACwAXAAiAFwAIgAsAFwAIgBcACIALABcACIAVQByAGUAYQBcACIALAAxACwAXAAiAFwAIgAsAFwAIgBcACIALABcACIAXAAiACwAXAAiAFwAIgAsAFwAIgBcACIALABcACIAXAAiACwAXAAiAFwAIgAsAFwAIgBcACIALABcACIAXAAiACwAXAAiAFwAIgAsAFwAIgBcACIALABcACIAXAAiACwAXAAiAFwAIgAsAFwAIgBcACIALABcACIAXAAiACwAXAAiAFwAIgAsAFwAIgBcACIALABcACIAXAAiADsAXABuAFwAIgBLAG8AYwBoACAARgBlAHIAdABpAGwAaQBzAGUAcgAgAEEAdQBzAHQAcgBhAGwAaQBhAFwAIgAsAFwAIgBNAHUAcgBpAGEAdABlACAAbwBmACAAcABvAHQAYQBzAGgAIAAoAE0ATwBQACkAXAAiACwAXAAiAGsAZwBcACIALAAxACwAXAAiAFwAIgAsAFwAIgBcACIALABcACIAXAAiACwAXAAiAFwAIgAsAFwAIgBcACIALAA1ADAALABcACIAXAAiACwAXAAiAE0AdQByAGkAYQB0AGUAIABvAGYAIABwAG8AdABhAHMAaAAgACgATQBPAFAAKQBcACIALAAxACwAXAAiAFwAIgAsAFwAIgBcACIALABcACIAXAAiACwAXAAiAFwAIgAsAFwAIgBcACIALABcACIAXAAiACwAXAAiAFwAIgAsAFwAIgBcACIALABcACIAXAAiACwAXAAiAFwAIgAsAFwAIgBcACIALABcACIAXAAiACwAXAAiAFwAIgAsAFwAIgBcACIALABcACIAXAAiACwAXAAiAFwAIgAsAFwAIgBcACIALABcACIAXAAiADsAXABuAFwAIgBSAGkAcwBzAG8ALQBDAGgAZQBtAGkAYwBhAGwAXAAiACwAXAAiAFUAcgBlAGEAIABBAG0AbQBvAG4AaQB1AG0AIABuAGkAdAByAGEAdABlACAAKABVAEEATgAgADMAMgAtADAALQAwACkAXAAiACwAXAAiAEwAXAAiACwAMQAuADMAMgAsAFwAIgBcACIALABcACIAQwBoAGkAbgBhAFwAIgAsAFwAIgBDAGgAaQBuAGEAXAAiACwAMwAyACwAXAAiAFwAIgAsAFwAIgBcACIALABcACIAXAAiACwAXAAiAFUAcgBlAGEALQBhAG0AbQBvAG4AaQB1AG0AIABuAGkAdAByAGEAdABlACAAKABVAEEATgApAFwAIgAsADEALABcACIAXAAiACwAXAAiAFwAIgAsAFwAIgBcACIALABcACIAXAAiACwAXAAiAFwAIgAsAFwAIgBcACIALABcACIAXAAiACwAXAAiAFwAIgAsAFwAIgBcACIALABcACIAXAAiACwAXAAiAFwAIgAsAFwAIgBcACIALABcACIAXAAiACwAXAAiAFwAIgAsAFwAIgBcACIALABcACIAXAAiACwAXAAiAFwAIgAsAFwAIgBcACIAOwBcAG4AXAAiAFIAaQBzAHMAbwAtAEMAaABlAG0AaQBjAGEAbABcACIALABcACIAUABvAGwAeQBwAGUAcAB0AGkAZABlACAAVQByAGUAYQBcACIALABcACIAawBnAFwAIgAsADEALABcACIAXAAiACwAXAAiAEMAaABpAG4AYQBcACIALABcACIAXAAiACwANAA2ACwAXAAiAFwAIgAsAFwAIgBcACIALABcACIAXAAiACwAXAAiAFUAcgBlAGEAXAAiACwAMQAsAFwAIgBQAG8AbAB5AHAAZQBwAHQAaQBkAGUAIAAoAGEAbQBpAG4AbwAgAGEAYwBpAGQAcwApAFwAIgAsADAALABcACIAXAAiACwAXAAiAFwAIgAsAFwAIgBcACIALABcACIAXAAiACwAXAAiAFwAIgAsAFwAIgBcACIALABcACIAXAAiACwAXAAiAFwAIgAsAFwAIgBcACIALABcACIAXAAiACwAXAAiAFwAIgAsAFwAIgBcACIALABcACIAXAAiACwAXAAiAFwAIgAsAFwAIgBcACIALABcACIAXAAiADsAXABuAFwAIgBZAGEAcgBhACAAQQB1AHMAdAByAGEAbABpAGEAXAAiACwAXAAiAFkAYQByAGEAVABlAHIAYQAgAEMAQQBMAEMASQBOAEkAVABcACIALABcACIAawBnAFwAIgAsADEALABcACIAXAAiACwAXAAiAFwAIgAsAFwAIgBcACIALAAxADUALgA1ACwAXAAiAFwAIgAsAFwAIgBcACIALABcACIAXAAiACwAXAAiAEMAYQBsAGMAaQB1AG0AIABuAGkAdAByAGEAdABlAFwAIgAsADEALABcACIAXAAiACwAXAAiAFwAIgAsAFwAIgBcACIALABcACIAXAAiACwAXAAiAFwAIgAsAFwAIgBcACIALABcACIAXAAiACwAXAAiAFwAIgAsAFwAIgBcACIALABcACIAXAAiACwAXAAiAFwAIgAsAFwAIgBcACIALABcACIAXAAiACwAXAAiAFwAIgAsAFwAIgBcACIALABcACIAXAAiACwAXAAiAFwAIgAsAFwAIgBcACIAOwBcAG4AXAAiAFkAYQByAGEAIABBAHUAcwB0AHIAYQBsAGkAYQBcACIALABcACIAWQBhAHIAYQBMAGkAdgBhACAATgBJAFQAUgBBAEIATwBSAFwAIgAsAFwAIgBrAGcAXAAiACwAMQAsAFwAIgBcACIALABcACIAXAAiACwAXAAiAFwAIgAsADEANQAuADQALABcACIAXAAiACwAXAAiAFwAIgAsAFwAIgBcACIALABcACIAQwBhAGwAYwBpAHUAbQAgAG4AaQB0AHIAYQB0AGUAXAAiACwAMAAuADkAOQAzADUANAA4ACwAXAAiAEIAbwByAG8AbgBcACIALAAwAC4AMAAwADMALABcACIAXAAiACwAXAAiAFwAIgAsAFwAIgBcACIALABcACIAXAAiACwAXAAiAFwAIgAsAFwAIgBcACIALABcACIAXAAiACwAXAAiAFwAIgAsAFwAIgBcACIALABcACIAXAAiACwAXAAiAFwAIgAsAFwAIgBcACIALABcACIAXAAiACwAXAAiAFwAIgAsAFwAIgBcACIALABcACIAXAAiADsAXABuAFwAIgBZAGEAcgBhACAAQQB1AHMAdAByAGEAbABpAGEAXAAiACwAXAAiAFkAYQByAGEATQBpAGwAYQAgAEMATwBNAFAATABFAFgAXAAiACwAXAAiAGsAZwBcACIALAAxACwAXAAiAFwAIgAsAFwAIgBcACIALABcACIAXAAiACwAMQAyACwANQAsADEANQAsADgALABcACIATgBpAHQAcgBvAGcAZQBuACAALQAgAE4AaQB0AHIAYQB0AGUAXAAiACwAMAAuADAANQAsAFwAIgBOAGkAdAByAG8AZwBlAG4AIAAtACAAQQBtAG0AbwBuAGkAYQBjAGEAbABcACIALAAwAC4AMAA3ACwAXAAiAFAAaABvAHMAcABoAG8AcgB1AHMAIAAtACAARwBlAG4AZQByAGkAYwBcACIALAAwAC4AMAA1ACwAXAAiAFAAbwB0AGEAcwBzAGkAdQBtACAALQAgAEcAZQBuAGUAcgBpAGMAXAAiACwAMAAuADEANQAsAFwAIgBTAHUAbABmAHUAcgAgAC0AIABHAGUAbgBlAHIAaQBjAFwAIgAsADAALgAwADgALABcACIATQBhAGcAbgBlAHMAaQB1AG0AXAAiACwAMAAuADAAMQA2ACwAXAAiAFoAaQBuAGMAXAAiACwAMAAuADAAMAAwADIALABcACIAQgBvAHIAbwBuAFwAIgAsADAALgAwADAAMAAxADUALABcACIAXAAiACwAXAAiAFwAIgAsAFwAIgBcACIALABcACIAXAAiADsAXABuAFwAIgBZAGEAcgBhACAAQQB1AHMAdAByAGEAbABpAGEAXAAiACwAXAAiAFkAYQByAGEAUgBlAGcAYQAgADkALQAwAC0AMwAwACAAKAAxADQAKQBcACIALABcACIAawBnAFwAIgAsADEALABcACIAXAAiACwAXAAiAFwAIgAsAFwAIgBcACIALAA5ACwAXAAiAFwAIgAsADMAMAAsADEANAAsAFwAIgBQAG8AdABhAHMAcwBpAHUAbQAgAC0AIABHAGUAbgBlAHIAaQBjAFwAIgAsADAALgAzACwAXAAiAFMAdQBsAGYAdQByACAALQAgAEcAZQBuAGUAcgBpAGMAXAAiACwAMAAuADEANAAsAFwAIgBOAGkAdAByAG8AZwBlAG4AIAAtACAATgBpAHQAcgBhAHQAZQBcACIALAAwAC4AMAA0ADUALABcACIATgBpAHQAcgBvAGcAZQBuACAALQAgAEEAbQBtAG8AbgBpAGEAYwBhAGwAXAAiACwAMAAuADAANAA1ACwAXAAiAFwAIgAsAFwAIgBcACIALABcACIAXAAiACwAXAAiAFwAIgAsAFwAIgBcACIALABcACIAXAAiACwAXAAiAFwAIgAsAFwAIgBcACIALABcACIAXAAiACwAXAAiAFwAIgAsAFwAIgBcACIALABcACIAXAAiADsAXABuAFwAIgBZAGEAcgBhACAAQQB1AHMAdAByAGEAbABpAGEAXAAiACwAXAAiAFkAYQByAGEAUgBlAGcAYQAgADEAMwAtADIALQAyADEAXAAiACwAXAAiAGsAZwBcACIALAAxACwAXAAiAFwAIgAsAFwAIgBcACIALABcACIAXAAiACwAMQAzACwAMQAuADcANQAsADIAMQAsADEAMAAuADgALABcACIAUABvAHQAYQBzAHMAaQB1AG0AIAAtACAARwBlAG4AZQByAGkAYwBcACIALAAwAC4AMgAxACwAXAAiAFMAdQBsAGYAdQByACAALQAgAEcAZQBuAGUAcgBpAGMAXAAiACwAMAAuADEAMAA4ACwAXAAiAE4AaQB0AHIAbwBnAGUAbgAgAC0AIABBAG0AbQBvAG4AaQBhAGMAYQBsAFwAIgAsADAALgAwADcANwAsAFwAIgBOAGkAdAByAG8AZwBlAG4AIAAtACAATgBpAHQAcgBhAHQAZQBcACIALAAwAC4AMAA1ADMALABcACIAUABoAG8AcwBwAGgAbwByAHUAcwAgAC0AIABHAGUAbgBlAHIAaQBjAFwAIgAsADAALgAwADEANwA1ACwAXAAiAE0AYQBnAG4AZQBzAGkAdQBtAFwAIgAsADAALgAwADAANAAsAFwAIgBaAGkAbgBjAFwAIgAsADAALgAwADAAMAA4ACwAXAAiAEIAbwByAG8AbgBcACIALAAwAC4AMAAwADAAOAAsAFwAIgBcACIALABcACIAXAAiACwAXAAiAFwAIgAsAFwAIgBcACIAOwBcAG4AXAAiAFkAYQByAGEAIABBAHUAcwB0AHIAYQBsAGkAYQBcACIALABcACIAWQBhAHIAYQBSAGUAZwBhACAAMQA1AC0ANwAtADEAMwAgACgANwBTACkAXAAiACwAXAAiAGsAZwBcACIALAAxACwAXAAiAFwAIgAsAFwAIgBcACIALABcACIAXAAiACwAMQA1ACwANgAuADUALAAxADIALgA1ACwANwAuADIALABcACIATgBpAHQAcgBvAGcAZQBuACAALQAgAE4AaQB0AHIAYQB0AGUAXAAiACwAMAAuADAAOQA1ACwAXAAiAFAAbwB0AGEAcwBzAGkAdQBtACAALQAgAEcAZQBuAGUAcgBpAGMAXAAiACwAMAAuADEAMgA1ACwAXAAiAFMAdQBsAGYAdQByACAALQAgAEcAZQBuAGUAcgBpAGMAXAAiACwAMAAuADAANwAyACwAXAAiAFAAaABvAHMAcABoAG8AcgB1AHMAIAAtACAARwBlAG4AZQByAGkAYwBcACIALAAwAC4AMAA2ADUALABcACIATgBpAHQAcgBvAGcAZQBuACAALQAgAEEAbQBtAG8AbgBpAGEAYwBhAGwAXAAiACwAMAAuADAANQA1ACwAXAAiAE0AYQBnAG4AZQBzAGkAdQBtAFwAIgAsADAALgAwADAANgA2ACwAXAAiAEIAbwByAG8AbgBcACIALAAwAC4AMAAwADEALABcACIAWgBpAG4AYwBcACIALAAwAC4AMAAwADAANgAsAFwAIgBcACIALABcACIAXAAiACwAXAAiAFwAIgAsAFwAIgBcACIAOwBcAG4AXAAiAFkAYQByAGEAIABBAHUAcwB0AHIAYQBsAGkAYQBcACIALABcACIAWQBhAHIAYQBUAGUAcgBhACAAQwBBAEwAQwBJAE4ASQBUACAAQgBcACIALABcACIAawBnAFwAIgAsADEALABcACIAXAAiACwAXAAiAFwAIgAsAFwAIgBcACIALAAxADUALgA1ACwAXAAiAFwAIgAsAFwAIgBcACIALABcACIAXAAiACwAXAAiAEMAYQBsAGMAaQB1AG0AIABuAGkAdAByAGEAdABlAFwAIgAsADEALABcACIAQgBvAHIAbwBuAFwAIgAsADAALgAwADAAMQAsAFwAIgBcACIALABcACIAXAAiACwAXAAiAFwAIgAsAFwAIgBcACIALABcACIAXAAiACwAXAAiAFwAIgAsAFwAIgBcACIALABcACIAXAAiACwAXAAiAFwAIgAsAFwAIgBcACIALABcACIAXAAiACwAXAAiAFwAIgAsAFwAIgBcACIALABcACIAXAAiACwAXAAiAFwAIgAsAFwAIgBcACIAOwBcAG4AXAAiAFkAYQByAGEAIABBAHUAcwB0AHIAYQBsAGkAYQBcACIALABcACIAWQBhAHIAYQBUAGUAcgBhACAASwBSAEkAUwBUAEEAIABNAEEAUABcACIALABcACIAawBnAFwAIgAsADEALABcACIAXAAiACwAXAAiAFwAIgAsAFwAIgBcACIALAAxADAALAAyADEALgA5ACwAXAAiAFwAIgAsAFwAIgBcACIALABcACIATQBvAG4AbwBhAG0AbQBvAG4AaQB1AG0AIABwAGgAbwBzAHAAaABhAHQAZQAgACgATQBBAFAAKQBcACIALAAxACwAXAAiAFwAIgAsAFwAIgBcACIALABcACIAXAAiACwAXAAiAFwAIgAsAFwAIgBcACIALABcACIAXAAiACwAXAAiAFwAIgAsAFwAIgBcACIALABcACIAXAAiACwAXAAiAFwAIgAsAFwAIgBcACIALABcACIAXAAiACwAXAAiAFwAIgAsAFwAIgBcACIALABcACIAXAAiACwAXAAiAFwAIgAsAFwAIgBcACIALABcACIAXAAiADsAXABuAFwAIgBZAGEAcgBhACAAQQB1AHMAdAByAGEAbABpAGEAXAAiACwAXAAiAFkAYQByAGEAVABlAHIAYQAgAEsAUgBJAFMAVABBAEwATwBOACAAUgBFAEQAXAAiACwAXAAiAGsAZwBcACIALAAxACwAXAAiAFwAIgAsAFwAIgBcACIALABcACIAXAAiACwAMQAyACwANQAuADIALAAyADkALgA5ACwAMQAsAFwAIgBQAG8AdABhAHMAcwBpAHUAbQAgAC0AIABHAGUAbgBlAHIAaQBjAFwAIgAsADAALgAyADkAOQAsAFwAIgBOAGkAdAByAG8AZwBlAG4AIAAtACAATgBpAHQAcgBhAHQAZQBcACIALAAwAC4AMQAwADEALABcACIAUABoAG8AcwBwAGgAbwByAHUAcwAgAC0AIABHAGUAbgBlAHIAaQBjAFwAIgAsADAALgAwADUAMgAsAFwAIgBOAGkAdAByAG8AZwBlAG4AIAAtACAAQQBtAG0AbwBuAGkAYQBjAGEAbABcACIALAAwAC4AMAAxADkALABcACIAUwB1AGwAZgB1AHIAIAAtACAARwBlAG4AZQByAGkAYwBcACIALAAwAC4AMAAxACwAXAAiAE0AYQBnAG4AZQBzAGkAdQBtAFwAIgAsADAALgAwADAANgAsAFwAIgBJAHIAbwBuAFwAIgAsADAALgAwADAAMAA3ACwAXAAiAE0AYQBuAGcAYQBuAGUAcwBlAFwAIgAsADAALgAwADAAMAA0ACwAXAAiAFoAaQBuAGMAXAAiACwAMAAuADAAMAAwADIANQAsAFwAIgBCAG8AcgBvAG4AXAAiACwAMAAuADAAMAAwADIANQA7AFwAbgBcACIAWQBhAHIAYQAgAEEAdQBzAHQAcgBhAGwAaQBhAFwAIgAsAFwAIgBZAGEAcgBhAFQAZQByAGEAIABLAFIASQBTAFQAQQBMAE8ATgAgAFMAUABFAEMASQBBAEwAXAAiACwAXAAiAGsAZwBcACIALAAxACwAXAAiAFwAIgAsAFwAIgBcACIALABcACIAXAAiACwAMQA4ACwANwAuADkALAAxADQALgA5ACwAMgAsAFwAIgBQAG8AdABhAHMAcwBpAHUAbQAgAC0AIABHAGUAbgBlAHIAaQBjAFwAIgAsADAALgAxADQAOQAsAFwAIgBVAHIAZQBhAFwAIgAsADAALgAyADEAMwAwADQAMwAsAFwAIgBQAGgAbwBzAHAAaABvAHIAdQBzACAALQAgAEcAZQBuAGUAcgBpAGMAXAAiACwAMAAuADAANwA5ACwAXAAiAE4AaQB0AHIAbwBnAGUAbgAgAC0AIABOAGkAdAByAGEAdABlAFwAIgAsADAALgAwADQAOQAsAFwAIgBOAGkAdAByAG8AZwBlAG4AIAAtACAAQQBtAG0AbwBuAGkAYQBjAGEAbABcACIALAAwAC4AMAAzADMALABcACIAUwB1AGwAZgB1AHIAIAAtACAARwBlAG4AZQByAGkAYwBcACIALAAwAC4AMAAyACwAXAAiAE0AYQBnAG4AZQBzAGkAdQBtAFwAIgAsADAALgAwADEAOAAsAFwAIgBJAHIAbwBuAFwAIgAsADAALgAwADAAMAA3ACwAXAAiAE0AYQBuAGcAYQBuAGUAcwBlAFwAIgAsADAALgAwADAAMAA0ACwAXAAiAFoAaQBuAGMAXAAiACwAMAAuADAAMAAwADIANQBcAG4AIAAgAH0ALAAgAHIALAAgAGMAKQBcAG4AIAApACkAKQBcAG4AXABuAFwAbgBGAGUAcgB0AGkAbABpAHMAZQByAF8AUAByAG8AZAB1AGMAdABzAF8ARABhAHQAYQAzAFwAbgA9AEwAQQBNAEIARABBACgAXABuACAATQBBAEsARQBBAFIAUgBBAFkAKAAzADAALAAgADMAMQAsAFwAbgAgAEwAQQBNAEIARABBACgAcgAsAGMALABcAG4AIAAgAEkATgBEAEUAWAAoAHsAXABuAFwAIgBZAGEAcgBhACAAQQB1AHMAdAByAGEAbABpAGEAXAAiACwAXAAiAFkAYQByAGEATQBpAGwAYQAgADIAMQAtADcALQAzACgANAApAFwAIgAsAFwAIgBrAGcAXAAiACwAMQAsAFwAIgBcACIALABcACIAXAAiACwAXAAiAFwAIgAsADIAMQAsADcALgA0ACwAMgAuADUALAA0ACwAXAAiAE4AaQB0AHIAbwBnAGUAbgAgAC0AIABOAGkAdAByAGEAdABlAFwAIgAsADAALgAxADAANQAsAFwAIgBOAGkAdAByAG8AZwBlAG4AIAAtACAAQQBtAG0AbwBuAGkAYQBjAGEAbABcACIALAAwAC4AMQAwADUALABcACIAUABoAG8AcwBwAGgAbwByAHUAcwAgAC0AIABHAGUAbgBlAHIAaQBjAFwAIgAsADAALgAwADcANAAsAFwAIgBTAHUAbABmAHUAcgAgAC0AIABHAGUAbgBlAHIAaQBjAFwAIgAsADAALgAwADQALABcACIAUABvAHQAYQBzAHMAaQB1AG0AIAAtACAARwBlAG4AZQByAGkAYwBcACIALAAwAC4AMAAyADUALABcACIATQBhAGcAbgBlAHMAaQB1AG0AXAAiACwAMAAuADAAMAA0ACwAXAAiAFoAaQBuAGMAXAAiACwAMAAuADAAMAAxADUALABcACIAXAAiACwAXAAiAFwAIgAsAFwAIgBcACIALABcACIAXAAiACwAXAAiAFwAIgAsAFwAIgBcACIAOwBcAG4AXAAiAFkAYQByAGEAIABBAHUAcwB0AHIAYQBsAGkAYQBcACIALABcACIAWQBhAHIAYQBUAGUAcgBhACAASwBSAEkAUwBUAEEATABPAE4AIABTAEMAQQBSAEwARQBUAFwAIgAsAFwAIgBrAGcAXAAiACwAMQAsAFwAIgBcACIALABcACIAXAAiACwAXAAiAFwAIgAsADcALgA1ACwAXAAiAFwAIgAsADIAOQAuADkALAA0ACwAXAAiAFAAbwB0AGEAcwBzAGkAdQBtACAALQAgAEcAZQBuAGUAcgBpAGMAXAAiACwAMAAuADIAOQA5ACwAXAAiAE4AaQB0AHIAbwBnAGUAbgAgAC0AIABOAGkAdAByAGEAdABlAFwAIgAsADAALgAwADUAMgAsAFwAIgBTAHUAbABmAHUAcgAgAC0AIABHAGUAbgBlAHIAaQBjAFwAIgAsADAALgAwADQALABcACIATQBhAGcAbgBlAHMAaQB1AG0AXAAiACwAMAAuADAAMgA3ACwAXAAiAE4AaQB0AHIAbwBnAGUAbgAgAC0AIABBAG0AbQBvAG4AaQBhAGMAYQBsAFwAIgAsADAALgAwADIAMwAsAFwAIgBcACIALABcACIAXAAiACwAXAAiAFwAIgAsAFwAIgBcACIALABcACIAXAAiACwAXAAiAFwAIgAsAFwAIgBcACIALABcACIAXAAiACwAXAAiAFwAIgAsAFwAIgBcACIAOwBcAG4AXAAiAEMAYQBtAHAAYgBlAGwAbABzACAAZgBlAHIAdABpAGwAaQBzAGUAcgBzACAAQQB1AHMAdAByAGEAbABpAGEAXAAiACwAXAAiAFMAbwBsAHUALQBNAEEAUABcACIALABcACIAawBnAFwAIgAsADEALABcACIAXAAiACwAXAAiAFwAIgAsAFwAIgBcACIALAAxADAALAAyADEALgA5ACwAXAAiAFwAIgAsAFwAIgBcACIALABcACIATQBvAG4AbwBhAG0AbQBvAG4AaQB1AG0AIABwAGgAbwBzAHAAaABhAHQAZQAgACgATQBBAFAAKQBcACIALAAxACwAXAAiAFwAIgAsAFwAIgBcACIALABcACIAXAAiACwAXAAiAFwAIgAsAFwAIgBcACIALABcACIAXAAiACwAXAAiAFwAIgAsAFwAIgBcACIALABcACIAXAAiACwAXAAiAFwAIgAsAFwAIgBcACIALABcACIAXAAiACwAXAAiAFwAIgAsAFwAIgBcACIALABcACIAXAAiACwAXAAiAFwAIgAsAFwAIgBcACIALABcACIAXAAiADsAXABuAFwAIgBDAGEAbQBwAGIAZQBsAGwAcwAgAGYAZQByAHQAaQBsAGkAcwBlAHIAcwAgAEEAdQBzAHQAcgBhAGwAaQBhAFwAIgAsAFwAIgBTAG8AbAB1AC0AUwBhAG0AXAAiACwAXAAiAGsAZwBcACIALAAxACwAXAAiAFwAIgAsAFwAIgBcACIALABcACIAXAAiACwAMgAxACwAXAAiAFwAIgAsAFwAIgBcACIALAAyADQALABcACIAUwB1AGwAcABoAGEAdABlACAAbwBmACAAYQBtAG0AbwBuAGkAYQAgACgAUwBPAEEAKQBcACIALAAxACwAXAAiAFwAIgAsAFwAIgBcACIALABcACIAXAAiACwAXAAiAFwAIgAsAFwAIgBcACIALABcACIAXAAiACwAXAAiAFwAIgAsAFwAIgBcACIALABcACIAXAAiACwAXAAiAFwAIgAsAFwAIgBcACIALABcACIAXAAiACwAXAAiAFwAIgAsAFwAIgBcACIALABcACIAXAAiACwAXAAiAFwAIgAsAFwAIgBcACIALABcACIAXAAiADsAXABuAFwAIgBDAGEAbQBwAGIAZQBsAGwAcwAgAGYAZQByAHQAaQBsAGkAcwBlAHIAcwAgAEEAdQBzAHQAcgBhAGwAaQBhAFwAIgAsAFwAIgBSAHUAcwB0AGkAYwBhACAAUABsAHUAcwBcACIALABcACIAawBnAFwAIgAsADEALABcACIAXAAiACwAXAAiAFwAIgAsAFwAIgBcACIALAAxADIALAA1ACwAMQA0ACwAOQAuADcALABcACIAUABvAHQAYQBzAHMAaQB1AG0AIAAtACAARwBlAG4AZQByAGkAYwBcACIALAAwAC4AMQA0ACwAXAAiAFMAdQBsAGYAdQByACAALQAgAEcAZQBuAGUAcgBpAGMAXAAiACwAMAAuADAAOQA3ACwAXAAiAE4AaQB0AHIAbwBnAGUAbgAgAC0AIABOAGkAdAByAGEAdABlAFwAIgAsADAALgAwADYALABcACIATgBpAHQAcgBvAGcAZQBuACAALQAgAEEAbQBtAG8AbgBpAGEAYwBhAGwAXAAiACwAMAAuADAANgAsAFwAIgBQAGgAbwBzAHAAaABvAHIAdQBzACAALQAgAEcAZQBuAGUAcgBpAGMAXAAiACwAMAAuADAANQAsAFwAIgBDAGEAbABjAGkAdQBtAFwAIgAsADAALgAwADMAMQAsAFwAIgBNAGEAZwBuAGUAcwBpAHUAbQBcACIALAAwAC4AMAAxADIALABcACIAWgBpAG4AYwBcACIALAAwAC4AMAAwADEALABcACIAQgBvAHIAbwBuAFwAIgAsADAALgAwADAAMAAyACwAXAAiAFwAIgAsAFwAIgBcACIAOwBcAG4AXAAiAEMAYQBtAHAAYgBlAGwAbABzACAAZgBlAHIAdABpAGwAaQBzAGUAcgBzACAAQQB1AHMAdAByAGEAbABpAGEAXAAiACwAXAAiAFAAbABhAHQAaQBuAHUAbQAgAFAAbAB1AHMAXAAiACwAXAAiAGsAZwBcACIALAAxACwAXAAiAFwAIgAsAFwAIgBcACIALABcACIAXAAiACwAMQAwACwAMQAxACwAMQAwACwANgAsAFwAIgBQAGgAbwBzAHAAaABvAHIAdQBzACAALQAgAEcAZQBuAGUAcgBpAGMAXAAiACwAMAAuADEAMQAsAFwAIgBQAG8AdABhAHMAcwBpAHUAbQAgAC0AIABHAGUAbgBlAHIAaQBjAFwAIgAsADAALgAxACwAXAAiAFMAdQBsAGYAdQByACAALQAgAEcAZQBuAGUAcgBpAGMAXAAiACwAMAAuADAANgAsAFwAIgBOAGkAdAByAG8AZwBlAG4AIAAtACAATgBpAHQAcgBhAHQAZQBcACIALAAwAC4AMAA1ACwAXAAiAE4AaQB0AHIAbwBnAGUAbgAgAC0AIABBAG0AbQBvAG4AaQBhAGMAYQBsAFwAIgAsADAALgAwADUALABcACIAQwBhAGwAYwBpAHUAbQBcACIALAAwAC4AMAA0ADMALABcACIATQBhAGcAbgBlAHMAaQB1AG0AXAAiACwAMAAuADAAMQAyACwAXAAiAFoAaQBuAGMAXAAiACwAMAAuADAAMAAzADYALABcACIAQgBvAHIAbwBuAFwAIgAsADAALgAwADAAMQAsAFwAIgBcACIALABcACIAXAAiADsAXABuAFwAIgBDAGEAbQBwAGIAZQBsAGwAcwAgAGYAZQByAHQAaQBsAGkAcwBlAHIAcwAgAEEAdQBzAHQAcgBhAGwAaQBhAFwAIgAsAFwAIgBUAHIAbwBwAGkAawBhAFwAIgAsAFwAIgBrAGcAXAAiACwAMQAsAFwAIgBcACIALABcACIAXAAiACwAXAAiAFwAIgAsADEAMQAsADIALgA2ACwAMgAwAC4AOAAsADQALABcACIATgBpAHQAcgBvAGcAZQBuACAALQAgAE4AaQB0AHIAYQB0AGUAXAAiACwAMAAuADAANQA1ACwAXAAiAE4AaQB0AHIAbwBnAGUAbgAgAC0AIABBAG0AbQBvAG4AaQBhAGMAYQBsAFwAIgAsADAALgAwADUANQAsAFwAIgBQAGgAbwBzAHAAaABvAHIAdQBzACAALQAgAEcAZQBuAGUAcgBpAGMAXAAiACwAMAAuADAAMgA2ACwAXAAiAFAAbwB0AGEAcwBzAGkAdQBtACAALQAgAEcAZQBuAGUAcgBpAGMAXAAiACwAMAAuADIAMAA4ACwAXAAiAFMAdQBsAGYAdQByACAALQAgAEcAZQBuAGUAcgBpAGMAXAAiACwAMAAuADAANAAsAFwAIgBNAGEAZwBuAGUAcwBpAHUAbQBcACIALAAwAC4AMAAyADQALABcACIAXAAiACwAXAAiAFwAIgAsAFwAIgBcACIALABcACIAXAAiACwAXAAiAFwAIgAsAFwAIgBcACIALABcACIAXAAiACwAXAAiAFwAIgA7AFwAbgBcACIAQwBhAG0AcABiAGUAbABsAHMAIABmAGUAcgB0AGkAbABpAHMAZQByAHMAIABBAHUAcwB0AHIAYQBsAGkAYQBcACIALABcACIAUgB1AHMAdABpAGMAYQAgAE4AZQByAGcAZQB0AGkAYwBcACIALABcACIAawBnAFwAIgAsADEALABcACIAXAAiACwAXAAiAFwAIgAsAFwAIgBcACIALAAxADIALAA1AC4AMgAsADEANAAuADEALAA5AC4ANgAsAFwAIgBQAG8AdABhAHMAcwBpAHUAbQAgAC0AIABHAGUAbgBlAHIAaQBjAFwAIgAsADAALgAxADQAMQAsAFwAIgBTAHUAbABmAHUAcgAgAC0AIABHAGUAbgBlAHIAaQBjAFwAIgAsADAALgAwADkANgAsAFwAIgBOAGkAdAByAG8AZwBlAG4AIAAtACAATgBpAHQAcgBhAHQAZQBcACIALAAwAC4AMAA2ACwAXAAiAE4AaQB0AHIAbwBnAGUAbgAgAC0AIABBAG0AbQBvAG4AaQBhAGMAYQBsAFwAIgAsADAALgAwADYALABcACIAUABoAG8AcwBwAGgAbwByAHUAcwAgAC0AIABHAGUAbgBlAHIAaQBjAFwAIgAsADAALgAwADUAMgAsAFwAIgBNAGEAZwBuAGUAcwBpAHUAbQBcACIALAAwAC4AMAAxADIALABcACIAWgBpAG4AYwBcACIALAAwAC4AMAAwADAAOAAsAFwAIgBJAHIAbwBuAFwAIgAsADAALgAwADAAMAA3ACwAXAAiAE0AYQBuAGcAYQBuAGUAcwBlAFwAIgAsADAALgAwADAAMAA2ACwAXAAiAEIAbwByAG8AbgBcACIALAAwAC4AMAAwADAAMgA7AFwAbgBcACIAQwBhAG0AcABiAGUAbABsAHMAIABmAGUAcgB0AGkAbABpAHMAZQByAHMAIABBAHUAcwB0AHIAYQBsAGkAYQBcACIALABcACIAUQB1AGkAYwBrAC0ATgAgAE4AZQByAGcAZQB0AGkAYwBcACIALABcACIAawBnAFwAIgAsADEALABcACIAXAAiACwAXAAiAFwAIgAsAFwAIgBcACIALAAyADUALABcACIAXAAiACwAXAAiAFwAIgAsADEAMgAuADgALABcACIAUwB1AGwAcABoAGEAdABlACAAbwBmACAAYQBtAG0AbwBuAGkAYQAgACgAUwBPAEEAKQBcACIALAAwAC4ANQAzADMAMwAzADMALABcACIAQQBtAG0AbwBuAGkAdQBtACAAbgBpAHQAcgBhAHQAZQAgACgAQQBOACkAXAAiACwAMAAuADQAMAA5ADQAOQA2ACwAXAAiAFoAaQBuAGMAXAAiACwAMAAuADAAMAAxACwAXAAiAE0AYQBuAGcAYQBuAGUAcwBlAFwAIgAsADAALgAwADAAMQAsAFwAIgBCAG8AcgBvAG4AXAAiACwAMAAuADAAMAAwADEALABcACIATQBvAGwAeQBiAGQAZQBuAHUAbQBcACIALAAwAC4AMAAwADAAMAAxACwAXAAiAFwAIgAsAFwAIgBcACIALABcACIAXAAiACwAXAAiAFwAIgAsAFwAIgBcACIALABcACIAXAAiACwAXAAiAFwAIgAsAFwAIgBcACIAOwBcAG4AXAAiAEYAZQByAHQAUAByAG8AIABNAGEAbgB1AGYAYQBjAHQAdQByAGkAbgBnACAAUAB0AHkALgAgAEwAdABkAC4AXAAiACwAXAAiACgAUwBTAFAAKQAgAFMAaQBuAGcAbABlACAAUwB1AHAAZQByACAARgBlAHIAdABpAGwAaQBzAGUAcgBcACIALABcACIAawBnAFwAIgAsADEALABcACIAXAAiACwAXAAiAFwAIgAsAFwAIgBcACIALABcACIAXAAiACwAOAAuADgALABcACIAXAAiACwAMQAxACwAXAAiAFMAaQBuAGcAbABlACAAcwB1AHAAZQByAHAAaABvAHMAcABoAGEAdABlACAAKABTAFMAUAApAFwAIgAsADEALABcACIAXAAiACwAXAAiAFwAIgAsAFwAIgBcACIALABcACIAXAAiACwAXAAiAFwAIgAsAFwAIgBcACIALABcACIAXAAiACwAXAAiAFwAIgAsAFwAIgBcACIALABcACIAXAAiACwAXAAiAFwAIgAsAFwAIgBcACIALABcACIAXAAiACwAXAAiAFwAIgAsAFwAIgBcACIALABcACIAXAAiACwAXAAiAFwAIgAsAFwAIgBcACIAOwBcAG4AXAAiAEkAbQBwAGEAYwB0ACAARgBlAHIAdABpAGwAaQBzAGUAcgBzAFwAIgAsAFwAIgBaAGkAbgBjAFMAdABhAHIAXAAiACwAXAAiAGsAZwBcACIALAAxACwAXAAiAFwAIgAsAFwAIgBcACIALABcACIAXAAiACwAMQAwACwAMgAxAC4AOQAsADAALAAyACwAXAAiAE0AbwBuAG8AYQBtAG0AbwBuAGkAdQBtACAAcABoAG8AcwBwAGgAYQB0AGUAIAAoAE0AQQBQACkAXAAiACwAMQAsAFwAIgBaAGkAbgBjAFwAIgAsADAALgAwADEALABcACIAXAAiACwAXAAiAFwAIgAsAFwAIgBcACIALABcACIAXAAiACwAXAAiAFwAIgAsAFwAIgBcACIALABcACIAXAAiACwAXAAiAFwAIgAsAFwAIgBcACIALABcACIAXAAiACwAXAAiAFwAIgAsAFwAIgBcACIALABcACIAXAAiACwAXAAiAFwAIgAsAFwAIgBcACIALABcACIAXAAiADsAXABuAFwAIgBCAGEAaQBsAGUAeQBzACAAKABTAGkAbQBwAGwAbwB0ACkAIABbAGwAaQBzAHQAZQBkACAAYQBzACAASQBtAHAAYQBjAHQAXQBcACIALABcACIAQQBwAGUAeAAgAEcAYQBJAFgAZQAgAEwAbwB3ACAAUAAgADIAMQAtADEALQA2AFwAIgAsAFwAIgBrAGcAXAAiACwAMQAsAFwAIgBcACIALABcACIAXAAiACwAXAAiAFwAIgAsADIAMQAsADAALgA4ADYALAA1AC4AOAAsADQALgAyACwAXAAiAE4AaQB0AHIAbwBnAGUAbgAgAC0AIABHAGUAbgBlAHIAaQBjAFwAIgAsADAALgAyADEALABcACIAUABvAHQAYQBzAHMAaQB1AG0AIAAtACAARwBlAG4AZQByAGkAYwBcACIALAAwAC4AMAA1ADgALABcACIAUwB1AGwAZgB1AHIAIAAtACAARwBlAG4AZQByAGkAYwBcACIALAAwAC4AMAA0ADIALABcACIAUABoAG8AcwBwAGgAbwByAHUAcwAgAC0AIABHAGUAbgBlAHIAaQBjAFwAIgAsADAALgAwADAAOAA2ACwAXAAiAFwAIgAsAFwAIgBcACIALABcACIAXAAiACwAXAAiAFwAIgAsAFwAIgBcACIALABcACIAXAAiACwAXAAiAFwAIgAsAFwAIgBcACIALABcACIAXAAiACwAXAAiAFwAIgAsAFwAIgBcACIALABcACIAXAAiADsAXABuAFwAIgBJAG4AYwBpAHQAZQBjACAAUABpAHYAbwB0ACAARgBlAHIAdABpAGwAaQBzAGUAcgBzAFwAIgAsAFwAIgBTAHUAUABlAHIAZgBlAGMAdABcACIALABcACIAawBnAFwAIgAsADEALABcACIAXAAiACwAXAAiAFwAIgAsAFwAIgBcACIALABcACIAXAAiACwAOAAuADgALABcACIAXAAiACwAMQAxACwAXAAiAFMAaQBuAGcAbABlACAAcwB1AHAAZQByAHAAaABvAHMAcABoAGEAdABlACAAKABTAFMAUAApAFwAIgAsADEALABcACIAXAAiACwAXAAiAFwAIgAsAFwAIgBcACIALABcACIAXAAiACwAXAAiAFwAIgAsAFwAIgBcACIALABcACIAXAAiACwAXAAiAFwAIgAsAFwAIgBcACIALABcACIAXAAiACwAXAAiAFwAIgAsAFwAIgBcACIALABcACIAXAAiACwAXAAiAFwAIgAsAFwAIgBcACIALABcACIAXAAiACwAXAAiAFwAIgAsAFwAIgBcACIAOwBcAG4AXAAiAEkAbgBjAGkAdABlAGMAIABQAGkAdgBvAHQAIABGAGUAcgB0AGkAbABpAHMAZQByAHMAIABbAGwAaQBzAHQAZQBkACAAYQBzACAAUwB1AG0AbQBpAHQAXQBcACIALABcACIAQgBpAGcAIABOAFwAIgAsAFwAIgBrAGcAXAAiACwAMQAsAFwAIgBcACIALABcACIAXAAiACwAXAAiAFwAIgAsADgAMgAuADMANQAsAFwAIgBcACIALABcACIAXAAiACwAXAAiAFwAIgAsAFwAIgBBAG0AbQBvAG4AaQBhAFwAIgAsADEALABcACIAXAAiACwAXAAiAFwAIgAsAFwAIgBcACIALABcACIAXAAiACwAXAAiAFwAIgAsAFwAIgBcACIALABcACIAXAAiACwAXAAiAFwAIgAsAFwAIgBcACIALABcACIAXAAiACwAXAAiAFwAIgAsAFwAIgBcACIALABcACIAXAAiACwAXAAiAFwAIgAsAFwAIgBcACIALABcACIAXAAiACwAXAAiAFwAIgAsAFwAIgBcACIAOwBcAG4AXAAiAEkAbgBjAGkAdABlAGMAIABQAGkAdgBvAHQAIABGAGUAcgB0AGkAbABpAHMAZQByAHMAXAAiACwAXAAiAEUAbgB0AGUAYwAgAFUAcgBlAGEAXAAiACwAXAAiAGsAZwBcACIALAAxACwAXAAiAFkAZQBzAFwAIgAsAFwAIgBcACIALABcACIAXAAiACwANAA2ACwAXAAiAFwAIgAsAFwAIgBcACIALABcACIAXAAiACwAXAAiAFUAcgBlAGEAXAAiACwAMQAsAFwAIgBcACIALABcACIAXAAiACwAXAAiAFwAIgAsAFwAIgBcACIALABcACIAXAAiACwAXAAiAFwAIgAsAFwAIgBcACIALABcACIAXAAiACwAXAAiAFwAIgAsAFwAIgBcACIALABcACIAXAAiACwAXAAiAFwAIgAsAFwAIgBcACIALABcACIAXAAiACwAXAAiAFwAIgAsAFwAIgBcACIALABcACIAXAAiACwAXAAiAFwAIgA7AFwAbgBcACIASQBuAGMAaQB0AGUAYwAgAFAAaQB2AG8AdAAgAEYAZQByAHQAaQBsAGkAcwBlAHIAcwAgACgAbwByACAAUgBhAHYAZQBuAHMAZABvAHcAbgAgAC0AIABzAGUAZQAgAG4AbwB0AGUAKQBcACIALABcACIARgBsAGUAeABpAC0ATgAgAE4ASQAgAG8AbgBsAHkAXAAiACwAXAAiAGsAZwBcACIALAAxACwAXAAiAFkAZQBzAFwAIgAsAFwAIgBcACIALABcACIAXAAiACwANAA1AC4ANQA0ACwAXAAiAFwAIgAsAFwAIgBcACIALABcACIAXAAiACwAXAAiAFUAcgBlAGEAXAAiACwAMAAuADkAOQAsAFwAIgBVAHIAZQBhAHMAZQAvAG4AaQB0AHIAaQBmAGkAYwBhAHQAaQBvAG4AIABpAG4AaABpAGIAaQB0AG8AcgBcACIALAAwAC4AMAAxACwAXAAiAFwAIgAsAFwAIgBcACIALABcACIAXAAiACwAXAAiAFwAIgAsAFwAIgBcACIALABcACIAXAAiACwAXAAiAFwAIgAsAFwAIgBcACIALABcACIAXAAiACwAXAAiAFwAIgAsAFwAIgBcACIALABcACIAXAAiACwAXAAiAFwAIgAsAFwAIgBcACIALABcACIAXAAiACwAXAAiAFwAIgA7AFwAbgBcACIATgB1AHQAcgBpAC0AVABlAGMAaAAgAFMAbwBsAHUAdABpAG8AbgBzACAAKABOAFQAUwApAFwAIgAsAFwAIgBNAHUAcgBpAGEAdABlACAATwBmACAAUABvAHQAYQBzAGgAIABNAE8AUABcACIALABcACIAawBnAFwAIgAsADEALABcACIAXAAiACwAXAAiAFwAIgAsAFwAIgBcACIALABcACIAXAAiACwAXAAiAFwAIgAsADUAMAAsAFwAIgBcACIALABcACIATQB1AHIAaQBhAHQAZQAgAG8AZgAgAHAAbwB0AGEAcwBoACAAKABNAE8AUAApAFwAIgAsADEALABcACIAXAAiACwAXAAiAFwAIgAsAFwAIgBcACIALABcACIAXAAiACwAXAAiAFwAIgAsAFwAIgBcACIALABcACIAXAAiACwAXAAiAFwAIgAsAFwAIgBcACIALABcACIAXAAiACwAXAAiAFwAIgAsAFwAIgBcACIALABcACIAXAAiACwAXAAiAFwAIgAsAFwAIgBcACIALABcACIAXAAiACwAXAAiAFwAIgAsAFwAIgBcACIAOwBcAG4AXAAiAE4AdQB0AHUAcgBmAFwAIgAsAFwAIgBNAEEAUAAgAE4AVQBUAFUAUgBGAFwAIgAsAFwAIgBrAGcAXAAiACwAMQAsAFwAIgBcACIALABcACIAXAAiACwAXAAiAFwAIgAsADEAMAAsADIAMQAuADkALABcACIAXAAiACwAXAAiAFwAIgAsAFwAIgBNAG8AbgBvAGEAbQBtAG8AbgBpAHUAbQAgAHAAaABvAHMAcABoAGEAdABlACAAKABNAEEAUAApAFwAIgAsADEALABcACIAXAAiACwAXAAiAFwAIgAsAFwAIgBcACIALABcACIAXAAiACwAXAAiAFwAIgAsAFwAIgBcACIALABcACIAXAAiACwAXAAiAFwAIgAsAFwAIgBcACIALABcACIAXAAiACwAXAAiAFwAIgAsAFwAIgBcACIALABcACIAXAAiACwAXAAiAFwAIgAsAFwAIgBcACIALABcACIAXAAiACwAXAAiAFwAIgAsAFwAIgBcACIAOwBcAG4AXAAiAEMAYQBtAHAAYgBlAGwAbABzACAAZgBlAHIAdABpAGwAaQBzAGUAcgBzACAAQQB1AHMAdAByAGEAbABpAGEAXAAiACwAXAAiAFEAdQBpAGMAawAtAE4AXAAiACwAXAAiAGsAZwBcACIALAAxACwAXAAiAFwAIgAsAFwAIgBcACIALABcACIAXAAiACwAMgA2ACwAXAAiAFwAIgAsAFwAIgBcACIALAAxADMALABcACIAUwB1AGwAcABoAGEAdABlACAAbwBmACAAYQBtAG0AbwBuAGkAYQAgACgAUwBPAEEAKQBcACIALAAwAC4ANQA0ADEANgA2ADcALABcACIAQQBtAG0AbwBuAGkAdQBtACAAbgBpAHQAcgBhAHQAZQAgACgAQQBOACkAXAAiACwAMAAuADQAMwAzADkANwA2ACwAXAAiAFwAIgAsAFwAIgBcACIALABcACIAXAAiACwAXAAiAFwAIgAsAFwAIgBcACIALABcACIAXAAiACwAXAAiAFwAIgAsAFwAIgBcACIALABcACIAXAAiACwAXAAiAFwAIgAsAFwAIgBcACIALABcACIAXAAiACwAXAAiAFwAIgAsAFwAIgBcACIALABcACIAXAAiACwAXAAiAFwAIgA7AFwAbgBcACIAUwBMAFQARQBDACAARgBlAHIAdABpAGwAaQB6AGUAcgBzAFwAIgAsAFwAIgBVAEEAUwBcACIALABcACIATABcACIALAAxAC4AMgAzADUALABcACIAXAAiACwAXAAiAFwAIgAsAFwAIgBcACIALAAyADYALgA2ACwAXAAiAFwAIgAsAFwAIgBcACIALAA2AC4ANwAsAFwAIgBVAHIAZQBhAFwAIgAsADAALgA0ADUAMAA4ADEANQAsAFwAIgBTAHUAbABwAGgAYQB0AGUAIABvAGYAIABhAG0AbQBvAG4AaQBhACAAKABTAE8AQQApAFwAIgAsADAALgAyADcAOQAxADYANwAsAFwAIgBcACIALABcACIAXAAiACwAXAAiAFwAIgAsAFwAIgBcACIALABcACIAXAAiACwAXAAiAFwAIgAsAFwAIgBcACIALABcACIAXAAiACwAXAAiAFwAIgAsAFwAIgBcACIALABcACIAXAAiACwAXAAiAFwAIgAsAFwAIgBcACIALABcACIAXAAiACwAXAAiAFwAIgAsAFwAIgBcACIAOwBcAG4AXAAiAFMATABUAEUAQwAgAEYAZQByAHQAaQBsAGkAegBlAHIAcwBcACIALABcACIAVAByAGkAYQB6AG8AbgBlACAAVQByAGUAYQBcACIALABcACIATABcACIALAAxAC4AMgA4ACwAXAAiAFwAIgAsAFwAIgBcACIALABcACIAXAAiACwAMAAsAFwAIgBcACIALABcACIAXAAiACwAXAAiAFwAIgAsAFwAIgBVAHIAZQBhAFwAIgAsADAALgA2ADUAMgAxADcANAAsAFwAIgBcACIALABcACIAXAAiACwAXAAiAFwAIgAsAFwAIgBcACIALABcACIAXAAiACwAXAAiAFwAIgAsAFwAIgBcACIALABcACIAXAAiACwAXAAiAFwAIgAsAFwAIgBcACIALABcACIAXAAiACwAXAAiAFwAIgAsAFwAIgBcACIALABcACIAXAAiACwAXAAiAFwAIgAsAFwAIgBcACIALABcACIAXAAiACwAXAAiAFwAIgA7AFwAbgBcACIATQBhAHIAbgBjAG8AIABbAGwAaQBzAHQAZQBkACAAYQBzACAAUwBMAFQARQBDAF0AXAAiACwAXAAiAEEAbQBtAG8AIAAzADYATgBcACIALABcACIAawBnAFwAIgAsADEALABcACIAXAAiACwAXAAiAFwAIgAsAFwAIgBcACIALAAzADYALABcACIAXAAiACwAXAAiAFwAIgAsADkALgA2ACwAXAAiAE4AaQB0AHIAbwBnAGUAbgAgAC0AIABHAGUAbgBlAHIAaQBjAFwAIgAsADAALgAzADYALABcACIAUwB1AGwAZgB1AHIAIAAtACAARwBlAG4AZQByAGkAYwBcACIALAAwAC4AMAA5ADYALABcACIAXAAiACwAXAAiAFwAIgAsAFwAIgBcACIALABcACIAXAAiACwAXAAiAFwAIgAsAFwAIgBcACIALABcACIAXAAiACwAXAAiAFwAIgAsAFwAIgBcACIALABcACIAXAAiACwAXAAiAFwAIgAsAFwAIgBcACIALABcACIAXAAiACwAXAAiAFwAIgAsAFwAIgBcACIALABcACIAXAAiADsAXABuAFwAIgBSAGkAcwBzAG8ALQBDAGgAZQBtAGkAYwBhAGwAXAAiACwAXAAiAFIAaQBzAHMAbwAgAEwAaQBxAHUAaQBkACAATgBQAEsAIAAoADIAMAAwAC0AMgAwADAALQAyADAAMAApAFwAIgAsAFwAIgBMAFwAIgAsADEALgAzACwAXAAiAFwAIgAsAFwAIgBcACIALABcACIAXAAiACwAMgAwACwAOAAuADcAMwAsADEANgAuADYALABcACIAXAAiACwAXAAiAE4AaQB0AHIAbwBnAGUAbgAgAC0AIABHAGUAbgBlAHIAaQBjAFwAIgAsADAALgAyACwAXAAiAFAAaABvAHMAcABoAG8AcgB1AHMAIAAtACAARwBlAG4AZQByAGkAYwBcACIALAAwAC4AMAA4ADcAMgA4ACwAXAAiAFAAbwB0AGEAcwBzAGkAdQBtACAALQAgAEcAZQBuAGUAcgBpAGMAXAAiACwAMAAuADEANgA2ADAAMgAsAFwAIgBcACIALABcACIAXAAiACwAXAAiAFwAIgAsAFwAIgBcACIALABcACIAXAAiACwAXAAiAFwAIgAsAFwAIgBcACIALABcACIAXAAiACwAXAAiAFwAIgAsAFwAIgBcACIALABcACIAXAAiACwAXAAiAFwAIgAsAFwAIgBcACIALABcACIAXAAiADsAXABuAFwAIgBUAHUAcgBmACAARwByAG8AdQBwACAAQQB1AHMAdAByAGEAbABpAGEAIAAoAFMAaQBtAHAAbABvAHQAKQBcACIALABcACIAUwB1AHAAZQByACAAQwBhAGwAIAAxADUALQAwAC0AMQAyAFwAIgAsAFwAIgBrAGcAXAAiACwAMQAsAFwAIgBcACIALABcACIAXAAiACwAXAAiAFwAIgAsADEANQAsAFwAIgBcACIALAA5AC4AOQA2ACwAXAAiAFwAIgAsAFwAIgBOAGkAdAByAG8AZwBlAG4AIAAtACAATgBpAHQAcgBhAHQAZQBcACIALAAwAC4AMAA4ADQANwAzADcALABcACIAUABvAHQAYQBzAHMAaQB1AG0AIAAtACAARwBlAG4AZQByAGkAYwBcACIALAAwAC4AMAA5ADkANgAxADIALABcACIAQwBhAGwAYwBpAHUAbQAgAG4AaQB0AHIAYQB0AGUAXAAiACwAMAAuADQAMgAxADAANQAzACwAXAAiAE0AYQBnAG4AZQBzAGkAdQBtAFwAIgAsADAALgAwADAANQAsAFwAIgBCAG8AcgBvAG4AXAAiACwAMAAuADAAMAAwADIALABcACIAXAAiACwAXAAiAFwAIgAsAFwAIgBcACIALABcACIAXAAiACwAXAAiAFwAIgAsAFwAIgBcACIALABcACIAXAAiACwAXAAiAFwAIgAsAFwAIgBcACIALABcACIAXAAiADsAXABuAFwAIgBJAG4AYwBpAHQAZQBjACAAUABpAHYAbwB0ACAARgBlAHIAdABpAGwAaQBzAGUAcgBzAFwAIgAsAFwAIgBDAEsAIAA4ADgAXAAiACwAXAAiAGsAZwBcACIALAAxACwAXAAiAFwAIgAsAFwAIgBcACIALABcACIAXAAiACwAMQA1AC4AMQAsADQALgA0ACwAMQAxAC4ANQAsADEAMwAuADYALABcACIATgBpAHQAcgBvAGcAZQBuACAALQAgAEcAZQBuAGUAcgBpAGMAXAAiACwAMAAuADEANQAxACwAXAAiAFAAaABvAHMAcABoAG8AcgB1AHMAIAAtACAARwBlAG4AZQByAGkAYwBcACIALAAwAC4AMAA0ADQALABcACIAUABvAHQAYQBzAHMAaQB1AG0AIAAtACAARwBlAG4AZQByAGkAYwBcACIALAAwAC4AMQAxADUALABcACIAUwB1AGwAZgB1AHIAIAAtACAARwBlAG4AZQByAGkAYwBcACIALAAwAC4AMQAzADYALABcACIAXAAiACwAXAAiAFwAIgAsAFwAIgBcACIALABcACIAXAAiACwAXAAiAFwAIgAsAFwAIgBcACIALABcACIAXAAiACwAXAAiAFwAIgAsAFwAIgBcACIALABcACIAXAAiACwAXAAiAFwAIgAsAFwAIgBcACIAOwBcAG4AXAAiAEkAbgBjAGkAdABlAGMAIABQAGkAdgBvAHQAIABGAGUAcgB0AGkAbABpAHMAZQByAHMAXAAiACwAXAAiAEMAcgBvAHAATABpAGYAdAAgADEANQBcACIALABcACIAawBnAFwAIgAsADEALABcACIAXAAiACwAXAAiAFwAIgAsAFwAIgBcACIALAAxADQALgA2ACwAMQAyAC4AMQAsAFwAIgBcACIALAAxADEALgA2ACwAXAAiAE4AaQB0AHIAbwBnAGUAbgAgAC0AIABHAGUAbgBlAHIAaQBjAFwAIgAsADAALgAxADQANgAsAFwAIgBQAGgAbwBzAHAAaABvAHIAdQBzACAALQAgAEcAZQBuAGUAcgBpAGMAXAAiACwAMAAuADEAMgAxACwAXAAiAFMAdQBsAGYAdQByACAALQAgAEcAZQBuAGUAcgBpAGMAXAAiACwAMAAuADEAMQA2ACwAXAAiAFwAIgAsAFwAIgBcACIALABcACIAXAAiACwAXAAiAFwAIgAsAFwAIgBcACIALABcACIAXAAiACwAXAAiAFwAIgAsAFwAIgBcACIALABcACIAXAAiACwAXAAiAFwAIgAsAFwAIgBcACIALABcACIAXAAiACwAXAAiAFwAIgAsAFwAIgBcACIAOwBcAG4AXAAiAEkAbgBjAGkAdABlAGMAIABQAGkAdgBvAHQAIABGAGUAcgB0AGkAbABpAHMAZQByAHMAXAAiACwAXAAiAE4AUABLAFMAIAAxADkALQAxADMALQAwAC0AOQBcACIALABcACIAawBnAFwAIgAsADEALABcACIAXAAiACwAXAAiAFwAIgAsAFwAIgBcACIALAAxADkALAAxADMALAAwACwAOQAsAFwAIgBOAGkAdAByAG8AZwBlAG4AIAAtACAARwBlAG4AZQByAGkAYwBcACIALAAwAC4AMQA5ACwAXAAiAFAAaABvAHMAcABoAG8AcgB1AHMAIAAtACAARwBlAG4AZQByAGkAYwBcACIALAAwAC4AMQAzACwAXAAiAFMAdQBsAGYAdQByACAALQAgAEcAZQBuAGUAcgBpAGMAXAAiACwAMAAuADAAOQAsAFwAIgBcACIALABcACIAXAAiACwAXAAiAFwAIgAsAFwAIgBcACIALABcACIAXAAiACwAXAAiAFwAIgAsAFwAIgBcACIALABcACIAXAAiACwAXAAiAFwAIgAsAFwAIgBcACIALABcACIAXAAiACwAXAAiAFwAIgAsAFwAIgBcACIALABcACIAXAAiADsAXABuAFwAIgBJAG4AYwBpAHQAZQBjACAAUABpAHYAbwB0ACAARgBlAHIAdABpAGwAaQBzAGUAcgBzAFwAIgAsAFwAIgBQAGEAcwB0AHUAcgBlAEIAbwBvAHMAdABhAFwAIgAsAFwAIgBrAGcAXAAiACwAMQAsAFwAIgBcACIALABcACIAXAAiACwAXAAiAFwAIgAsADIAMwAuADgALAAzAC4ANwAsADEAMwAsADQALgAxACwAXAAiAE4AaQB0AHIAbwBnAGUAbgAgAC0AIABHAGUAbgBlAHIAaQBjAFwAIgAsADAALgAyADMAOAAsAFwAIgBQAGgAbwBzAHAAaABvAHIAdQBzACAALQAgAEcAZQBuAGUAcgBpAGMAXAAiACwAMAAuADAAMwA3ACwAXAAiAFAAbwB0AGEAcwBzAGkAdQBtACAALQAgAEcAZQBuAGUAcgBpAGMAXAAiACwAMAAuADEAMwAsAFwAIgBTAHUAbABmAHUAcgAgAC0AIABHAGUAbgBlAHIAaQBjAFwAIgAsADAALgAwADQAMQAsAFwAIgBcACIALABcACIAXAAiACwAXAAiAFwAIgAsAFwAIgBcACIALABcACIAXAAiACwAXAAiAFwAIgAsAFwAIgBcACIALABcACIAXAAiACwAXAAiAFwAIgAsAFwAIgBcACIALABcACIAXAAiACwAXAAiAFwAIgA7AFwAbgBcACIASQBuAGMAaQB0AGUAYwAgAFAAaQB2AG8AdAAgAEYAZQByAHQAaQBsAGkAcwBlAHIAcwBcACIALABcACIARwByAGUAZQBuAHQAbwBwACAASwBcACIALABcACIAawBnAFwAIgAsADEALABcACIAXAAiACwAXAAiAFwAIgAsAFwAIgBcACIALAAzADIALgA4ACwAXAAiAFwAIgAsADEAMQAsADIALgA5ACwAXAAiAFUAcgBlAGEAXAAiACwAMAAuADYANgAwADgANwAsAFwAIgBOAGkAdAByAG8AZwBlAG4AIAAtACAAQQBtAG0AbwBuAGkAYQBjAGEAbABcACIALAAwAC4AMAAyADQALABcACIAUABvAHQAYQBzAHMAaQB1AG0AIAAtACAARwBlAG4AZQByAGkAYwBcACIALAAwAC4AMQAxACwAXAAiAFMAdQBsAGYAdQByACAALQAgAEcAZQBuAGUAcgBpAGMAXAAiACwAMAAuADAAMgA5ACwAXAAiAFwAIgAsAFwAIgBcACIALABcACIAXAAiACwAXAAiAFwAIgAsAFwAIgBcACIALABcACIAXAAiACwAXAAiAFwAIgAsAFwAIgBcACIALABcACIAXAAiACwAXAAiAFwAIgAsAFwAIgBcACIALABcACIAXAAiADsAXABuAFwAIgBJAG4AYwBpAHQAZQBjACAAUABpAHYAbwB0ACAARgBlAHIAdABpAGwAaQBzAGUAcgBzAFwAIgAsAFwAIgBIAGEAeQBCAG8AbwBzAHQAYQBcACIALABcACIAawBnAFwAIgAsADEALABcACIAXAAiACwAXAAiAFwAIgAsAFwAIgBcACIALAAxADEALgA3ACwANAAuADcALAAyADMALgA5ACwANAAuADYALABcACIATgBpAHQAcgBvAGcAZQBuACAALQAgAEcAZQBuAGUAcgBpAGMAXAAiACwAMAAuADEAMQA3ACwAXAAiAFAAaABvAHMAcABoAG8AcgB1AHMAIAAtACAARwBlAG4AZQByAGkAYwBcACIALAAwAC4AMAA0ADcALABcACIAUABvAHQAYQBzAHMAaQB1AG0AIAAtACAARwBlAG4AZQByAGkAYwBcACIALAAwAC4AMgAzADkALABcACIAUwB1AGwAZgB1AHIAIAAtACAARwBlAG4AZQByAGkAYwBcACIALAAwAC4AMAA0ADYALABcACIAXAAiACwAXAAiAFwAIgAsAFwAIgBcACIALABcACIAXAAiACwAXAAiAFwAIgAsAFwAIgBcACIALABcACIAXAAiACwAXAAiAFwAIgAsAFwAIgBcACIALABcACIAXAAiACwAXAAiAFwAIgAsAFwAIgBcACIAXABuACAAIAB9ACwAIAByACwAIABjACkAXABuACAAKQApACkAXABuAFwAbgBcAG4ARgBlAHIAdABpAGwAaQBzAGUAcgBfAFAAcgBvAGQAdQBjAHQAcwBfAEQAYQB0AGEANABcAG4APQBMAEEATQBCAEQAQQAoAFwAbgAgAE0AQQBLAEUAQQBSAFIAQQBZACgAMwAwACwAIAAzADEALABcAG4AIABMAEEATQBCAEQAQQAoAHIALABjACwAXABuACAAIABJAE4ARABFAFgAKAB7AFwAbgBcACIASQBtAHAAYQBjAHQAIABGAGUAcgB0AGkAbABpAHMAZQByAHMAXAAiACwAXAAiAEkAbQBwAGEAYwB0ACAAUwB1AHAAZQByACAAUABvAHQAYQBzAGgAIAAxAFwAdQAwADAAMgA2ADEAXAAiACwAXAAiAGsAZwBcACIALAAxACwAXAAiAFwAIgAsAFwAIgBcACIALABcACIAXAAiACwAXAAiAFwAIgAsADQALgA0ACwAMgA1ACwANQAuADUALABcACIAUwBpAG4AZwBsAGUAIABzAHUAcABlAHIAcABoAG8AcwBwAGgAYQB0AGUAIAAoAFMAUwBQACkAXAAiACwAMAAuADUALABcACIATQB1AHIAaQBhAHQAZQAgAG8AZgAgAHAAbwB0AGEAcwBoACAAKABNAE8AUAApAFwAIgAsADAALgA1ACwAXAAiAFwAIgAsAFwAIgBcACIALABcACIAXAAiACwAXAAiAFwAIgAsAFwAIgBcACIALABcACIAXAAiACwAXAAiAFwAIgAsAFwAIgBcACIALABcACIAXAAiACwAXAAiAFwAIgAsAFwAIgBcACIALABcACIAXAAiACwAXAAiAFwAIgAsAFwAIgBcACIALABcACIAXAAiACwAXAAiAFwAIgA7AFwAbgBcACIASQBtAHAAYQBjAHQAIABGAGUAcgB0AGkAbABpAHMAZQByAHMAXAAiACwAXAAiAEkAbQBwAGEAYwB0ACAAUwB1AHAAZQByACAAUABvAHQAYQBzAGgAIAAyAFwAdQAwADAAMgA2ADEAXAAiACwAXAAiAGsAZwBcACIALAAxACwAXAAiAFwAIgAsAFwAIgBcACIALABcACIAXAAiACwAXAAiAFwAIgAsADUALgA4ADQALAAxADYALgA4ACwANwAuADIAOQAsAFwAIgBTAGkAbgBnAGwAZQAgAHMAdQBwAGUAcgBwAGgAbwBzAHAAaABhAHQAZQAgACgAUwBTAFAAKQBcACIALAAwAC4ANgA2ADMAMQA1ADgALABcACIATQB1AHIAaQBhAHQAZQAgAG8AZgAgAHAAbwB0AGEAcwBoACAAKABNAE8AUAApAFwAIgAsADAALgAzADMANgAsAFwAIgBcACIALABcACIAXAAiACwAXAAiAFwAIgAsAFwAIgBcACIALABcACIAXAAiACwAXAAiAFwAIgAsAFwAIgBcACIALABcACIAXAAiACwAXAAiAFwAIgAsAFwAIgBcACIALABcACIAXAAiACwAXAAiAFwAIgAsAFwAIgBcACIALABcACIAXAAiACwAXAAiAFwAIgAsAFwAIgBcACIAOwBcAG4AXAAiAEkAbQBwAGEAYwB0ACAARgBlAHIAdABpAGwAaQBzAGUAcgBzAFwAIgAsAFwAIgBJAG0AcABhAGMAdAAgAFMAdQBwAGUAcgAgAFAAbwB0AGEAcwBoACAAMwBcAHUAMAAwADIANgAxAFwAIgAsAFwAIgBrAGcAXAAiACwAMQAsAFwAIgBcACIALABcACIAXAAiACwAXAAiAFwAIgAsAFwAIgBcACIALAA2AC4ANQA4ACwAMQAyAC4ANQAsADgALgAyADIALABcACIAUwBpAG4AZwBsAGUAIABzAHUAcABlAHIAcABoAG8AcwBwAGgAYQB0AGUAIAAoAFMAUwBQACkAXAAiACwAMAAuADcANAA3ADMANgA4ACwAXAAiAE0AdQByAGkAYQB0AGUAIABvAGYAIABwAG8AdABhAHMAaAAgACgATQBPAFAAKQBcACIALAAwAC4AMgA1ACwAXAAiAFwAIgAsAFwAIgBcACIALABcACIAXAAiACwAXAAiAFwAIgAsAFwAIgBcACIALABcACIAXAAiACwAXAAiAFwAIgAsAFwAIgBcACIALABcACIAXAAiACwAXAAiAFwAIgAsAFwAIgBcACIALABcACIAXAAiACwAXAAiAFwAIgAsAFwAIgBcACIALABcACIAXAAiACwAXAAiAFwAIgA7AFwAbgBcACIASQBtAHAAYQBjAHQAIABGAGUAcgB0AGkAbABpAHMAZQByAHMAXAAiACwAXAAiAEkAbQBwAGEAYwB0ACAAUwB1AHAAZQByACAAUABvAHQAYQBzAGgAIAA0AFwAdQAwADAAMgA2ADEAXAAiACwAXAAiAGsAZwBcACIALAAxACwAXAAiAFwAIgAsAFwAIgBcACIALABcACIAXAAiACwAXAAiAFwAIgAsADcALgAwADQALAAxADAALAA4AC4AOAAsAFwAIgBTAGkAbgBnAGwAZQAgAHMAdQBwAGUAcgBwAGgAbwBzAHAAaABhAHQAZQAgACgAUwBTAFAAKQBcACIALAAwAC4AOAAsAFwAIgBNAHUAcgBpAGEAdABlACAAbwBmACAAcABvAHQAYQBzAGgAIAAoAE0ATwBQACkAXAAiACwAMAAuADIALABcACIAXAAiACwAXAAiAFwAIgAsAFwAIgBcACIALABcACIAXAAiACwAXAAiAFwAIgAsAFwAIgBcACIALABcACIAXAAiACwAXAAiAFwAIgAsAFwAIgBcACIALABcACIAXAAiACwAXAAiAFwAIgAsAFwAIgBcACIALABcACIAXAAiACwAXAAiAFwAIgAsAFwAIgBcACIALABcACIAXAAiADsAXABuAFwAIgBJAG0AcABhAGMAdAAgAEYAZQByAHQAaQBsAGkAcwBlAHIAcwBcACIALABcACIASQBtAHAAYQBjAHQAIABTAHUAcABlAHIAIABQAG8AdABhAHMAaAAgADUAXAB1ADAAMAAyADYAMQBcACIALABcACIAawBnAFwAIgAsADEALABcACIAXAAiACwAXAAiAFwAIgAsAFwAIgBcACIALABcACIAXAAiACwANwAuADMAMgAsADgALgA0ACwAOQAuADEANQAsAFwAIgBTAGkAbgBnAGwAZQAgAHMAdQBwAGUAcgBwAGgAbwBzAHAAaABhAHQAZQAgACgAUwBTAFAAKQBcACIALAAwAC4AOAAzADEANQA3ADkALABcACIATQB1AHIAaQBhAHQAZQAgAG8AZgAgAHAAbwB0AGEAcwBoACAAKABNAE8AUAApAFwAIgAsADAALgAxADYAOAAsAFwAIgBcACIALABcACIAXAAiACwAXAAiAFwAIgAsAFwAIgBcACIALABcACIAXAAiACwAXAAiAFwAIgAsAFwAIgBcACIALABcACIAXAAiACwAXAAiAFwAIgAsAFwAIgBcACIALABcACIAXAAiACwAXAAiAFwAIgAsAFwAIgBcACIALABcACIAXAAiACwAXAAiAFwAIgAsAFwAIgBcACIAOwBcAG4AXAAiAFAAYQBjAGkAZgBpAGMAIABGAGUAcgB0AGkAbABpAHMAZQByACAALwAgAEkAbgBjAGkAdABlAGMAIABQAGkAdgBvAHQAIABGAGUAcgB0AGkAbABpAHMAZQByAHMAXAAiACwAXAAiAEMAYQBsAC0ARwByAGEAbgBcACIALABcACIAawBnAFwAIgAsADEALABcACIAXAAiACwAXAAiAFwAIgAsAFwAIgBcACIALAAyADMALgA5ACwAXAAiAFwAIgAsAFwAIgBcACIALAAxADAALgA4ACwAXAAiAE4AaQB0AHIAbwBnAGUAbgAgAC0AIABOAGkAdAByAGEAdABlAFwAIgAsADAALgAwADcANAAsAFwAIgBOAGkAdAByAG8AZwBlAG4AIAAtACAAQQBtAG0AbwBuAGkAYQBjAGEAbABcACIALAAwAC4AMQA2ADUALABcACIAUwB1AGwAZgB1AHIAIAAtACAARwBlAG4AZQByAGkAYwBcACIALAAwAC4AMQAwADgALABcACIAQwBhAGwAYwBpAHUAbQBcACIALAAwAC4AMAA0ADQALABcACIAXAAiACwAXAAiAFwAIgAsAFwAIgBcACIALABcACIAXAAiACwAXAAiAFwAIgAsAFwAIgBcACIALABcACIAXAAiACwAXAAiAFwAIgAsAFwAIgBcACIALABcACIAXAAiACwAXAAiAFwAIgAsAFwAIgBcACIAOwBcAG4AXAAiAFAAYQBjAGkAZgBpAGMAIABGAGUAcgB0AGkAbABpAHMAZQByACAALwAgAEkAbgBjAGkAdABlAGMAIABQAGkAdgBvAHQAIABGAGUAcgB0AGkAbABpAHMAZQByAHMAXAAiACwAXAAiAEMAYQBsAC0ARwByAGEAbgAgADUAMAAvADUAMABcACIALABcACIAawBnAFwAIgAsADEALABcACIAXAAiACwAXAAiAFwAIgAsAFwAIgBcACIALAAxADcALgA5ACwAXAAiAFwAIgAsADEANQAsADMALgA2ACwAXAAiAE4AaQB0AHIAbwBnAGUAbgAgAC0AIABOAGkAdAByAGEAdABlAFwAIgAsADAALgAwADUANQAsAFwAIgBOAGkAdAByAG8AZwBlAG4AIAAtACAAQQBtAG0AbwBuAGkAYQBjAGEAbABcACIALAAwAC4AMQAyADQALABcACIAUABvAHQAYQBzAHMAaQB1AG0AIAAtACAARwBlAG4AZQByAGkAYwBcACIALAAwAC4AMQA1ACwAXAAiAFMAdQBsAGYAdQByACAALQAgAEcAZQBuAGUAcgBpAGMAXAAiACwAMAAuADAAMwA2ACwAXAAiAEMAYQBsAGMAaQB1AG0AXAAiACwAMAAuADAANAA0ACwAXAAiAFwAIgAsAFwAIgBcACIALABcACIAXAAiACwAXAAiAFwAIgAsAFwAIgBcACIALABcACIAXAAiACwAXAAiAFwAIgAsAFwAIgBcACIALABcACIAXAAiACwAXAAiAFwAIgA7AFwAbgBcACIAUABhAGMAaQBmAGkAYwAgAEYAZQByAHQAaQBsAGkAcwBlAHIAIAAvACAASQBuAGMAaQB0AGUAYwAgAFAAaQB2AG8AdAAgAEYAZQByAHQAaQBsAGkAcwBlAHIAcwBcACIALABcACIAQwBhAGwALQBHAHIAYQBuACAANQAwAC8ANQAwACAAKABTACkAXAAiACwAXAAiAGsAZwBcACIALAAxACwAXAAiAFwAIgAsAFwAIgBcACIALABcACIAXAAiACwAMQA2AC4AOQAsAFwAIgBcACIALAAxADQALgA0ACwAOAAuADcALABcACIATgBpAHQAcgBvAGcAZQBuACAALQAgAE4AaQB0AHIAYQB0AGUAXAAiACwAMAAuADAANQAyACwAXAAiAE4AaQB0AHIAbwBnAGUAbgAgAC0AIABBAG0AbQBvAG4AaQBhAGMAYQBsAFwAIgAsADAALgAxADEANwAsAFwAIgBQAG8AdABhAHMAcwBpAHUAbQAgAC0AIABHAGUAbgBlAHIAaQBjAFwAIgAsADAALgAxADQANAAsAFwAIgBTAHUAbABmAHUAcgAgAC0AIABHAGUAbgBlAHIAaQBjAFwAIgAsADAALgAwADgANwAsAFwAIgBDAGEAbABjAGkAdQBtAFwAIgAsADAALgAwADQANAAsAFwAIgBcACIALABcACIAXAAiACwAXAAiAFwAIgAsAFwAIgBcACIALABcACIAXAAiACwAXAAiAFwAIgAsAFwAIgBcACIALABcACIAXAAiACwAXAAiAFwAIgAsAFwAIgBcACIAOwBcAG4AXAAiAFAAYQBjAGkAZgBpAGMAIABGAGUAcgB0AGkAbABpAHMAZQByACAALwAgAEkAbgBjAGkAdABlAGMAIABQAGkAdgBvAHQAIABGAGUAcgB0AGkAbABpAHMAZQByAHMAXAAiACwAXAAiAEMAYQBsAC0ARwByAGEAbgAgADEAMwAwAFwAIgAsAFwAIgBrAGcAXAAiACwAMQAsAFwAIgBcACIALABcACIAXAAiACwAXAAiAFwAIgAsADEAOAAuADgALAAxACwAMQAyAC4ANQAsADMALgA3ACwAXAAiAE4AaQB0AHIAbwBnAGUAbgAgAC0AIABOAGkAdAByAGEAdABlAFwAIgAsADAALgAwADUAOAAsAFwAIgBOAGkAdAByAG8AZwBlAG4AIAAtACAAQQBtAG0AbwBuAGkAYQBjAGEAbABcACIALAAwAC4AMQAzACwAXAAiAFAAaABvAHMAcABoAG8AcgB1AHMAIAAtACAARwBlAG4AZQByAGkAYwBcACIALAAwAC4AMAAxACwAXAAiAFAAbwB0AGEAcwBzAGkAdQBtACAALQAgAEcAZQBuAGUAcgBpAGMAXAAiACwAMAAuADEAMgA1ACwAXAAiAFMAdQBsAGYAdQByACAALQAgAEcAZQBuAGUAcgBpAGMAXAAiACwAMAAuADAAMwA3ACwAXAAiAEMAYQBsAGMAaQB1AG0AXAAiACwAMAAuADAANAA0ACwAXAAiAFwAIgAsAFwAIgBcACIALABcACIAXAAiACwAXAAiAFwAIgAsAFwAIgBcACIALABcACIAXAAiACwAXAAiAFwAIgAsAFwAIgBcACIAOwBcAG4AXAAiAFAAYQBjAGkAZgBpAGMAIABGAGUAcgB0AGkAbABpAHMAZQByACAALwAgAEkAbgBjAGkAdABlAGMAIABQAGkAdgBvAHQAIABGAGUAcgB0AGkAbABpAHMAZQByAHMAXAAiACwAXAAiAEMAYQBsAC0ARwByAGEAbgAgADEANQAwAFwAIgAsAFwAIgBrAGcAXAAiACwAMQAsAFwAIgBcACIALABcACIAXAAiACwAXAAiAFwAIgAsADEAOAAuADYALAAzACwAMQAyAC4ANQAsADEALgA0ACwAXAAiAE4AaQB0AHIAbwBnAGUAbgAgAC0AIABOAGkAdAByAGEAdABlAFwAIgAsADAALgAwADUAOAAsAFwAIgBOAGkAdAByAG8AZwBlAG4AIAAtACAAQQBtAG0AbwBuAGkAYQBjAGEAbABcACIALAAwAC4AMQAyADgALABcACIAUABoAG8AcwBwAGgAbwByAHUAcwAgAC0AIABHAGUAbgBlAHIAaQBjAFwAIgAsADAALgAwADMALABcACIAUABvAHQAYQBzAHMAaQB1AG0AIAAtACAARwBlAG4AZQByAGkAYwBcACIALAAwAC4AMQAyADUALABcACIAUwB1AGwAZgB1AHIAIAAtACAARwBlAG4AZQByAGkAYwBcACIALAAwAC4AMAAxADQALABcACIAQwBhAGwAYwBpAHUAbQBcACIALAAwAC4AMAA0ADQALABcACIAXAAiACwAXAAiAFwAIgAsAFwAIgBcACIALABcACIAXAAiACwAXAAiAFwAIgAsAFwAIgBcACIALABcACIAXAAiACwAXAAiAFwAIgA7AFwAbgBcACIAUABhAGMAaQBmAGkAYwAgAEYAZQByAHQAaQBsAGkAcwBlAHIAIAAvACAASQBuAGMAaQB0AGUAYwAgAFAAaQB2AG8AdAAgAEYAZQByAHQAaQBsAGkAcwBlAHIAcwBcACIALABcACIAQwBhAGwALQBHAHIAYQBuACAARQB4AHQAcgBhACAASwBcACIALABcACIAawBnAFwAIgAsADEALABcACIAXAAiACwAXAAiAFwAIgAsAFwAIgBcACIALAAxADUALgA4ACwAXAAiAFwAIgAsADEAOQAsADMALgAyACwAXAAiAE4AaQB0AHIAbwBnAGUAbgAgAC0AIABOAGkAdAByAGEAdABlAFwAIgAsADAALgAwADQAOQAsAFwAIgBOAGkAdAByAG8AZwBlAG4AIAAtACAAQQBtAG0AbwBuAGkAYQBjAGEAbABcACIALAAwAC4AMQAwADkALABcACIAUABvAHQAYQBzAHMAaQB1AG0AIAAtACAARwBlAG4AZQByAGkAYwBcACIALAAwAC4AMQA5ACwAXAAiAFMAdQBsAGYAdQByACAALQAgAEcAZQBuAGUAcgBpAGMAXAAiACwAMAAuADAAMwAyACwAXAAiAEMAYQBsAGMAaQB1AG0AXAAiACwAMAAuADAAMwA5ACwAXAAiAFwAIgAsAFwAIgBcACIALABcACIAXAAiACwAXAAiAFwAIgAsAFwAIgBcACIALABcACIAXAAiACwAXAAiAFwAIgAsAFwAIgBcACIALABcACIAXAAiACwAXAAiAFwAIgA7AFwAbgBcACIASQBuAGMAaQB0AGUAYwAgAFAAaQB2AG8AdAAgAEYAZQByAHQAaQBsAGkAcwBlAHIAcwBcACIALABcACIARABhAGkAcgB5ACAAUAByAG8AXAAiACwAXAAiAGsAZwBcACIALAAxACwAXAAiAFwAIgAsAFwAIgBcACIALABcACIAXAAiACwAMgA1AC4AOQAsADMALgA5ACwAMQA1AC4AOQAsADAALgAzACwAXAAiAE4AaQB0AHIAbwBnAGUAbgAgAC0AIABHAGUAbgBlAHIAaQBjAFwAIgAsADAALgAyADUAOQAsAFwAIgBQAGgAbwBzAHAAaABvAHIAdQBzACAALQAgAEcAZQBuAGUAcgBpAGMAXAAiACwAMAAuADAAMwA5ACwAXAAiAFAAbwB0AGEAcwBzAGkAdQBtACAALQAgAEcAZQBuAGUAcgBpAGMAXAAiACwAMAAuADEANQA5ACwAXAAiAFMAdQBsAGYAdQByACAALQAgAEcAZQBuAGUAcgBpAGMAXAAiACwAMAAuADAAMAAzACwAXAAiAFwAIgAsAFwAIgBcACIALABcACIAXAAiACwAXAAiAFwAIgAsAFwAIgBcACIALABcACIAXAAiACwAXAAiAFwAIgAsAFwAIgBcACIALABcACIAXAAiACwAXAAiAFwAIgAsAFwAIgBcACIALABcACIAXAAiADsAXABuAFwAIgBZAGEAcgBhACAAQQB1AHMAdAByAGEAbABpAGEAXAAiACwAXAAiAFkAYQByAGEATQBpAGwAYQAgAEEAQwBUAFkAVgBBACAAUwBcACIALABcACIAawBnAFwAIgAsADEALABcACIAXAAiACwAXAAiAFwAIgAsAFwAIgBcACIALAAxADUALgA2ACwANgAuADMANwAsADEAMgAuADQANQAsADIALgA2ACwAXAAiAE4AaQB0AHIAbwBnAGUAbgAgAC0AIABOAGkAdAByAGEAdABlAFwAIgAsADAALgAwADUAOAAsAFwAIgBOAGkAdAByAG8AZwBlAG4AIAAtACAAQQBtAG0AbwBuAGkAYQBjAGEAbABcACIALAAwAC4AMAA5ADgALABcACIAUABoAG8AcwBwAGgAbwByAHUAcwAgAC0AIABHAGUAbgBlAHIAaQBjAFwAIgAsADAALgAwADYAMwA3ADEANAAsAFwAIgBQAG8AdABhAHMAcwBpAHUAbQAgAC0AIABHAGUAbgBlAHIAaQBjAFwAIgAsADAALgAxADIANAA1ADEANQAsAFwAIgBTAHUAbABmAHUAcgAgAC0AIABHAGUAbgBlAHIAaQBjAFwAIgAsADAALgAwADIANgAsAFwAIgBcACIALABcACIAXAAiACwAXAAiAFwAIgAsAFwAIgBcACIALABcACIAXAAiACwAXAAiAFwAIgAsAFwAIgBcACIALABcACIAXAAiACwAXAAiAFwAIgAsAFwAIgBcACIAOwBcAG4AXAAiAEMAUwBCAFAAXAAiACwAXAAiAEEAZwBmAGwAbwB3ACAARQB4AHQAcgBhAFwAIgAsAFwAIgBrAGcAXAAiACwAMQAsAFwAIgBcACIALABcACIAXAAiACwAXAAiAFwAIgAsADEAMQAuADEANQAsADEANwAuADUAMgAsAFwAIgBcACIALAAzAC4ANgAsAFwAIgBNAG8AbgBvAGEAbQBtAG8AbgBpAHUAbQAgAHAAaABvAHMAcABoAGEAdABlACAAKABNAEEAUAApAFwAIgAsADAALgA4ACwAXAAiAFMAdQBsAHAAaABhAHQAZQAgAG8AZgAgAGEAbQBtAG8AbgBpAGEAIAAoAFMATwBBACkAXAAiACwAMAAuADEANQAsAFwAIgBDAG8AcABwAGUAcgBcACIALABcACIATgBvACAAZABhAHQAYQBcACIALABcACIATQBvAGwAeQBiAGQAZQBuAHUAbQBcACIALABcACIATgBvACAAZABhAHQAYQBcACIALABcACIAWgBpAG4AYwBcACIALABcACIATgBvACAAZABhAHQAYQBcACIALABcACIAXAAiACwAXAAiAFwAIgAsAFwAIgBcACIALABcACIAXAAiACwAXAAiAFwAIgAsAFwAIgBcACIALABcACIAXAAiACwAXAAiAFwAIgAsAFwAIgBcACIALABcACIAXAAiADsAXABuAFwAIgBDAFMAQgBQAFwAIgAsAFwAIgBTAHUAcABlAHIAIABcAHUAMAAwADIANgAgAFAAbwB0AGEAcwBoACAAMwA6ADEAXAAiACwAXAAiAGsAZwBcACIALAAxACwAXAAiAFwAIgAsAFwAIgBcACIALABcACIAXAAiACwAXAAiAFwAIgAsADUALgA1ACwAMQA1ACwANgAuADgAOAAsAFwAIgBTAGkAbgBnAGwAZQAgAHMAdQBwAGUAcgBwAGgAbwBzAHAAaABhAHQAZQAgACgAUwBTAFAAKQBcACIALAAwAC4ANgAyADUALABcACIATQB1AHIAaQBhAHQAZQAgAG8AZgAgAHAAbwB0AGEAcwBoACAAKABNAE8AUAApAFwAIgAsADAALgAzACwAXAAiAFwAIgAsAFwAIgBcACIALABcACIAXAAiACwAXAAiAFwAIgAsAFwAIgBcACIALABcACIAXAAiACwAXAAiAFwAIgAsAFwAIgBcACIALABcACIAXAAiACwAXAAiAFwAIgAsAFwAIgBcACIALABcACIAXAAiACwAXAAiAFwAIgAsAFwAIgBcACIALABcACIAXAAiACwAXAAiAFwAIgA7AFwAbgBcACIAWQBhAHIAYQBcACIALABcACIAWQBhAHIAYQBCAGUAbABhACAAQwBBAE4ALQAyADcAXAAiACwAXAAiAGsAZwBcACIALAAxACwAXAAiAFwAIgAsAFwAIgBcACIALABcACIAXAAiACwAMgA3ACwAXAAiAFwAIgAsAFwAIgBcACIALABcACIAXAAiACwAXAAiAEMAYQBsAGMAaQB1AG0AIABhAG0AbQBvAG4AaQB1AG0AIABuAGkAdAByAGEAdABlACAAKABDAEEATgApAFwAIgAsADEALABcACIAXAAiACwAXAAiAFwAIgAsAFwAIgBcACIALABcACIAXAAiACwAXAAiAFwAIgAsAFwAIgBcACIALABcACIAXAAiACwAXAAiAFwAIgAsAFwAIgBcACIALABcACIAXAAiACwAXAAiAFwAIgAsAFwAIgBcACIALABcACIAXAAiACwAXAAiAFwAIgAsAFwAIgBcACIALABcACIAXAAiACwAXAAiAFwAIgAsAFwAIgBcACIAOwBcAG4AXAAiAEkAbgBjAGkAdABlAGMAIABQAGkAdgBvAHQAIABGAGUAcgB0AGkAbABpAHMAZQByAHMAXAAiACwAXAAiAEMAYQBsAC0ARwByAGEAbgAgAEEAZgB0AGUAcgBnAHIAYQB6AGUAXAAiACwAXAAiAGsAZwBcACIALAAxACwAXAAiAFwAIgAsAFwAIgBcACIALABcACIAXAAiACwAMgAwAC4ANgAsADMALAA3AC4ANQAsADMALgA4ACwAXAAiAE4AaQB0AHIAbwBnAGUAbgAgAC0AIABOAGkAdAByAGEAdABlAFwAIgAsADAALgAwADYANAAsAFwAIgBOAGkAdAByAG8AZwBlAG4AIAAtACAAQQBtAG0AbwBuAGkAYQBjAGEAbABcACIALAAwAC4AMQA0ADIALABcACIAUABoAG8AcwBwAGgAbwByAHUAcwAgAC0AIABHAGUAbgBlAHIAaQBjAFwAIgAsADAALgAwADMALABcACIAUABvAHQAYQBzAHMAaQB1AG0AIAAtACAARwBlAG4AZQByAGkAYwBcACIALAAwAC4AMAA3ADUALABcACIAUwB1AGwAZgB1AHIAIAAtACAARwBlAG4AZQByAGkAYwBcACIALAAwAC4AMAAzADgALABcACIAQwBhAGwAYwBpAHUAbQBcACIALAAwAC4AMAA0ADQALABcACIAXAAiACwAXAAiAFwAIgAsAFwAIgBcACIALABcACIAXAAiACwAXAAiAFwAIgAsAFwAIgBcACIALABcACIAXAAiACwAXAAiAFwAIgA7AFwAbgBcACIASQBuAGMAaQB0AGUAYwAgAFAAaQB2AG8AdAAgAEYAZQByAHQAaQBsAGkAcwBlAHIAcwBcACIALABcACIAQwBhAGwALQBHAHIAYQBuACAAUAByAG8AZAByAGUAcwBzAFwAIgAsAFwAIgBrAGcAXAAiACwAMQAsAFwAIgBcACIALABcACIAXAAiACwAXAAiAFwAIgAsADEANwAuADgALAAxACwAMQA1ACwAMgAuADUALABcACIATgBpAHQAcgBvAGcAZQBuACAALQAgAE4AaQB0AHIAYQB0AGUAXAAiACwAMAAuADAANQA1ACwAXAAiAE4AaQB0AHIAbwBnAGUAbgAgAC0AIABBAG0AbQBvAG4AaQBhAGMAYQBsAFwAIgAsADAALgAxADIAMwAsAFwAIgBQAGgAbwBzAHAAaABvAHIAdQBzACAALQAgAEcAZQBuAGUAcgBpAGMAXAAiACwAMAAuADAAMQAsAFwAIgBQAG8AdABhAHMAcwBpAHUAbQAgAC0AIABHAGUAbgBlAHIAaQBjAFwAIgAsADAALgAxADUALABcACIAUwB1AGwAZgB1AHIAIAAtACAARwBlAG4AZQByAGkAYwBcACIALAAwAC4AMAAyADUALABcACIAQwBhAGwAYwBpAHUAbQBcACIALAAwAC4AMAA0ADQALABcACIAXAAiACwAXAAiAFwAIgAsAFwAIgBcACIALABcACIAXAAiACwAXAAiAFwAIgAsAFwAIgBcACIALABcACIAXAAiACwAXAAiAFwAIgA7AFwAbgBcACIAVwBlAG4AZwBmAHUAIABBAHUAcwB0AHIAYQBsAGkAYQBcACIALABcACIAVwBlAG4AZwBmAHUAIABQAHIAaQBtAGUAWgBpAG4AYwAgADEAMABcACIALABcACIAawBnAFwAIgAsADEALABcACIAXAAiACwAXAAiAFwAIgAsAFwAIgBcACIALAAxADAALAAyADIALABcACIAXAAiACwAMQAuADUALABcACIATgBpAHQAcgBvAGcAZQBuACAALQAgAEcAZQBuAGUAcgBpAGMAXAAiACwAMAAuADEALABcACIAUABoAG8AcwBwAGgAbwByAHUAcwAgAC0AIABHAGUAbgBlAHIAaQBjAFwAIgAsADAALgAyADIALABcACIAUwB1AGwAZgB1AHIAIAAtACAARwBlAG4AZQByAGkAYwBcACIALAAwAC4AMAAxADUALABcACIAWgBpAG4AYwBcACIALAAwAC4AMAAxACwAXAAiAFwAIgAsAFwAIgBcACIALABcACIAXAAiACwAXAAiAFwAIgAsAFwAIgBcACIALABcACIAXAAiACwAXAAiAFwAIgAsAFwAIgBcACIALABcACIAXAAiACwAXAAiAFwAIgAsAFwAIgBcACIALABcACIAXAAiADsAXABuAFwAIgBXAGUAbgBnAGYAdQAgAEEAdQBzAHQAcgBhAGwAaQBhAFwAIgAsAFwAIgBXAGUAbgBnAGYAdQAgAFAAYQBzAHQAdQByAGUAIABLAGkAbgBnAFwAIgAsAFwAIgBrAGcAXAAiACwAMQAsAFwAIgBcACIALABcACIAXAAiACwAXAAiAFwAIgAsAFwAIgBcACIALAAxADUALgA3ACwAXAAiAFwAIgAsADQALgA2ACwAXAAiAFAAaABvAHMAcABoAG8AcgB1AHMAIAAtACAARwBlAG4AZQByAGkAYwBcACIALAAwAC4AMQA1ADcALABcACIAUwB1AGwAZgB1AHIAIAAtACAARwBlAG4AZQByAGkAYwBcACIALAAwAC4AMAA0ADYALABcACIAQwBhAGwAYwBpAHUAbQBcACIALAAwAC4AMQA0ACwAXAAiAFwAIgAsAFwAIgBcACIALABcACIAXAAiACwAXAAiAFwAIgAsAFwAIgBcACIALABcACIAXAAiACwAXAAiAFwAIgAsAFwAIgBcACIALABcACIAXAAiACwAXAAiAFwAIgAsAFwAIgBcACIALABcACIAXAAiACwAXAAiAFwAIgAsAFwAIgBcACIAOwBcAG4AXAAiAFcAZQBuAGcAZgB1ACAAQQB1AHMAdAByAGEAbABpAGEAXAAiACwAXAAiAFcAZQBuAGcAZgB1ACAAUwB1AFMAdABhAGkAbgBcACIALABcACIAawBnAFwAIgAsADEALABcACIAXAAiACwAXAAiAFwAIgAsAFwAIgBcACIALABcACIAXAAiACwAXAAiAFwAIgAsAFwAIgBcACIALAA5ADAALABcACIAUwB1AGwAZgB1AHIAIAAtACAARwBlAG4AZQByAGkAYwBcACIALAAwAC4AOQAsAFwAIgBcACIALABcACIAXAAiACwAXAAiAFwAIgAsAFwAIgBcACIALABcACIAXAAiACwAXAAiAFwAIgAsAFwAIgBcACIALABcACIAXAAiACwAXAAiAFwAIgAsAFwAIgBcACIALABcACIAXAAiACwAXAAiAFwAIgAsAFwAIgBcACIALABcACIAXAAiACwAXAAiAFwAIgAsAFwAIgBcACIALABcACIAXAAiACwAXAAiAFwAIgA7AFwAbgBcACIAVwBlAG4AZwBmAHUAIABBAHUAcwB0AHIAYQBsAGkAYQBcACIALABcACIAVwBlAG4AZwBmAHUAIABTAGwAYQBtAFwAIgAsAFwAIgBrAGcAXAAiACwAMQAsAFwAIgBcACIALABcACIAXAAiACwAXAAiAFwAIgAsADEAOQAuADUALAAwAC4ANwAsAFwAIgBcACIALAAyADMALABcACIATgBpAHQAcgBvAGcAZQBuACAALQAgAEcAZQBuAGUAcgBpAGMAXAAiACwAMAAuADEAOQA1ACwAXAAiAFAAaABvAHMAcABoAG8AcgB1AHMAIAAtACAARwBlAG4AZQByAGkAYwBcACIALAAwAC4AMAAwADcALABcACIAUwB1AGwAZgB1AHIAIAAtACAARwBlAG4AZQByAGkAYwBcACIALAAwAC4AMgAzACwAXAAiAFwAIgAsAFwAIgBcACIALABcACIAXAAiACwAXAAiAFwAIgAsAFwAIgBcACIALABcACIAXAAiACwAXAAiAFwAIgAsAFwAIgBcACIALABcACIAXAAiACwAXAAiAFwAIgAsAFwAIgBcACIALABcACIAXAAiACwAXAAiAFwAIgAsAFwAIgBcACIAOwBcAG4AXAAiAFcAZQBuAGcAZgB1ACAAQQB1AHMAdAByAGEAbABpAGEAXAAiACwAXAAiAFcAZQBuAGcAZgB1ACAAUAByAGkAbQBlACAATQBTAFoAXAAiACwAXAAiAGsAZwBcACIALAAxACwAXAAiAFwAIgAsAFwAIgBcACIALABcACIAXAAiACwAMQAwACwAMQA4ACwAXAAiAFwAIgAsADgALABcACIATgBpAHQAcgBvAGcAZQBuACAALQAgAEcAZQBuAGUAcgBpAGMAXAAiACwAMAAuADEALABcACIAUABoAG8AcwBwAGgAbwByAHUAcwAgAC0AIABHAGUAbgBlAHIAaQBjAFwAIgAsADAALgAxADgALABcACIAUwB1AGwAZgB1AHIAIAAtACAARwBlAG4AZQByAGkAYwBcACIALAAwAC4AMAA4ACwAXAAiAFoAaQBuAGMAXAAiACwAMAAuADAAMAA1ACwAXAAiAFwAIgAsAFwAIgBcACIALABcACIAXAAiACwAXAAiAFwAIgAsAFwAIgBcACIALABcACIAXAAiACwAXAAiAFwAIgAsAFwAIgBcACIALABcACIAXAAiACwAXAAiAFwAIgAsAFwAIgBcACIALABcACIAXAAiADsAXABuAFwAIgBXAGUAbgBnAGYAdQAgAEEAdQBzAHQAcgBhAGwAaQBhAFwAIgAsAFwAIgBXAGUAbgBnAGYAdQAgADkALQAyADAALQAwAC0AMQAwACAATQBBAFAAIABTAHUAUwB0AGEAaQBuAFwAIgAsAFwAIgBrAGcAXAAiACwAMQAsAFwAIgBcACIALABcACIAXAAiACwAXAAiAFwAIgAsADkALAAxADkALgA4ACwAMAAsADEAMAAuADQALABcACIATgBpAHQAcgBvAGcAZQBuACAALQAgAEcAZQBuAGUAcgBpAGMAXAAiACwAMAAuADAAOQAsAFwAIgBQAGgAbwBzAHAAaABvAHIAdQBzACAALQAgAEcAZQBuAGUAcgBpAGMAXAAiACwAMAAuADEAOQA4ACwAXAAiAFMAdQBsAGYAdQByACAALQAgAEcAZQBuAGUAcgBpAGMAXAAiACwAMAAuADEAMAA0ACwAXAAiAFwAIgAsAFwAIgBcACIALABcACIAXAAiACwAXAAiAFwAIgAsAFwAIgBcACIALABcACIAXAAiACwAXAAiAFwAIgAsAFwAIgBcACIALABcACIAXAAiACwAXAAiAFwAIgAsAFwAIgBcACIALABcACIAXAAiACwAXAAiAFwAIgAsAFwAIgBcACIAOwBcAG4AXAAiAFcAZQBuAGcAZgB1ACAAQQB1AHMAdAByAGEAbABpAGEAXAAiACwAXAAiAFcAZQBuAGcAZgB1ACAAMQA1AC0AMQA3AC0AMAAtADEANQAgAEQAQQBQACAAUwB1AFMAdABhAGkAbgBcACIALABcACIAawBnAFwAIgAsADEALABcACIAXAAiACwAXAAiAFwAIgAsAFwAIgBcACIALAAxADUALgAyACwAMQA2AC4AOQAsADAALAAxADUALgAyACwAXAAiAE4AaQB0AHIAbwBnAGUAbgAgAC0AIABHAGUAbgBlAHIAaQBjAFwAIgAsADAALgAxADUAMgAsAFwAIgBQAGgAbwBzAHAAaABvAHIAdQBzACAALQAgAEcAZQBuAGUAcgBpAGMAXAAiACwAMAAuADEANgA5ACwAXAAiAFMAdQBsAGYAdQByACAALQAgAEcAZQBuAGUAcgBpAGMAXAAiACwAMAAuADEANQAyACwAXAAiAFwAIgAsAFwAIgBcACIALABcACIAXAAiACwAXAAiAFwAIgAsAFwAIgBcACIALABcACIAXAAiACwAXAAiAFwAIgAsAFwAIgBcACIALABcACIAXAAiACwAXAAiAFwAIgAsAFwAIgBcACIALABcACIAXAAiACwAXAAiAFwAIgAsAFwAIgBcACIAOwBcAG4AXAAiAFcAZQBuAGcAZgB1ACAAQQB1AHMAdAByAGEAbABpAGEAXAAiACwAXAAiAFcAZQBuAGcAZgB1ACAAMQA2AC0AMQA4AC0AMAAtADEAMAAgAEQAQQBQACAAUwB1AFMAdABhAGkAbgBcACIALABcACIAawBnAFwAIgAsADEALABcACIAXAAiACwAXAAiAFwAIgAsAFwAIgBcACIALAAxADYALgAyACwAMQA4ACwAMAAsADEAMAAuADQALABcACIATgBpAHQAcgBvAGcAZQBuACAALQAgAEcAZQBuAGUAcgBpAGMAXAAiACwAMAAuADEANgAyACwAXAAiAFAAaABvAHMAcABoAG8AcgB1AHMAIAAtACAARwBlAG4AZQByAGkAYwBcACIALAAwAC4AMQA4ACwAXAAiAFMAdQBsAGYAdQByACAALQAgAEcAZQBuAGUAcgBpAGMAXAAiACwAMAAuADEAMAA0ACwAXAAiAFwAIgAsAFwAIgBcACIALABcACIAXAAiACwAXAAiAFwAIgAsAFwAIgBcACIALABcACIAXAAiACwAXAAiAFwAIgAsAFwAIgBcACIALABcACIAXAAiACwAXAAiAFwAIgAsAFwAIgBcACIALABcACIAXAAiACwAXAAiAFwAIgAsAFwAIgBcACIAOwBcAG4AXAAiAFcAZQBuAGcAZgB1ACAAQQB1AHMAdAByAGEAbABpAGEAXAAiACwAXAAiAFcAZQBuAGcAZgB1ACAANQAtADEANQAtADAALQA2ACAARgBhAHMAdAAgAFMAdABhAHIAdAAgAEwAZQBnAHUAbQBlAFwAIgAsAFwAIgBrAGcAXAAiACwAMQAsAFwAIgBcACIALABcACIAXAAiACwAXAAiAFwAIgAsADUALAAxADUALgA0ACwAMAAsADYALgAzACwAXAAiAE4AaQB0AHIAbwBnAGUAbgAgAC0AIABHAGUAbgBlAHIAaQBjAFwAIgAsADAALgAwADUALABcACIAUABoAG8AcwBwAGgAbwByAHUAcwAgAC0AIABHAGUAbgBlAHIAaQBjAFwAIgAsADAALgAxADUANAAsAFwAIgBTAHUAbABmAHUAcgAgAC0AIABHAGUAbgBlAHIAaQBjAFwAIgAsADAALgAwADYAMwAsAFwAIgBcACIALABcACIAXAAiACwAXAAiAFwAIgAsAFwAIgBcACIALABcACIAXAAiACwAXAAiAFwAIgAsAFwAIgBcACIALABcACIAXAAiACwAXAAiAFwAIgAsAFwAIgBcACIALABcACIAXAAiACwAXAAiAFwAIgAsAFwAIgBcACIALABcACIAXAAiADsAXABuAFwAIgBXAGUAbgBnAGYAdQAgAEEAdQBzAHQAcgBhAGwAaQBhAFwAIgAsAFwAIgBXAGUAbgBnAGYAdQAgADkALQAyADAALQAwAC0AMQAwACAAUAByAGkAbQBlAFoAaQBuAGMAXAAiACwAXAAiAGsAZwBcACIALAAxACwAXAAiAFwAIgAsAFwAIgBcACIALABcACIAXAAiACwAOQAsADEAOQAuADgALAAwACwAMQAwAC4ANAAsAFwAIgBOAGkAdAByAG8AZwBlAG4AIAAtACAARwBlAG4AZQByAGkAYwBcACIALAAwAC4AMAA5ACwAXAAiAFAAaABvAHMAcABoAG8AcgB1AHMAIAAtACAARwBlAG4AZQByAGkAYwBcACIALAAwAC4AMQA5ADgALABcACIAUwB1AGwAZgB1AHIAIAAtACAARwBlAG4AZQByAGkAYwBcACIALAAwAC4AMQAwADQALABcACIAWgBpAG4AYwBcACIALAAwAC4AMAAwADkALABcACIAXAAiACwAXAAiAFwAIgAsAFwAIgBcACIALABcACIAXAAiACwAXAAiAFwAIgAsAFwAIgBcACIALABcACIAXAAiACwAXAAiAFwAIgAsAFwAIgBcACIALABcACIAXAAiACwAXAAiAFwAIgAsAFwAIgBcACIAOwBcAG4AXAAiAFcAZQBuAGcAZgB1ACAAQQB1AHMAdAByAGEAbABpAGEAXAAiACwAXAAiAFcAZQBuAGcAZgB1ACAAMQAyAC0AMQA4AC0AMAAtADYAIABQAHIAaQBtAGUAWgBpAG4AYwBcACIALABcACIAawBnAFwAIgAsADEALABcACIAXAAiACwAXAAiAFwAIgAsAFwAIgBcACIALAAxADEALgA5ACwAMQA3AC4ANgAsADAALAA1AC4AOQAsAFwAIgBOAGkAdAByAG8AZwBlAG4AIAAtACAARwBlAG4AZQByAGkAYwBcACIALAAwAC4AMQAxADkALABcACIAUABoAG8AcwBwAGgAbwByAHUAcwAgAC0AIABHAGUAbgBlAHIAaQBjAFwAIgAsADAALgAxADcANgAsAFwAIgBTAHUAbABmAHUAcgAgAC0AIABHAGUAbgBlAHIAaQBjAFwAIgAsADAALgAwADUAOQAsAFwAIgBaAGkAbgBjAFwAIgAsADAALgAwADAAOAAsAFwAIgBcACIALABcACIAXAAiACwAXAAiAFwAIgAsAFwAIgBcACIALABcACIAXAAiACwAXAAiAFwAIgAsAFwAIgBcACIALABcACIAXAAiACwAXAAiAFwAIgAsAFwAIgBcACIALABcACIAXAAiACwAXAAiAFwAIgA7AFwAbgBcACIAVwBlAG4AZwBmAHUAIABBAHUAcwB0AHIAYQBsAGkAYQBcACIALABcACIAVwBlAG4AZwBmAHUAIAAxADQALQAxADMALQAwAC0AMQAxACAAUAByAGkAbQBlAFoAaQBuAGMAXAAiACwAXAAiAGsAZwBcACIALAAxACwAXAAiAFwAIgAsAFwAIgBcACIALABcACIAXAAiACwAMQA0AC4AMQAsADEAMgAuADgALAAwACwAMQAwAC4ANwAsAFwAIgBOAGkAdAByAG8AZwBlAG4AIAAtACAARwBlAG4AZQByAGkAYwBcACIALAAwAC4AMQA0ADEALABcACIAUABoAG8AcwBwAGgAbwByAHUAcwAgAC0AIABHAGUAbgBlAHIAaQBjAFwAIgAsADAALgAxADIAOAAsAFwAIgBTAHUAbABmAHUAcgAgAC0AIABHAGUAbgBlAHIAaQBjAFwAIgAsADAALgAxADAANwAsAFwAIgBaAGkAbgBjAFwAIgAsADAALgAwADAANgAsAFwAIgBcACIALABcACIAXAAiACwAXAAiAFwAIgAsAFwAIgBcACIALABcACIAXAAiACwAXAAiAFwAIgAsAFwAIgBcACIALABcACIAXAAiACwAXAAiAFwAIgAsAFwAIgBcACIALABcACIAXAAiACwAXAAiAFwAIgBcAG4AIAAgAH0ALAAgAHIALAAgAGMAKQBcAG4AIAApACkAKQBcAG4AXABuAFwAbgBGAGUAcgB0AGkAbABpAHMAZQByAF8AUAByAG8AZAB1AGMAdABzAF8ARABhAHQAYQA1AFwAbgA9AEwAQQBNAEIARABBACgAXABuACAATQBBAEsARQBBAFIAUgBBAFkAKAAxADQALAAgADMAMQAsAFwAbgAgAEwAQQBNAEIARABBACgAcgAsAGMALABcAG4AIAAgAEkATgBEAEUAWAAoAHsAXABuAFwAIgBXAGUAbgBnAGYAdQAgAEEAdQBzAHQAcgBhAGwAaQBhAFwAIgAsAFwAIgBXAGUAbgBnAGYAdQAgADEAOQAtADEAMwAtADAALQA3ACAAUAByAGkAbQBlAFoAaQBuAGMAXAAiACwAXAAiAGsAZwBcACIALAAxACwAXAAiAFwAIgAsAFwAIgBcACIALABcACIAXAAiACwAMQA4AC4ANgAsADEAMgAuADcALAAwACwANgAuADgALABcACIATgBpAHQAcgBvAGcAZQBuACAALQAgAEcAZQBuAGUAcgBpAGMAXAAiACwAMAAuADEAOAA2ACwAXAAiAFAAaABvAHMAcABoAG8AcgB1AHMAIAAtACAARwBlAG4AZQByAGkAYwBcACIALAAwAC4AMQAyADcALABcACIAUwB1AGwAZgB1AHIAIAAtACAARwBlAG4AZQByAGkAYwBcACIALAAwAC4AMAA2ADgALABcACIAWgBpAG4AYwBcACIALAAwAC4AMAAwADYALABcACIAXAAiACwAXAAiAFwAIgAsAFwAIgBcACIALABcACIAXAAiACwAXAAiAFwAIgAsAFwAIgBcACIALABcACIAXAAiACwAXAAiAFwAIgAsAFwAIgBcACIALABcACIAXAAiACwAXAAiAFwAIgAsAFwAIgBcACIAOwBcAG4AXAAiAFcAZQBuAGcAZgB1ACAAQQB1AHMAdAByAGEAbABpAGEAXAAiACwAXAAiAFcAZQBuAGcAZgB1ACAAQgBvAG8AcwB0AGUAcgAgAEsAXAAiACwAXAAiAGsAZwBcACIALAAxACwAXAAiAFwAIgAsAFwAIgBcACIALABcACIAXAAiACwAMwAyACwAMAAsADEAMQAsADMALABcACIATgBpAHQAcgBvAGcAZQBuACAALQAgAEcAZQBuAGUAcgBpAGMAXAAiACwAMAAuADMAMgAsAFwAIgBQAG8AdABhAHMAcwBpAHUAbQAgAC0AIABHAGUAbgBlAHIAaQBjAFwAIgAsADAALgAxADEALABcACIAUwB1AGwAZgB1AHIAIAAtACAARwBlAG4AZQByAGkAYwBcACIALAAwAC4AMAAzACwAXAAiAFwAIgAsAFwAIgBcACIALABcACIAXAAiACwAXAAiAFwAIgAsAFwAIgBcACIALABcACIAXAAiACwAXAAiAFwAIgAsAFwAIgBcACIALABcACIAXAAiACwAXAAiAFwAIgAsAFwAIgBcACIALABcACIAXAAiACwAXAAiAFwAIgAsAFwAIgBcACIAOwBcAG4AXAAiAFcAZQBuAGcAZgB1ACAAQQB1AHMAdAByAGEAbABpAGEAXAAiACwAXAAiAFcAZQBuAGcAZgB1ACAAQgBvAG8AcwB0AGUAcgAgAFIAaQBjAGgAIAAxAFwAIgAsAFwAIgBrAGcAXAAiACwAMQAsAFwAIgBcACIALABcACIAXAAiACwAXAAiAFwAIgAsADMAMQAsADYALAAwACwANgAsAFwAIgBOAGkAdAByAG8AZwBlAG4AIAAtACAARwBlAG4AZQByAGkAYwBcACIALAAwAC4AMwAxACwAXAAiAFAAaABvAHMAcABoAG8AcgB1AHMAIAAtACAARwBlAG4AZQByAGkAYwBcACIALAAwAC4AMAA2ACwAXAAiAFMAdQBsAGYAdQByACAALQAgAEcAZQBuAGUAcgBpAGMAXAAiACwAMAAuADAANgAsAFwAIgBcACIALABcACIAXAAiACwAXAAiAFwAIgAsAFwAIgBcACIALABcACIAXAAiACwAXAAiAFwAIgAsAFwAIgBcACIALABcACIAXAAiACwAXAAiAFwAIgAsAFwAIgBcACIALABcACIAXAAiACwAXAAiAFwAIgAsAFwAIgBcACIALABcACIAXAAiADsAXABuAFwAIgBXAGUAbgBnAGYAdQAgAEEAdQBzAHQAcgBhAGwAaQBhAFwAIgAsAFwAIgBXAGUAbgBnAGYAdQAgAEIAbwBvAHMAdABlAHIAIABHAHIAYQBzAHMAIABEAEEAUABcACIALABcACIAawBnAFwAIgAsADEALABcACIAXAAiACwAXAAiAFwAIgAsAFwAIgBcACIALAAyADEALAA0ACwAOAAsADcALABcACIATgBpAHQAcgBvAGcAZQBuACAALQAgAEcAZQBuAGUAcgBpAGMAXAAiACwAMAAuADIAMQAsAFwAIgBQAGgAbwBzAHAAaABvAHIAdQBzACAALQAgAEcAZQBuAGUAcgBpAGMAXAAiACwAMAAuADAANAAsAFwAIgBQAG8AdABhAHMAcwBpAHUAbQAgAC0AIABHAGUAbgBlAHIAaQBjAFwAIgAsADAALgAwADgALABcACIAUwB1AGwAZgB1AHIAIAAtACAARwBlAG4AZQByAGkAYwBcACIALAAwAC4AMAA3ACwAXAAiAFwAIgAsAFwAIgBcACIALABcACIAXAAiACwAXAAiAFwAIgAsAFwAIgBcACIALABcACIAXAAiACwAXAAiAFwAIgAsAFwAIgBcACIALABcACIAXAAiACwAXAAiAFwAIgAsAFwAIgBcACIALABcACIAXAAiADsAXABuAFwAIgBXAGUAbgBnAGYAdQAgAEEAdQBzAHQAcgBhAGwAaQBhAFwAIgAsAFwAIgBXAGUAbgBnAGYAdQAgAEEAZgB0AGUAcgBnAHIAYQB6AGUAXAAiACwAXAAiAGsAZwBcACIALAAxACwAXAAiAFwAIgAsAFwAIgBcACIALABcACIAXAAiACwAMgAzACwAMAAsADIANQAsADAALABcACIATgBpAHQAcgBvAGcAZQBuACAALQAgAEcAZQBuAGUAcgBpAGMAXAAiACwAMAAuADIAMwAsAFwAIgBQAG8AdABhAHMAcwBpAHUAbQAgAC0AIABHAGUAbgBlAHIAaQBjAFwAIgAsADAALgAyADUALABcACIAXAAiACwAXAAiAFwAIgAsAFwAIgBcACIALABcACIAXAAiACwAXAAiAFwAIgAsAFwAIgBcACIALABcACIAXAAiACwAXAAiAFwAIgAsAFwAIgBcACIALABcACIAXAAiACwAXAAiAFwAIgAsAFwAIgBcACIALABcACIAXAAiACwAXAAiAFwAIgAsAFwAIgBcACIALABcACIAXAAiADsAXABuAFwAIgBXAGUAbgBnAGYAdQAgAEEAdQBzAHQAcgBhAGwAaQBhAFwAIgAsAFwAIgBXAGUAbgBnAGYAdQAgAFMAaQBkAGUAZAByAGUAcwBzAFwAIgAsAFwAIgBrAGcAXAAiACwAMQAsAFwAIgBcACIALABcACIAXAAiACwAXAAiAFwAIgAsADIANQAsADQALAAxADMALAA0ACwAXAAiAE4AaQB0AHIAbwBnAGUAbgAgAC0AIABHAGUAbgBlAHIAaQBjAFwAIgAsADAALgAyADUALABcACIAUABoAG8AcwBwAGgAbwByAHUAcwAgAC0AIABHAGUAbgBlAHIAaQBjAFwAIgAsADAALgAwADQALABcACIAUABvAHQAYQBzAHMAaQB1AG0AIAAtACAARwBlAG4AZQByAGkAYwBcACIALAAwAC4AMQAzACwAXAAiAFMAdQBsAGYAdQByACAALQAgAEcAZQBuAGUAcgBpAGMAXAAiACwAMAAuADAANAAsAFwAIgBcACIALABcACIAXAAiACwAXAAiAFwAIgAsAFwAIgBcACIALABcACIAXAAiACwAXAAiAFwAIgAsAFwAIgBcACIALABcACIAXAAiACwAXAAiAFwAIgAsAFwAIgBcACIALABcACIAXAAiACwAXAAiAFwAIgA7AFwAbgBcACIAVwBlAG4AZwBmAHUAIABBAHUAcwB0AHIAYQBsAGkAYQBcACIALABcACIAVwBlAG4AZwBmAHUAIABQAGEAcwB0AHUAcgBlACAAQgBvAG8AcwB0AGUAcgBcACIALABcACIAawBnAFwAIgAsADEALABcACIAXAAiACwAXAAiAFwAIgAsAFwAIgBcACIALAAxADMALAA1ACwAMgA0ACwANQAsAFwAIgBOAGkAdAByAG8AZwBlAG4AIAAtACAARwBlAG4AZQByAGkAYwBcACIALAAwAC4AMQAzACwAXAAiAFAAaABvAHMAcABoAG8AcgB1AHMAIAAtACAARwBlAG4AZQByAGkAYwBcACIALAAwAC4AMAA1ACwAXAAiAFAAbwB0AGEAcwBzAGkAdQBtACAALQAgAEcAZQBuAGUAcgBpAGMAXAAiACwAMAAuADIANAAsAFwAIgBTAHUAbABmAHUAcgAgAC0AIABHAGUAbgBlAHIAaQBjAFwAIgAsADAALgAwADUALABcACIAXAAiACwAXAAiAFwAIgAsAFwAIgBcACIALABcACIAXAAiACwAXAAiAFwAIgAsAFwAIgBcACIALABcACIAXAAiACwAXAAiAFwAIgAsAFwAIgBcACIALABcACIAXAAiACwAXAAiAFwAIgAsAFwAIgBcACIAOwBcAG4AXAAiAFcAZQBuAGcAZgB1ACAAQQB1AHMAdAByAGEAbABpAGEAXAAiACwAXAAiAFcAZQBuAGcAZgB1ACAARABBAFAAIABIAGEAeQAgAEIAbwBvAHMAdABlAHIAXAAiACwAXAAiAGsAZwBcACIALAAxACwAXAAiAFwAIgAsAFwAIgBcACIALABcACIAXAAiACwAMQAxACwANQAsADIANAAsADQALABcACIATgBpAHQAcgBvAGcAZQBuACAALQAgAEcAZQBuAGUAcgBpAGMAXAAiACwAMAAuADEAMQAsAFwAIgBQAGgAbwBzAHAAaABvAHIAdQBzACAALQAgAEcAZQBuAGUAcgBpAGMAXAAiACwAMAAuADAANQAsAFwAIgBQAG8AdABhAHMAcwBpAHUAbQAgAC0AIABHAGUAbgBlAHIAaQBjAFwAIgAsADAALgAyADQALABcACIAUwB1AGwAZgB1AHIAIAAtACAARwBlAG4AZQByAGkAYwBcACIALAAwAC4AMAA0ACwAXAAiAFwAIgAsAFwAIgBcACIALABcACIAXAAiACwAXAAiAFwAIgAsAFwAIgBcACIALABcACIAXAAiACwAXAAiAFwAIgAsAFwAIgBcACIALABcACIAXAAiACwAXAAiAFwAIgAsAFwAIgBcACIALABcACIAXAAiADsAXABuAFwAIgBXAGUAbgBnAGYAdQAgAEEAdQBzAHQAcgBhAGwAaQBhAFwAIgAsAFwAIgBXAGUAbgBnAGYAdQAgAE0AQQBQACAASABhAHkAIABCAG8AbwBzAHQAZQByAFwAIgAsAFwAIgBrAGcAXAAiACwAMQAsAFwAIgBcACIALABcACIAXAAiACwAXAAiAFwAIgAsADEAMQAsADgALAAyADAALAA2ACwAXAAiAE4AaQB0AHIAbwBnAGUAbgAgAC0AIABHAGUAbgBlAHIAaQBjAFwAIgAsADAALgAxADEALABcACIAUABoAG8AcwBwAGgAbwByAHUAcwAgAC0AIABHAGUAbgBlAHIAaQBjAFwAIgAsADAALgAwADgALABcACIAUABvAHQAYQBzAHMAaQB1AG0AIAAtACAARwBlAG4AZQByAGkAYwBcACIALAAwAC4AMgAsAFwAIgBTAHUAbABmAHUAcgAgAC0AIABHAGUAbgBlAHIAaQBjAFwAIgAsADAALgAwADYALABcACIAXAAiACwAXAAiAFwAIgAsAFwAIgBcACIALABcACIAXAAiACwAXAAiAFwAIgAsAFwAIgBcACIALABcACIAXAAiACwAXAAiAFwAIgAsAFwAIgBcACIALABcACIAXAAiACwAXAAiAFwAIgAsAFwAIgBcACIAOwBcAG4AXAAiAFcAZQBuAGcAZgB1ACAAQQB1AHMAdAByAGEAbABpAGEAXAAiACwAXAAiAFcAZQBuAGcAZgB1ACAARgBvAGQAZABlAHIAIABCAG8AbwBzAHQAZQByAFwAIgAsAFwAIgBrAGcAXAAiACwAMQAsAFwAIgBcACIALABcACIAXAAiACwAXAAiAFwAIgAsADkALAA0ACwANQAsADEANQAsAFwAIgBOAGkAdAByAG8AZwBlAG4AIAAtACAARwBlAG4AZQByAGkAYwBcACIALAAwAC4AMAA5ACwAXAAiAFAAaABvAHMAcABoAG8AcgB1AHMAIAAtACAARwBlAG4AZQByAGkAYwBcACIALAAwAC4AMAA0ACwAXAAiAFAAbwB0AGEAcwBzAGkAdQBtACAALQAgAEcAZQBuAGUAcgBpAGMAXAAiACwAMAAuADAANQAsAFwAIgBTAHUAbABmAHUAcgAgAC0AIABHAGUAbgBlAHIAaQBjAFwAIgAsADAALgAxADUALABcACIAXAAiACwAXAAiAFwAIgAsAFwAIgBcACIALABcACIAXAAiACwAXAAiAFwAIgAsAFwAIgBcACIALABcACIAXAAiACwAXAAiAFwAIgAsAFwAIgBcACIALABcACIAXAAiACwAXAAiAFwAIgAsAFwAIgBcACIAOwBcAG4AXAAiAEMAUwBCAFAAXAAiACwAXAAiAEsALQBUAGkAbABsACAARQB4AHQAcgBhAFwAIgAsAFwAIgBrAGcAXAAiACwAMQAsAFwAIgBcACIALABcACIAXAAiACwAXAAiAFwAIgAsADEAMAAuADcAMwAsADEAMAAuADkANQAsADEAMQAuADMANQAsADYALgA1ADUALABcACIATQBvAG4AbwBhAG0AbQBvAG4AaQB1AG0AIABwAGgAbwBzAHAAaABhAHQAZQAgACgATQBBAFAAKQBcACIALAAwAC4ANQAsAFwAIgBTAHUAbABwAGgAYQB0AGUAIABvAGYAIABhAG0AbQBvAG4AaQBhACAAKABTAE8AQQApAFwAIgAsADAALgAyADcAMwAsAFwAIgBNAHUAcgBpAGEAdABlACAAbwBmACAAcABvAHQAYQBzAGgAIAAoAE0ATwBQACkAXAAiACwAMAAuADIAMgA3ACwAXAAiAEMAbwBwAHAAZQByAFwAIgAsAFwAIgBOAG8AIABkAGEAdABhAFwAIgAsAFwAIgBaAGkAbgBjAFwAIgAsAFwAIgBOAG8AIABkAGEAdABhAFwAIgAsAFwAIgBcACIALABcACIAXAAiACwAXAAiAFwAIgAsAFwAIgBcACIALABcACIAXAAiACwAXAAiAFwAIgAsAFwAIgBcACIALABcACIAXAAiACwAXAAiAFwAIgAsAFwAIgBcACIAOwBcAG4AXAAiAEMAUwBCAFAAXAAiACwAXAAiAEEAZwByAGEAcwAgAEUAeAB0AHIAYQBcACIALABcACIAawBnAFwAIgAsADEALABcACIAXAAiACwAXAAiAFwAIgAsAFwAIgBcACIALAAxADYALgA5ADUALAA4AC4AMAA2ACwAXAAiAFwAIgAsADEANQAuADEANwAsAFwAIgBTAHUAbABwAGgAYQB0AGUAIABvAGYAIABhAG0AbQBvAG4AaQBhACAAKABTAE8AQQApAFwAIgAsADAALgA2ADMAMgAsAFwAIgBNAG8AbgBvAGEAbQBtAG8AbgBpAHUAbQAgAHAAaABvAHMAcABoAGEAdABlACAAKABNAEEAUAApAFwAIgAsADAALgAzADYAOAAsAFwAIgBaAGkAbgBjAFwAIgAsAFwAIgBOAG8AIABkAGEAdABhAFwAIgAsAFwAIgBDAG8AcABwAGUAcgBcACIALABcACIATgBvACAAZABhAHQAYQBcACIALABcACIATQBvAGwAeQBiAGQAZQBuAHUAbQBcACIALABcACIATgBvACAAZABhAHQAYQBcACIALABcACIAQwBvAGIAYQBsAHQAXAAiACwAXAAiAE4AbwAgAGQAYQB0AGEAXAAiACwAXAAiAFwAIgAsAFwAIgBcACIALABcACIAXAAiACwAXAAiAFwAIgAsAFwAIgBcACIALABcACIAXAAiACwAXAAiAFwAIgAsAFwAIgBcACIAOwBcAG4AXAAiAEMAUwBCAFAAXAAiACwAXAAiAFMAdQBwAGUAcgAgAEMAbwBwAHAAZQByACAAWgBpAG4AYwAgAE0AbwBsAHkAXAAiACwAXAAiAGsAZwBcACIALAAxACwAXAAiAFwAIgAsAFwAIgBcACIALABcACIAXAAiACwAXAAiAFwAIgAsADgALgA4ACwAXAAiAFwAIgAsADEAMQAsAFwAIgBTAGkAbgBnAGwAZQAgAHMAdQBwAGUAcgBwAGgAbwBzAHAAaABhAHQAZQAgACgAUwBTAFAAKQBcACIALAAxACwAXAAiAEMAbwBwAHAAZQByAFwAIgAsADAALgAwADAANgAsAFwAIgBaAGkAbgBjAFwAIgAsADAALgAwADAAMwAsAFwAIgBNAG8AbAB5AGIAZABlAG4AdQBtAFwAIgAsADAALgAwADAAMAA2ACwAXAAiAFwAIgAsAFwAIgBcACIALABcACIAXAAiACwAXAAiAFwAIgAsAFwAIgBcACIALABcACIAXAAiACwAXAAiAFwAIgAsAFwAIgBcACIALABcACIAXAAiACwAXAAiAFwAIgAsAFwAIgBcACIALABcACIAXAAiADsAXABuAFwAIgBDAFMAQgBQAFwAIgAsAFwAIgBGAGwAZQB4AGkALQBOAFwAIgAsAFwAIgBMAFwAIgAsADEALgAzADIALABcACIAXAAiACwAXAAiAFwAIgAsAFwAIgBcACIALAAzADIALABcACIAXAAiACwAXAAiAFwAIgAsAFwAIgBcACIALABcACIAVQByAGUAYQAtAGEAbQBtAG8AbgBpAHUAbQAgAG4AaQB0AHIAYQB0AGUAIAAoAFUAQQBOACkAXAAiACwAMQAsAFwAIgBcACIALABcACIAXAAiACwAXAAiAFwAIgAsAFwAIgBcACIALABcACIAXAAiACwAXAAiAFwAIgAsAFwAIgBcACIALABcACIAXAAiACwAXAAiAFwAIgAsAFwAIgBcACIALABcACIAXAAiACwAXAAiAFwAIgAsAFwAIgBcACIALABcACIAXAAiACwAXAAiAFwAIgAsAFwAIgBcACIALABcACIAXAAiACwAXAAiAFwAIgBcAG4AIAAgAH0ALAAgAHIALAAgAGMAKQBcAG4AIAApACkAKQBcAG4AXABuAFwAbgBcAG4AIgB9ACwAewAiAHAAYQB0AGgAIgA6ACIALwBwAHIAbwBqAGUAYwB0AHMALwBFAGwAZQBjAHQAcgBpAGMAaQB0AHkAXwBFAHEAdQBhAHQAaQBvAG4AcwAiACwAIgB0AGUAeAB0ACIAOgAiAC8AKgBcAG4APQA9AD0APQA9AD0APQA9AD0APQA9AD0APQA9AD0APQA9AD0APQA9AD0APQA9AD0APQA9AD0APQA9AD0APQA9AD0APQA9AD0APQA9AD0APQA9AD0APQA9AD0APQA9AD0APQA9AD0APQA9AD0APQA9AD0APQA9AD0APQA9AD0APQA9AD0APQA9AD0APQA9AD0APQA9AD0APQBcAG4AMQA0ADoAIABFAGwAZQBjAHQAcgBpAGMAaQB0AHkAXABuAD0APQA9AD0APQA9AD0APQA9AD0APQA9AD0APQA9AD0APQA9AD0APQA9AD0APQA9AD0APQA9AD0APQA9AD0APQA9AD0APQA9AD0APQA9AD0APQA9AD0APQA9AD0APQA9AD0APQA9AD0APQA9AD0APQA9AD0APQA9AD0APQA9AD0APQA9AD0APQA9AD0APQA9AD0APQA9AD0AXABuADEANAAuADEALgAxACAAUAB1AHIAYwBoAGEAcwBlAGQAIABFAGwAZQBjAHQAcgBpAGMAaQB0AHkAIAAoAEwAbwBjAGEAdABpAG8AbgAtAEIAYQBzAGUAZAApAFwAbgAxADQALgAxAC4AMgAgAFAAdQByAGMAaABhAHMAZQBkACAARQBsAGUAYwB0AHIAaQBjAGkAdAB5ACAAKABNAGEAcgBrAGUAdAAtAEIAYQBzAGUAZAApAFwAbgA9AD0APQA9AD0APQA9AD0APQA9AD0APQA9AD0APQA9AD0APQA9AD0APQA9AD0APQA9AD0APQA9AD0APQA9AD0APQA9AD0APQA9AD0APQA9AD0APQA9AD0APQA9AD0APQA9AD0APQA9AD0APQA9AD0APQA9AD0APQA9AD0APQA9AD0APQA9AD0APQA9AD0APQA9AD0APQA9AFwAbgAqAC8AXABuAFwAbgAvACoAXABuAC0ALQAtAC0ALQAtAC0ALQAtAC0ALQAtAC0ALQAtAC0ALQAtAC0ALQAtAC0ALQAtAC0ALQAtAC0ALQAtAC0ALQAtAC0ALQAtAC0ALQBcAG4AVgBFAEUAUgBHAF8AMQA0AF8AMQBfADEAXwBfADEAXwBMAG8AYwBhAHQAaQBvAG4AQgBhAHMAZQBkAFMAYwBvAHAAZQBFAGwAZQBjAHQAcgBpAGMAaQB0AHkARQBtAGkAcwBzAGkAbwBuAHMAXABuAEwAbwBjAGEAdABpAG8AbgAtAGIAYQBzAGUAZAAgAFMAYwBvAHAAZQAgADIAIABlAG0AaQBzAHMAaQBvAG4AcwAgAGYAcgBvAG0AIABwAHUAcgBjAGgAYQBzAGUAZAAgAGUAbABlAGMAdAByAGkAYwBpAHQAeQBcAG4ARQBfADIAZQBsAGUAYwBcAG4AdAAgAEMATwAyAGUAXABuAEUAXwB7ADIALABlAGwAZQBjAH0APQBRAF8AewBlAGwAZQBjAH0AXABcAHQAaQBtAGUAcwAgAEUARgBfAHsAMgAsAGUAbABlAGMAfQBcAFwAdABpAG0AZQBzACAAMQAwAF4AewAtADMAfQBcAG4AUQBfAGUAbABlAGMAIAA9ACAAYQBtAG8AdQBuAHQAIABvAGYAIABlAGwAZQBjAHQAcgBpAGMAaQB0AHkAIABwAHUAcgBjAGgAYQBzAGUAZAAgAGYAcgBvAG0AIAB0AGgAZQAgAGcAcgBpAGQAIAAoAGsAVwBoACkAXABuAEUARgBfADIAZQBsAGUAYwAgAD0AIABsAG8AYwBhAHQAaQBvAG4ALQBiAGEAcwBlAGQAIABTAGMAbwBwAGUAIAAyACAAZQBtAGkAcwBzAGkAbwBuACAAZgBhAGMAdABvAHIAIABmAG8AcgAgAGUAbABlAGMAdAByAGkAYwBpAHQAeQAgACgAawBnACAAQwBPADIAZQAvAGsAVwBoACkAXABuAC0ALQAtAC0ALQAtAC0ALQAtAC0ALQAtAC0ALQAtAC0ALQAtAC0ALQAtAC0ALQAtAC0ALQAtAC0ALQAtAC0ALQAtAC0ALQAtAC0ALQBcAG4AKgAvAFwAbgBcAG4AVgBFAEUAUgBHAF8AMQA0AF8AMQBfADEAXwBfADEAXwBMAG8AYwBhAHQAaQBvAG4AQgBhAHMAZQBkAFMAYwBvAHAAZQBFAGwAZQBjAHQAcgBpAGMAaQB0AHkARQBtAGkAcwBzAGkAbwBuAHMAXABuACAAIAA9AEwAQQBNAEIARABBACgAXABuACAAIAAgACAAUQBfAGUAbABlAGMALAAgAEUARgBfADIAZQBsAGUAYwAsAFwAbgAgACAAIAAgAFEAXwBlAGwAZQBjACAAKgAgAEUARgBfADIAZQBsAGUAYwAgACoAIAAxADAAIABeACAALQAzAFwAbgAgACAAKQA7AFwAbgBcAG4AVgBFAEUAUgBHAF8AMQA0AF8AMQBfADEAXwBfADEAXwBMAG8AYwBhAHQAaQBvAG4AQgBhAHMAZQBkAFMAYwBvAHAAZQBFAGwAZQBjAHQAcgBpAGMAaQB0AHkARQBtAGkAcwBzAGkAbwBuAHMAXwBUAGkAdABsAGUAXABuACAAIAA9AEwAQQBNAEIARABBACgAXAAiAEwAbwBjAGEAdABpAG8AbgAtAGIAYQBzAGUAZAAgAFMAYwBvAHAAZQAgADIAIABlAG0AaQBzAHMAaQBvAG4AcwAgAGYAcgBvAG0AIABwAHUAcgBjAGgAYQBzAGUAZAAgAGUAbABlAGMAdAByAGkAYwBpAHQAeQBcACIAKQA7AFwAbgBcAG4AVgBFAEUAUgBHAF8AMQA0AF8AMQBfADEAXwBfADEAXwBMAG8AYwBhAHQAaQBvAG4AQgBhAHMAZQBkAFMAYwBvAHAAZQBFAGwAZQBjAHQAcgBpAGMAaQB0AHkARQBtAGkAcwBzAGkAbwBuAHMAXwBWAGEAcgBpAGEAYgBsAGUAXABuACAAIAA9AEwAQQBNAEIARABBACgAXAAiAEUAXwAyAGUAbABlAGMAXAAiACkAOwBcAG4AXABuAFYARQBFAFIARwBfADEANABfADEAXwAxAF8AXwAxAF8ATABvAGMAYQB0AGkAbwBuAEIAYQBzAGUAZABTAGMAbwBwAGUARQBsAGUAYwB0AHIAaQBjAGkAdAB5AEUAbQBpAHMAcwBpAG8AbgBzAF8AVQBuAGkAdABcAG4AIAAgAD0ATABBAE0AQgBEAEEAKABcACIAdAAgAEMATwAyAGUAXAAiACkAOwBcAG4AXABuAFYARQBFAFIARwBfADEANABfADEAXwAxAF8AXwAxAF8ATABvAGMAYQB0AGkAbwBuAEIAYQBzAGUAZABTAGMAbwBwAGUARQBsAGUAYwB0AHIAaQBjAGkAdAB5AEUAbQBpAHMAcwBpAG8AbgBzAF8AUwBvAHUAcgBjAGUAXABuACAAIAA9AEwAQQBNAEIARABBACgAXAAiAFYARQBFAFIARwAgADIAMAAyADYAOgAgADEANAAuADEALgAxACwAIABFAHEAdQBhAHQAaQBvAG4AIAAoADEAKQBcACIAKQA7AFwAbgBcAG4AVgBFAEUAUgBHAF8AMQA0AF8AMQBfADEAXwBfADEAXwBMAG8AYwBhAHQAaQBvAG4AQgBhAHMAZQBkAFMAYwBvAHAAZQBFAGwAZQBjAHQAcgBpAGMAaQB0AHkARQBtAGkAcwBzAGkAbwBuAHMAXwBOAEkAUgBSAGUAZgBlAHIAZQBuAGMAZQBcAG4AIAAgAD0ATABBAE0AQgBEAEEAKABcACIAXAAiACkAOwBcAG4AXABuAFYARQBFAFIARwBfADEANABfADEAXwAxAF8AXwAxAF8ATABvAGMAYQB0AGkAbwBuAEIAYQBzAGUAZABTAGMAbwBwAGUARQBsAGUAYwB0AHIAaQBjAGkAdAB5AEUAbQBpAHMAcwBpAG8AbgBzAF8ATABhAHQAZQB4AEUAcQB1AGEAdABpAG8AbgBcAG4AIAAgAD0ATABBAE0AQgBEAEEAKABcACIARQBfAHsAMgAsAGUAbABlAGMAfQA9AFEAXwB7AGUAbABlAGMAfQBcAFwAdABpAG0AZQBzACAARQBGAF8AewAyACwAZQBsAGUAYwB9AFwAXAB0AGkAbQBlAHMAIAAxADAAXgB7AC0AMwB9AFwAIgApADsAXABuAFwAbgBWAEUARQBSAEcAXwAxADQAXwAxAF8AMQBfAF8AMQBfAEwAbwBjAGEAdABpAG8AbgBCAGEAcwBlAGQAUwBjAG8AcABlAEUAbABlAGMAdAByAGkAYwBpAHQAeQBFAG0AaQBzAHMAaQBvAG4AcwBfAEEAcgBnAHUAbQBlAG4AdABzAFwAbgAgACAAPQBMAEEATQBCAEQAQQAoAFwAbgAgACAAIAAgAE0AQQBLAEUAQQBSAFIAQQBZACgAMwAsACAANAAsAFwAbgAgACAAIAAgACAAIABMAEEATQBCAEQAQQAoAHIALABjACwAXABuACAAIAAgACAAIAAgACAAIABJAE4ARABFAFgAKAB7AFwAbgAgACAAIAAgACAAIAAgACAAIAAgAFwAIgBRAF8AZQBsAGUAYwBcACIALAAgAFwAIgBhAG0AbwB1AG4AdAAgAG8AZgAgAGUAbABlAGMAdAByAGkAYwBpAHQAeQAgAHAAdQByAGMAaABhAHMAZQBkACAAZgByAG8AbQAgAHQAaABlACAAZwByAGkAZABcACIALAAgAFwAIgBrAFcAaABcACIALAAgAFwAIgBJAG4AcAB1AHQAXAAiADsAXABuACAAIAAgACAAIAAgACAAIAAgACAAXAAiAEUARgBfADIAZQBsAGUAYwBcACIALAAgAFwAIgBsAG8AYwBhAHQAaQBvAG4ALQBiAGEAcwBlAGQAIABTAGMAbwBwAGUAIAAyACAAZQBtAGkAcwBzAGkAbwBuACAAZgBhAGMAdABvAHIAIABmAG8AcgAgAGUAbABlAGMAdAByAGkAYwBpAHQAeQBcACIALAAgAFwAIgBrAGcAIABDAE8AMgBlAC8AawBXAGgAXAAiACwAIABcACIAQwBvAG4AcwB0AGEAbgB0AFwAIgA7AFwAbgAgACAAIAAgACAAIAAgACAAIAAgAFwAIgBnAFwAIgAsACAAXAAiAEcAcgBpAGQAIABlAGwAZQBjAHQAcgBpAGMAaQB0AHkAIAB3AGEAcwAgAHAAdQByAGMAaABhAHMAZQBkACAAZgByAG8AbQBcACIALAAgAFwAIgBcACIALAAgAFwAIgBJAG4AcAB1AHQAXAAiAFwAbgAgACAAIAAgACAAIAAgACAAfQAsACAAcgAsACAAYwApAFwAbgAgACAAIAAgACAAIAApAFwAbgAgACAAIAAgACkAXABuACAAIAApADsAXABuAFwAbgBWAEUARQBSAEcAXwAxADQAXwAxAF8AMQBfAF8AMQBfAEwAbwBjAGEAdABpAG8AbgBCAGEAcwBlAGQAUwBjAG8AcABlAEUAbABlAGMAdAByAGkAYwBpAHQAeQBFAG0AaQBzAHMAaQBvAG4AcwBfAFYAYQByAGkAYQB0AGkAbwBuAFwAbgAgACAAPQBMAEEATQBCAEQAQQAoAFwAIgBBAGQAZABlAGQAIABnACAAdgBhAHIAaQBhAGIAbABlACAAdABvACAAYwBhAHAAdAB1AHIAZQAgAHcAaABpAGMAaAAgAGcAcgBpAGQAIABlAGwAZQBjAHQAcgBpAGMAaQB0AHkAIAB3AGEAcwAgAHAAdQByAGMAaABhAHMAZQBkACAAZgByAG8AbQBcACIAKQA7AFwAbgBcAG4ALwAqAFwAbgAtAC0ALQAtAC0ALQAtAC0ALQAtAC0ALQAtAC0ALQAtAC0ALQAtAC0ALQAtAC0ALQAtAC0ALQAtAC0ALQAtAC0ALQAtAC0ALQAtAC0AXABuAFYARQBFAFIARwBfADEANABfADEAXwAyAF8AXwAxAF8ATQBhAHIAawBlAHQAQgBhAHMAZQBkAFMAYwBvAHAAZQBFAGwAZQBjAHQAcgBpAGMAaQB0AHkARQBtAGkAcwBzAGkAbwBuAHMAXABuAE0AYQByAGsAZQB0AC0AYgBhAHMAZQBkACAAUwBjAG8AcABlACAAMgAgAGUAbQBpAHMAcwBpAG8AbgBzACAAZgByAG8AbQAgAHAAdQByAGMAaABhAHMAZQBkACAAZQBsAGUAYwB0AHIAaQBjAGkAdAB5AFwAbgBFAF8AMgBlAGwAZQBjAFwAbgB0ACAAQwBPADIAZQBcAG4ARQBfAHsAMgAsAGUAbABlAGMAfQA9ACgAKABRAF8AewBlAGwAZQBjAH0AXABcAHQAaQBtAGUAcwAoADEALQAoAFIAUABQACsASgBSAFAAUAApACkAKQAtACgAKABSAEUAQwBfAHsAcwB1AHIAcgBlAG4AZABlAHIAZQBkAH0ALQBSAEUAQwBfAHsAbwBuAHMAaQB0AGUAfQApAFwAXAB0AGkAbQBlAHMAIAAxADAAXgB7AC0AMwB9ACkAKQBcAFwAdABpAG0AZQBzACAARQBGAF8AewBSAE0ARgAyACwAZQBsAGUAYwB9AFwAXAB0AGkAbQBlAHMAIAAxADAAXgB7AC0AMwB9AFwAbgBRAF8AZQBsAGUAYwAgAD0AIABhAG0AbwB1AG4AdAAgAG8AZgAgAGUAbABlAGMAdAByAGkAYwBpAHQAeQAgAHAAdQByAGMAaABhAHMAZQBkACAAZgByAG8AbQAgAHQAaABlACAAZwByAGkAZAAgACgAawBXAGgAKQBcAG4AUgBQAFAAIAA9ACAAUgBlAG4AZQB3AGEAYgBsAGUAIABQAG8AdwBlAHIAIABQAGUAcgBjAGUAbgB0AGEAZwBlACAAdQBuAGQAZQByACAAdABoAGUAIABMAGEAcgBnAGUALQBzAGMAYQBsAGUAIABSAGUAbgBlAHcAYQBiAGwAZQAgAEUAbgBlAHIAZwB5ACAAVABhAHIAZwBlAHQAIAAoAEwAUgBFAFQAKQAgAGYAbwByACAAdABoAGUAIABhAHAAcABsAGkAYwBhAGIAbABlACAAcABlAHIAaQBvAGQAIAAoAHAAZQByACAAYwBlAG4AdAApAFwAbgBKAFIAUABQACAAPQAgAGoAdQByAGkAcwBkAGkAYwB0AGkAbwBuAGEAbAAgAHIAZQBuAGUAdwBhAGIAbABlACAAcABvAHcAZQByACAAcABlAHIAYwBlAG4AdABhAGcAZQAgAGYAbwByACAAdABoAGUAIABhAHAAcABsAGkAYwBhAGIAbABlACAAcABlAHIAaQBvAGQAIAAoAG8AbgBsAHkAIABhAHAAcABsAGkAZQBzACAAdABvACAAdABoAGUAIABBAEMAVAApACAAKABwAGUAcgAgAGMAZQBuAHQAKQBcAG4AUgBFAEMAXwBzAHUAcgByAGUAbgBkAGUAcgBlAGQAIAA9ACAAbgB1AG0AYgBlAHIAIABvAGYAIABlAGwAaQBnAGkAYgBsAGUAIABSAGUAbgBlAHcAYQBiAGwAZQAgAEUAbgBlAHIAZwB5ACAAQwBlAHIAdABpAGYAaQBjAGEAdABlAHMAIAB2AG8AbAB1AG4AdABhAHIAaQBsAHkAIABzAHUAcgByAGUAbgBkAGUAcgBlAGQAIABpAG4AIAB0AGgAZQAgAHIAZQBwAG8AcgB0AGkAbgBnACAAeQBlAGEAcgAgAGUAcQB1AGkAdgBhAGwAZQBuAHQAIAB0AG8AIABtAGUAZwBhAHcAYQB0AHQAIABoAG8AdQByAHMAIAAoAE0AVwBoACkAXABuAFIARQBDAF8AbwBuAHMAaQB0AGUAIAA9ACAAbgB1AG0AYgBlAHIAIABvAGYAIABlAGwAaQBnAGkAYgBsAGUAIABSAGUAbgBlAHcAYQBiAGwAZQAgAEUAbgBlAHIAZwB5ACAAQwBlAHIAdABpAGYAaQBjAGEAdABlAHMAIAB0AGgAYQB0ACAAaABhAHYAZQAgAGIAZQBlAG4AIABvAHIAIAB3AGkAbABsACAAYgBlACAAaQBzAHMAdQBlAGQAIABmAG8AcgAgAGUAbABlAGMAdAByAGkAYwBpAHQAeQAgAHAAcgBvAGQAdQBjAGUAZAAgAG8AbgAtAHMAaQB0AGUAIABkAHUAcgBpAG4AZwAgAHQAaABlACAAeQBlAGEAcgAgAGEAbgBkACAAYwBvAG4AcwB1AG0AZQBkACAAYgB5ACAAdABoAGUAIABlAG4AdABpAHQAeQAgAGUAcQB1AGkAdgBhAGwAZQBuAHQAIAB0AG8AIABtAGUAZwBhAHcAYQB0AHQAIABoAG8AdQByAHMAIAAoAE0AVwBoACkAXABuAEUARgBfAFIATQBGADIAZQBsAGUAYwAgAD0AIABTAGMAbwBwAGUAIAAyACAAcgBlAHMAaQBkAHUAYQBsACAAbQBpAHgAIABlAG0AaQBzAHMAaQBvAG4AIABmAGEAYwB0AG8AcgAgAGYAbwByACAAZQBsAGUAYwB0AHIAaQBjAGkAdAB5ACAAKABrAGcAIABDAE8AMgBlAC8AawBXAGgAKQBcAG4ALQAtAC0ALQAtAC0ALQAtAC0ALQAtAC0ALQAtAC0ALQAtAC0ALQAtAC0ALQAtAC0ALQAtAC0ALQAtAC0ALQAtAC0ALQAtAC0ALQAtAFwAbgAqAC8AXABuAFwAbgBWAEUARQBSAEcAXwAxADQAXwAxAF8AMgBfAF8AMQBfAE0AYQByAGsAZQB0AEIAYQBzAGUAZABTAGMAbwBwAGUARQBsAGUAYwB0AHIAaQBjAGkAdAB5AEUAbQBpAHMAcwBpAG8AbgBzAFwAbgAgACAAPQBMAEEATQBCAEQAQQAoAFwAbgAgACAAIAAgAFEAXwBlAGwAZQBjACwAIABSAFAAUAAsACAASgBSAFAAUAAsACAAUgBFAEMAXwBzAHUAcgByAGUAbgBkAGUAcgBlAGQALAAgAFIARQBDAF8AbwBuAHMAaQB0AGUALAAgAEUARgBfAFIATQBGADIAZQBsAGUAYwAsAFwAbgAgACAAIAAgACgAKABRAF8AZQBsAGUAYwAgACoAIAAoADEAIAAtACAAKABSAFAAUAAgACsAIABKAFIAUABQACkAKQApACAALQAgACgAKABSAEUAQwBfAHMAdQByAHIAZQBuAGQAZQByAGUAZAAgAC0AIABSAEUAQwBfAG8AbgBzAGkAdABlACkAIAAqACAAMQAwACAAXgAgAC0AMwApACkAIAAqACAARQBGAF8AUgBNAEYAMgBlAGwAZQBjACAAKgAgADEAMAAgAF4AIAAtADMAXABuACAAIAApADsAXABuAFwAbgBWAEUARQBSAEcAXwAxADQAXwAxAF8AMgBfAF8AMQBfAE0AYQByAGsAZQB0AEIAYQBzAGUAZABTAGMAbwBwAGUARQBsAGUAYwB0AHIAaQBjAGkAdAB5AEUAbQBpAHMAcwBpAG8AbgBzAFYAYQByAGkAYQB0AGkAbwBuAFwAbgAgACAAPQBMAEEATQBCAEQAQQAoAFwAbgAgACAAIAAgAFEAXwBlAGwAZQBjACwAIABSAFAAUAAsACAASgBSAFAAUAAsACAAUgBFAEMAXwBzAHUAcgByAGUAbgBkAGUAcgBlAGQALAAgAFIARQBDAF8AbwBuAHMAaQB0AGUALAAgAEUARgBfAFIATQBGADIAZQBsAGUAYwAsAFwAbgAgACAAIAAgACgAKABRAF8AZQBsAGUAYwAgACoAIAAoADEAIAAtACAAKABSAFAAUAAgACsAIABKAFIAUABQACkAKQApACAALQAgACgAKABSAEUAQwBfAHMAdQByAHIAZQBuAGQAZQByAGUAZAAgAC0AIABSAEUAQwBfAG8AbgBzAGkAdABlACkAIAAqACAAMQAwACAAXgAgADMAKQApACAAKgAgAEUARgBfAFIATQBGADIAZQBsAGUAYwAgACoAIAAxADAAIABeACAALQAzAFwAbgAgACAAKQA7AFwAbgBcAG4AVgBFAEUAUgBHAF8AMQA0AF8AMQBfADIAXwBfADEAXwBNAGEAcgBrAGUAdABCAGEAcwBlAGQAUwBjAG8AcABlAEUAbABlAGMAdAByAGkAYwBpAHQAeQBFAG0AaQBzAHMAaQBvAG4AcwBfAFQAaQB0AGwAZQBcAG4AIAAgAD0ATABBAE0AQgBEAEEAKABcACIATQBhAHIAawBlAHQALQBiAGEAcwBlAGQAIABTAGMAbwBwAGUAIAAyACAAZQBtAGkAcwBzAGkAbwBuAHMAIABmAHIAbwBtACAAcAB1AHIAYwBoAGEAcwBlAGQAIABlAGwAZQBjAHQAcgBpAGMAaQB0AHkAXAAiACkAOwBcAG4AXABuAFYARQBFAFIARwBfADEANABfADEAXwAyAF8AXwAxAF8ATQBhAHIAawBlAHQAQgBhAHMAZQBkAFMAYwBvAHAAZQBFAGwAZQBjAHQAcgBpAGMAaQB0AHkARQBtAGkAcwBzAGkAbwBuAHMAXwBWAGEAcgBpAGEAYgBsAGUAXABuACAAIAA9AEwAQQBNAEIARABBACgAXAAiAEUAXwAyAGUAbABlAGMAXAAiACkAOwBcAG4AXABuAFYARQBFAFIARwBfADEANABfADEAXwAyAF8AXwAxAF8ATQBhAHIAawBlAHQAQgBhAHMAZQBkAFMAYwBvAHAAZQBFAGwAZQBjAHQAcgBpAGMAaQB0AHkARQBtAGkAcwBzAGkAbwBuAHMAXwBVAG4AaQB0AFwAbgAgACAAPQBMAEEATQBCAEQAQQAoAFwAIgB0ACAAQwBPADIAZQBcACIAKQA7AFwAbgBcAG4AVgBFAEUAUgBHAF8AMQA0AF8AMQBfADIAXwBfADEAXwBNAGEAcgBrAGUAdABCAGEAcwBlAGQAUwBjAG8AcABlAEUAbABlAGMAdAByAGkAYwBpAHQAeQBFAG0AaQBzAHMAaQBvAG4AcwBfAFMAbwB1AHIAYwBlAFwAbgAgACAAPQBMAEEATQBCAEQAQQAoAFwAIgBWAEUARQBSAEcAIAAyADAAMgA2ADoAIAAxADQALgAxAC4AMgAsACAARQBxAHUAYQB0AGkAbwBuACAAKAAxACkAXAAiACkAOwBcAG4AXABuAFYARQBFAFIARwBfADEANABfADEAXwAyAF8AXwAxAF8ATQBhAHIAawBlAHQAQgBhAHMAZQBkAFMAYwBvAHAAZQBFAGwAZQBjAHQAcgBpAGMAaQB0AHkARQBtAGkAcwBzAGkAbwBuAHMAXwBOAEkAUgBSAGUAZgBlAHIAZQBuAGMAZQBcAG4AIAAgAD0ATABBAE0AQgBEAEEAKABcACIAXAAiACkAOwBcAG4AXABuAFYARQBFAFIARwBfADEANABfADEAXwAyAF8AXwAxAF8ATQBhAHIAawBlAHQAQgBhAHMAZQBkAFMAYwBvAHAAZQBFAGwAZQBjAHQAcgBpAGMAaQB0AHkARQBtAGkAcwBzAGkAbwBuAHMAXwBMAGEAdABlAHgARQBxAHUAYQB0AGkAbwBuAFwAbgAgACAAPQBMAEEATQBCAEQAQQAoAFwAIgBFAF8AewAyACwAZQBsAGUAYwB9AD0AKABRAF8AewBlAGwAZQBjAH0AIABcAFwAdABpAG0AZQBzACAAKAAxAC0AKABSAFAAUAArAEoAUgBQAFAAKQApACAALQAgACgAKABSAEUAQwBfAHsAcwB1AHIAcgBlAG4AZABlAHIAZQBkAH0ALQBSAEUAQwBfAHsAbwBuAHMAaQB0AGUAfQApAFwAXAB0AGkAbQBlAHMAIAAxADAAXgB7AC0AMwB9ACkAKQAgAFwAXAB0AGkAbQBlAHMAIABFAEYAXwB7AFIATQBGADIALABlAGwAZQBjAH0AIABcAFwAdABpAG0AZQBzACAAMQAwAF4AewAtADMAfQBcACIAKQA7AFwAbgBcAG4AVgBFAEUAUgBHAF8AMQA0AF8AMQBfADIAXwBfADEAXwBNAGEAcgBrAGUAdABCAGEAcwBlAGQAUwBjAG8AcABlAEUAbABlAGMAdAByAGkAYwBpAHQAeQBFAG0AaQBzAHMAaQBvAG4AcwBWAGEAcgBpAGEAdABpAG8AbgBfAEwAYQB0AGUAeABFAHEAdQBhAHQAaQBvAG4AXABuACAAIAA9AEwAQQBNAEIARABBACgAXAAiAEUAXwB7ADIALABlAGwAZQBjAH0APQAoAFEAXwB7AGUAbABlAGMAfQAgAFwAXAB0AGkAbQBlAHMAIAAoADEALQAoAFIAUABQACsASgBSAFAAUAApACkAIAAtACAAKAAoAFIARQBDAF8AewBzAHUAcgByAGUAbgBkAGUAcgBlAGQAfQAtAFIARQBDAF8AewBvAG4AcwBpAHQAZQB9ACkAXABcAHQAaQBtAGUAcwAgADEAMABeAHsAMwB9ACkAKQAgAFwAXAB0AGkAbQBlAHMAIABFAEYAXwB7AFIATQBGADIALABlAGwAZQBjAH0AIABcAFwAdABpAG0AZQBzACAAMQAwAF4AewAtADMAfQBcACIAKQA7AFwAbgBcAG4AVgBFAEUAUgBHAF8AMQA0AF8AMQBfADIAXwBfADEAXwBNAGEAcgBrAGUAdABCAGEAcwBlAGQAUwBjAG8AcABlAEUAbABlAGMAdAByAGkAYwBpAHQAeQBFAG0AaQBzAHMAaQBvAG4AcwBfAEEAcgBnAHUAbQBlAG4AdABzAFwAbgAgACAAPQBMAEEATQBCAEQAQQAoAFwAbgAgACAAIAAgAE0AQQBLAEUAQQBSAFIAQQBZACgANwAsACAANAAsAFwAbgAgACAAIAAgACAAIABMAEEATQBCAEQAQQAoAHIALABjACwAXABuACAAIAAgACAAIAAgACAAIABJAE4ARABFAFgAKAB7AFwAbgAgACAAIAAgACAAIAAgACAAIAAgAFwAIgBRAF8AZQBsAGUAYwBcACIALAAgAFwAIgBhAG0AbwB1AG4AdAAgAG8AZgAgAGUAbABlAGMAdAByAGkAYwBpAHQAeQAgAHAAdQByAGMAaABhAHMAZQBkACAAZgByAG8AbQAgAHQAaABlACAAZwByAGkAZABcACIALAAgAFwAIgBrAFcAaABcACIALAAgAFwAIgBJAG4AcAB1AHQAXAAiADsAXABuACAAIAAgACAAIAAgACAAIAAgACAAXAAiAFIAUABQAFwAIgAsACAAXAAiAFIAZQBuAGUAdwBhAGIAbABlACAAUABvAHcAZQByACAAUABlAHIAYwBlAG4AdABhAGcAZQAgAHUAbgBkAGUAcgAgAHQAaABlACAATABhAHIAZwBlAC0AcwBjAGEAbABlACAAUgBlAG4AZQB3AGEAYgBsAGUAIABFAG4AZQByAGcAeQAgAFQAYQByAGcAZQB0ACAAKABMAFIARQBUACkAXAAiACwAIABcACIAcABlAHIAIABjAGUAbgB0AFwAIgAsACAAXAAiAEkAbgBwAHUAdABcACIAOwBcAG4AIAAgACAAIAAgACAAIAAgACAAIABcACIASgBSAFAAUABcACIALAAgAFwAIgBqAHUAcgBpAHMAZABpAGMAdABpAG8AbgBhAGwAIAByAGUAbgBlAHcAYQBiAGwAZQAgAHAAbwB3AGUAcgAgAHAAZQByAGMAZQBuAHQAYQBnAGUAIABmAG8AcgAgAHQAaABlACAAYQBwAHAAbABpAGMAYQBiAGwAZQAgAHAAZQByAGkAbwBkACAAKABBAEMAVAAgAG8AbgBsAHkAKQBcACIALAAgAFwAIgBwAGUAcgAgAGMAZQBuAHQAXAAiACwAIABcACIASQBuAHAAdQB0AFwAIgA7AFwAbgAgACAAIAAgACAAIAAgACAAIAAgAFwAIgBSAEUAQwBfAHMAdQByAHIAZQBuAGQAZQByAGUAZABcACIALAAgAFwAIgBSAGUAbgBlAHcAYQBiAGwAZQAgAEUAbgBlAHIAZwB5ACAAQwBlAHIAdABpAGYAaQBjAGEAdABlAHMAIAB2AG8AbAB1AG4AdABhAHIAaQBsAHkAIABzAHUAcgByAGUAbgBkAGUAcgBlAGQAIABpAG4AIAB0AGgAZQAgAHIAZQBwAG8AcgB0AGkAbgBnACAAeQBlAGEAcgBcACIALAAgAFwAIgBNAFcAaABcACIALAAgAFwAIgBJAG4AcAB1AHQAXAAiADsAXABuACAAIAAgACAAIAAgACAAIAAgACAAXAAiAFIARQBDAF8AbwBuAHMAaQB0AGUAXAAiACwAIABcACIAUgBlAG4AZQB3AGEAYgBsAGUAIABFAG4AZQByAGcAeQAgAEMAZQByAHQAaQBmAGkAYwBhAHQAZQBzACAAaQBzAHMAdQBlAGQAIABmAG8AcgAgAGUAbABlAGMAdAByAGkAYwBpAHQAeQAgAHAAcgBvAGQAdQBjAGUAZAAgAG8AbgAtAHMAaQB0AGUAIABkAHUAcgBpAG4AZwAgAHQAaABlACAAeQBlAGEAcgAgAGEAbgBkACAAYwBvAG4AcwB1AG0AZQBkACAAYgB5ACAAdABoAGUAIABlAG4AdABpAHQAeQBcACIALAAgAFwAIgBNAFcAaABcACIALAAgAFwAIgBJAG4AcAB1AHQAXAAiADsAXABuACAAIAAgACAAIAAgACAAIAAgACAAXAAiAEUARgBfAFIATQBGADIAZQBsAGUAYwBcACIALAAgAFwAIgBTAGMAbwBwAGUAIAAyACAAcgBlAHMAaQBkAHUAYQBsACAAbQBpAHgAIABlAG0AaQBzAHMAaQBvAG4AIABmAGEAYwB0AG8AcgAgAGYAbwByACAAZQBsAGUAYwB0AHIAaQBjAGkAdAB5AFwAIgAsACAAXAAiAGsAZwAgAEMATwAyAGUALwBrAFcAaABcACIALAAgAFwAIgBDAG8AbgBzAHQAYQBuAHQAXAAiADsAXABuACAAIAAgACAAIAAgACAAIAAgACAAXAAiAGkAXAAiACwAIABcACIAcwB0AGEAdABlAFwAIgAsACAAXAAiAFwAIgAsACAAXAAiAEkAbgBwAHUAdABcACIAXABuACAAIAAgACAAIAAgACAAIAB9ACwAIAByACwAIABjACkAXABuACAAIAAgACAAIAAgACkAXABuACAAIAAgACAAKQBcAG4AIAAgACkAOwBcAG4AXABuAFYARQBFAFIARwBfADEANABfADEAXwAyAF8AXwAxAF8ATQBhAHIAawBlAHQAQgBhAHMAZQBkAFMAYwBvAHAAZQBFAGwAZQBjAHQAcgBpAGMAaQB0AHkARQBtAGkAcwBzAGkAbwBuAHMAXwBWAGEAcgBpAGEAdABpAG8AbgBcAG4AIAAgAD0ATABBAE0AQgBEAEEAKABcACIAVgBBAFIASQBBAFQASQBPAE4AIABPAE4AIABTAE8AVQBSAEMARQA6ACAASQBuACAAbwByAGQAZQByACAAdABvACAAYwBvAG4AdgBlAHIAdAAgAG0AZQBnAGEAdwBhAHQAdAAgAGgAbwB1AHIAcwAgAHQAbwAgAGsAaQBsAG8AdwBhAHQAdAAgAGgAbwB1AHIAcwAsACAAdABoAGUAIABSAEUAQwBfAHMAdQByAHIAZQBuAGQAZQByAGUAZAAgAGEAbgBkACAAUgBFAEMAXwBvAG4AcwBpAHQAZQAgAHYAYQByAGkAYQBiAGwAZQBzACAAYQByAGUAIABtAHUAbAB0AGkAcABsAGkAZQBkACAAYgB5ACAAMQAwAF4AMwAgAGkAbgBzAHQAZQBhAGQAIABvAGYAIAAxADAAXgAtADMALgBcACIAKQA7AFwAbgAiAH0ALAB7ACIAcABhAHQAaAAiADoAIgAvAHAAcgBvAGoAZQBjAHQAcwAvAEUAbABlAGMAdAByAGkAYwBpAHQAeQBfAFMAbwB1AHIAYwBlAEQAYQB0AGEAIgAsACIAdABlAHgAdAAiADoAIgAvACoAXABuAD0APQA9AD0APQA9AD0APQA9AD0APQA9AD0APQA9AD0APQA9AD0APQA9AD0APQA9AD0APQA9AD0APQA9AD0APQA9AD0APQA9AD0APQA9AD0APQA9AD0APQA9AD0APQA9AD0APQA9AD0APQA9AD0APQA9AD0APQA9AD0APQA9AD0APQA9AD0APQA9AD0APQA9AD0APQA9AD0AXABuAEkAbgBkAGkAcgBlAGMAdAAgACgAcwBjAG8AcABlACAAMgAgAGEAbgBkACAAcwBjAG8AcABlACAAMwApACAAbABvAGMAYQB0AGkAbwBuAC0AYgBhAHMAZQBkACAAZQBtAGkAcwBzAGkAbwBuACAAZgBhAGMAdABvAHIAcwAgAGEAcwBzAG8AYwBpAGEAdABlAGQAIAB3AGkAdABoACAAdABoAGUAIABjAG8AbgBzAHUAbQBwAHQAaQBvAG4AIABhAG4AZAAgAGwAbwBzAHMAZQBzACAAbwBmACAAcAB1AHIAYwBoAGEAcwBlAGQAIABvAHIAIABhAGMAcQB1AGkAcgBlAGQAIABlAGwAZQBjAHQAcgBpAGMAaQB0AHkAIABcAG4APQA9AD0APQA9AD0APQA9AD0APQA9AD0APQA9AD0APQA9AD0APQA9AD0APQA9AD0APQA9AD0APQA9AD0APQA9AD0APQA9AD0APQA9AD0APQA9AD0APQA9AD0APQA9AD0APQA9AD0APQA9AD0APQA9AD0APQA9AD0APQA9AD0APQA9AD0APQA9AD0APQA9AD0APQA9AD0APQBcAG4AKgAvAFwAbgBcAG4ARQBsAGUAYwB0AHIAaQBjAGkAdAB5AF8AUwBjAG8AcABlADIAUwBjAG8AcABlADMATABvAGMAYQB0AGkAbwBuAEIAYQBzAGUAZABfAFQAaQB0AGwAZQBcAG4APQBMAEEATQBCAEQAQQAoACgAXAAiAEUAbABlAGMAdAByAGkAYwBpAHQAeQAgAHMAYwBvAHAAZQAgADIAIABhAG4AZAAgAHMAYwBvAHAAZQAgADMAIABsAG8AYwBhAHQAaQBvAG4ALQBiAGEAcwBlAGQAIABlAG0AaQBzAHMAaQBvAG4AIABmAGEAYwB0AG8AcgBzAFwAIgApACkAOwBcAG4AXABuAEUAbABlAGMAdAByAGkAYwBpAHQAeQBfAFMAYwBvAHAAZQAyAEwAbwBjAGEAdABpAG8AbgBCAGEAcwBlAGQAXwBEAGUAcwBjAHIAaQBwAHQAaQBvAG4AXABuAD0ATABBAE0AQgBEAEEAKAAoAFwAIgBJAG4AZABpAHIAZQBjAHQAIAAoAHMAYwBvAHAAZQAgADIAIABhAG4AZAAgAHMAYwBvAHAAZQAgADMAKQAgAGwAbwBjAGEAdABpAG8AbgAtAGIAYQBzAGUAZAAgAGUAbQBpAHMAcwBpAG8AbgAgAGYAYQBjAHQAbwByAHMAIABhAHMAcwBvAGMAaQBhAHQAZQBkACAAdwBpAHQAaAAgAHQAaABlACAAYwBvAG4AcwB1AG0AcAB0AGkAbwBuACAAYQBuAGQAIABsAG8AcwBzAGUAcwAgAG8AZgAgAHAAdQByAGMAaABhAHMAZQBkACAAbwByACAAYQBjAHEAdQBpAHIAZQBkACAAZQBsAGUAYwB0AHIAaQBjAGkAdAB5AFwAIgApACkAOwBcAG4AXABuAEUAbABlAGMAdAByAGkAYwBpAHQAeQBfAFMAYwBvAHAAZQAyAFMAYwBvAHAAZQAzAEwAbwBjAGEAdABpAG8AbgBCAGEAcwBlAGQAXwBTAG8AdQByAGMAZQBcAG4APQBMAEEATQBCAEQAQQAoACgAXAAiAEEAdQBzAHQAcgBhAGwAaQBhAG4AIABOAGEAdABpAG8AbgBhAGwAIABHAHIAZQBlAG4AaABvAHUAcwBlACAAQQBjAGMAbwB1AG4AdABzACAARgBhAGMAdABvAHIAcwAgADIAMAAyADUAIAAtACAAVABhAGIAbABlACAAMQBcACIAKQApADsAXABuAFwAbgBFAGwAZQBjAHQAcgBpAGMAaQB0AHkAXwBTAGMAbwBwAGUAMgBTAGMAbwBwAGUAMwBMAG8AYwBhAHQAaQBvAG4AQgBhAHMAZQBkAF8ARABhAHQAYQBcAG4APQBMAEEATQBCAEQAQQAoAFwAbgAgACAATQBBAEsARQBBAFIAUgBBAFkAKAAxADEALAAgADMALABcAG4AIAAgACAAIABMAEEATQBCAEQAQQAoAHIALABjACwAXABuACAAIAAgACAAIAAgAEkATgBEAEUAWAAoAHsAXABuACAAIAAgACAAIAAgACAAIABcACIAUwB0AGEAdABlACwAIABUAGUAcgByAGkAdABvAHIAeQAgAG8AcgAgAGcAcgBpAGQAIABkAGUAcwBjAHIAaQBwAHQAaQBvAG4AXAAiACwAIABcACIAUwBjAG8AcABlACAAMgAgAEUAbQBpAHMAcwBpAG8AbgAgAEYAYQBjAHQAbwByAHMAIAAoAGsAZwAgAEMATwAyAC0AZQAvAGsAVwBoACkAXAAiACwAIABcACIAUwBjAG8AcABlACAAMwAgAEUAbQBpAHMAcwBpAG8AbgAgAEYAYQBjAHQAbwByAHMAIAAoAGsAZwAgAEMATwAyAC0AZQAvAGsAVwBoACkAXAAiADsAXABuACAAIAAgACAAIAAgACAAIABcACIATgBlAHcAIABTAG8AdQB0AGgAIABXAGEAbABlAHMAXAAiACwAIAAwAC4ANgA0ACwAIAAwAC4AMAAzADsAXABuACAAIAAgACAAIAAgACAAIABcACIAQQBDAFQAXAAiACwAIAAwAC4ANgA0ACwAIAAwAC4AMAAzADsAXABuACAAIAAgACAAIAAgACAAIABcACIAVgBpAGMAdABvAHIAaQBhAFwAIgAsACAAMAAuADcAOAAsACAAMAAuADAAOQA7AFwAbgAgACAAIAAgACAAIAAgACAAXAAiAFEAdQBlAGUAbgBzAGwAYQBuAGQAXAAiACwAIAAwAC4ANgA3ACwAIAAwAC4AMAA5ADsAXABuACAAIAAgACAAIAAgACAAIABcACIAUwBvAHUAdABoACAAQQB1AHMAdAByAGEAbABpAGEAXAAiACwAIAAwAC4AMgAyACwAIAAwAC4AMAA0ADsAXABuACAAIAAgACAAIAAgACAAIABcACIAVwBlAHMAdABlAHIAbgAgAEEAdQBzAHQAcgBhAGwAaQBhACAALQAgAFMAbwB1AHQAaAAgAFcAZQBzAHQAIABJAG4AdABlAHIAYwBvAG4AbgBlAGMAdABlAGQAIABTAHkAcwB0AGUAbQAgACgAUwBXAEkAUwApAFwAIgAsACAAMAAuADUAMAAsACAAMAAuADAANgA7AFwAbgAgACAAIAAgACAAIAAgACAAXAAiAFcAZQBzAHQAZQByAG4AIABBAHUAcwB0AHIAYQBsAGkAYQAgAC0AIABOAG8AcgB0AGgAIABXAGUAcwB0AGUAcgBuACAASQBuAHQAZQByAGMAbwBuAG4AZQBjAHQAZQBkACAAUwB5AHMAdABlAG0AIAAoAE4AVwBJAFMAKQBcACIALAAgADAALgA1ADYALAAgADAALgAwADkAOwBcAG4AIAAgACAAIAAgACAAIAAgAFwAIgBUAGEAcwBtAGEAbgBpAGEAXAAiACwAIAAwAC4AMgAwACwAIAAwAC4AMAAzADsAXABuACAAIAAgACAAIAAgACAAIABcACIATgBvAHIAdABoAGUAcgBuACAAVABlAHIAcgBpAHQAbwByAHkAIAAtACAARABhAHIAdwBpAG4AIABLAGEAdABoAGUAcgBpAG4AZQAgAEkAbgB0AGUAcgBjAG8AbgBuAGUAYwB0AGUAZAAgAFMAeQBzAHQAZQBtACAAKABEAEsASQBTACkAXAAiACwAIAAwAC4ANQA2ACwAIAAwAC4AMAA5ADsAXABuACAAIAAgACAAIAAgACAAIABcACIATgBhAHQAaQBvAG4AYQBsAFwAIgAsACAAMAAuADYAMgAsACAAMAAuADAANwBcAG4AIAAgACAAIAAgACAAfQAsACAAcgAsACAAYwApAFwAbgApACkAKQA7AFwAbgBcAG4ARQBsAGUAYwB0AHIAaQBjAGkAdAB5AF8AUwBjAG8AcABlADIAUwBjAG8AcABlADMATABvAGMAYQB0AGkAbwBuAEIAYQBzAGUAZABfAFYAYQByAGkAYQB0AGkAbwBuAFwAbgA9AEwAQQBNAEIARABBACgAKABcACIAVgBBAFIASQBBAFQASQBPAE4AIABPAEYAIABTAE8AVQBSAEMARQAgAEQAQQBUAEEAOgAgAE4AUwBXACAAYQBuAGQAIABBAEMAVAAgAHMAcABsAGkAdAAgAGkAbgB0AG8AIABzAGUAcABhAHIAYQB0AGUAIAByAG8AdwBzAC4AXAAiACkAKQA7AFwAbgBcAG4AXABuAC8AKgBcAG4APQA9AD0APQA9AD0APQA9AD0APQA9AD0APQA9AD0APQA9AD0APQA9AD0APQA9AD0APQA9AD0APQA9AD0APQA9AD0APQA9AD0APQA9AD0APQA9AD0APQA9AD0APQA9AD0APQA9AD0APQA9AD0APQA9AD0APQA9AD0APQA9AD0APQA9AD0APQA9AD0APQA9AD0APQA9AD0APQBcAG4AUgBlAHMAaQBkAHUAYQBsACAATQBpAHgAIABGAGEAYwB0AG8AcgAgAGYAbwByACAAbQBhAHIAawBlAHQALQBiAGEAcwBlAGQAIABlAHEAdQBhAHQAaQBvAG4AcwBcAG4APQA9AD0APQA9AD0APQA9AD0APQA9AD0APQA9AD0APQA9AD0APQA9AD0APQA9AD0APQA9AD0APQA9AD0APQA9AD0APQA9AD0APQA9AD0APQA9AD0APQA9AD0APQA9AD0APQA9AD0APQA9AD0APQA9AD0APQA9AD0APQA9AD0APQA9AD0APQA9AD0APQA9AD0APQA9AD0APQBcAG4AKgAvAFwAbgBcAG4ARQBsAGUAYwB0AHIAaQBjAGkAdAB5AF8AUwBjAG8AcABlADIAUwBjAG8AcABlADMATQBhAHIAawBlAHQAQgBhAHMAZQBkAF8AVABpAHQAbABlAFwAbgA9AEwAQQBNAEIARABBACgAKABcACIARQBsAGUAYwB0AHIAaQBjAGkAdAB5ACAAcwBjAG8AcABlACAAMgAgAGEAbgBkACAAcwBjAG8AcABlACAAMwAgAG0AYQByAGsAZQB0AC0AYgBhAHMAZQBkACAAZQBtAGkAcwBzAGkAbwBuACAAZgBhAGMAdABvAHIAcwBcACIAKQApADsAXABuAFwAbgBFAGwAZQBjAHQAcgBpAGMAaQB0AHkAXwBTAGMAbwBwAGUAMgBNAGEAcgBrAGUAdABCAGEAcwBlAGQAXwBEAGUAcwBjAHIAaQBwAHQAaQBvAG4AXABuAD0ATABBAE0AQgBEAEEAKAAoAFwAIgBUAGEAYgBsAGUAIAAyAGEAIABJAG4AZABpAHIAZQBjAHQAIAAoAHMAYwBvAHAAZQAgADIAIABhAG4AZAAgAHMAYwBvAHAAZQAgADMAKQAgAGUAbQBpAHMAcwBpAG8AbgAgAGYAYQBjAHQAbwByAHMAIABmAHIAbwBtACAAYwBvAG4AcwB1AG0AcAB0AGkAbwBuACAAbwBmACAAcAB1AHIAYwBoAGEAcwBlAGQAIABvAHIAIABhAGMAcQB1AGkAcgBlAGQAIABlAGwAZQBjAHQAcgBpAGMAaQB0AHkAOgAgAG0AYQByAGsAZQB0AC0AYgBhAHMAZQBkACAAZgBhAGMAdABvAHIAcwAgAFwAIgApACkAOwBcAG4AXABuAEUAbABlAGMAdAByAGkAYwBpAHQAeQBfAFMAYwBvAHAAZQAyAFMAYwBvAHAAZQAzAE0AYQByAGsAZQB0AEIAYQBzAGUAZABfAFMAbwB1AHIAYwBlAFwAbgA9AEwAQQBNAEIARABBACgAKABcACIAQQB1AHMAdAByAGEAbABpAGEAbgAgAE4AYQB0AGkAbwBuAGEAbAAgAEcAcgBlAGUAbgBoAG8AdQBzAGUAIABBAGMAYwBvAHUAbgB0AHMAIABGAGEAYwB0AG8AcgBzACAAMgAwADIANQAgAC0AIABUAGEAYgBsAGUAIAAyAGEAXAAiACkAKQA7AFwAbgBcAG4ARQBsAGUAYwB0AHIAaQBjAGkAdAB5AF8AUwBjAG8AcABlADIAUwBjAG8AcABlADMATQBhAHIAawBlAHQAQgBhAHMAZQBkAF8ARABhAHQAYQBcAG4APQBMAEEATQBCAEQAQQAoAFwAbgAgACAATQBBAEsARQBBAFIAUgBBAFkAKAAyACwAIAA1ACwAXABuACAAIAAgACAATABBAE0AQgBEAEEAKAByACwAYwAsAFwAbgAgACAAIAAgACAAIABJAE4ARABFAFgAKAB7AFwAbgAgACAAIAAgACAAIAAgACAAXAAiAFMAdABhAHQAZQAsACAAVABlAHIAcgBpAHQAbwByAHkAIABvAHIAIABnAHIAaQBkACAAZABlAHMAYwByAGkAcAB0AGkAbwBuAFwAIgAsACAAXAAiAFMAYwBvAHAAZQAgADIAIABFAG0AaQBzAHMAaQBvAG4AIABGAGEAYwB0AG8AcgBzACAAKABrAGcAIABDAE8AMgAtAGUALwBrAFcAaAApAFwAIgAsACAAXAAiAFMAYwBvAHAAZQAgADIAIABFAG0AaQBzAHMAaQBvAG4AIABGAGEAYwB0AG8AcgBzACAAKABrAGcAIABDAE8AMgAtAGUALwBHAEoAKQBcACIALAAgAFwAIgBTAGMAbwBwAGUAIAAzACAARQBtAGkAcwBzAGkAbwBuACAARgBhAGMAdABvAHIAcwAgACgAawBnACAAQwBPADIAIAAtACAAZQAgAC8AIABrAFcAaAApAFwAIgAsACAAXAAiAFMAYwBvAHAAZQAgADMAIABFAG0AaQBzAHMAaQBvAG4AIABGAGEAYwB0AG8AcgBzACAAKABrAGcAIABDAE8AMgAgAC0AIABlACAALwAgAEcASgApAFwAIgA7AFwAbgAgACAAIAAgACAAIAAgACAAXAAiAE4AYQB0AGkAbwBuAGEAbABcACIALAAgADAALgA4ADEALAAgADIAMgA2ACwAIAAwAC4AMQAwACwAIAAyADkAXABuACAAIAAgACAAIAAgAH0ALAAgAHIALAAgAGMAKQBcAG4AKQApACkAOwBcAG4AXABuAEUAbABlAGMAdAByAGkAYwBpAHQAeQBfAFMAYwBvAHAAZQAyAFMAYwBvAHAAZQAzAE0AYQByAGsAZQB0AEIAYQBzAGUAZABfAFYAYQByAGkAYQB0AGkAbwBuAFwAbgA9AEwAQQBNAEIARABBACgAKABcACIAXAAiACkAKQA7ACIAfQAsAHsAIgBwAGEAdABoACIAOgAiAC8AcAByAG8AagBlAGMAdABzAC8ARgB1AGUAbABfAEUAcQB1AGEAdABpAG8AbgBzACIALAAiAHQAZQB4AHQAIgA6ACIALwAqAFwAbgA9AD0APQA9AD0APQA9AD0APQA9AD0APQA9AD0APQA9AD0APQA9AD0APQA9AD0APQA9AD0APQA9AD0APQA9AD0APQA9AD0APQA9AD0AXABuADgAOgAgAEYAdQBlAGwAIABVAHMAZQBcAG4APQA9AD0APQA9AD0APQA9AD0APQA9AD0APQA9AD0APQA9AD0APQA9AD0APQA9AD0APQA9AD0APQA9AD0APQA9AD0APQA9AD0APQA9AFwAbgA4AC4AMQAgAEYAdQBlAGwAIABVAHMAZQAgAC0AIABUAHIAYQBuAHMAcABvAHIAdAAgAGYAdQBlAGwAXABuAD0APQA9AD0APQA9AD0APQA9AD0APQA9AD0APQA9AD0APQA9AD0APQA9AD0APQA9AD0APQA9AD0APQA9AD0APQA9AD0APQA9AD0APQBcAG4AKgAvAFwAbgBcAG4AXABuAFYARQBFAFIARwBfADgAXwBGAHUAZQBsAEMAbwBtAGIAdQBzAHQAaQBvAG4AXABuACAAIAA9AEwAQQBNAEIARABBACgAXABuACAAIAAgACAAUQAsACAARQBDACwAIABFAEYALABcAG4AIAAgACAAIAAoAFEAIAAqACAARQBDACAAKgAgAEUARgApACAAKgAgADEAMAAgAF4AIAAtACAAMwBcAG4AIAAgACkAXABuADsAXABuAFwAbgAvACoAIABcAG4ALQAtAC0ALQAtAC0ALQAtAC0ALQAtAC0ALQAtAC0ALQAtAC0ALQAtAC0ALQAtAC0ALQAtAC0ALQAtAC0ALQAtAC0ALQAtAC0ALQAtAFwAbgBWAEUARQBSAEcAXwA4AF8AMQBfADEAXwAxAF8AXwAxAF8ARgB1AGUAbABDAG8AbQBiAHUAcwB0AGkAbwBuAFQAcgBhAG4AcwBwAG8AcgB0AFwAbgBFAG0AaQBzAHMAaQBvAG4AcwAgAGYAbwByACAAZQBhAGMAaAAgAEcASABHACAAZgByAG8AbQAgAHQAaABlACAAYwBvAG0AYgB1AHMAdABpAG8AbgAgAG8AZgAgAGYAdQBlAGwAcwAgAGYAbwByACAAdAByAGEAbgBzAHAAbwByAHQAIABlAG4AZQByAGcAeQAgAHAAdQByAHAAbwBzAGUAcwBcAG4AUQAgADoAIABBAG0AbwB1AG4AdAAgAG8AZgAgAGYAdQBlAGwAIAB0AHkAcABlACAAcQAgAGMAbwBtAGIAdQBzAHQAZQBkACAAZgBvAHIAIAB0AHIAYQBuAHMAcABvAHIAdAAgAGUAbgBlAHIAZwB5ACAAcAB1AHIAcABvAHMAZQBzACAAOgAgAGsATABcAG4ARQBDACAAOgAgAGUAbgBlAHIAZwB5ACAAYwBvAG4AdABlAG4AdAAgAGYAYQBjAHQAbwByACAAZgBvAHIAIAB0AHIAYQBuAHMAcABvAHIAdAAgAGUAbgBlAHIAZwB5ACAAcAB1AHIAcABvAHMAZQBzACAAOgAgAEcASgAvAGsATABcAG4ARQBGACAAOgAgAFMAYwBvAHAAZQAgADEAIABlAG0AaQBzAHMAaQBvAG4AIABmAGEAYwB0AG8AcgAgAGYAbwByACAAdAByAGEAbgBzAHAAbwByAHQAIABlAG4AZQByAGcAeQAgAHAAdQByAHAAbwBzAGUAcwAgAGYAbwByACAAZQBhAGMAaAAgAGcAcgBlAGUAbgBoAG8AdQBzAGUAIABnAGEAcwAgADoAIABrAGcAIABDAE8AMgBlACAALwAgAEcASgBcAG4ALQAtAC0ALQAtAC0ALQAtAC0ALQAtAC0ALQAtAC0ALQAtAC0ALQAtAC0ALQAtAC0ALQAtAC0ALQAtAC0ALQAtAC0ALQAtAC0ALQAtAFwAbgAqAC8AXABuAFwAbgBcAG4AVgBFAEUAUgBHAF8AOABfADEAXwAxAF8AMQBfAF8AMQBfAEYAdQBlAGwAQwBvAG0AYgB1AHMAdABpAG8AbgBUAHIAYQBuAHMAcABvAHIAdABcAG4AIAAgAD0ATABBAE0AQgBEAEEAKABcAG4AIAAgACAAIABRAF8AVAByAGEAbgBzAHQAcQAsACAARQBDAF8AVAByAGEAbgBzAHEALAAgAEUARgBfAFQAcgBhAG4AcwAxAHQAcQBnACwAXABuACAAIAAgACAAVgBFAEUAUgBHAF8AOABfAEYAdQBlAGwAQwBvAG0AYgB1AHMAdABpAG8AbgAoAFEAXwBUAHIAYQBuAHMAdABxACwAIABFAEMAXwBUAHIAYQBuAHMAcQAsACAARQBGAF8AVAByAGEAbgBzADEAdABxAGcAKQBcAG4AIAAgACkAXABuADsAXABuAFwAbgBWAEUARQBSAEcAXwA4AF8AMQBfADEAXwAxAF8AXwAxAF8ARgB1AGUAbABDAG8AbQBiAHUAcwB0AGkAbwBuAFQAcgBhAG4AcwBwAG8AcgB0AF8AVABpAHQAbABlAFwAbgAgACAAPQBMAEEATQBCAEQAQQAoAFwAIgBFAG0AaQBzAHMAaQBvAG4AcwAgAGYAbwByACAAZQBhAGMAaAAgAEcASABHACAAZgByAG8AbQAgAHQAaABlACAAYwBvAG0AYgB1AHMAdABpAG8AbgAgAG8AZgAgAGYAdQBlAGwAcwAgAGYAbwByACAAdAByAGEAbgBzAHAAbwByAHQAIABlAG4AZQByAGcAeQAgAHAAdQByAHAAbwBzAGUAcwBcACIAKQA7AFwAbgBcAG4AVgBFAEUAUgBHAF8AOABfADEAXwAxAF8AMQBfAF8AMQBfAEYAdQBlAGwAQwBvAG0AYgB1AHMAdABpAG8AbgBUAHIAYQBuAHMAcABvAHIAdABfAFYAYQByAGkAYQBiAGwAZQBcAG4AIAAgAD0ATABBAE0AQgBEAEEAKABcACIARQBfAGcAXAAiACkAOwBcAG4AXABuAFYARQBFAFIARwBfADgAXwAxAF8AMQBfADEAXwBfADEAXwBGAHUAZQBsAEMAbwBtAGIAdQBzAHQAaQBvAG4AVAByAGEAbgBzAHAAbwByAHQAXwBVAG4AaQB0AFwAbgAgACAAPQBMAEEATQBCAEQAQQAoAFwAIgB0ACAAQwBPADIALQBlAFwAIgApADsAXABuAFwAbgBWAEUARQBSAEcAXwA4AF8AMQBfADEAXwAxAF8AXwAxAF8ARgB1AGUAbABDAG8AbQBiAHUAcwB0AGkAbwBuAFQAcgBhAG4AcwBwAG8AcgB0AF8AUwBvAHUAcgBjAGUAXABuACAAIAA9AEwAQQBNAEIARABBACgAXAAiAFYARQBFAFIARwAgADIAMAAyADYAOgAgADgALgAxAC4AMQAuADEALAAgAEUAcQB1AGEAdABpAG8AbgAgACgAMQApAFwAIgApADsAXABuAFwAbgBWAEUARQBSAEcAXwA4AF8AMQBfADEAXwAxAF8AXwAxAF8ARgB1AGUAbABDAG8AbQBiAHUAcwB0AGkAbwBuAFQAcgBhAG4AcwBwAG8AcgB0AF8ATgBJAFIAUgBlAGYAZQByAGUAbgBjAGUAXABuACAAIAA9AEwAQQBNAEIARABBACgAXAAiAEEAdQBzAHQAcgBhAGwAaQBhAG4AIABOAGEAdABpAG8AbgBhAGwAIABHAHIAZQBlAG4AaABvAHUAcwBlACAAQQBjAGMAbwB1AG4AdABzACAARgBhAGMAdABvAHIAcwAgADIAMAAyADUAIAAtACAAMgAuADMAIABFAHMAdABpAG0AYQB0AGkAbgBnACAAZQBtAGkAcwBzAGkAbwBuAHMAIABmAHIAbwBtACAAdAByAGEAbgBzAHAAbwByAHQAIABmAHUAZQBsAHMAXAAiACkAOwBcAG4AXABuAFYARQBFAFIARwBfADgAXwAxAF8AMQBfADEAXwBfADEAXwBGAHUAZQBsAEMAbwBtAGIAdQBzAHQAaQBvAG4AVAByAGEAbgBzAHAAbwByAHQAXwBMAGEAdABlAHgARQBxAHUAYQB0AGkAbwBuAFwAbgAgACAAPQBMAEEATQBCAEQAQQAoAFwAIgBFAF8AZwA9AFwAXABzAHUAbQBcAFwAbgBvAGwAaQBtAGkAdABzAF8AdAAgAFwAXABzAHUAbQBcAFwAbgBvAGwAaQBtAGkAdABzAF8AcQBcAFwAbABlAGYAdAAoAFEAXwB7AFQAcgBhAG4AcwAsAHQAcQB9AFwAXAB0AGkAbQBlAHMAIABFAEMAXwB7AFQAcgBhAG4AcwAsAHEAfQBcAFwAdABpAG0AZQBzACAARQBGAF8AewBUAHIAYQBuAHMALAAxACwAdABxAGcAfQBcAFwAcgBpAGcAaAB0ACkAXABcAHQAaQBtAGUAcwAgADEAMABeAHsALQAzAH0AXAAiACkAOwBcAG4AXABuAFYARQBFAFIARwBfADgAXwAxAF8AMQBfADEAXwBfADEAXwBGAHUAZQBsAEMAbwBtAGIAdQBzAHQAaQBvAG4AVAByAGEAbgBzAHAAbwByAHQAXwBBAHIAZwB1AG0AZQBuAHQAcwBcAG4AIAAgAD0ATABBAE0AQgBEAEEAKABcAG4AIAAgACAAIABNAEEASwBFAEEAUgBSAEEAWQAoADcALAAgADQALAAgAFwAbgAgACAAIAAgACAAIABMAEEATQBCAEQAQQAoAHIALABjACwAIABcAG4AIAAgACAAIAAgACAAIAAgAEkATgBEAEUAWAAoAHsAXABuACAAIAAgACAAIAAgACAAIAAgACAAXAAiAFEAXwBUAHIAYQBuAHMAdABxAFwAIgAsACAAXAAiAEEAbQBvAHUAbgB0ACAAbwBmACAAZgB1AGUAbAAgAHQAeQBwAGUAIABxACAAYwBvAG0AYgB1AHMAdABlAGQAIABmAG8AcgAgAHQAcgBhAG4AcwBwAG8AcgB0ACAAZQBuAGUAcgBnAHkAIABwAHUAcgBwAG8AcwBlAHMAXAAiACwAIABcACIAVgBhAHIAaQBlAHMAIABiAGEAcwBlAGQAIABvAG4AIABmAHUAZQBsACAAdAB5AHAAZQA6ACAAawBMACwAIABtADMALAAgAEcASgBcACIALAAgAFwAIgBJAG4AcAB1AHQAXAAiADsAXABuACAAIAAgACAAIAAgACAAIAAgACAAXAAiAEUAQwBfAFQAcgBhAG4AcwBxAFwAIgAsACAAXAAiAEUAbgBlAHIAZwB5ACAAYwBvAG4AdABlAG4AdAAgAGYAYQBjAHQAbwByACAAZgBvAHIAIAB0AHIAYQBuAHMAcABvAHIAdAAgAGUAbgBlAHIAZwB5ACAAcAB1AHIAcABvAHMAZQBzAFwAIgAsACAAXAAiAEcASgAgAC8AIAB1AG4AaQB0ACAAbwBmACAAZgB1AGUAbABcACIALAAgAFwAIgBDAG8AbgBzAHQAYQBuAHQAXAAiADsAXABuACAAIAAgACAAIAAgACAAIAAgACAAXAAiAEUARgBfAFQAcgBhAG4AcwAxAHQAcQBnAFwAIgAsACAAXAAiAFMAYwBvAHAAZQAgADEAIABlAG0AaQBzAHMAaQBvAG4AIABmAGEAYwB0AG8AcgAgAGYAbwByACAAdAByAGEAbgBzAHAAbwByAHQAIABlAG4AZQByAGcAeQAgAHAAdQByAHAAbwBzAGUAcwAgAGYAbwByACAAZQBhAGMAaAAgAGcAcgBlAGUAbgBoAG8AdQBzAGUAIABnAGEAcwBcACIALAAgAFwAIgBrAGcAIABDAE8AMgBlACAALwAgAEcASgBcACIALAAgAFwAIgBDAG8AbgBzAHQAYQBuAHQAXAAiADsAXABuACAAIAAgACAAIAAgACAAIAAgACAAXAAiAHEAXAAiACwAIABcACIARgB1AGUAbAAgAHQAeQBwAGUAXAAiACwAIABcACIAXAAiACwAIABcACIAQwBvAG4AcwB0AGEAbgB0AFwAIgA7AFwAbgAgACAAIAAgACAAIAAgACAAIAAgAFwAIgBUAHIAYQBuAHMAXAAiACwAIABcACIAVAByAGEAbgBzAHAAbwByAHQAIABjAG8AbQBiAHUAcwB0AGkAbwBuAFwAIgAsACAAXAAiAFwAIgAsACAAXAAiAEMAbwBuAHMAdABhAG4AdABcACIAOwBcAG4AIAAgACAAIAAgACAAIAAgACAAIABcACIAZwBcACIALAAgAFwAIgBHAHIAZQBlAG4AaABvAHUAcwBlACAAZwBhAHMAXAAiACwAIABcACIAXAAiACwAIABcACIAQwBvAG4AcwB0AGEAbgB0AFwAIgA7AFwAbgAgACAAIAAgACAAIAAgACAAIAAgAFwAIgAxAFwAIgAsACAAXAAiAFMAYwBvAHAAZQAgADEAXAAiACwAIABcACIAXAAiACwAIABcACIAQwBvAG4AcwB0AGEAbgB0AFwAIgBcAG4AIAAgACAAIAAgACAAIAAgAH0ALAAgAHIALAAgAGMAKQBcAG4AIAAgACAAIAAgACAAKQBcAG4AIAAgACAAIAApAFwAbgAgACAAKQA7AFwAbgBcAG4ALwAqACAAXABuAC0ALQAtAC0ALQAtAC0ALQAtAC0ALQAtAC0ALQAtAC0ALQAtAC0ALQAtAC0ALQAtAC0ALQAtAC0ALQAtAC0ALQAtAC0ALQAtAC0ALQBcAG4AVgBFAEUAUgBHAF8AOABfADIAXwAxAF8AMQBfAF8AMQBfAEYAdQBlAGwAQwBvAG0AYgB1AHMAdABpAG8AbgBTAHQAYQB0AGkAbwBuAGEAcgB5AFwAbgBFAG0AaQBzAHMAaQBvAG4AcwAgAGYAbwByACAAZQBhAGMAaAAgAEcASABHACAAZgByAG8AbQAgAHQAaABlACAAcwB0AGEAdABpAG8AbgBhAHIAeQAgAGMAbwBtAGIAdQBzAHQAaQBvAG4AIABvAGYAIABmAHUAZQBsAHMAXABuAFEAIAA6ACAAQQBtAG8AdQBuAHQAIABvAGYAIABmAHUAZQBsACAAdAB5AHAAZQAgAHEAIAB1AHMAZQBkACAAZgBvAHIAIABzAHQAYQB0AGkAbwBuAGEAcgB5ACAAYwBvAG0AYgB1AHMAdABpAG8AbgAgAG8AcABlAHIAYQB0AGkAbwBuAHMAIAA6ACAAawBMAFwAbgBFAEMAIAA6ACAARQBuAGUAcgBnAHkAIABjAG8AbgB0AGUAbgB0ACAAZgBhAGMAdABvAHIAIABmAG8AcgAgAHMAdABhAHQAaQBvAG4AYQByAHkAIABjAG8AbQBiAHUAcwB0AGkAbwBuACAAbwBwAGUAcgBhAHQAaQBvAG4AcwAgADoAIABHAEoALwBrAEwAXABuAEUARgAgADoAIABTAGMAbwBwAGUAIAAxACAAZQBtAGkAcwBzAGkAbwBuACAAZgBhAGMAdABvAHIAIABmAG8AcgAgAHMAdABhAHQAaQBvAG4AYQByAHkAIABjAG8AbQBiAHUAcwB0AGkAbwBuACAAZgBvAHIAIABlAGEAYwBoACAAZwByAGUAZQBuAGgAbwB1AHMAZQAgAGcAYQBzACAAOgAgAGsAZwAgAEMATwAyAGUAIAAvACAARwBKAFwAbgAtAC0ALQAtAC0ALQAtAC0ALQAtAC0ALQAtAC0ALQAtAC0ALQAtAC0ALQAtAC0ALQAtAC0ALQAtAC0ALQAtAC0ALQAtAC0ALQAtAC0AXABuACoALwBcAG4AXABuAFwAbgBWAEUARQBSAEcAXwA4AF8AMgBfADEAXwAxAF8AXwAxAF8ARgB1AGUAbABDAG8AbQBiAHUAcwB0AGkAbwBuAFMAdABhAHQAaQBvAG4AYQByAHkAXABuACAAIAA9AEwAQQBNAEIARABBACgAXABuACAAIAAgACAAUQBfAFMAQwBxACwAIABFAEMAXwBTAEMAcQAsACAARQBGAF8AUwBDADEAcQBnACwAXABuACAAIAAgACAAVgBFAEUAUgBHAF8AOABfAEYAdQBlAGwAQwBvAG0AYgB1AHMAdABpAG8AbgAoAFEAXwBTAEMAcQAsACAARQBDAF8AUwBDAHEALAAgAEUARgBfAFMAQwAxAHEAZwApAFwAbgAgACAAKQBcAG4AOwBcAG4AXABuAFYARQBFAFIARwBfADgAXwAyAF8AMQBfADEAXwBfADEAXwBGAHUAZQBsAEMAbwBtAGIAdQBzAHQAaQBvAG4AUwB0AGEAdABpAG8AbgBhAHIAeQBfAFQAaQB0AGwAZQBcAG4AIAAgAD0ATABBAE0AQgBEAEEAKABcACIARQBtAGkAcwBzAGkAbwBuAHMAIABmAG8AcgAgAGUAYQBjAGgAIABHAEgARwAgAGYAcgBvAG0AIAB0AGgAZQAgAHMAdABhAHQAaQBvAG4AYQByAHkAIABjAG8AbQBiAHUAcwB0AGkAbwBuACAAbwBmACAAZgB1AGUAbABzAFwAIgApADsAXABuAFwAbgBWAEUARQBSAEcAXwA4AF8AMgBfADEAXwAxAF8AXwAxAF8ARgB1AGUAbABDAG8AbQBiAHUAcwB0AGkAbwBuAFMAdABhAHQAaQBvAG4AYQByAHkAXwBWAGEAcgBpAGEAYgBsAGUAXABuACAAIAA9AEwAQQBNAEIARABBACgAXAAiAEUAXwBnAFwAIgApADsAXABuAFwAbgBWAEUARQBSAEcAXwA4AF8AMgBfADEAXwAxAF8AXwAxAF8ARgB1AGUAbABDAG8AbQBiAHUAcwB0AGkAbwBuAFMAdABhAHQAaQBvAG4AYQByAHkAXwBVAG4AaQB0AFwAbgAgACAAPQBMAEEATQBCAEQAQQAoAFwAIgB0ACAAQwBPADIALQBlAFwAIgApADsAXABuAFwAbgBWAEUARQBSAEcAXwA4AF8AMgBfADEAXwAxAF8AXwAxAF8ARgB1AGUAbABDAG8AbQBiAHUAcwB0AGkAbwBuAFMAdABhAHQAaQBvAG4AYQByAHkAXwBTAG8AdQByAGMAZQBcAG4AIAAgAD0ATABBAE0AQgBEAEEAKABcACIAVgBFAEUAUgBHACAAMgAwADIANgA6ACAAOAAuADIALgAxAC4AMQAsACAARQBxAHUAYQB0AGkAbwBuACAAKAAxACkAXAAiACkAOwBcAG4AXABuAFYARQBFAFIARwBfADgAXwAyAF8AMQBfADEAXwBfADEAXwBGAHUAZQBsAEMAbwBtAGIAdQBzAHQAaQBvAG4AUwB0AGEAdABpAG8AbgBhAHIAeQBfAE4ASQBSAFIAZQBmAGUAcgBlAG4AYwBlAFwAbgAgACAAPQBMAEEATQBCAEQAQQAoAFwAIgBBAHUAcwB0AHIAYQBsAGkAYQBuACAATgBhAHQAaQBvAG4AYQBsACAARwByAGUAZQBuAGgAbwB1AHMAZQAgAEEAYwBjAG8AdQBuAHQAcwAgAEYAYQBjAHQAbwByAHMAIAAyADAAMgA1ACAALQAgADIALgAyACAARQBzAHQAaQBtAGEAdABpAG4AZwAgAGUAbQBpAHMAcwBpAG8AbgBzACAAZgByAG8AbQAgAHMAdABhAHQAaQBvAG4AYQByAHkAIABlAG4AZQByAGcAeQAgAHMAbwB1AHIAYwBlAHMAIAAtACAAQwBhAGwAYwB1AGwAYQB0AGkAbgBnACAAZQBtAGkAcwBzAGkAbwBuAHMAIABmAHIAbwBtACAAcwB0AGEAdABpAG8AbgBhAHIAeQAgAGMAbwBtAGIAdQBzAHQAaQBvAG4AIABvAGYAIABsAGkAcQB1AGkAZAAgAGYAdQBlAGwAcwBcACIAKQA7AFwAbgBcAG4AVgBFAEUAUgBHAF8AOABfADIAXwAxAF8AMQBfAF8AMQBfAEYAdQBlAGwAQwBvAG0AYgB1AHMAdABpAG8AbgBTAHQAYQB0AGkAbwBuAGEAcgB5AF8ATABhAHQAZQB4AEUAcQB1AGEAdABpAG8AbgBcAG4AIAAgAD0ATABBAE0AQgBEAEEAKABcACIARQBfAGcAPQBcAFwAcwB1AG0AXABcAG4AbwBsAGkAbQBpAHQAcwBfAHQAIABcAFwAcwB1AG0AXABcAG4AbwBsAGkAbQBpAHQAcwBfAHEAXABcAGwAZQBmAHQAKABRAF8AewBTAEMALABxAH0AXABcAHQAaQBtAGUAcwAgAEUAQwBfAHsAUwBDACwAcQB9AFwAXAB0AGkAbQBlAHMAIABFAEYAXwB7AFMAQwAsADEALABxAGcAfQBcAFwAcgBpAGcAaAB0ACkAXABcAHQAaQBtAGUAcwAgADEAMABeAHsALQAzAH0AXAAiACkAOwBcAG4AXABuAFYARQBFAFIARwBfADgAXwAyAF8AMQBfADEAXwBfADEAXwBGAHUAZQBsAEMAbwBtAGIAdQBzAHQAaQBvAG4AUwB0AGEAdABpAG8AbgBhAHIAeQBfAEEAcgBnAHUAbQBlAG4AdABzAFwAbgAgACAAPQBMAEEATQBCAEQAQQAoAFwAbgAgACAAIAAgAE0AQQBLAEUAQQBSAFIAQQBZACgANwAsACAANAAsACAAXABuACAAIAAgACAAIAAgAEwAQQBNAEIARABBACgAcgAsAGMALAAgAFwAbgAgACAAIAAgACAAIAAgACAASQBOAEQARQBYACgAewBcAG4AIAAgACAAIAAgACAAIAAgACAAIABcACIAUQBfAFMAQwBxAFwAIgAsACAAXAAiAEEAbQBvAHUAbgB0ACAAbwBmACAAZgB1AGUAbAAgAHQAeQBwAGUAIABxACAAdQBzAGUAZAAgAGYAbwByACAAcwB0AGEAdABpAG8AbgBhAHIAeQAgAGMAbwBtAGIAdQBzAHQAaQBvAG4AIABvAHAAZQByAGEAdABpAG8AbgBzAFwAIgAsACAAXAAiAFYAYQByAGkAZQBzACAAYgBhAHMAZQBkACAAbwBuACAAZgB1AGUAbAAgAHQAeQBwAGUAOgAgAGsATAAsACAAbQAzACwAIABHAEoAXAAiACwAIABcACIASQBuAHAAdQB0AFwAIgA7AFwAbgAgACAAIAAgACAAIAAgACAAIAAgAFwAIgBFAEMAXwBTAEMAcQBcACIALAAgAFwAIgBFAG4AZQByAGcAeQAgAGMAbwBuAHQAZQBuAHQAIABmAGEAYwB0AG8AcgAgAGYAbwByACAAcwB0AGEAdABpAG8AbgBhAHIAeQAgAGMAbwBtAGIAdQBzAHQAaQBvAG4AIABvAHAAZQByAGEAdABpAG8AbgBzAFwAIgAsACAAXAAiAEcASgAgAC8AIAB1AG4AaQB0ACAAbwBmACAAZgB1AGUAbABcACIALAAgAFwAIgBDAG8AbgBzAHQAYQBuAHQAXAAiADsAXABuACAAIAAgACAAIAAgACAAIAAgACAAXAAiAEUARgBfAFMAQwAxAHEAZwBcACIALAAgAFwAIgBTAGMAbwBwAGUAIAAxACAAZQBtAGkAcwBzAGkAbwBuACAAZgBhAGMAdABvAHIAIABmAG8AcgAgAHMAdABhAHQAaQBvAG4AYQByAHkAIABjAG8AbQBiAHUAcwB0AGkAbwBuACAAZgBvAHIAIABlAGEAYwBoACAAZwByAGUAZQBuAGgAbwB1AHMAZQAgAGcAYQBzAFwAIgAsACAAXAAiAGsAZwAgAEMATwAyAGUAIAAvACAARwBKAFwAIgAsACAAXAAiAEMAbwBuAHMAdABhAG4AdABcACIAOwBcAG4AIAAgACAAIAAgACAAIAAgACAAIABcACIAcQBcACIALAAgAFwAIgBGAHUAZQBsACAAdAB5AHAAZQBcACIALAAgAFwAIgBcACIALAAgAFwAIgBDAG8AbgBzAHQAYQBuAHQAXAAiADsAXABuACAAIAAgACAAIAAgACAAIAAgACAAXAAiAFMAQwBcACIALAAgAFwAIgBTAHQAYQB0AGkAbwBuAGEAcgB5ACAAYwBvAG0AYgB1AHMAdABpAG8AbgBcACIALAAgAFwAIgBcACIALAAgAFwAIgBDAG8AbgBzAHQAYQBuAHQAXAAiADsAXABuACAAIAAgACAAIAAgACAAIAAgACAAXAAiAGcAXAAiACwAIABcACIARwByAGUAZQBuAGgAbwB1AHMAZQAgAGcAYQBzAFwAIgAsACAAXAAiAFwAIgAsACAAXAAiAEMAbwBuAHMAdABhAG4AdABcACIAOwBcAG4AIAAgACAAIAAgACAAIAAgACAAIABcACIAMQBcACIALAAgAFwAIgBTAGMAbwBwAGUAIAAxAFwAIgAsACAAXAAiAFwAIgAsACAAXAAiAEMAbwBuAHMAdABhAG4AdABcACIAXABuACAAIAAgACAAIAAgACAAIAB9ACwAIAByACwAIABjACkAXABuACAAIAAgACAAIAAgACkAXABuACAAIAAgACAAKQBcAG4AIAAgACkAOwBcAG4AXABuACIAfQAsAHsAIgBwAGEAdABoACIAOgAiAC8AcAByAG8AagBlAGMAdABzAC8ARgB1AGUAbABfAEkAbgBwAHUAdABGAHUAbgBjAHQAaQBvAG4AcwAiACwAIgB0AGUAeAB0ACIAOgAiAEYAdQBlAGwAXwBHAGUAdABUAHIAYQBuAHMAcABvAHIAdABGAHUAZQBsAFMAdAByAGkAbgBnAFwAbgA9AEwAQQBNAEIARABBACgAXABuACAAIAAgACAAQwBlAGwAbAAsAFwAbgAgACAAIAAgAEwARQBGAFQAKABDAGUAbABsACwAIABGAEkATgBEACgAXAAiACwAIABcACIALABDAGUAbABsACkAIAAtADEAKQBcAG4AKQA7AFwAbgBcAG4ARgB1AGUAbABfAEcAZQB0AFMAdABhAHQAaQBvAG4AYQByAHkARgB1AGUAbABTAHQAcgBpAG4AZwBcAG4APQBMAEEATQBCAEQAQQAoAFwAbgAgACAAIAAgAEMAZQBsAGwALABcAG4AIAAgACAAIABSAEkARwBIAFQAKABDAGUAbABsACwATABFAE4AKABDAGUAbABsACkALQBGAEkATgBEACgAXAAiACwAIABcACIALABDAGUAbABsACkAKQBcAG4AKQA7AFwAbgBcAG4ARgB1AGUAbABfAFQAbwB0AGEAbABDAG8AbgBzAHUAbQBwAHQAaQBvAG4AXABuAD0AIABMAEEATQBCAEQAQQAoAFwAbgAgACAAIAAgAEYAdQBlAGwAQwBvAG4AcwB1AG0AcAB0AGkAbwBuAEEAcgByAGEAeQAsACAARgB1AGUAbABVAHMAZQBBAHIAcgBhAHkALAAgAEYAdQBlAGwAVQBzAGUALAAgAEYAdQBlAGwAVAB5AHAAZQBBAHIAcgBhAHkALAAgAEYAdQBlAGwAVAB5AHAAZQAsAFwAbgAgACAAIAAgAEkARgBFAFIAUgBPAFIAKABcAG4AIAAgACAAIABTAFUATQAoAFwAbgAgACAAIAAgACAAIABGAEkATABUAEUAUgAoAFwAbgAgACAAIAAgACAAIAAgACAARgB1AGUAbABDAG8AbgBzAHUAbQBwAHQAaQBvAG4AQQByAHIAYQB5ACwAXABuACAAIAAgACAAIAAgACAAIAAoAEYAdQBlAGwAVAB5AHAAZQBBAHIAcgBhAHkAIAA9ACAARgB1AGUAbABUAHkAcABlACkAIAAqACAAXABuACAAIAAgACAAIAAgACAAIAAoAEYAdQBlAGwAVQBzAGUAQQByAHIAYQB5ACAAPQAgAEYAdQBlAGwAVQBzAGUAKQBcAG4AIAAgACAAIAAgACAAKQBcAG4AIAAgACAAIAApACwAXABuACAAIAAgACAAMABcAG4AIAAgACkAXABuACkAOwAiAH0ALAB7ACIAcABhAHQAaAAiADoAIgAvAHAAcgBvAGoAZQBjAHQAcwAvAEYAdQBlAGwAXwBTAG8AdQByAGMAZQBEAGEAdABhACIALAAiAHQAZQB4AHQAIgA6ACIALwAqAFwAbgA9AD0APQA9AD0APQA9AD0APQA9AD0APQA9AD0APQA9AD0APQA9AD0APQA9AD0APQA9AD0APQA9AD0APQA9AD0APQA9AD0APQA9AD0APQA9AD0APQA9AD0APQA9AD0APQA9AD0APQA9AD0APQA9AD0APQA9AD0APQA9AD0APQA9AD0APQA9AD0APQA9AD0APQA9AD0APQA9AFwAbgBGAHUAZQBsACAAcwBjAG8AcABlACAAMQAgAGUAbQBpAHMAcwBpAG8AbgAgAGYAYQBjAHQAbwByAHMAIAAtACAAUwB0AGEAdABpAG8AbgBhAHIAeQAgAGcAYQBzAGUAbwB1AHMAIABmAHUAZQBsAHMAXABuAD0APQA9AD0APQA9AD0APQA9AD0APQA9AD0APQA9AD0APQA9AD0APQA9AD0APQA9AD0APQA9AD0APQA9AD0APQA9AD0APQA9AD0APQA9AD0APQA9AD0APQA9AD0APQA9AD0APQA9AD0APQA9AD0APQA9AD0APQA9AD0APQA9AD0APQA9AD0APQA9AD0APQA9AD0APQA9AD0AXABuACoALwBcAG4AXABuAEYAdQBlAGwAXwBTAGMAbwBwAGUAMQBFAG0AaQBzAHMAaQBvAG4ARgBhAGMAdABvAHIAcwBTAHQAYQB0AGkAbwBuAGEAcgB5AEcAYQBzAGUAbwB1AHMAXwBUAGkAdABsAGUAXABuAD0ATABBAE0AQgBEAEEAKAAoAFwAIgBGAHUAZQBsACAAcwBjAG8AcABlACAAMQAgAGUAbQBpAHMAcwBpAG8AbgAgAGYAYQBjAHQAbwByAHMAIAAtACAAUwB0AGEAdABpAG8AbgBhAHIAeQAgAGcAYQBzAGUAbwB1AHMAIABmAHUAZQBsAHMAXAAiACkAKQA7AFwAbgBcAG4ARgB1AGUAbABfAFMAYwBvAHAAZQAxAEUAbQBpAHMAcwBpAG8AbgBGAGEAYwB0AG8AcgBzAFMAdABhAHQAaQBvAG4AYQByAHkARwBhAHMAZQBvAHUAcwBfAEQAZQBzAGMAcgBpAHAAdABpAG8AbgBcAG4APQBMAEEATQBCAEQAQQAoACgAXAAiAEQAaQByAGUAYwB0ACAAKABTAGMAbwBwAGUAIAAxACkAIABlAG0AaQBzAHMAaQBvAG4AIABmAGEAYwB0AG8AcgBzACAAZgBvAHIAIAB0AGgAZQAgAGMAbwBuAHMAdQBtAHAAdABpAG8AbgAgAG8AZgAgAGcAYQBzAGUAbwB1AHMAIABmAHUAZQBsAHMAIABpAG4AYwBsAHUAZABpAG4AZwAgAGwAaQBxAHUAZQBmAGkAZQBkACAAbgBhAHQAdQByAGEAbAAgAGcAYQBzACAAIABcACIAKQApADsAXABuAFwAbgBGAHUAZQBsAF8AUwBjAG8AcABlADEARQBtAGkAcwBzAGkAbwBuAEYAYQBjAHQAbwByAHMAUwB0AGEAdABpAG8AbgBhAHIAeQBHAGEAcwBlAG8AdQBzAF8AUwBvAHUAcgBjAGUAXABuAD0ATABBAE0AQgBEAEEAKAAoAFwAIgBBAHUAcwB0AHIAYQBsAGkAYQBuACAATgBhAHQAaQBvAG4AYQBsACAARwByAGUAZQBuAGgAbwB1AHMAZQAgAEEAYwBjAG8AdQBuAHQAcwAgAEYAYQBjAHQAbwByAHMAIAAyADAAMgA1ACAALQAgAFQAYQBiAGwAZQAgADUAXAAiACkAKQA7AFwAbgBcAG4ARgB1AGUAbABfAFMAYwBvAHAAZQAxAEUAbQBpAHMAcwBpAG8AbgBGAGEAYwB0AG8AcgBzAFMAdABhAHQAaQBvAG4AYQByAHkARwBhAHMAZQBvAHUAcwBfAEQAYQB0AGEAXABuAD0ATABBAE0AQgBEAEEAKABcAG4AIAAgAE0AQQBLAEUAQQBSAFIAQQBZACgAMQA5ACwAIAA3ACwAXABuACAAIAAgACAATABBAE0AQgBEAEEAKAByACwAYwAsAFwAbgAgACAAIAAgACAAIABJAE4ARABFAFgAKAB7AFwAbgAgACAAIAAgACAAIAAgACAAXAAiAEYAdQBlAGwAIABjAG8AbQBiAHUAcwB0AGUAZABcACIALAAgAFwAIgBFAG4AZQByAGcAeQAgAEMAbwBuAHQAZQBuAHQAIABGAGEAYwB0AG8AcgAgACgARwBKACAAcABlAHIAIAB1AG4AaQB0ACAAbwBmACAAZgB1AGUAbAApAFwAIgAsACAAXAAiAEYAdQBlAGwAIAB1AG4AaQB0AFwAIgAsACAAXAAiAFMAYwBvAHAAZQAgADEAIABFAG0AaQBzAHMAaQBvAG4AIABGAGEAYwB0AG8AcgAgACgAawBnACAAQwBPADIAIAAtACAAZQAgAC8AIABHAEoAKQAgAEMATwAyAFwAIgAsACAAXAAiAFMAYwBvAHAAZQAgADEAIABFAG0AaQBzAHMAaQBvAG4AIABGAGEAYwB0AG8AcgAgACgAawBnACAAQwBPADIAIAAtACAAZQAgAC8AIABHAEoAKQAgAEMASAA0AFwAIgAsACAAXAAiAFMAYwBvAHAAZQAgADEAIABFAG0AaQBzAHMAaQBvAG4AIABGAGEAYwB0AG8AcgAgACgAawBnACAAQwBPADIAIAAtACAAZQAgAC8AIABHAEoAKQAgAE4AMgBPAFwAIgAsACAAXAAiAFMAYwBvAHAAZQAgADEAIABFAG0AaQBzAHMAaQBvAG4AIABGAGEAYwB0AG8AcgAgACgAawBnACAAQwBPADIAIAAtACAAZQAgAC8AIABHAEoAKQAgAEMAbwBtAGIAaQBuAGUAZAAgAGcAYQBzAGUAcwBcACIAOwBcAG4AIAAgACAAIAAgACAAIAAgAFwAIgBOAGEAdAB1AHIAYQBsACAAZwBhAHMAIABkAGkAcwB0AHIAaQBiAHUAdABlAGQAIABpAG4AIABhACAAcABpAHAAZQBsAGkAbgBlAFwAIgAsACAAMAAuADAAMwA5ADMALAAgAFwAIgBtADMAXAAiACwAIAA1ADEALgA0ACwAIAAwAC4AMQAsACAAMAAuADAAMwAsACAANQAxAC4ANQAzADsAXABuACAAIAAgACAAIAAgACAAIABcACIAQwBvAGEAbAAgAHMAZQBhAG0AIABtAGUAdABoAGEAbgBlACAAdABoAGEAdAAgAGkAcwAgAGMAYQBwAHQAdQByAGUAZAAgAGYAbwByACAAYwBvAG0AYgB1AHMAdABpAG8AbgBcACIALAAgADAALgAwADMANwA3ACwAIABcACIAbQAzAFwAIgAsACAANQAxAC4ANAAsACAAMAAuADIALAAgADAALgAwADMALAAgADUAMQAuADYAMwA7AFwAbgAgACAAIAAgACAAIAAgACAAXAAiAEMAbwBhAGwAIABtAGkAbgBlACAAdwBhAHMAdABlACAAZwBhAHMAIAB0AGgAYQB0ACAAaQBzACAAYwBhAHAAdAB1AHIAZQBkACAAZgBvAHIAIABjAG8AbQBiAHUAcwB0AGkAbwBuAFwAIgAsACAAMAAuADAAMwA3ADcALAAgAFwAIgBtADMAXAAiACwAIAA1ADEALgA5ACwAIAA0AC4ANgAsACAAMAAuADMALAAgADUANgAuADgAOwBcAG4AIAAgACAAIAAgACAAIAAgAFwAIgBDAG8AbQBwAHIAZQBzAHMAZQBkACAAbgBhAHQAdQByAGEAbAAgAGcAYQBzACgAcgBlAHYAZQByAHQAaQBuAGcAIAB0AG8AIABzAHQAYQBuAGQAYQByAGQAIABjAG8AbgBkAGkAdABpAG8AbgBzACkAXAAiACwAIAAwAC4AMAAzADkAMwAsACAAXAAiAG0AMwBcACIALAAgADUAMQAuADQALAAgADAALgAxACwAIAAwAC4AMAAzACwAIAA1ADEALgA1ADMAOwBcAG4AIAAgACAAIAAgACAAIAAgAFwAIgBVAG4AcAByAG8AYwBlAHMAcwBlAGQAIABuAGEAdAB1AHIAYQBsACAAZwBhAHMAXAAiACwAIAAwAC4AMAAzADkAMwAsACAAXAAiAG0AMwBcACIALAAgADUAMQAuADQALAAgADAALgAxACwAIAAwAC4AMAAzACwAIAA1ADEALgA1ADMAOwBcAG4AIAAgACAAIAAgACAAIAAgAFwAIgBFAHQAaABhAG4AZQBcACIALAAgADAALgAwADYAMgA5ACwAIABcACIAbQAzAFwAIgAsACAANQA2AC4ANQAsACAAMAAuADAAMwAsACAAMAAuADAAMwAsACAANQA2AC4ANQA2ADsAXABuACAAIAAgACAAIAAgACAAIABcACIAQwBvAGsAZQAgAG8AdgBlAG4AIABnAGEAcwBcACIALAAgADAALgAwADEAOAAxACwAIABcACIAbQAzAFwAIgAsACAAMwA3AC4AMAAsACAAMAAuADAAMwAsACAAMAAuADAANQAsACAAMwA3AC4AMAA4ADsAXABuACAAIAAgACAAIAAgACAAIABcACIAQgBsAGEAcwB0ACAAZgB1AHIAbgBhAGMAZQAgAGcAYQBzAFwAIgAsACAAMAAuADAAMAA0ADAALAAgAFwAIgBtADMAXAAiACwAIAAyADMANAAuADAALAAgADAALgAwADMALAAgADAALgAwADIALAAgADIAMwA0AC4AMAA1ADsAXABuACAAIAAgACAAIAAgACAAIABcACIAVABvAHcAbgAgAGcAYQBzAFwAIgAsACAAMAAuADAAMwA5ADAALAAgAFwAIgBtADMAXAAiACwAIAA2ADAALgAyACwAIAAwAC4AMAA0ACwAIAAwAC4AMAAzACwAIAA2ADAALgAyADcAOwBcAG4AIAAgACAAIAAgACAAIAAgAFwAIgBMAGkAcQB1AGUAZgBpAGUAZAAgAG4AYQB0AHUAcgBhAGwAIABnAGEAcwBcACIALAAgADIANQAuADMALAAgAFwAIgBrAEwAXAAiACwAIAA1ADEALgA0ACwAIAAwAC4AMQAsACAAMAAuADAAMwAsACAANQAxAC4ANQAzADsAXABuACAAIAAgACAAIAAgACAAIABcACIARwBhAHMAZQBvAHUAcwAgAGYAbwBzAHMAaQBsACAAZgB1AGUAbABzACAAbwB0AGgAZQByACAAdABoAGEAbgAgAHQAaABvAHMAZQAgAG0AZQBuAHQAaQBvAG4AZQBkACAAaQBuACAAdABoAGUAIABpAHQAZQBtAHMAIABhAGIAbwB2AGUAXAAiACwAIAAwAC4AMAAzADkAMAAsACAAXAAiAG0AMwBcACIALAAgADUAMQAuADQALAAgADAALgAxACwAIAAwAC4AMAAzACwAIAA1ADEALgA1ADMAOwBcAG4AIAAgACAAIAAgACAAIAAgAFwAIgBMAGEAbgBkAGYAaQBsAGwAIABiAGkAbwBnAGEAcwAgAHQAaABhAHQAIABpAHMAIABjAGEAcAB0AHUAcgBlAGQAIABmAG8AcgAgAGMAbwBtAGIAdQBzAHQAaQBvAG4AIAAoAG0AZQB0AGgAYQBuAGUAIABvAG4AbAB5ACkAXAAiACwAIAAwAC4AMAAzADcANwAsACAAXAAiAG0AMwBcACIALAAgADAALgAwACwAIAA2AC4ANAAsACAAMAAuADAAMwAsACAANgAuADQAMwA7AFwAbgAgACAAIAAgACAAIAAgACAAXAAiAFMAbAB1AGQAZwBlACAAYgBpAG8AZwBhAHMAIAB0AGgAYQB0ACAAaQBzACAAYwBhAHAAdAB1AHIAZQBkACAAZgBvAHIAIABjAG8AbQBiAHUAcwB0AGkAbwBuACAAKABtAGUAdABoAGEAbgBlACAAbwBuAGwAeQApAFwAIgAsACAAMAAuADAAMwA3ADcALAAgAFwAIgBtADMAXAAiACwAIAAwAC4AMAAsACAANgAuADQALAAgADAALgAwADMALAAgADYALgA0ADMAOwBcAG4AIAAgACAAIAAgACAAIAAgAFwAIgBBACAAYgBpAG8AZwBhAHMAIAB0AGgAYQB0ACAAaQBzACAAYwBhAHAAdAB1AHIAZQBkACAAZgBvAHIAIABjAG8AbQBiAHUAcwB0AGkAbwBuACwAIABvAHQAaABlAHIAIAB0AGgAYQBuACAAdABoAG8AcwBlACAAbQBlAG4AdABpAG8AbgBlAGQAIABpAG4AIAB0AGgAZQAgAGkAdABlAG0AcwAgAGEAYgBvAHYAZQBcACIALAAgADAALgAwADMANwAwACwAIABcACIAbQAzAFwAIgAsACAAMAAuADAALAAgADYALgA0ACwAIAAwAC4AMAAzACwAIAA2AC4ANAAzADsAXABuACAAIAAgACAAIAAgACAAIABcACIAQgBpAG8AbQBlAHQAaABhAG4AZQBcACIALAAgADAALgAwADMAOQAzACwAIABcACIAbQAzAFwAIgAsACAAMAAuADAALAAgADAALgAxACwAIAAwAC4AMAAzACwAIAAwAC4AMQAzADsAXABuACAAIAAgACAAIAAgACAAIABcACIASAB5AGQAcgBvAGcAZQBuAFwAIgAsACAAMAAuADAAMQAyADIALAAgAFwAIgBtADMAXAAiACwAIAAwAC4AMAAsACAAMAAuADAALAAgADAALgA1ACwAIAAwAC4ANQA7AFwAbgAgACAAIAAgACAAIAAgACAAXAAiAE4AYQB0AHUAcgBhAGwAIABnAGEAcwAgAGQAaQBzAHQAcgBpAGIAdQB0AGUAZAAgAGkAbgAgAGEAIABwAGkAcABlAGwAaQBuAGUAIAAtACAARwBpAGcAYQBqAG8AdQBsAGUAcwBcACIALAAgADEALAAgAFwAIgBHAEoAXAAiACwAIAA1ADEALgA0ACwAIAAwAC4AMQAsACAAMAAuADAAMwAsACAANQAxAC4ANQAzADsAXABuACAAIAAgACAAIAAgACAAIABcACIAVABvAHcAbgAgAGcAYQBzACAALQAgAEcAaQBnAGEAagBvAHUAbABlAHMAXAAiACwAIAAxACwAIABcACIARwBKAFwAIgAsACAANgAwAC4AMgAsACAAMAAuADAANAAsACAAMAAuADAAMwAsACAANgAwAC4AMgA3AFwAbgAgACAAIAAgACAAIAB9ACwAIAByACwAIABjACkAXABuACkAKQApADsAXABuAFwAbgBGAHUAZQBsAF8AUwBjAG8AcABlADEARQBtAGkAcwBzAGkAbwBuAEYAYQBjAHQAbwByAHMAUwB0AGEAdABpAG8AbgBhAHIAeQBHAGEAcwBlAG8AdQBzAF8AVgBhAHIAaQBhAHQAaQBvAG4AXABuAD0ATABBAE0AQgBEAEEAKAAoAFwAIgBWAEEAUgBJAEEAVABJAE8ATgAgAE8ARgAgAFMATwBVAFIAQwBFACAARABBAFQAQQA6ACAAXAB1ADAAMAAyADcATgBhAHQAdQByAGEAbAAgAGcAYQBzACAAZABpAHMAdAByAGkAYgB1AHQAZQBkACAAaQBuACAAYQAgAHAAaQBwAGUAbABpAG4AZQAgAC0AIABHAGkAZwBhAGoAbwB1AGwAZQBzAFwAdQAwADAAMgA3ACAAYQBuAGQAIABcAHUAMAAwADIANwBUAG8AdwBuACAAZwBhAHMAIAAtACAARwBpAGcAYQBqAG8AdQBsAGUAcwBcAHUAMAAwADIANwAgAHcAZQByAGUAIABhAGQAZABlAGQALAAgAGUAYQBjAGgAIAB3AGkAdABoACAAYQBuACAAZQBuAGUAcgBnAHkAIABjAG8AbgB0AGUAbgB0ACAAZgBhAGMAdABvAHIAIABvAGYAIAAxACAARwBKACAAcABlAHIAIAB1AG4AaQB0ACAAbwBmACAAZgB1AGUAbAAuACAAVABoAGkAcwAgAGkAcwAgAGYAbwByACAAdQBzAGUAcgBzACAAdwBoAG8AIABoAGEAdgBlACAAZgB1AGUAbAAgAGMAbwBuAHMAdQBtAHAAdABpAG8AbgAgAGQAYQB0AGEAIABpAG4AIABHAEoAIAByAGEAdABoAGUAcgAgAHQAaABhAG4AIABtADMALgBcACIAKQApADsAXABuAFwAbgBcAG4ALwAqAFwAbgA9AD0APQA9AD0APQA9AD0APQA9AD0APQA9AD0APQA9AD0APQA9AD0APQA9AD0APQA9AD0APQA9AD0APQA9AD0APQA9AD0APQA9AD0APQA9AD0APQA9AD0APQA9AD0APQA9AD0APQA9AD0APQA9AD0APQA9AD0APQA9AD0APQA9AD0APQA9AD0APQA9AD0APQA9AD0APQA9AFwAbgBGAHUAZQBsACAAcwBjAG8AcABlACAAMwAgAGUAbQBpAHMAcwBpAG8AbgAgAGYAYQBjAHQAbwByAHMAIAAtACAAUwB0AGEAdABpAG8AbgBhAHIAeQAgAGcAYQBzAGUAbwB1AHMAIABmAHUAZQBsAHMAXABuAD0APQA9AD0APQA9AD0APQA9AD0APQA9AD0APQA9AD0APQA9AD0APQA9AD0APQA9AD0APQA9AD0APQA9AD0APQA9AD0APQA9AD0APQA9AD0APQA9AD0APQA9AD0APQA9AD0APQA9AD0APQA9AD0APQA9AD0APQA9AD0APQA9AD0APQA9AD0APQA9AD0APQA9AD0APQA9AD0AXABuACoALwBcAG4AXABuAEYAdQBlAGwAXwBTAGMAbwBwAGUAMwBFAG0AaQBzAHMAaQBvAG4ARgBhAGMAdABvAHIAcwBTAHQAYQB0AGkAbwBuAGEAcgB5AEcAYQBzAGUAbwB1AHMAXwBUAGkAdABsAGUAXABuAD0ATABBAE0AQgBEAEEAKAAoAFwAIgBGAHUAZQBsACAAcwBjAG8AcABlACAAMwAgAGUAbQBpAHMAcwBpAG8AbgAgAGYAYQBjAHQAbwByAHMAIAAtACAAUwB0AGEAdABpAG8AbgBhAHIAeQAgAGcAYQBzAGUAbwB1AHMAIABmAHUAZQBsAHMAXAAiACkAKQA7AFwAbgBcAG4ARgB1AGUAbABfAFMAYwBvAHAAZQAzAEUAbQBpAHMAcwBpAG8AbgBGAGEAYwB0AG8AcgBzAFMAdABhAHQAaQBvAG4AYQByAHkARwBhAHMAZQBvAHUAcwBfAEQAZQBzAGMAcgBpAHAAdABpAG8AbgBcAG4APQBMAEEATQBCAEQAQQAoACgAXAAiAEkAbgBkAGkAcgBlAGMAdAAgACgAUwBjAG8AcABlACAAMwApACAAZQBtAGkAcwBzAGkAbwBuACAAZgBhAGMAdABvAHIAcwAgAGYAbwByACAAdABoAGUAIABjAG8AbgBzAHUAbQBwAHQAaQBvAG4AIABvAGYAIABuAGEAdAB1AHIAYQBsACAAZwBhAHMALgBcACIAKQApADsAXABuAFwAbgBGAHUAZQBsAF8AUwBjAG8AcABlADMARQBtAGkAcwBzAGkAbwBuAEYAYQBjAHQAbwByAHMAUwB0AGEAdABpAG8AbgBhAHIAeQBHAGEAcwBlAG8AdQBzAF8AUwBvAHUAcgBjAGUAXABuAD0ATABBAE0AQgBEAEEAKAAoAFwAIgBBAHUAcwB0AHIAYQBsAGkAYQBuACAATgBhAHQAaQBvAG4AYQBsACAARwByAGUAZQBuAGgAbwB1AHMAZQAgAEEAYwBjAG8AdQBuAHQAcwAgAEYAYQBjAHQAbwByAHMAIAAyADAAMgA1ACAALQAgAFQAYQBiAGwAZQAgADYAXAAiACkAKQA7AFwAbgBcAG4ARgB1AGUAbABfAFMAYwBvAHAAZQAzAEUAbQBpAHMAcwBpAG8AbgBGAGEAYwB0AG8AcgBzAFMAdABhAHQAaQBvAG4AYQByAHkARwBhAHMAZQBvAHUAcwBfAEQAYQB0AGEAXABuAD0ATABBAE0AQgBEAEEAKABcAG4AIAAgAE0AQQBLAEUAQQBSAFIAQQBZACgAOQAsACAAMwAsAFwAbgAgACAAIAAgAEwAQQBNAEIARABBACgAcgAsAGMALABcAG4AIAAgACAAIAAgACAASQBOAEQARQBYACgAewBcAG4AIAAgACAAIAAgACAAIAAgAFwAIgBTAHQAYQB0AGUAIABvAHIAIAB0AGUAcgByAGkAdABvAHIAeQBcACIALAAgAFwAIgBTAGMAbwBwAGUAIAAzACAARQBtAGkAcwBzAGkAbwBuACAARgBhAGMAdABvAHIAcwAgAGYAbwByACAATgBhAHQAdQByAGEAbAAgAEcAYQBzACAAKABrAGcAIABDAE8AMgAgAC0AIABlACAALwAgAEcASgApACAATQBlAHQAcgBvAFwAIgAsACAAXAAiAFMAYwBvAHAAZQAgADMAIABFAG0AaQBzAHMAaQBvAG4AIABGAGEAYwB0AG8AcgBzACAAZgBvAHIAIABOAGEAdAB1AHIAYQBsACAARwBhAHMAIAAoAGsAZwAgAEMATwAyACAALQAgAGUAIAAvACAARwBKACkAIABOAG8AbgAgAC0AIABNAGUAdAByAG8AXAAiADsAXABuACAAIAAgACAAIAAgACAAIABcACIATgBlAHcAIABTAG8AdQB0AGgAIABXAGEAbABlAHMAXAAiACwAIAAxADMALgAxACwAIAAxADQALgAwADsAXABuACAAIAAgACAAIAAgACAAIABcACIAQQBDAFQAXAAiACwAIAAxADMALgAxACwAIAAxADQALgAwADsAXABuACAAIAAgACAAIAAgACAAIABcACIAVgBpAGMAdABvAHIAaQBhAFwAIgAsACAANAAuADAALAAgADQALgAwADsAXABuACAAIAAgACAAIAAgACAAIABcACIAUQB1AGUAZQBuAHMAbABhAG4AZABcACIALAAgADgALgA4ACwAIAA3AC4AOQA7AFwAbgAgACAAIAAgACAAIAAgACAAXAAiAFMAbwB1AHQAaAAgAEEAdQBzAHQAcgBhAGwAaQBhAFwAIgAsACAAMQAwAC4ANwAsACAAMQAwAC4ANgA7AFwAbgAgACAAIAAgACAAIAAgACAAXAAiAFcAZQBzAHQAZQByAG4AIABBAHUAcwB0AHIAYQBsAGkAYQBcACIALAAgADQALgAxACwAIAA0AC4AMAA7AFwAbgAgACAAIAAgACAAIAAgACAAXAAiAFQAYQBzAG0AYQBuAGkAYQBcACIALAAgADQALgAwACwAIAA0AC4AMAA7AFwAbgAgACAAIAAgACAAIAAgACAAXAAiAE4AbwByAHQAaABlAHIAbgAgAFQAZQByAHIAaQB0AG8AcgB5AFwAIgAsACAANAAuADEALAAgADQALgAwAFwAbgAgACAAIAAgACAAIAB9ACwAIAByACwAIABjACkAXABuACkAKQApADsAXABuAFwAbgBGAHUAZQBsAF8AUwBjAG8AcABlADMARQBtAGkAcwBzAGkAbwBuAEYAYQBjAHQAbwByAHMAUwB0AGEAdABpAG8AbgBhAHIAeQBHAGEAcwBlAG8AdQBzAF8AVgBhAHIAaQBhAHQAaQBvAG4AXABuAD0ATABBAE0AQgBEAEEAKAAoAFwAIgBWAEEAUgBJAEEAVABJAE8ATgAgAE8ARgAgAFMATwBVAFIAQwBFACAARABBAFQAQQA6ACAATgBTAFcAIABhAG4AZAAgAEEAQwBUACAAcwBwAGwAaQB0ACAAaQBuAHQAbwAgAHMAZQBwAGEAcgBhAHQAZQAgAHIAbwB3AHMALgAgAFwAdQAwADAAMgA3AEMAXAB1ADAAMAAyADcAIABWAGEAbAB1AGUAcwAgAGYAbwByACAAVABhAHMAbQBhAG4AaQBhACAAYQBuAGQAIABOAG8AcgB0AGgAZQByAG4AIABUAGUAcgByAGkAdABvAHIAeQAgAHIAZQBwAGwAYQBjAGUAZAAgAHcAaQB0AGgAIAB0AGgAbwBzAGUAIABmAG8AcgAgAFYAaQBjAHQAbwByAGkAYQAgAGEAbgBkACAAVwBlAHMAdABlAHIAbgAgAEEAdQBzAHQAcgBhAGwAaQBhACAAcgBlAHMAcABlAGMAdABpAHYAZQBsAHkALgAgACgAUwBlAGUAIABhAHAAcABlAG4AZABpAGMAZQBzACkAXAAiACkAKQA7AFwAbgBcAG4ARgB1AGUAbABfAFMAYwBvAHAAZQAzAEUAbQBpAHMAcwBpAG8AbgBGAGEAYwB0AG8AcgBzAFMAdABhAHQAaQBvAG4AYQByAHkARwBhAHMAZQBvAHUAcwBfAEEAcABwAGUAbgBkAGkAYwBlAHMAXABuAD0ATABBAE0AQgBEAEEAKABcAG4AIAAgAE0AQQBLAEUAQQBSAFIAQQBZACgAMQAyACwAIAAyACwAXABuACAAIAAgACAATABBAE0AQgBEAEEAKAByACwAYwAsAFwAbgAgACAAIAAgACAAIABJAE4ARABFAFgAKAB7AFwAbgAgACAAIAAgACAAIAAgACAAXAAiAC0AXAAiACwAIABcACIAQQBzACAAUwBjAG8AcABlACAAMwAgAGYAYQBjAHQAbwByAHMAIABhAHIAZQAgAGMAYQBsAGMAdQBsAGEAdABlAGQAIABhAHQAIAB0AGgAZQAgAHAAbwBpAG4AdAAgAHcAaABlAHIAZQAgAG4AYQB0AHUAcgBhAGwAIABnAGEAcwAgAGkAcwAgAGQAZQBsAGkAdgBlAHIAZQBkACAAdABvACAAZQBuAGQAIAB1AHMAZQByAHMALAAgAGkAdAAgAGkAcwAgAG4AZQBjAGUAcwBzAGEAcgB5ACAAdABvACAAYwBhAGwAYwB1AGwAYQB0AGUAIABjAG8AbgBzAHUAbQBwAHQAaQBvAG4AIABhAHQAIABlAGEAYwBoACAAbwBmACAAdABoAGUAIABsAG8AYQBkACAAYwBlAG4AdAByAGUAcwAuAFwAIgA7AFwAbgAgACAAIAAgACAAIAAgACAAXAAiAFwAIgAsACAAXAAiAEcAYQBzACAAcgBlAGEAYwBoAGUAcwAgAGUAbgBkACAAdQBzAGUAcgBzACAAZQBpAHQAaABlAHIAIABmAHIAbwBtACAAdABoAGUAIABtAGUAdAByAG8AIABkAGkAcwB0AHIAaQBiAHUAdABpAG8AbgAgAG4AZQB0AHcAbwByAGsAcwAgAG8AcgAgAGQAaQByAGUAYwB0ACAAZgByAG8AbQAgAHQAaABlACAAaABpAGcAaAAgAC0AIABwAHIAZQBzAHMAdQByAGUAIABkAGkAcwB0AHIAaQBiAHUAdABpAG8AbgAgAHAAaQBwAGUAbABpAG4AZQBzAC4AXAAiADsAXABuACAAIAAgACAAIAAgACAAIABcACIAXAAiACwAIABcACIASABvAHUAcwBlAGgAbwBsAGQAcwAgAGEAbgBkACAAYwBvAG0AbQBlAHIAYwBpAGEAbAAgAHUAcwBlAHIAcwAgAHQAZQBuAGQAIAB0AG8AIABiAGUAIABzAGUAcgB2AGUAZAAgAGIAeQAgAHQAaABlACAAZgBvAHIAbQBlAHIALAAgAGEAbgBkACAAZQBsAGUAYwB0AHIAaQBjAGkAdAB5ACAAZwBlAG4AZQByAGEAdABvAHIAcwAgAGEAbgBkACAAbABhAHIAZwBlACAAaQBuAGQAdQBzAHQAcgBpAGEAbAAgAHAAbABhAG4AdABzACAAZgByAG8AbQAgAHQAaABlACAAbABhAHQAdABlAHIALgBcACIAOwBcAG4AIAAgACAAIAAgACAAIAAgAFwAIgAtAFwAIgAsACAAXAAiAE0AZQB0AHIAbwAgAGkAcwAgAGQAZQBmAGkAbgBlAGQAIABhAHMAIABsAG8AYwBhAHQAZQBkACAAbwBuACAAbwByACAAZQBhAHMAdAAgAG8AZgAgAHQAaABlACAAZABpAHYAaQBkAGkAbgBnACAAcgBhAG4AZwBlACAAaQBuACAATgBTAFcALAAgAGkAbgBjAGwAdQBkAGkAbgBnACAAQwBhAG4AYgBlAHIAcgBhACAAYQBuAGQAIABRAHUAZQBhAG4AYgBlAHkAYQBuACwAIABNAGUAbABiAG8AdQByAG4AZQAsACAAQgByAGkAcwBiAGEAbgBlACwAIABBAGQAZQBsAGEAaQBkAGUAIABvAHIAIABQAGUAcgB0AGgALgBcACIAOwBcAG4AIAAgACAAIAAgACAAIAAgAFwAIgBcACIALAAgAFwAIgBPAHQAaABlAHIAdwBpAHMAZQAsACAAdABoAGUAIABuAG8AbgAgAC0AIABtAGUAdAByAG8AIABmAGEAYwB0AG8AcgAgAHMAaABvAHUAbABkACAAYgBlACAAdQBzAGUAZAAuAFwAIgA7AFwAbgAgACAAIAAgACAAIAAgACAAXAAiAC0AXAAiACwAIABcACIARgBhAGMAdABvAHIAcwAgAGEAcgBlACAAYwBhAGwAYwB1AGwAYQB0AGUAZAAgAGYAbwByACAAYQBsAGwAIABuAGEAdAB1AHIAYQBsACAAZwBhAHMAIABkAGkAcwB0AHIAaQBiAHUAdABlAGQAIABpAG4AIABhACAAcABpAHAAZQBsAGkAbgBlACAAdwBoAGkAYwBoACAAbQBhAHkAIABpAG4AYwBsAHUAZABlACAAYwBvAGEAbAAgAHMAZQBhAG0AIABtAGUAdABoAGEAbgBlAC4AXAAiADsAXABuACAAIAAgACAAIAAgACAAIABcACIALQBcACIALAAgAFwAIgBUAGEAYgBsAGUAIAA2ACAAaQBzACAAbgBvAHQAIABhAHAAcABsAGkAYwBhAGIAbABlACAAdABvACAAZQB0AGgAYQBuAGUALgAgAFMAZQBlACAAVABhAGIAbABlACAANwAgAEkAbgBkAGkAcgBlAGMAdAAgACgAUwBjAG8AcABlACAAMwApACAAZQBtAGkAcwBzAGkAbwBuAHMAIABmAHIAbwBtACAAdABoAGUAIABjAG8AbgBzAHUAbQBwAHQAaQBvAG4AIABvAGYAIABlAHQAaABhAG4AZQAuAFwAIgA7AFwAbgAgACAAIAAgACAAIAAgACAAXAAiAC0AXAAiACwAIABcACIAQwAgAD0AIABDAG8AbgBmAGkAZABlAG4AdABpAGEAbAAuACAAUwBjAG8AcABlACAAMwAgAGUAbQBpAHMAcwBpAG8AbgAgAGYAYQBjAHQAbwByAHMAIABmAG8AcgAgAFQAYQBzAG0AYQBuAGkAYQAgAGEAbgBkACAAdABoAGUAIABOAG8AcgB0AGgAZQByAG4AIABUAGUAcgByAGkAdABvAHIAeQAgAGEAcgBlACAAbgBvAHQAIABhAHYAYQBpAGwAYQBiAGwAZQAgAGQAdQBlACAAdABvACAAYwBvAG4AZgBpAGQAZQBuAHQAaQBhAGwAaQB0AHkAIABjAG8AbgBzAHQAcgBhAGkAbgB0AHMAIAB0AGgAYQB0ACAAYQByAGkAcwBlAFwAIgA7AFwAbgAgACAAIAAgACAAIAAgACAAXAAiAFwAIgAsACAAXAAiAGYAcgBvAG0AIAB0AGgAZQAgAHUAcwBlACAAbwBmACAAYQAgAGwAaQBtAGkAdABlAGQAIABuAHUAbQBiAGUAcgAgAG8AZgAgAE4ARwBFAFIAIABkAGEAdABhACAAaQBuAHAAdQB0AHMALgAgAEkAdAAgAGkAcwAgAHMAdQBnAGcAZQBzAHQAZQBkACAAdABoAGEAdAAgAGYAbwByACAAVABhAHMAbQBhAG4AaQBhACAAdABoAGUAIAB1AHMAZQAgAG8AZgAgAHQAaABlACAAVgBpAGMAdABvAHIAaQBhAG4AIABlAG0AaQBzAHMAaQBvAG4AIABmAGEAYwB0AG8AcgBzACAAaQBzACAAYQBwAHAAcgBvAHAAcgBpAGEAdABlACwAXAAiADsAXABuACAAIAAgACAAIAAgACAAIABcACIAXAAiACwAIABcACIAdwBoAGkAbABlACAAZgBvAHIAIABOAG8AcgB0AGgAZQByAG4AIABUAGUAcgByAGkAdABvAHIAeQAgAHQAaABlACAAdQBzAGUAIABvAGYAIAB0AGgAZQAgAFcAZQBzAHQAZQByAG4AIABBAHUAcwB0AHIAYQBsAGkAYQBuACAAZQBtAGkAcwBzAGkAbwBuACAAZgBhAGMAdABvAHIAcwAgAGkAcwAgAGEAcABwAHIAbwBwAHIAaQBhAHQAZQAuAFwAIgA7AFwAbgAgACAAIAAgACAAIAAgACAAXAAiAC0AXAAiACwAIABcACIAUwBjAG8AcABlACAAMwAgAGUAbQBpAHMAcwBpAG8AbgAgAGYAYQBjAHQAbwByAHMAIABkAG8AIABuAG8AdAAgAGkAbgBjAGwAdQBkAGUAIABmAHUAZwBpAHQAaQB2AGUAIABlAG0AaQBzAHMAaQBvAG4AIABsAGUAYQBrAGEAZwBlACAAZgByAG8AbQAgAGwAbwB3ACAAcAByAGUAcwBzAHUAcgBlACAAbgBhAHQAdQByAGEAbAAgAGcAYQBzACAAZABpAHMAdAByAGkAYgB1AHQAaQBvAG4AIABwAGkAcABlAGwAaQBuAGUAIABuAGUAdAB3AG8AcgBrAHMAIAB3AGgAaQBsAGUAIAB0AGgAbwBzAGUAIABmAHIAbwBtACAAaABpAGcAaAAgAHAAcgBlAHMAcwB1AHIAZQBcACIAOwBcAG4AIAAgACAAIAAgACAAIAAgAFwAIgBcACIALAAgAFwAIgBnAGEAcwAgAG4AZQB0AHcAbwByAGsAcwAgAGEAcgBlACAAYwBvAG4AcwBpAGQAZQByAGUAZAAgAG4AZQBnAGwAaQBnAGkAYgBsAGUALgBcACIAXABuACAAIAAgACAAIAAgAH0ALAAgAHIALAAgAGMAKQBcAG4AKQApACkAOwBcAG4AXABuAFwAbgAvACoAXABuAD0APQA9AD0APQA9AD0APQA9AD0APQA9AD0APQA9AD0APQA9AD0APQA9AD0APQA9AD0APQA9AD0APQA9AD0APQA9AD0APQA9AD0APQA9AD0APQA9AD0APQA9AD0APQA9AD0APQA9AD0APQA9AD0APQA9AD0APQA9AD0APQA9AD0APQA9AD0APQA9AD0APQA9AD0APQA9AD0AXABuAEYAdQBlAGwAIABzAGMAbwBwAGUAIAAxACAAYQBuAGQAIAAzACAAZQBtAGkAcwBzAGkAbwBuACAAZgBhAGMAdABvAHIAcwAgAC0AIABTAHQAYQB0AGkAbwBuAGEAcgB5ACAAbABpAHEAdQBpAGQAIABmAHUAZQBsAHMAXABuAD0APQA9AD0APQA9AD0APQA9AD0APQA9AD0APQA9AD0APQA9AD0APQA9AD0APQA9AD0APQA9AD0APQA9AD0APQA9AD0APQA9AD0APQA9AD0APQA9AD0APQA9AD0APQA9AD0APQA9AD0APQA9AD0APQA9AD0APQA9AD0APQA9AD0APQA9AD0APQA9AD0APQA9AD0APQA9AD0AXABuACoALwBcAG4AXABuAEYAdQBlAGwAXwBTAGMAbwBwAGUAMQBTAGMAbwBwAGUAMwBFAG0AaQBzAHMAaQBvAG4ARgBhAGMAdABvAHIAcwBTAHQAYQB0AGkAbwBuAGEAcgB5AEwAaQBxAHUAaQBkAF8AVABpAHQAbABlAFwAbgA9AEwAQQBNAEIARABBACgAKABcACIARgB1AGUAbAAgAHMAYwBvAHAAZQAgADEAIABhAG4AZAAgADMAIABlAG0AaQBzAHMAaQBvAG4AIABmAGEAYwB0AG8AcgBzACAALQAgAFMAdABhAHQAaQBvAG4AYQByAHkAIABsAGkAcQB1AGkAZAAgAGYAdQBlAGwAcwBcACIAKQApADsAXABuAFwAbgBGAHUAZQBsAF8AUwBjAG8AcABlADEAUwBjAG8AcABlADMARQBtAGkAcwBzAGkAbwBuAEYAYQBjAHQAbwByAHMAUwB0AGEAdABpAG8AbgBhAHIAeQBMAGkAcQB1AGkAZABfAEQAZQBzAGMAcgBpAHAAdABpAG8AbgBcAG4APQBMAEEATQBCAEQAQQAoACgAXAAiAEQAaQByAGUAYwB0ACAAKABTAGMAbwBwAGUAIAAxACkAIABhAG4AZAAgAGkAbgBkAGkAcgBlAGMAdAAgACgAcwBjAG8AcABlACAAMwApACAAZQBtAGkAcwBzAGkAbwBuACAAZgBhAGMAdABvAHIAcwAgAGYAbwByACAAdABoAGUAIABjAG8AbgBzAHUAbQBwAHQAaQBvAG4AIABvAGYAIABsAGkAcQB1AGkAZAAgAGYAdQBlAGwAcwAsACAAaQBuAGMAbAB1AGQAaQBuAGcAIABjAGUAcgB0AGEAaQBuACAAcABlAHQAcgBvAGwAZQB1AG0AIABiAGEAcwBlAGQAIABwAHIAbwBkAHUAYwB0AHMAIABmAG8AcgAgAHMAdABhAHQAaQBvAG4AYQByAHkAIABlAG4AZQByAGcAeQAgAHAAdQByAHAAbwBzAGUAcwAuAFwAIgApACkAOwBcAG4AXABuAEYAdQBlAGwAXwBTAGMAbwBwAGUAMQBTAGMAbwBwAGUAMwBFAG0AaQBzAHMAaQBvAG4ARgBhAGMAdABvAHIAcwBTAHQAYQB0AGkAbwBuAGEAcgB5AEwAaQBxAHUAaQBkAF8AUwBvAHUAcgBjAGUAXABuAD0ATABBAE0AQgBEAEEAKAAoAFwAIgBBAHUAcwB0AHIAYQBsAGkAYQBuACAATgBhAHQAaQBvAG4AYQBsACAARwByAGUAZQBuAGgAbwB1AHMAZQAgAEEAYwBjAG8AdQBuAHQAcwAgAEYAYQBjAHQAbwByAHMAIAAyADAAMgA1ACAALQAgAFQAYQBiAGwAZQAgADgAXAAiACkAKQA7AFwAbgBcAG4ARgB1AGUAbABfAFMAYwBvAHAAZQAxAFMAYwBvAHAAZQAzAEUAbQBpAHMAcwBpAG8AbgBGAGEAYwB0AG8AcgBzAFMAdABhAHQAaQBvAG4AYQByAHkATABpAHEAdQBpAGQAXwBEAGEAdABhAFwAbgA9AEwAQQBNAEIARABBACgAXABuACAAIABNAEEASwBFAEEAUgBSAEEAWQAoADIANQAsACAAOAAsAFwAbgAgACAAIAAgAEwAQQBNAEIARABBACgAcgAsAGMALABcAG4AIAAgACAAIAAgACAASQBOAEQARQBYACgAewBcAG4AIAAgACAAIAAgACAAIAAgAFwAIgBGAHUAZQBsACAAYwBvAG0AYgB1AHMAdABlAGQAXAAiACwAIABcACIARQBuAGUAcgBnAHkAIABDAG8AbgB0AGUAbgB0ACAARgBhAGMAdABvAHIAIAAoAEcASgAgAHAAZQByACAAdQBuAGkAdAAgAG8AZgAgAGYAdQBlAGwAKQBcACIALAAgAFwAIgBGAHUAZQBsACAAdQBuAGkAdABcACIALAAgAFwAIgBTAGMAbwBwAGUAIAAxACAARQBtAGkAcwBzAGkAbwBuACAARgBhAGMAdABvAHIAIAAoAGsAZwAgAEMATwAyACAALQAgAGUAIAAvACAARwBKACkAIABDAE8AMgBcACIALAAgAFwAIgBTAGMAbwBwAGUAIAAxACAARQBtAGkAcwBzAGkAbwBuACAARgBhAGMAdABvAHIAIAAoAGsAZwAgAEMATwAyACAALQAgAGUAIAAvACAARwBKACkAIABDAEgANABcACIALAAgAFwAIgBTAGMAbwBwAGUAIAAxACAARQBtAGkAcwBzAGkAbwBuACAARgBhAGMAdABvAHIAIAAoAGsAZwAgAEMATwAyACAALQAgAGUAIAAvACAARwBKACkAIABOADIATwBcACIALAAgAFwAIgBTAGMAbwBwAGUAIAAxACAARQBtAGkAcwBzAGkAbwBuACAARgBhAGMAdABvAHIAIAAoAGsAZwAgAEMATwAyACAALQAgAGUAIAAvACAARwBKACkAIABDAG8AbQBiAGkAbgBlAGQAIABnAGEAcwBlAHMAXAAiACwAIABcACIAUwBjAG8AcABlACAAMwAgAEUAbQBpAHMAcwBpAG8AbgAgAEYAYQBjAHQAbwByACAAKABrAGcAIABDAE8AMgAgAC0AIABlACAALwAgAEcASgApAFwAIgA7AFwAbgAgACAAIAAgACAAIAAgACAAXAAiAFAAZQB0AHIAbwBsAGUAdQBtACAAYgBhAHMAZQBkACAAbwBpAGwAcwAgACgAbwB0AGgAZQByACAAdABoAGEAbgAgAHAAZQB0AHIAbwBsAGUAdQBtACAAYgBhAHMAZQBkACAAbwBpAGwAIAB1AHMAZQBkACAAYQBzACAAZgB1AGUAbAApACwAIABlAC4AZwAuACAAbAB1AGIAcgBpAGMAYQBuAHQAcwBcACIALAAgADMAOAAuADgALAAgAFwAIgBrAGwAXAAiACwAIAAxADMALgA5ACwAIAAwAC4AMAAsACAAMAAuADAALAAgADEAMwAuADkALAAgADEAOAAuADAAOwBcAG4AIAAgACAAIAAgACAAIAAgAFwAIgBQAGUAdAByAG8AbABlAHUAbQAgAGIAYQBzAGUAZAAgAGcAcgBlAGEAcwBlAHMAXAAiACwAIAAzADgALgA4ACwAIABcACIAawBsAFwAIgAsACAAMwAuADUALAAgADAALgAwACwAIAAwAC4AMAAsACAAMwAuADUALAAgADEAOAAuADAAOwBcAG4AIAAgACAAIAAgACAAIAAgAFwAIgBDAHIAdQBkAGUAIABvAGkAbAAgAGkAbgBjAGwAdQBkAGkAbgBnACAAYwByAHUAZABlACAAbwBpAGwAIABjAG8AbgBkAGUAbgBzAGEAdABlAHMAXAAiACwAIAA0ADUALgAzACwAIABcACIAdABcACIALAAgADYAOQAuADYALAAgADAALgAwADgALAAgADAALgAyACwAIAA2ADkALgA4ADgALAAgAFwAIgBOAEUAXAAiADsAXABuACAAIAAgACAAIAAgACAAIABcACIATwB0AGgAZQByACAAbgBhAHQAdQByAGEAbAAgAGcAYQBzACAAbABpAHEAdQBpAGQAcwBcACIALAAgADQANgAuADUALAAgAFwAIgB0AFwAIgAsACAANgAxAC4AMAAsACAAMAAuADAAOAAsACAAMAAuADIALAAgADYAMQAuADIAOAAsACAAXAAiAE4ARQBcACIAOwBcAG4AIAAgACAAIAAgACAAIAAgAFwAIgBBAHUAdABvAG0AbwB0AGkAdgBlACAAZwBhAHMAbwBsAGkAbgBlACAALwAgAHAAZQB0AHIAbwBsACAAKABvAHQAaABlAHIAIAB0AGgAYQBuACAAZgBvAHIAIAB1AHMAZQAgAGEAcwAgAGYAdQBlAGwAIABpAG4AIABhAG4AIABhAGkAcgBjAHIAYQBmAHQAKQBcACIALAAgADMANAAuADIALAAgAFwAIgBrAEwAXAAiACwAIAA2ADcALgA0ACwAIAAwAC4AMgAsACAAMAAuADIALAAgADYANwAuADgAMAAsACAAMQA3AC4AMgA7AFwAbgAgACAAIAAgACAAIAAgACAAXAAiAEEAdgBpAGEAdABpAG8AbgAgAGcAYQBzAG8AbABpAG4AZQBcACIALAAgADMAMwAuADEALAAgAFwAIgBrAEwAXAAiACwAIAA2ADcALAAgADAALgAyACwAIAAwAC4AMgAsACAANgA3AC4ANAAwACwAIAAxADgALgAwADsAXABuACAAIAAgACAAIAAgACAAIABcACIASwBlAHIAbwBzAGUAbgBlACAAKABvAHQAaABlAHIAIAB0AGgAYQBuACAAZgBvAHIAIAB1AHMAZQAgAGEAcwAgAGYAdQBlAGwAIABpAG4AIABhAG4AIABhAGkAcgBjAHIAYQBmAHQAKQBcACIALAAgADMANwAuADUALAAgAFwAIgBrAEwAXAAiACwAIAA2ADgALgA5ACwAIAAwAC4AMAAxACwAIAAwAC4AMgAsACAANgA5AC4AMQAxACwAIAAxADgALgAwADsAXABuACAAIAAgACAAIAAgACAAIABcACIAQQB2AGkAYQB0AGkAbwBuACAAdAB1AHIAYgBpAG4AZQAgAGYAdQBlAGwAIAAvACAAawBlAHIAbwBzAGUAbgBlAFwAIgAsACAAMwA2AC4AOAAsACAAXAAiAGsATABcACIALAAgADYAOQAuADYALAAgADAALgAwADIALAAgADAALgAyACwAIAA2ADkALgA4ADIALAAgADEAOAAuADAAOwBcAG4AIAAgACAAIAAgACAAIAAgAFwAIgBIAGUAYQB0AGkAbgBnACAAbwBpAGwAXAAiACwAIAAzADcALgAzACwAIABcACIAawBMAFwAIgAsACAANgA5AC4ANQAsACAAMAAuADAAMwAsACAAMAAuADIALAAgADYAOQAuADcAMwAsACAAMQA4AC4AMAA7AFwAbgAgACAAIAAgACAAIAAgACAAXAAiAEQAaQBlAHMAZQBsACAAbwBpAGwAXAAiACwAIAAzADgALgA2ACwAIABcACIAawBMAFwAIgAsACAANgA5AC4AOQAsACAAMAAuADEALAAgADAALgAyACwAIAA3ADAALgAyADAALAAgADEANwAuADMAOwBcAG4AIAAgACAAIAAgACAAIAAgAFwAIgBGAHUAZQBsACAAbwBpAGwAXAAiACwAIAAzADkALgA3ACwAIABcACIAawBMAFwAIgAsACAANwAzAC4ANgAsACAAMAAuADAANAAsACAAMAAuADIALAAgADcAMwAuADgANAAsACAAMQA4AC4AMAA7AFwAbgAgACAAIAAgACAAIAAgACAAXAAiAEwAaQBxAHUAZQBmAGkAZQBkACAAYQByAG8AbQBhAHQAaQBjACAAaAB5AGQAcgBvAGMAYQByAGIAbwBuAHMAXAAiACwAIAAzADQALgA0ACwAIABcACIAawBMAFwAIgAsACAANgA5AC4ANwAsACAAMAAuADAAMwAsACAAMAAuADIALAAgADYAOQAuADkAMwAsACAAMQA4AC4AMAA7AFwAbgAgACAAIAAgACAAIAAgACAAXAAiAFMAbwBsAHYAZQBuAHQAcwA6ACAAbQBpAG4AZQByAGEAbAAgAHQAdQByAHAAZQBuAHQAaQBuAGUAIABvAHIAIAB3AGgAaQB0AGUAIABzAHAAaQByAGkAdABzAFwAIgAsACAAMwA0AC4ANAAsACAAXAAiAGsATABcACIALAAgADYAOQAuADcALAAgADAALgAwADMALAAgADAALgAyACwAIAA2ADkALgA5ADMALAAgADEAOAAuADAAOwBcAG4AIAAgACAAIAAgACAAIAAgAFwAIgBMAGkAcQB1AGUAZgBpAGUAZAAgAHAAZQB0AHIAbwBsAGUAdQBtACAAZwBhAHMAIAAoAEwAUABHACkAXAAiACwAIAAyADUALgA3ACwAIABcACIAawBMAFwAIgAsACAANgAwAC4AMgAsACAAMAAuADIALAAgADAALgAyACwAIAA2ADAALgA2ADAALAAgADIAMAAuADIAOwBcAG4AIAAgACAAIAAgACAAIAAgAFwAIgBOAGEAcABoAHQAaABhAFwAIgAsACAAMwAxAC4ANAAsACAAXAAiAGsATABcACIALAAgADYAOQAuADgALAAgADAALgAwADEALAAgADAALgAwADEALAAgADYAOQAuADgAMgAsACAAMQA4AC4AMAA7AFwAbgAgACAAIAAgACAAIAAgACAAXAAiAFAAZQB0AHIAbwBsAGUAdQBtACAAYwBvAGsAZQBcACIALAAgADMANAAuADIALAAgAFwAIgB0AFwAIgAsACAAOQAyAC4ANgAsACAAMAAuADAAOAAsACAAMAAuADIALAAgADkAMgAuADgAOAAsACAAMQA4AC4AMAA7AFwAbgAgACAAIAAgACAAIAAgACAAXAAiAFIAZQBmAGkAbgBlAHIAeQAgAGcAYQBzACAAYQBuAGQAIABsAGkAcQB1AGkAZABzAFwAIgAsACAANAAyAC4AOQAsACAAXAAiAHQAXAAiACwAIAA1ADQALgA3ACwAIAAwAC4AMAAzACwAIAAwAC4AMAAzACwAIAA1ADQALgA3ADYALAAgADEAOAAuADAAOwBcAG4AIAAgACAAIAAgACAAIAAgAFwAIgBSAGUAZgBpAG4AZQByAHkAIABjAG8AawBlAFwAIgAsACAAMwA0AC4AMgAsACAAXAAiAHQAXAAiACwAIAA5ADIALgA2ACwAIAAwAC4AMAA4ACwAIAAwAC4AMgAsACAAOQAyAC4AOAA4ACwAIAAxADgALgAwADsAXABuACAAIAAgACAAIAAgACAAIABcACIAUABlAHQAcgBvAGwAZQB1AG0AIABiAGEAcwBlAGQAIABwAHIAbwBkAHUAYwB0AHMAIABvAHQAaABlAHIAIAB0AGgAYQBuACAAbQBlAG4AdABpAG8AbgBlAGQAIABpAG4AIAB0AGgAZQAgAGkAdABlAG0AcwAgAGEAYgBvAHYAZQBcACIALAAgADMANAAuADQALAAgAFwAIgBrAEwAXAAiACwAIAA2ADkALgA4ACwAIAAwAC4AMAAyACwAIAAwAC4AMQAsACAANgA5AC4AOQAyACwAIAAxADgALgAwADsAXABuACAAIAAgACAAIAAgACAAIABcACIAQgBpAG8AZABpAGUAcwBlAGwAXAAiACwAIAAzADQALgA2ACwAIABcACIAawBMAFwAIgAsACAAMAAuADAALAAgADAALgAwADgALAAgADAALgAyACwAIAAwAC4AMgA4ACwAIABcACIATgBFAFwAIgA7AFwAbgAgACAAIAAgACAAIAAgACAAXAAiAEUAdABoAGEAbgBvAGwAIABmAG8AcgAgAHUAcwBlACAAYQBzACAAYQAgAGYAdQBlAGwAIABpAG4AIABhAG4AIABpAG4AdABlAHIAbgBhAGwAIABjAG8AbQBiAHUAcwB0AGkAbwBuACAAZQBuAGcAaQBuAGUAXAAiACwAIAAyADMALgA0ACwAIABcACIAawBMAFwAIgAsACAAMAAuADAALAAgADAALgAwADgALAAgADAALgAyACwAIAAwAC4AMgA4ACwAIABcACIATgBFAFwAIgA7AFwAbgAgACAAIAAgACAAIAAgACAAXAAiAEIAaQBvAGYAdQBlAGwAcwAgAG8AdABoAGUAcgAgAHQAaABhAG4AIAB0AGgAbwBzAGUAIABtAGUAbgB0AGkAbwBuAGUAZAAgAGkAbgAgAHQAaABlACAAaQB0AGUAbQBzACAAYQBiAG8AdgBlACAAYQBuAGQAIABiAGUAbABvAHcAXAAiACwAIAAyADMALgA0ACwAIABcACIAawBMAFwAIgAsACAAMAAuADAALAAgADAALgAwADgALAAgADAALgAyACwAIAAwAC4AMgA4ACwAIABcACIATgBFAFwAIgA7AFwAbgAgACAAIAAgACAAIAAgACAAXAAiAFIAZQBuAGUAdwBhAGIAbABlACAAYQB2AGkAYQB0AGkAbwBuACAAawBlAHIAbwBzAGUAbgBlAFwAIgAsACAAMwA2AC4AOAAsACAAXAAiAGsATABcACIALAAgADAALgAwACwAIAAwAC4AMAAyACwAIAAwAC4AMgAsACAAMAAuADIAMgAsACAAXAAiAE4ARQBcACIAOwBcAG4AIAAgACAAIAAgACAAIAAgAFwAIgBSAGUAbgBlAHcAYQBiAGwAZQAgAGQAaQBlAHMAZQBsAFwAIgAsACAAMwA4AC4ANgAsACAAXAAiAGsATABcACIALAAgADAALgAwACwAIAAwAC4AMQAsACAAMAAuADIALAAgADAALgAzADAALAAgAFwAIgBOAEUAXAAiAFwAbgAgACAAIAAgACAAIAB9ACwAIAByACwAIABjACkAXABuACkAKQApADsAXABuAFwAbgBGAHUAZQBsAF8AUwBjAG8AcABlADEAUwBjAG8AcABlADMARQBtAGkAcwBzAGkAbwBuAEYAYQBjAHQAbwByAHMAUwB0AGEAdABpAG8AbgBhAHIAeQBMAGkAcQB1AGkAZABfAFYAYQByAGkAYQB0AGkAbwBuAFwAbgA9AEwAQQBNAEIARABBACgAXAAiAFYAQQBSAEkAQQBUAEkATwBOACAATwBGACAAUwBPAFUAUgBDAEUAIABEAEEAVABBADoAIABcAHUAMAAwADIANwBOAEUAXAB1ADAAMAAyADcAIAB2AGEAbAB1AGUAcwAgAHIAZQB0AHUAcgBuAGUAZAAgAGEAcwAgAHoAZQByAG8AIABmAG8AcgAgAGMAYQBsAGMAdQBsAGEAdABpAG8AbgBzAC4AXAAiACkAOwBcAG4AXABuAC8AKgBcAG4APQA9AD0APQA9AD0APQA9AD0APQA9AD0APQA9AD0APQA9AD0APQA9AD0APQA9AD0APQA9AD0APQA9AD0APQA9AD0APQA9AD0APQA9AD0APQA9AD0APQA9AD0APQA9AD0APQA9AD0APQA9AD0APQA9AD0APQA9AD0APQA9AD0APQA9AD0APQA9AD0APQA9AD0APQA9AD0APQBcAG4ARgB1AGUAbAAgAHMAYwBvAHAAZQAgADEAIABhAG4AZAAgADMAIABlAG0AaQBzAHMAaQBvAG4AIABmAGEAYwB0AG8AcgBzACAALQAgAFQAcgBhAG4AcwBwAG8AcgB0AFwAbgA9AD0APQA9AD0APQA9AD0APQA9AD0APQA9AD0APQA9AD0APQA9AD0APQA9AD0APQA9AD0APQA9AD0APQA9AD0APQA9AD0APQA9AD0APQA9AD0APQA9AD0APQA9AD0APQA9AD0APQA9AD0APQA9AD0APQA9AD0APQA9AD0APQA9AD0APQA9AD0APQA9AD0APQA9AD0APQA9AFwAbgAqAC8AXABuAFwAbgBGAHUAZQBsAF8AUwBjAG8AcABlADEAUwBjAG8AcABlADMARQBtAGkAcwBzAGkAbwBuAEYAYQBjAHQAbwByAHMAVAByAGEAbgBzAHAAbwByAHQAXwBUAGkAdABsAGUAXABuAD0ATABBAE0AQgBEAEEAKAAoAFwAIgBGAHUAZQBsACAAcwBjAG8AcABlACAAMQAgAGEAbgBkACAAMwAgAGUAbQBpAHMAcwBpAG8AbgAgAGYAYQBjAHQAbwByAHMAIAAtACAAVAByAGEAbgBzAHAAbwByAHQAXAAiACkAKQA7AFwAbgBcAG4ARgB1AGUAbABfAFMAYwBvAHAAZQAxAFMAYwBvAHAAZQAzAEUAbQBpAHMAcwBpAG8AbgBGAGEAYwB0AG8AcgBzAFQAcgBhAG4AcwBwAG8AcgB0AF8ARABlAHMAYwByAGkAcAB0AGkAbwBuAFwAbgA9AEwAQQBNAEIARABBACgAKABcACIARABpAHIAZQBjAHQAIAAoAHMAYwBvAHAAZQAgADEAKQAgAGEAbgBkACAAaQBuAGQAaQByAGUAYwB0ACAAKABzAGMAbwBwAGUAIAAzACkAIABlAG0AaQBzAHMAaQBvAG4AIABmAGEAYwB0AG8AcgBzACAAZgBvAHIAIAB0AGgAZQAgAGMAbwBuAHMAdQBtAHAAdABpAG8AbgAgAG8AZgAgAHQAcgBhAG4AcwBwAG8AcgB0ACAAZgB1AGUAbABzACAAaQBuACAAZABpAGYAZgBlAHIAZQBuAHQAIAB0AHIAYQBuAHMAcABvAHIAdAAgAGUAcQB1AGkAcABtAGUAbgB0AFwAIgApACkAOwBcAG4AXABuAEYAdQBlAGwAXwBTAGMAbwBwAGUAMQBTAGMAbwBwAGUAMwBFAG0AaQBzAHMAaQBvAG4ARgBhAGMAdABvAHIAcwBUAHIAYQBuAHMAcABvAHIAdABfAFMAbwB1AHIAYwBlAFwAbgA9AEwAQQBNAEIARABBACgAKABcACIAQQB1AHMAdAByAGEAbABpAGEAbgAgAE4AYQB0AGkAbwBuAGEAbAAgAEcAcgBlAGUAbgBoAG8AdQBzAGUAIABBAGMAYwBvAHUAbgB0AHMAIABGAGEAYwB0AG8AcgBzACAAMgAwADIANQAgAC0AIABUAGEAYgBsAGUAIAA5AFwAIgApACkAOwBcAG4AXABuAEYAdQBlAGwAXwBTAGMAbwBwAGUAMQBTAGMAbwBwAGUAMwBFAG0AaQBzAHMAaQBvAG4ARgBhAGMAdABvAHIAcwBUAHIAYQBuAHMAcABvAHIAdABfAEQAYQB0AGEAXABuAD0ATABBAE0AQgBEAEEAKABcAG4AIAAgAE0AQQBLAEUAQQBSAFIAQQBZACgAMgA2ACwAIAAxADAALABcAG4AIAAgACAAIABMAEEATQBCAEQAQQAoAHIALABjACwAXABuACAAIAAgACAAIAAgAEkATgBEAEUAWAAoAHsAXABuACAAIAAgACAAIAAgACAAIABcACIAVAByAGEAbgBzAHAAbwByAHQAIAB0AHkAcABlAFwAIgAsACAAXAAiAEYAdQBlAGwAIABjAG8AbQBiAHUAcwB0AGUAZABcACIALAAgAFwAIgBFAG4AZQByAGcAeQAgAEMAbwBuAHQAZQBuAHQAIABGAGEAYwB0AG8AcgAoAEcASgAgAHAAZQByACAAdQBuAGkAdAAgAG8AZgAgAGYAdQBlAGwAKQBcACIALAAgAFwAIgBGAHUAZQBsACAAdQBuAGkAdABcACIALAAgAFwAIgBTAGMAbwBwAGUAIAAxACAARQBtAGkAcwBzAGkAbwBuACAARgBhAGMAdABvAHIAIAAoAGsAZwAgAEMATwAyACAALQAgAGUAIAAvACAARwBKACkAIABDAE8AMgBcACIALAAgAFwAIgBTAGMAbwBwAGUAIAAxACAARQBtAGkAcwBzAGkAbwBuACAARgBhAGMAdABvAHIAIAAoAGsAZwAgAEMATwAyACAALQAgAGUAIAAvACAARwBKACkAIABDAEgANABcACIALAAgAFwAIgBTAGMAbwBwAGUAIAAxACAARQBtAGkAcwBzAGkAbwBuACAARgBhAGMAdABvAHIAIAAoAGsAZwAgAEMATwAyACAALQAgAGUAIAAvACAARwBKACkAIABOADIATwBcACIALAAgAFwAIgBTAGMAbwBwAGUAIAAxACAARQBtAGkAcwBzAGkAbwBuACAARgBhAGMAdABvAHIAIAAoAGsAZwAgAEMATwAyACAALQAgAGUAIAAvACAARwBKACkAIABDAG8AbQBiAGkAbgBlAGQAIABnAGEAcwBlAHMAXAAiACwAIABcACIAUwBjAG8AcABlACAAMwAgAEUAbQBpAHMAcwBpAG8AbgAgAEYAYQBjAHQAbwByACAAKABrAGcAIABDAE8AMgAgAC0AIABlACAALwAgAEcASgApAFwAIgAsACAAXAAiAFMAbwB1AHIAYwBlAFwAIgA7AFwAbgAgACAAIAAgACAAIAAgACAAXAAiAEMAYQByAHMAIABhAG4AZAAgAGwAaQBnAGgAdAAgAGMAbwBtAG0AZQByAGMAaQBhAGwAIAB2AGUAaABpAGMAbABlAHMAXAAiACwAIABcACIARwBhAHMAbwBsAGkAbgBlAFwAIgAsACAAMwA0AC4AMgAsACAAXAAiAGsAbABcACIALAAgADYANwAuADQALAAgADAALgAwADIALAAgADAALgAyACwAIAA2ADcALgA2ADIALAAgADEANwAuADIALAAgAFwAIgBOAEcAQQBGACAAMgAwADIANQA6ACAAVABhAGIAbABlACAAOQBcACIAOwBcAG4AIAAgACAAIAAgACAAIAAgAFwAIgBDAGEAcgBzACAAYQBuAGQAIABsAGkAZwBoAHQAIABjAG8AbQBtAGUAcgBjAGkAYQBsACAAdgBlAGgAaQBjAGwAZQBzAFwAIgAsACAAXAAiAEQAaQBlAHMAZQBsACAAbwBpAGwAXAAiACwAIAAzADgALgA2ACwAIABcACIAawBsAFwAIgAsACAANgA5AC4AOQAsACAAMAAuADAAMQAsACAAMAAuADUALAAgADcAMAAuADQAMQAsACAAMQA3AC4AMwAsACAAXAAiAE4ARwBBAEYAIAAyADAAMgA1ADoAIABUAGEAYgBsAGUAIAA5AFwAIgA7AFwAbgAgACAAIAAgACAAIAAgACAAXAAiAEMAYQByAHMAIABhAG4AZAAgAGwAaQBnAGgAdAAgAGMAbwBtAG0AZQByAGMAaQBhAGwAIAB2AGUAaABpAGMAbABlAHMAXAAiACwAIABcACIATABpAHEAdQBlAGYAaQBlAGQAIABwAGUAdAByAG8AbABlAHUAbQAgAGcAYQBzACAAKABMAFAARwApAFwAIgAsACAAMgA2AC4AMgAsACAAXAAiAGsAbABcACIALAAgADYAMAAuADIALAAgADAALgA1ACwAIAAwAC4AMwAsACAANgAxAC4AMAAwACwAIAAyADAALgAyACwAIABcACIATgBHAEEARgAgADIAMAAyADUAOgAgAFQAYQBiAGwAZQAgADkAXAAiADsAXABuACAAIAAgACAAIAAgACAAIABcACIAQwBhAHIAcwAgAGEAbgBkACAAbABpAGcAaAB0ACAAYwBvAG0AbQBlAHIAYwBpAGEAbAAgAHYAZQBoAGkAYwBsAGUAcwBcACIALAAgAFwAIgBGAHUAZQBsACAAbwBpAGwAXAAiACwAIAAzADkALgA3ACwAIABcACIAawBsAFwAIgAsACAANwAzAC4ANgAsACAAMAAuADAAOAAsACAAMAAuADUALAAgADcANAAuADEAOAAsACAAMQA4AC4AMAAsACAAXAAiAE4ARwBBAEYAIAAyADAAMgA1ADoAIABUAGEAYgBsAGUAIAA5AFwAIgA7AFwAbgAgACAAIAAgACAAIAAgACAAXAAiAEMAYQByAHMAIABhAG4AZAAgAGwAaQBnAGgAdAAgAGMAbwBtAG0AZQByAGMAaQBhAGwAIAB2AGUAaABpAGMAbABlAHMAXAAiACwAIABcACIARQB0AGgAYQBuAG8AbABcACIALAAgADIAMwAuADQALAAgAFwAIgBrAGwAXAAiACwAIAAwAC4AMAAsACAAMAAuADIALAAgADAALgAyACwAIAAwAC4ANAAsACAAXAAiAE4ARQBcACIALAAgAFwAIgBOAEcAQQBGACAAMgAwADIANQA6ACAAVABhAGIAbABlACAAOQBcACIAOwBcAG4AIAAgACAAIAAgACAAIAAgAFwAIgBDAGEAcgBzACAAYQBuAGQAIABsAGkAZwBoAHQAIABjAG8AbQBtAGUAcgBjAGkAYQBsACAAdgBlAGgAaQBjAGwAZQBzAFwAIgAsACAAXAAiAEIAaQBvAGQAaQBlAHMAZQBsAFwAIgAsACAAMwA0AC4ANgAsACAAXAAiAGsAbABcACIALAAgADAALgAwACwAIAAwAC4AOAAsACAAMQAuADcALAAgADIALgA1ACwAIABcACIATgBFAFwAIgAsACAAXAAiAE4ARwBBAEYAIAAyADAAMgA1ADoAIABUAGEAYgBsAGUAIAA5AFwAIgA7AFwAbgAgACAAIAAgACAAIAAgACAAXAAiAEMAYQByAHMAIABhAG4AZAAgAGwAaQBnAGgAdAAgAGMAbwBtAG0AZQByAGMAaQBhAGwAIAB2AGUAaABpAGMAbABlAHMAXAAiACwAIABcACIAUgBlAG4AZQB3AGEAYgBsAGUAIABkAGkAZQBzAGUAbABcACIALAAgADMAOAAuADYALAAgAFwAIgBrAGwAXAAiACwAIAAwAC4AMAAsACAAMAAuADAAMQAsACAAMAAuADUALAAgADAALgA1ADEALAAgAFwAIgBOAEUAXAAiACwAIABcACIATgBHAEEARgAgADIAMAAyADUAOgAgAFQAYQBiAGwAZQAgADkAXAAiADsAXABuACAAIAAgACAAIAAgACAAIABcACIAQwBhAHIAcwAgAGEAbgBkACAAbABpAGcAaAB0ACAAYwBvAG0AbQBlAHIAYwBpAGEAbAAgAHYAZQBoAGkAYwBsAGUAcwBcACIALAAgAFwAIgBPAHQAaABlAHIAIABiAGkAbwBmAHUAZQBsAHMAXAAiACwAIAAyADMALgA0ACwAIABcACIAawBsAFwAIgAsACAAMAAuADAALAAgADAALgA4ACwAIAAxAC4ANwAsACAAMgAuADUALAAgAFwAIgBOAEUAXAAiACwAIABcACIATgBHAEEARgAgADIAMAAyADUAOgAgAFQAYQBiAGwAZQAgADkAXAAiADsAXABuACAAIAAgACAAIAAgACAAIABcACIATABpAGcAaAB0ACAAZAB1AHQAeQAgAHYAZQBoAGkAYwBsAGUAcwBcACIALAAgAFwAIgBDAG8AbQBwAHIAZQBzAHMAZQBkACAAbgBhAHQAdQByAGEAbAAgAGcAYQBzAFwAIgAsACAAMAAuADAAMwA5ADMALAAgAFwAIgBtADMAXAAiACwAIAA1ADEALgA0ACwAIAA3AC4AMwAsACAAMAAuADMALAAgADUAOQAuADAALAAgADEAOAAuADAALAAgAFwAIgBOAEcAQQBGACAAMgAwADIANQA6ACAAVABhAGIAbABlACAAOQBcACIAOwBcAG4AIAAgACAAIAAgACAAIAAgAFwAIgBMAGkAZwBoAHQAIABkAHUAdAB5ACAAdgBlAGgAaQBjAGwAZQBzAFwAIgAsACAAXAAiAEwAaQBxAHUAZQBmAGkAZQBkACAAbgBhAHQAdQByAGEAbAAgAGcAYQBzAFwAIgAsACAAMgA1AC4AMwAsACAAXAAiAGsAbABcACIALAAgADUAMQAuADQALAAgADcALgAzACwAIAAwAC4AMwAsACAANQA5AC4AMAAsACAAMQA4AC4AMAAsACAAXAAiAE4ARwBBAEYAIAAyADAAMgA1ADoAIABUAGEAYgBsAGUAIAA5AFwAIgA7AFwAbgAgACAAIAAgACAAIAAgACAAXAAiAEgAZQBhAHYAeQAgAGQAdQB0AHkAIAB2AGUAaABpAGMAbABlAHMAXAAiACwAIABcACIAQwBvAG0AcAByAGUAcwBzAGUAZAAgAG4AYQB0AHUAcgBhAGwAIABnAGEAcwBcACIALAAgADAALgAwADMAOQAzACwAIABcACIAbQAzAFwAIgAsACAANQAxAC4ANAAsACAAMgAuADgALAAgADAALgAzACwAIAA1ADQALgA1ACwAIAAxADgALgAwACwAIABcACIATgBHAEEARgAgADIAMAAyADUAOgAgAFQAYQBiAGwAZQAgADkAXAAiADsAXABuACAAIAAgACAAIAAgACAAIABcACIASABlAGEAdgB5ACAAZAB1AHQAeQAgAHYAZQBoAGkAYwBsAGUAcwBcACIALAAgAFwAIgBMAGkAcQB1AGUAZgBpAGUAZAAgAG4AYQB0AHUAcgBhAGwAIABnAGEAcwBcACIALAAgADIANQAuADMALAAgAFwAIgBrAGwAXAAiACwAIAA1ADEALgA0ACwAIAAyAC4AOAAsACAAMAAuADMALAAgADUANAAuADUALAAgADEAOAAuADAALAAgAFwAIgBOAEcAQQBGACAAMgAwADIANQA6ACAAVABhAGIAbABlACAAOQBcACIAOwBcAG4AIAAgACAAIAAgACAAIAAgAFwAIgBIAGUAYQB2AHkAIABkAHUAdAB5ACAAdgBlAGgAaQBjAGwAZQBzAFwAIgAsACAAXAAiAEQAaQBlAHMAZQBsACAAbwBpAGwAIAAtACAARQB1AHIAbwAgAGkAdgAgAG8AcgAgAGgAaQBnAGgAZQByAFwAIgAsACAAMwA4AC4ANgAsACAAXAAiAGsAbABcACIALAAgADYAOQAuADkALAAgADAALgAwADcALAAgADAALgA0ACwAIAA3ADAALgAzADcALAAgADEANwAuADMALAAgAFwAIgBOAEcAQQBGACAAMgAwADIANQA6ACAAVABhAGIAbABlACAAOQBcACIAOwBcAG4AIAAgACAAIAAgACAAIAAgAFwAIgBIAGUAYQB2AHkAIABkAHUAdAB5ACAAdgBlAGgAaQBjAGwAZQBzAFwAIgAsACAAXAAiAEQAaQBlAHMAZQBsACAAbwBpAGwAIAAtACAARQB1AHIAbwAgAGkAaQBpAFwAIgAsACAAMwA4AC4ANgAsACAAXAAiAGsAbABcACIALAAgADYAOQAuADkALAAgADAALgAxACwAIAAwAC4ANAAsACAANwAwAC4ANAAsACAAMQA3AC4AMwAsACAAXAAiAE4ARwBBAEYAIAAyADAAMgA1ADoAIABUAGEAYgBsAGUAIAA5AFwAIgA7AFwAbgAgACAAIAAgACAAIAAgACAAXAAiAEgAZQBhAHYAeQAgAGQAdQB0AHkAIAB2AGUAaABpAGMAbABlAHMAXAAiACwAIABcACIARABpAGUAcwBlAGwAIABvAGkAbAAgAC0AIABFAHUAcgBvACAAaQBcACIALAAgADMAOAAuADYALAAgAFwAIgBrAGwAXAAiACwAIAA2ADkALgA5ACwAIAAwAC4AMgAsACAAMAAuADQALAAgADcAMAAuADUALAAgADEANwAuADMALAAgAFwAIgBOAEcAQQBGACAAMgAwADIANQA6ACAAVABhAGIAbABlACAAOQBcACIAOwBcAG4AIAAgACAAIAAgACAAIAAgAFwAIgBIAGUAYQB2AHkAIABkAHUAdAB5ACAAdgBlAGgAaQBjAGwAZQBzAFwAIgAsACAAXAAiAFIAZQBuAGUAdwBhAGIAbABlACAAZABpAGUAcwBlAGwAIAATICAARQB1AHIAbwAgAGkAdgAgAG8AcgAgAGgAaQBnAGgAZQByAFwAIgAsACAAMwA4AC4ANgAsACAAXAAiAGsAbABcACIALAAgADAALgAwACwAIAAwAC4AMAA3ACwAIAAwAC4ANAAsACAAMAAuADQANwAsACAAXAAiAE4ARQBcACIALAAgAFwAIgBOAEcAQQBGACAAMgAwADIANQA6ACAAVABhAGIAbABlACAAOQBcACIAOwBcAG4AIAAgACAAIAAgACAAIAAgAFwAIgBIAGUAYQB2AHkAIABkAHUAdAB5ACAAdgBlAGgAaQBjAGwAZQBzAFwAIgAsACAAXAAiAFIAZQBuAGUAdwBhAGIAbABlACAAZABpAGUAcwBlAGwAIAATICAARQB1AHIAbwAgAGkAaQBpAFwAIgAsACAAMwA4AC4ANgAsACAAXAAiAGsAbABcACIALAAgADAALgAwACwAIAAwAC4AMQAsACAAMAAuADQALAAgADAALgA1ACwAIABcACIATgBFAFwAIgAsACAAXAAiAE4ARwBBAEYAIAAyADAAMgA1ADoAIABUAGEAYgBsAGUAIAA5AFwAIgA7AFwAbgAgACAAIAAgACAAIAAgACAAXAAiAEgAZQBhAHYAeQAgAGQAdQB0AHkAIAB2AGUAaABpAGMAbABlAHMAXAAiACwAIABcACIAUgBlAG4AZQB3AGEAYgBsAGUAIABkAGkAZQBzAGUAbAAgABMgIABFAHUAcgBvACAAaQBcACIALAAgADMAOAAuADYALAAgAFwAIgBrAGwAXAAiACwAIAAwAC4AMAAsACAAMAAuADIALAAgADAALgA0ACwAIAAwAC4ANgAsACAAXAAiAE4ARQBcACIALAAgAFwAIgBOAEcAQQBGACAAMgAwADIANQA6ACAAVABhAGIAbABlACAAOQBcACIAOwBcAG4AIAAgACAAIAAgACAAIAAgAFwAIgBBAHYAaQBhAHQAaQBvAG4AXAAiACwAIABcACIARwBhAHMAbwBsAGkAbgBlACAAZgBvAHIAIAB1AHMAZQAgAGEAcwAgAGYAdQBlAGwAIABpAG4AIABhAG4AIABhAGkAcgBjAHIAYQBmAHQAXAAiACwAIAAzADMALgAxACwAIABcACIAawBsAFwAIgAsACAANgA3AC4AMAAsACAAMAAuADAANgAsACAAMAAuADYALAAgADYANwAuADYANgAsACAAMQA4AC4AMAAsACAAXAAiAE4ARwBBAEYAIAAyADAAMgA1ADoAIABUAGEAYgBsAGUAIAA5AFwAIgA7AFwAbgAgACAAIAAgACAAIAAgACAAXAAiAEEAdgBpAGEAdABpAG8AbgBcACIALAAgAFwAIgBLAGUAcgBvAHMAZQBuAGUAIABmAG8AcgAgAHUAcwBlACAAYQBzACAAZgB1AGUAbAAgAGkAbgAgAGEAbgAgAGEAaQByAGMAcgBhAGYAdABcACIALAAgADMANgAuADgALAAgAFwAIgBrAGwAXAAiACwAIAA2ADkALgA2ACwAIAAwAC4AMAAxACwAIAAwAC4ANgAsACAANwAwAC4AMgAxACwAIAAxADgALgAwACwAIABcACIATgBHAEEARgAgADIAMAAyADUAOgAgAFQAYQBiAGwAZQAgADkAXAAiADsAXABuACAAIAAgACAAIAAgACAAIABcACIAQQB2AGkAYQB0AGkAbwBuAFwAIgAsACAAXAAiAFIAZQBuAGUAdwBhAGIAbABlACAAYQB2AGkAYQB0AGkAbwBuACAAawBlAHIAbwBzAGUAbgBlAFwAIgAsACAAMwA2AC4AOAAsACAAXAAiAGsAbABcACIALAAgADAALgAwACwAIAAwAC4AMAAxACwAIAAwAC4ANgAsACAAMAAuADYAMQAsACAAXAAiAE4ARQBcACIALAAgAFwAIgBOAEcAQQBGACAAMgAwADIANQA6ACAAVABhAGIAbABlACAAOQBcACIAOwBcAG4AIAAgACAAIAAgACAAIAAgAFwAIgBWAGUAcwBzAGUAbABzAFwAIgAsACAAXAAiAEcAYQBzAG8AbABpAG4AZQBcACIALAAgADMANAAuADIALAAgAFwAIgBrAEwAXAAiACwAIAA2ADcALgA0ACwAIAAxADAALgAxACwAIAAwAC4AMwAsACAAXAAiAFwAIgAsACAAMQA3AC4AMgAsACAAXAAiAFYARQBFAFIARwAgADIAMAAyADYAOgAgAFQAYQBiAGwAZQAgAEEALgA0AC4AMgAuADEAXAAiADsAXABuACAAIAAgACAAIAAgACAAIABcACIAVgBlAHMAcwBlAGwAcwBcACIALAAgAFwAIgBEAGkAZQBzAGUAbAAgAG8AaQBsAFwAIgAsACAAMwA4AC4ANgAsACAAXAAiAGsATABcACIALAAgADYAOQAuADkALAAgADAALgAyACwAIAAwAC4ANQAsACAAXAAiAFwAIgAsACAAMQA3AC4AMwAsACAAXAAiAFYARQBFAFIARwAgADIAMAAyADYAOgAgAFQAYQBiAGwAZQAgAEEALgA0AC4AMgAuADEAXAAiADsAXABuACAAIAAgACAAIAAgACAAIABcACIAVgBlAHMAcwBlAGwAcwBcACIALAAgAFwAIgBGAHUAZQBsACAATwBpAGwAXAAiACwAIAAzADkALgA3ACwAIABcACIAawBMAFwAIgAsACAANwAzAC4ANgAsACAAMAAuADIALAAgADAALgA1ACwAIABcACIAXAAiACwAIAAxADgALgAwACwAIABcACIAVgBFAEUAUgBHACAAMgAwADIANgA6ACAAVABhAGIAbABlACAAQQAuADQALgAyAC4AMQBcACIAOwBcAG4AIAAgACAAIAAgACAAIAAgAFwAIgBPAGYAZgAtAHIAbwBhAGQAIABBAGcAcgBpAGMAdQBsAHQAdQByAGUAIABhAG4AZAAgAGYAbwByAGUAcwB0AHIAeQAgAGUAcQB1AGkAcABtAGUAbgB0AFwAIgAsACAAXAAiAEQAaQBlAHMAZQBsACAAbwBpAGwAXAAiACwAIAAzADgALgA2ACwAIABcACIAawBMAFwAIgAsACAANgA5AC4AOQAsACAAMAAuADMALAAgADAALgA1ACwAIABcACIAXAAiACwAIAAxADcALgAzACwAIABcACIAVgBFAEUAUgBHACAAMgAwADIANgA6ACAAVABhAGIAbABlACAAQQAuADQALgAyAC4AMQBcACIAXABuACAAIAAgACAAIAAgAH0ALAAgAHIALAAgAGMAKQBcAG4AKQApACkAOwBcAG4AXABuAEYAdQBlAGwAXwBTAGMAbwBwAGUAMQBTAGMAbwBwAGUAMwBFAG0AaQBzAHMAaQBvAG4ARgBhAGMAdABvAHIAcwBUAHIAYQBuAHMAcABvAHIAdABfAFYAYQByAGkAYQB0AGkAbwBuAFwAbgA9AEwAQQBNAEIARABBACgAXAAiAFYAQQBSAEkAQQBUAEkATwBOACAATwBGACAAUwBPAFUAUgBDAEUAIABEAEEAVABBADoAIABcAHUAMAAwADIANwBOAEUAXAB1ADAAMAAyADcAIAB2AGEAbAB1AGUAcwAgAHIAZQB0AHUAcgBuAGUAZAAgAGEAcwAgAHoAZQByAG8AIABmAG8AcgAgAGMAYQBsAGMAdQBsAGEAdABpAG8AbgBzAC4AXAAiACkAOwBcAG4AXABuAFwAbgAvACoAXABuAD0APQA9AD0APQA9AD0APQA9AD0APQA9AD0APQA9AD0APQA9AD0APQA9AD0APQA9AD0APQA9AD0APQA9AD0APQA9AD0APQA9AD0APQA9AD0APQA9AD0APQA9AD0APQA9AD0APQA9AD0APQA9AD0APQA9AD0APQA9AD0APQA9AD0APQA9AD0APQA9AD0APQA9AD0APQA9AD0AXABuAEYAdQBlAGwAIABzAGMAbwBwAGUAIAAxACAAYQBuAGQAIAAzACAAZQBtAGkAcwBzAGkAbwBuACAAZgBhAGMAdABvAHIAcwAgAC0AIABPAGYAZgAtAHIAYQBkACAAZQBxAHUAaQBwAG0AZQBuAHQAIABhAG4AZAAgAHYAZQBzAHMAZQBsAHMAXABuAD0APQA9AD0APQA9AD0APQA9AD0APQA9AD0APQA9AD0APQA9AD0APQA9AD0APQA9AD0APQA9AD0APQA9AD0APQA9AD0APQA9AD0APQA9AD0APQA9AD0APQA9AD0APQA9AD0APQA9AD0APQA9AD0APQA9AD0APQA9AD0APQA9AD0APQA9AD0APQA9AD0APQA9AD0APQA9AD0AXABuACoALwBcAG4AXABuAEYAdQBlAGwAXwBTAGMAbwBwAGUAMQBTAGMAbwBwAGUAMwBFAG0AaQBzAHMAaQBvAG4ARgBhAGMAdABvAHIAcwBUAHIAYQBuAHMAcABvAHIAdABPAGYAZgBSAG8AYQBkAF8AVABpAHQAbABlAFwAbgA9AEwAQQBNAEIARABBACgAKABcACIARgB1AGUAbAAgAHMAYwBvAHAAZQAgADEAIABhAG4AZAAgADMAIABlAG0AaQBzAHMAaQBvAG4AIABmAGEAYwB0AG8AcgBzACAALQAgAE8AZgBmAC0AcgBvAGEAZAAgAGUAcQB1AGkAcABtAGUAbgB0ACAAYQBuAGQAIAB2AGUAcwBzAGUAbABzAFwAIgApACkAOwBcAG4AXABuAEYAdQBlAGwAXwBTAGMAbwBwAGUAMQBTAGMAbwBwAGUAMwBFAG0AaQBzAHMAaQBvAG4ARgBhAGMAdABvAHIAcwBUAHIAYQBuAHMAcABvAHIAdABPAGYAZgBSAG8AYQBkAF8ARABlAHMAYwByAGkAcAB0AGkAbwBuAFwAbgA9AEwAQQBNAEIARABBACgAKABcACIARABpAHIAZQBjAHQAIAAoAHMAYwBvAHAAZQAgADEAKQAgAGEAbgBkACAAaQBuAGQAaQByAGUAYwB0ACAAKABzAGMAbwBwAGUAIAAzACkAIABlAG0AaQBzAHMAaQBvAG4AIABmAGEAYwB0AG8AcgBzACAAZgBvAHIAIAB0AGgAZQAgAGMAbwBuAHMAdQBtAHAAdABpAG8AbgAgAG8AZgAgAGYAdQBlAGwAcwAgAGkAbgAgAG8AZgBmAC0AcgBvAGEAZAAgAGUAcQB1AGkAcABtAGUAbgB0ACAAYQBuAGQAIAB2AGUAcwBzAGUAbABzAFwAIgApACkAOwBcAG4AXABuAEYAdQBlAGwAXwBTAGMAbwBwAGUAMQBTAGMAbwBwAGUAMwBFAG0AaQBzAHMAaQBvAG4ARgBhAGMAdABvAHIAcwBUAHIAYQBuAHMAcABvAHIAdABPAGYAZgBSAG8AYQBkAF8AUwBvAHUAcgBjAGUAXABuAD0ATABBAE0AQgBEAEEAKAAoAFwAIgBWAEUARQBSAEcAIAAyADAAMgA2ADoAIABUAGEAYgBsAGUAIABBAC4ANAAuADIALgAxAFwAIgApACkAOwBcAG4AXABuAEYAdQBlAGwAXwBTAGMAbwBwAGUAMQBTAGMAbwBwAGUAMwBFAG0AaQBzAHMAaQBvAG4ARgBhAGMAdABvAHIAcwBUAHIAYQBuAHMAcABvAHIAdABPAGYAZgBSAG8AYQBkAF8ARABhAHQAYQBcAG4APQBMAEEATQBCAEQAQQAoAFwAbgAgACAATQBBAEsARQBBAFIAUgBBAFkAKAA1ACwAIAA3ACwAXABuACAAIAAgACAATABBAE0AQgBEAEEAKAByACwAYwAsAFwAbgAgACAAIAAgACAAIABJAE4ARABFAFgAKAB7AFwAbgAgACAAIAAgACAAIAAgACAAXAAiAFQAcgBhAG4AcwBwAG8AcgB0ACAAdAB5AHAAZQAgAHQAXAAiACwAIABcACIARgB1AGUAbAAgAHQAeQBwAGUAIABxAFwAIgAsACAAXAAiAEUAQwBUAHIAYQBuAHMALABxACAAKABHAEoALwBrAEwAKQBcACIALAAgAFwAIgBTAGMAbwBwAGUAIAAxACAAQwBPADIAIABFAEYAVAByAGEAbgAsADEALAB0AHEAZwAgACgAawBnACAAQwBPADIALQBlAC8ARwBKACkAXAAiACwAIABcACIAUwBjAG8AcABlACAAMQAgAEMASAA0ACAARQBGAFQAcgBhAG4ALAAxACwAdABnAGcAIAAoAGsAZwAgAEMATwAyAC0AZQAvAEcASgApAFwAIgAsACAAXAAiAFMAYwBvAHAAZQAgADEAIABOADIATwAgAEUARgBUAHIAYQBuACwAMQAsAHQAZwBnACAAKABrAGcAIABDAE8AMgAtAGUALwBHAEoAKQBcACIALAAgAFwAIgBTAGMAbwBwAGUAIAAzACAARQBGAFQAcgBhAG4AcwAsADMALABxACAAKABrAGcAIABDAE8AMgAtAGUALwBHAEoAKQBcACIAOwBcAG4AIAAgACAAIAAgACAAIAAgAFwAIgBWAGUAcwBzAGUAbABcACIALAAgAFwAIgBQAGUAdAByAG8AbABcACIALAAgADMANAAuADIALAAgADYANwAuADQALAAgADEAMAAuADEALAAgADAALgAzACwAIAAxADcALgAyADsAXABuACAAIAAgACAAIAAgACAAIABcACIAVgBlAHMAcwBlAGwAXAAiACwAIABcACIARABpAGUAcwBlAGwAXAAiACwAIAAzADgALgA2ACwAIAA2ADkALgA5ACwAIAAwAC4AMgAsACAAMAAuADUALAAgADEANwAuADMAOwBcAG4AIAAgACAAIAAgACAAIAAgAFwAIgBWAGUAcwBzAGUAbABcACIALAAgAFwAIgBGAHUAZQBsACAATwBpAGwAXAAiACwAIAAzADkALgA3ACwAIAA3ADMALgA2ACwAIAAwAC4AMgAsACAAMAAuADUALAAgADEAOAAuADAAOwBcAG4AIAAgACAAIAAgACAAIAAgAFwAIgBPAGYAZgAtAHIAbwBhAGQAIABBAGcAcgBpAGMAdQBsAHQAdQByAGUAIABhAG4AZAAgAGYAbwByAGUAcwB0AHIAeQAgAGUAcQB1AGkAcABtAGUAbgB0AFwAIgAsACAAXAAiAEQAaQBlAHMAZQBsAFwAIgAsACAAMwA4AC4ANgAsACAANgA5AC4AOQAsACAAMAAuADMALAAgADAALgA1ACwAIAAxADcALgAzAFwAbgAgACAAIAAgACAAIAB9ACwAIAByACwAIABjACkAXABuACkAKQApADsAXABuAFwAbgBcAG4AXABuACIAfQAsAHsAIgBwAGEAdABoACIAOgAiAC8AcAByAG8AagBlAGMAdABzAC8AVwBhAHMAdABlAFMAbwBsAGkAZABfAEUAcQB1AGEAdABpAG8AbgBzACIALAAiAHQAZQB4AHQAIgA6ACIALwAqAFwAbgA9AD0APQA9AD0APQA9AD0APQA9AD0APQA9AD0APQA9AD0APQA9AD0APQA9AD0APQA9AD0APQA9AD0APQA9AD0APQA9AD0APQA9AD0APQA9AD0APQA9AD0APQA9AD0APQA9AD0APQA9AD0APQA9AD0APQA9AD0APQA9AD0APQA9AD0APQA9AD0APQA9AD0APQA9AD0APQA9AFwAbgAxADAALgAxADoAIABXAGEAcwB0AGUAXABuAD0APQA9AD0APQA9AD0APQA9AD0APQA9AD0APQA9AD0APQA9AD0APQA9AD0APQA9AD0APQA9AD0APQA9AD0APQA9AD0APQA9AD0APQA9AD0APQA9AD0APQA9AD0APQA9AD0APQA9AD0APQA9AD0APQA9AD0APQA9AD0APQA9AD0APQA9AD0APQA9AD0APQA9AD0APQA9AD0AXABuADEAMAAuADEALgAxAC4AMQAgAE0AZQB0AGgAbwBkACAAMQAgAC0AIABTAG8AbABpAGQAIABXAGEAcwB0AGUAIABUAHIAZQBhAHQAbQBlAG4AdABcAG4APQA9AD0APQA9AD0APQA9AD0APQA9AD0APQA9AD0APQA9AD0APQA9AD0APQA9AD0APQA9AD0APQA9AD0APQA9AD0APQA9AD0APQA9AD0APQA9AD0APQA9AD0APQA9AD0APQA9AD0APQA9AD0APQA9AD0APQA9AD0APQA9AD0APQA9AD0APQA9AD0APQA9AD0APQA9AD0APQBcAG4AKgAvAFwAbgBcAG4ALwAqAFwAbgAtAC0ALQAtAC0ALQAtAC0ALQAtAC0ALQAtAC0ALQAtAC0ALQAtAC0ALQAtAC0ALQAtAC0ALQAtAC0ALQAtAC0ALQAtAC0ALQAtAC0AXABuAFYARQBFAFIARwBfADEAMABfADEAXwAxAF8AMQBfAF8AMQBfAEUAbQBpAHMAcwBpAG8AbgBzAEYAcgBvAG0AVwBhAHMAdABlAE0AYQBuAGEAZwBlAG0AZQBuAHQAXABuAEUAbQBpAHMAcwBpAG8AbgBzACAAZgByAG8AbQAgAHcAYQBzAHQAZQAgAG0AYQBuAGEAZwBlAG0AZQBuAHQAIABiAHkAIABnAHIAZQBlAG4AaABvAHUAcwBlACAAZwBhAHMAXABuAEUAXwBnAFwAbgB0ACAAQwBPADIAZQBcAG4ARQBfAGcAPQBcAFwAcwB1AG0AXwB0AFwAXABzAHUAbQBfAHcAKABRAF8AdwB0AFwAXAB0AGkAbQBlAHMAIABFAEYAXwB3AHQAZwApAFwAbgBRAF8AdwB0ACAAPQAgAHEAdQBhAG4AdABpAHQAeQAgAG8AZgAgAHMAbwBsAGkAZAAgAHcAYQBzAHQAZQAgAG8AZgAgAHQAeQBwAGUAIAB3ACAAYgBlAGkAbgBnACAAcwBlAG4AdAAgAHQAbwAgAHQAcgBlAGEAdABtAGUAbgB0ACAAZgBhAGMAaQBsAGkAdAB5ACAAdAAsACAAbwBuACAAYQAgAHcAZQB0ACAAdwBlAGkAZwBoAHQAIABiAGEAcwBpAHMAIAAoAHQAKQBcAG4ARQBGAF8AdwB0AGcAIAA9ACAAZQBtAGkAcwBzAGkAbwBuACAAZgBhAGMAdABvAHIAIABmAG8AcgAgAGcAcgBlAGUAbgBoAG8AdQBzAGUAIABnAGEAcwAgAGcAIABmAG8AcgAgAHQAaABlACAAbQBhAG4AYQBnAGUAbQBlAG4AdAAgAG8AZgAgAHcAYQBzAHQAZQAgAGEAdAAgAHQAcgBlAGEAdABtAGUAbgB0ACAAZgBhAGMAaQBsAGkAdAB5ACAAdAAgACgAdAAgAEMATwAyAGUALwB0ACkAXABuAC0ALQAtAC0ALQAtAC0ALQAtAC0ALQAtAC0ALQAtAC0ALQAtAC0ALQAtAC0ALQAtAC0ALQAtAC0ALQAtAC0ALQAtAC0ALQAtAC0ALQBcAG4AKgAvAFwAbgBcAG4AVgBFAEUAUgBHAF8AMQAwAF8AMQBfADEAXwAxAF8AXwAxAF8ARQBtAGkAcwBzAGkAbwBuAHMARgByAG8AbQBXAGEAcwB0AGUATQBhAG4AYQBnAGUAbQBlAG4AdABcAG4AIAAgAD0ATABBAE0AQgBEAEEAKABcAG4AIAAgACAAIABRAF8AdwB0ACwAIABFAEYAXwB3AHQAZwAsAFwAbgAgACAAIAAgAFEAXwB3AHQAIAAqACAARQBGAF8AdwB0AGcAXABuACAAIAApADsAXABuAFwAbgBWAEUARQBSAEcAXwAxADAAXwAxAF8AMQBfADEAXwBfADEAXwBFAG0AaQBzAHMAaQBvAG4AcwBGAHIAbwBtAFcAYQBzAHQAZQBNAGEAbgBhAGcAZQBtAGUAbgB0AF8AVABpAHQAbABlAFwAbgAgACAAPQBMAEEATQBCAEQAQQAoAFwAIgBFAG0AaQBzAHMAaQBvAG4AcwAgAGYAcgBvAG0AIAB3AGEAcwB0AGUAIABtAGEAbgBhAGcAZQBtAGUAbgB0ACAAYgB5ACAAZwByAGUAZQBuAGgAbwB1AHMAZQAgAGcAYQBzAFwAIgApADsAXABuAFwAbgBWAEUARQBSAEcAXwAxADAAXwAxAF8AMQBfADEAXwBfADEAXwBFAG0AaQBzAHMAaQBvAG4AcwBGAHIAbwBtAFcAYQBzAHQAZQBNAGEAbgBhAGcAZQBtAGUAbgB0AF8AVgBhAHIAaQBhAGIAbABlAFwAbgAgACAAPQBMAEEATQBCAEQAQQAoAFwAIgBFAF8AZwBcACIAKQA7AFwAbgBcAG4AVgBFAEUAUgBHAF8AMQAwAF8AMQBfADEAXwAxAF8AXwAxAF8ARQBtAGkAcwBzAGkAbwBuAHMARgByAG8AbQBXAGEAcwB0AGUATQBhAG4AYQBnAGUAbQBlAG4AdABfAFUAbgBpAHQAXABuACAAIAA9AEwAQQBNAEIARABBACgAXAAiAHQAIABDAE8AMgBlAFwAIgApADsAXABuAFwAbgBWAEUARQBSAEcAXwAxADAAXwAxAF8AMQBfADEAXwBfADEAXwBFAG0AaQBzAHMAaQBvAG4AcwBGAHIAbwBtAFcAYQBzAHQAZQBNAGEAbgBhAGcAZQBtAGUAbgB0AF8AUwBvAHUAcgBjAGUAXABuACAAIAA9AEwAQQBNAEIARABBACgAXAAiAFYARQBFAFIARwAgADIAMAAyADYAOgAgADEAMAAuADEALgAxAC4AMQAsACAARQBxAHUAYQB0AGkAbwBuACAAKAAxACkAXAAiACkAOwBcAG4AXABuAFYARQBFAFIARwBfADEAMABfADEAXwAxAF8AMQBfAF8AMQBfAEUAbQBpAHMAcwBpAG8AbgBzAEYAcgBvAG0AVwBhAHMAdABlAE0AYQBuAGEAZwBlAG0AZQBuAHQAXwBOAEkAUgBSAGUAZgBlAHIAZQBuAGMAZQBcAG4AIAAgAD0ATABBAE0AQgBEAEEAKABcACIAXAAiACkAOwBcAG4AXABuAFYARQBFAFIARwBfADEAMABfADEAXwAxAF8AMQBfAF8AMQBfAEUAbQBpAHMAcwBpAG8AbgBzAEYAcgBvAG0AVwBhAHMAdABlAE0AYQBuAGEAZwBlAG0AZQBuAHQAXwBMAGEAdABlAHgARQBxAHUAYQB0AGkAbwBuAFwAbgAgACAAPQBMAEEATQBCAEQAQQAoAFwAIgBFAF8AZwA9AFwAXABzAHUAbQBcAFwAbgBvAGwAaQBtAGkAdABzAF8AdABcAFwAcwB1AG0AXABcAG4AbwBsAGkAbQBpAHQAcwBfAHcAKABRAF8AewB3AHQAfQBcAFwAdABpAG0AZQBzACAARQBGAF8AewB3AHQAZwB9ACkAXAAiACkAOwBcAG4AXABuAFYARQBFAFIARwBfADEAMABfADEAXwAxAF8AMQBfAF8AMQBfAEUAbQBpAHMAcwBpAG8AbgBzAEYAcgBvAG0AVwBhAHMAdABlAE0AYQBuAGEAZwBlAG0AZQBuAHQAXwBBAHIAZwB1AG0AZQBuAHQAcwBcAG4AIAAgAD0ATABBAE0AQgBEAEEAKABcAG4AIAAgACAAIABNAEEASwBFAEEAUgBSAEEAWQAoADcALAAgADQALABcAG4AIAAgACAAIAAgACAATABBAE0AQgBEAEEAKAByACwAYwAsAFwAbgAgACAAIAAgACAAIAAgACAASQBOAEQARQBYACgAewBcAG4AIAAgACAAIAAgACAAIAAgACAAIABcACIAUQBfAHcAdABcACIALAAgAFwAIgBxAHUAYQBuAHQAaQB0AHkAIABvAGYAIABzAG8AbABpAGQAIAB3AGEAcwB0AGUAIABvAGYAIAB0AHkAcABlACAAdwAgAGIAZQBpAG4AZwAgAHMAZQBuAHQAIAB0AG8AIAB0AHIAZQBhAHQAbQBlAG4AdAAgAGYAYQBjAGkAbABpAHQAeQAgAHQALAAgAG8AbgAgAGEAIAB3AGUAdAAgAHcAZQBpAGcAaAB0ACAAYgBhAHMAaQBzAFwAIgAsACAAXAAiAHQAXAAiACwAIABcACIAUwB1AG0AIABvAGYAIABRAF8AdgBvAGwAdwB0ACAAYQBuAGQAIABRAF8AbQBhAHMAcwB3AHQAXAAiADsAXABuACAAIAAgACAAIAAgACAAIAAgACAAXAAiAEUARgBfAHcAdABnAFwAIgAsACAAXAAiAGUAbQBpAHMAcwBpAG8AbgAgAGYAYQBjAHQAbwByACAAZgBvAHIAIABnAHIAZQBlAG4AaABvAHUAcwBlACAAZwBhAHMAIABnACAAZgBvAHIAIAB0AGgAZQAgAG0AYQBuAGEAZwBlAG0AZQBuAHQAIABvAGYAIAB3AGEAcwB0AGUAIABhAHQAIAB0AHIAZQBhAHQAbQBlAG4AdAAgAGYAYQBjAGkAbABpAHQAeQAgAHQAXAAiACwAIABcACIAdAAgAEMATwAyAGUALwB0AFwAIgAsACAAXAAiAEMAbwBuAHMAdABhAG4AdABcACIAOwBcAG4AIAAgACAAIAAgACAAIAAgACAAIABcACIAdwBcACIALAAgAFwAIgB3AGEAcwB0AGUAIAB0AHkAcABlAFwAIgAsACAAXAAiAFwAIgAsACAAXAAiAEkAbgBwAHUAdABcACIAOwBcAG4AIAAgACAAIAAgACAAIAAgACAAIABcACIAdABcACIALAAgAFwAIgB0AHIAZQBhAHQAbQBlAG4AdAAgAGYAYQBjAGkAbABpAHQAeQBcACIALAAgAFwAIgBcACIALAAgAFwAIgBJAG4AcAB1AHQAXAAiADsAXABuACAAIAAgACAAIAAgACAAIAAgACAAXAAiAGcAXAAiACwAIABcACIAZwByAGUAZQBuAGgAbwB1AHMAZQAgAGcAYQBzAFwAIgAsACAAXAAiAFwAIgAsACAAXAAiAEkAbgBwAHUAdABcACIAOwBcAG4AIAAgACAAIAAgACAAIAAgACAAIABcACIAUQBfAHYAbwBsAHcAdABcACIALAAgAFwAIgBxAHUAYQBuAHQAaQB0AHkAIABvAGYAIABzAG8AbABkACAAdwBhAHMAdABlACAAaQBuAHAAdQB0ACAAYQBzACAAdgBvAGwAdQBtAGUAIABhAG4AZAAgAGMAbwBuAHYAZQByAHQAZQBkACAAdABvACAAdABvAG4AbgBlAHMAXAAiACwAIABcACIAdABvAG4AbgBlAHMAXAAiACwAIABcACIAQwBhAGwAYwB1AGwAYQB0AGUAZAAgAGYAcgBvAG0AIAAxADAALgAxAC4AMQAuADEAIAAoADIAKQBcACIAOwBcAG4AIAAgACAAIAAgACAAIAAgACAAIABcACIAUQBfAG0AYQBzAHMAdwB0AFwAIgAsACAAXAAiAHEAdQBhAG4AdABpAHQAeQAgAG8AZgAgAHMAbwBsAGkAZAAgAHcAYQBzAHQAZQAgAGkAbgBwAHUAdAAgAGEAcwAgAG0AYQBzAHMAXAAiACwAIABcACIAdABvAG4AbgBlAHMAXAAiACwAIABcACIASQBuAHAAdQB0AFwAIgBcAG4AIAAgACAAIAAgACAAIAAgAH0ALAAgAHIALAAgAGMAKQBcAG4AIAAgACAAIAAgACAAKQBcAG4AIAAgACAAIAApAFwAbgAgACAAKQA7AFwAbgBcAG4AVgBFAEUAUgBHAF8AMQAwAF8AMQBfADEAXwAxAF8AXwAxAF8ARQBtAGkAcwBzAGkAbwBuAHMARgByAG8AbQBXAGEAcwB0AGUATQBhAG4AYQBnAGUAbQBlAG4AdABfAFYAYQByAGkAYQB0AGkAbwBuAFwAbgAgACAAPQBMAEEATQBCAEQAQQAoAFwAIgBWAEEAUgBJAEEAVABJAE8ATgAgAE8ATgAgAFMATwBVAFIAQwBFADoAIABBAGQAZABlAGQAIABRAF8AdgBvAGwAdwB0ACAAYQBuAGQAIABRAF8AbQBhAHMAcwB3AHQAIAB2AGEAcgBpAGEAYgBsAGUAcwAgAHQAbwAgAGMAbABlAGEAcgBsAHkAIAB0AHIAYQBjAGsAIABpAG4AcAB1AHQAIABvAHIAIABjAGEAbABjAHUAbABhAHQAZQBkACAAUQAgAHYAYQBsAHUAZQBzAFwAIgApADsAXABuAFwAbgAvACoAXABuAC0ALQAtAC0ALQAtAC0ALQAtAC0ALQAtAC0ALQAtAC0ALQAtAC0ALQAtAC0ALQAtAC0ALQAtAC0ALQAtAC0ALQAtAC0ALQAtAC0ALQBcAG4AVgBFAEUAUgBHAF8AMQAwAF8AMQBfADEAXwAxAF8AXwAyAF8ATQBhAHMAcwBPAGYAVwBhAHMAdABlAEYAcgBvAG0AVgBvAGwAdQBtAGUAXABuAE0AYQBzAHMAIABvAGYAIAB3AGEAcwB0AGUAIABmAHIAbwBtACAAdwBhAHMAdABlACAAdgBvAGwAdQBtAGUAXABuAFEAXwB3AHQAXABuAHQAXABuAFEAXwB3AHQAPQBWAF8AdwB0AFwAXAB0AGkAbQBlAHMAIABWAFQATQBfAHcAXABuAFYAXwB3AHQAIAA9ACAAdgBvAGwAdQBtAGUAIABvAGYAIABzAG8AbABpAGQAIAB3AGEAcwB0AGUAIAB0AHkAcABlACAAdwAgAGIAZQBpAG4AZwAgAHMAZQBuAHQAIAB0AG8AIAB0AHIAZQBhAHQAbQBlAG4AdAAgAGYAYQBjAGkAbABpAHQAeQAgAHQAIAAoAG0AMwApAFwAbgBWAFQATQBfAHcAIAA9ACAAYwBvAG4AdgBlAHIAcwBpAG8AbgAgAGYAYQBjAHQAbwByACAAbwBmACAAdgBvAGwAdQBtAGUAIAB0AG8AIABtAGEAcwBzACAAZgBvAHIAIAB3AGEAcwB0AGUAIAB0AHkAcABlACAAdwAgACgAdAAvAG0AMwApAFwAbgAtAC0ALQAtAC0ALQAtAC0ALQAtAC0ALQAtAC0ALQAtAC0ALQAtAC0ALQAtAC0ALQAtAC0ALQAtAC0ALQAtAC0ALQAtAC0ALQAtAC0AXABuACoALwBcAG4AXABuAFYARQBFAFIARwBfADEAMABfADEAXwAxAF8AMQBfAF8AMgBfAE0AYQBzAHMATwBmAFcAYQBzAHQAZQBGAHIAbwBtAFYAbwBsAHUAbQBlAFwAbgAgACAAPQBMAEEATQBCAEQAQQAoAFwAbgAgACAAIAAgAFYAXwB3AHQALAAgAFYAVABNAF8AdwAsAFwAbgAgACAAIAAgAFYAXwB3AHQAIAAqACAAVgBUAE0AXwB3AFwAbgAgACAAKQA7AFwAbgBcAG4AVgBFAEUAUgBHAF8AMQAwAF8AMQBfADEAXwAxAF8AXwAyAF8ATQBhAHMAcwBPAGYAVwBhAHMAdABlAEYAcgBvAG0AVgBvAGwAdQBtAGUAXwBUAGkAdABsAGUAXABuACAAIAA9AEwAQQBNAEIARABBACgAXAAiAE0AYQBzAHMAIABvAGYAIAB3AGEAcwB0AGUAIABmAHIAbwBtACAAdwBhAHMAdABlACAAdgBvAGwAdQBtAGUAXAAiACkAOwBcAG4AXABuAFYARQBFAFIARwBfADEAMABfADEAXwAxAF8AMQBfAF8AMgBfAE0AYQBzAHMATwBmAFcAYQBzAHQAZQBGAHIAbwBtAFYAbwBsAHUAbQBlAF8AVgBhAHIAaQBhAGIAbABlAFwAbgAgACAAPQBMAEEATQBCAEQAQQAoAFwAIgBRAF8AdwB0AFwAIgApADsAXABuAFwAbgBWAEUARQBSAEcAXwAxADAAXwAxAF8AMQBfADEAXwBfADIAXwBNAGEAcwBzAE8AZgBXAGEAcwB0AGUARgByAG8AbQBWAG8AbAB1AG0AZQBfAFUAbgBpAHQAXABuACAAIAA9AEwAQQBNAEIARABBACgAXAAiAHQAXAAiACkAOwBcAG4AXABuAFYARQBFAFIARwBfADEAMABfADEAXwAxAF8AMQBfAF8AMgBfAE0AYQBzAHMATwBmAFcAYQBzAHQAZQBGAHIAbwBtAFYAbwBsAHUAbQBlAF8AUwBvAHUAcgBjAGUAXABuACAAIAA9AEwAQQBNAEIARABBACgAXAAiAFYARQBFAFIARwAgADIAMAAyADYAOgAgADEAMAAuADEALgAxAC4AMQAsACAARQBxAHUAYQB0AGkAbwBuACAAKAAyACkAXAAiACkAOwBcAG4AXABuAFYARQBFAFIARwBfADEAMABfADEAXwAxAF8AMQBfAF8AMgBfAE0AYQBzAHMATwBmAFcAYQBzAHQAZQBGAHIAbwBtAFYAbwBsAHUAbQBlAF8ATgBJAFIAUgBlAGYAZQByAGUAbgBjAGUAXABuACAAIAA9AEwAQQBNAEIARABBACgAXAAiAFwAIgApADsAXABuAFwAbgBWAEUARQBSAEcAXwAxADAAXwAxAF8AMQBfADEAXwBfADIAXwBNAGEAcwBzAE8AZgBXAGEAcwB0AGUARgByAG8AbQBWAG8AbAB1AG0AZQBfAEwAYQB0AGUAeABFAHEAdQBhAHQAaQBvAG4AXABuACAAIAA9AEwAQQBNAEIARABBACgAXAAiAFEAXwB7AHcAdAB9AD0AVgBfAHsAdwB0AH0AXABcAHQAaQBtAGUAcwAgAFYAVABNAF8AdwBcACIAKQA7AFwAbgBcAG4AVgBFAEUAUgBHAF8AMQAwAF8AMQBfADEAXwAxAF8AXwAyAF8ATQBhAHMAcwBPAGYAVwBhAHMAdABlAEYAcgBvAG0AVgBvAGwAdQBtAGUAXwBBAHIAZwB1AG0AZQBuAHQAcwBcAG4AIAAgAD0ATABBAE0AQgBEAEEAKABcAG4AIAAgACAAIABNAEEASwBFAEEAUgBSAEEAWQAoADQALAAgADQALABcAG4AIAAgACAAIAAgACAATABBAE0AQgBEAEEAKAByACwAYwAsAFwAbgAgACAAIAAgACAAIAAgACAASQBOAEQARQBYACgAewBcAG4AIAAgACAAIAAgACAAIAAgACAAIABcACIAVgBfAHcAdABcACIALAAgAFwAIgB2AG8AbAB1AG0AZQAgAG8AZgAgAHMAbwBsAGkAZAAgAHcAYQBzAHQAZQAgAHQAeQBwAGUAIAB3ACAAYgBlAGkAbgBnACAAcwBlAG4AdAAgAHQAbwAgAHQAcgBlAGEAdABtAGUAbgB0ACAAZgBhAGMAaQBsAGkAdAB5ACAAdABcACIALAAgAFwAIgBtADMAXAAiACwAIABcACIASQBuAHAAdQB0AFwAIgA7AFwAbgAgACAAIAAgACAAIAAgACAAIAAgAFwAIgBWAFQATQBfAHcAXAAiACwAIABcACIAYwBvAG4AdgBlAHIAcwBpAG8AbgAgAGYAYQBjAHQAbwByACAAbwBmACAAdgBvAGwAdQBtAGUAIAB0AG8AIABtAGEAcwBzACAAZgBvAHIAIAB3AGEAcwB0AGUAIAB0AHkAcABlACAAdwBcACIALAAgAFwAIgB0AC8AbQAzAFwAIgAsACAAXAAiAEMAbwBuAHMAdABhAG4AdABcACIAOwBcAG4AIAAgACAAIAAgACAAIAAgACAAIABcACIAdwBcACIALAAgAFwAIgB3AGEAcwB0AGUAIAB0AHkAcABlAFwAIgAsACAAXAAiAFwAIgAsACAAXAAiAEkAbgBwAHUAdABcACIAOwBcAG4AIAAgACAAIAAgACAAIAAgACAAIABcACIAdABcACIALAAgAFwAIgB0AHIAZQBhAHQAbQBlAG4AdAAgAGYAYQBjAGkAbABpAHQAeQBcACIALAAgAFwAIgBcACIALAAgAFwAIgBJAG4AcAB1AHQAXAAiAFwAbgAgACAAIAAgACAAIAAgACAAfQAsACAAcgAsACAAYwApAFwAbgAgACAAIAAgACAAIAApAFwAbgAgACAAIAAgACkAXABuACAAIAApADsAXABuACIAfQAsAHsAIgBwAGEAdABoACIAOgAiAC8AcAByAG8AagBlAGMAdABzAC8AVwBhAHMAdABlAFMAbwBsAGkAZABfAEkAbgBwAHUAdABGAHUAbgBjAHQAaQBvAG4AcwAiACwAIgB0AGUAeAB0ACIAOgAiAFwAbgBXAGEAcwB0AGUAUwBvAGwAaQBkAF8ASQBuAHAAdQB0AEYAdQBuAGMAdABpAG8AbgBzAF8AUwB1AG0AVwBhAHMAdABlAFQAcgBlAGEAdABtAGUAbgB0AFwAbgA9AEwAQQBNAEIARABBACgAXABuACAAIABUAHIAZQBhAHQAbQBlAG4AdABBAHIAcgBhAHkALAAgAFcAYQBzAHQAZQBBAHIAcgBhAHkALAAgAFQAcgBlAGEAdABtAGUAbgB0AEwAbwBjAGEAdABpAG8AbgBBAHIAcgBhAHkALAAgAFUAbgBpAHQAQQByAHIAYQB5ACwAIABBAG0AbwB1AG4AdABBAHIAcgBhAHkALABcAG4AIAAgAFQAcgBlAGEAdABtAGUAbgB0AFQAeQBwAGUALAAgAFcAYQBzAHQAZQBUAHkAcABlACwAIABUAHIAZQBhAHQAbQBlAG4AdABMAG8AYwBhAHQAaQBvAG4AVAB5AHAAZQAsACAAVQBuAGkAdABUAHkAcABlACwAXABuACAAIABTAFUATQBJAEYAUwAoAFwAbgAgACAAIAAgAEEAbQBvAHUAbgB0AEEAcgByAGEAeQAsAFwAbgAgACAAIABUAHIAZQBhAHQAbQBlAG4AdABBAHIAcgBhAHkALAAgAFQAcgBlAGEAdABtAGUAbgB0AFQAeQBwAGUALABcAG4AIAAgACAAIABXAGEAcwB0AGUAQQByAHIAYQB5ACwAIABXAGEAcwB0AGUAVAB5AHAAZQAsAFwAbgAgACAAIAAgAFQAcgBlAGEAdABtAGUAbgB0AEwAbwBjAGEAdABpAG8AbgBBAHIAcgBhAHkALAAgAFQAcgBlAGEAdABtAGUAbgB0AEwAbwBjAGEAdABpAG8AbgBUAHkAcABlACwAIABcAG4AIAAgACAAIABVAG4AaQB0AEEAcgByAGEAeQAsACAAVQBuAGkAdABUAHkAcABlAFwAbgAgACAAKQBcAG4AKQA7ACIAfQAsAHsAIgBwAGEAdABoACIAOgAiAC8AcAByAG8AagBlAGMAdABzAC8AVwBhAHMAdABlAFMAbwBsAGkAZABfAFMAbwB1AHIAYwBlAEQAYQB0AGEAIgAsACIAdABlAHgAdAAiADoAIgAvACoAXABuAD0APQA9AD0APQA9AD0APQA9AD0APQA9AD0APQA9AD0APQA9AD0APQA9AD0APQA9AD0APQA9AD0APQA9AD0APQA9AD0APQA9AD0APQA9AD0APQA9AD0APQA9AD0APQA9AD0APQA9AD0APQA9AD0APQA9AD0APQA9AD0APQA9AD0APQA9AD0APQA9AD0APQA9AD0APQA9AD0AXABuAEUAbQBpAHMAcwBpAG8AbgAgAGYAYQBjAHQAbwByAHMAIABmAG8AcgAgAHcAYQBzAHQAZQBzACAAZABpAHMAcABvAHMAZQBkACAAbwBmACAAYQB0ACAAZABpAGYAZgBlAHIAZQBuAHQAIAB0AHIAZQBhAHQAbQBlAG4AdAAgAGYAYQBjAGkAbABpAHQAaQBlAHMAXABuAD0APQA9AD0APQA9AD0APQA9AD0APQA9AD0APQA9AD0APQA9AD0APQA9AD0APQA9AD0APQA9AD0APQA9AD0APQA9AD0APQA9AD0APQA9AD0APQA9AD0APQA9AD0APQA9AD0APQA9AD0APQA9AD0APQA9AD0APQA9AD0APQA9AD0APQA9AD0APQA9AD0APQA9AD0APQA9AD0AXABuACoALwBcAG4AXABuAFcAYQBzAHQAZQBfAEUAbQBpAHMAcwBpAG8AbgBGAGEAYwB0AG8AcgBzAEYAbwByAFcAYQBzAHQAZQBUAHIAZQBhAHQAbQBlAG4AdABfAFQAaQB0AGwAZQBcAG4APQBMAEEATQBCAEQAQQAoACgAXAAiAEUAbQBpAHMAcwBpAG8AbgAgAGYAYQBjAHQAbwByAHMAIABmAG8AcgAgAHcAYQBzAHQAZQBzACAAZABpAHMAcABvAHMAZQBkACAAbwBmACAAYQB0ACAAZABpAGYAZgBlAHIAZQBuAHQAIAB0AHIAZQBhAHQAbQBlAG4AdAAgAGYAYQBjAGkAbABpAHQAaQBlAHMAXAAiACkAKQA7AFwAbgBcAG4AVwBhAHMAdABlAF8ARQBtAGkAcwBzAGkAbwBuAEYAYQBjAHQAbwByAHMARgBvAHIAVwBhAHMAdABlAFQAcgBlAGEAdABtAGUAbgB0AF8AVgBhAHIAaQBhAGIAbABlAFwAbgA9AEwAQQBNAEIARABBACgAKABcACIARQBGAHcAdABcACIAKQApADsAXABuAFwAbgBXAGEAcwB0AGUAXwBFAG0AaQBzAHMAaQBvAG4ARgBhAGMAdABvAHIAcwBGAG8AcgBXAGEAcwB0AGUAVAByAGUAYQB0AG0AZQBuAHQAXwBVAG4AaQB0AFwAbgA9AEwAQQBNAEIARABBACgAKABcACIAdAAgAEMATwAyAGUAIAAvACAAdABcACIAKQApADsAXABuAFwAbgBXAGEAcwB0AGUAXwBFAG0AaQBzAHMAaQBvAG4ARgBhAGMAdABvAHIAcwBGAG8AcgBXAGEAcwB0AGUAVAByAGUAYQB0AG0AZQBuAHQAXwBTAG8AdQByAGMAZQBcAG4APQBMAEEATQBCAEQAQQAoACgAXAAiAFYARQBFAFIARwAgADIAMAAyADYAOgAgAFQAYQBiAGwAZQAgAEEALgA0AC4AMQAuADEAXAAiACkAKQA7AFwAbgBcAG4AVwBhAHMAdABlAF8ARQBtAGkAcwBzAGkAbwBuAEYAYQBjAHQAbwByAHMARgBvAHIAVwBhAHMAdABlAFQAcgBlAGEAdABtAGUAbgB0AF8ARABhAHQAYQBcAG4APQBMAEEATQBCAEQAQQAoAFwAbgAgACAATQBBAEsARQBBAFIAUgBBAFkAKAAzADUALAAgADQALABcAG4AIAAgACAAIABMAEEATQBCAEQAQQAoAHIALABjACwAXABuACAAIAAgACAAIAAgAEkATgBEAEUAWAAoAHsAXABuACAAIAAgACAAIAAgACAAIABcACIAVAByAGUAYQB0AG0AZQBuAHQAIAB0AHkAcABlACAAdABcACIALAAgAFwAIgBXAGEAcwB0AGUAIAB0AHkAcABlACAAdwBcACIALAAgAFwAIgBFAEYAdwB0AFwAIgAsACAAXAAiAEUARgAgAHMAbwB1AHIAYwBlAFwAIgA7AFwAbgAgACAAIAAgACAAIAAgACAAXAAiAEwAYQBuAGQAZgBpAGwAbABcACIALAAgAFwAIgBGAG8AbwBkACAAdwBhAHMAdABlACAAKABpAG4AYwBsAHUAZABpAG4AZwAgAGEAbgBpAG0AYQBsACAAYwBhAHIAYwBhAHMAcwBlAHMALAAgAHMAcABvAGkAbABlAGQAIABhAG4AaQBtAGEAbAAgAGYAZQBlAGQAIABvAHIAIABjAHIAbwBwACkAXAAiACwAIAAyAC4AMQAsACAAXAAiAE4ARwBBAEYAIAAyADAAMgA1ACAAdABhAGIAbABlACAAMQA1AFwAIgA7AFwAbgAgACAAIAAgACAAIAAgACAAXAAiAEwAYQBuAGQAZgBpAGwAbABcACIALAAgAFwAIgBQAGEAcABlAHIAIABhAG4AZAAgAGMAYQByAGQAYgBvAGEAcgBkAFwAIgAsACAAMwAuADMALAAgAFwAIgBOAEcAQQBGACAAMgAwADIANQAgAHQAYQBiAGwAZQAgADEANQBcACIAOwBcAG4AIAAgACAAIAAgACAAIAAgAFwAIgBMAGEAbgBkAGYAaQBsAGwAXAAiACwAIABcACIARwByAGUAZQBuACAAdwBhAHMAdABlACAAKABpAG4AYwBsAHUAZABpAG4AZwAgAGMAcgBvAHAAIAByAGUAcwBpAGQAdQBlAHMAIABvAHIAIABwAHIAdQBuAGkAbgBnAHMAKQBcACIALAAgADEALgA2ACwAIABcACIATgBHAEEARgAgADIAMAAyADUAIAB0AGEAYgBsAGUAIAAxADUAXAAiADsAXABuACAAIAAgACAAIAAgACAAIABcACIATABhAG4AZABmAGkAbABsAFwAIgAsACAAXAAiAFcAbwBvAGQAXAAiACwAIAAwAC4ANwAsACAAXAAiAE4ARwBBAEYAIAAyADAAMgA1ACAAdABhAGIAbABlACAAMQA1AFwAIgA7AFwAbgAgACAAIAAgACAAIAAgACAAXAAiAEwAYQBuAGQAZgBpAGwAbABcACIALAAgAFwAIgBUAGUAeAB0AGkAbABlAHMAXAAiACwAIAAyAC4AMAAsACAAXAAiAE4ARwBBAEYAIAAyADAAMgA1ACAAdABhAGIAbABlACAAMQA1AFwAIgA7AFwAbgAgACAAIAAgACAAIAAgACAAXAAiAEwAYQBuAGQAZgBpAGwAbABcACIALAAgAFwAIgBTAGwAdQBkAGcAZQBcACIALAAgADAALgA0ACwAIABcACIATgBHAEEARgAgADIAMAAyADUAIAB0AGEAYgBsAGUAIAAxADUAXAAiADsAXABuACAAIAAgACAAIAAgACAAIABcACIATABhAG4AZABmAGkAbABsAFwAIgAsACAAXAAiAFIAdQBiAGIAZQByACAAYQBuAGQAIABsAGUAYQB0AGgAZQByAFwAIgAsACAAMwAuADMALAAgAFwAIgBOAEcAQQBGACAAMgAwADIANQAgAHQAYQBiAGwAZQAgADEANQBcACIAOwBcAG4AIAAgACAAIAAgACAAIAAgAFwAIgBMAGEAbgBkAGYAaQBsAGwAXAAiACwAIABcACIASQBuAGUAcgB0ACAAdwBhAHMAdABlACAAKABpAG4AYwBsAHUAZABpAG4AZwAgAGMAbwBuAGMAcgBlAHQAZQAsACAAbQBlAHQAYQBsACwAIABwAGwAYQBzAHQAaQBjACAAbwByACAAZwBsAGEAcwBzACkAXAAiACwAIAAwACwAIABcACIATgBHAEEARgAgADIAMAAyADUAIAB0AGEAYgBsAGUAIAAxADUAXAAiADsAXABuACAAIAAgACAAIAAgACAAIABcACIATABhAG4AZABmAGkAbABsAFwAIgAsACAAXAAiAE0AdQBuAGkAYwBpAHAAYQBsACAAcwBvAGwAaQBkACAAdwBhAHMAdABlAFwAIgAsACAAMQAuADYALAAgAFwAIgBOAEcAQQBGACAAMgAwADIANQAgAHQAYQBiAGwAZQAgADEANQBcACIAOwBcAG4AIAAgACAAIAAgACAAIAAgAFwAIgBMAGEAbgBkAGYAaQBsAGwAXAAiACwAIABcACIAQwBvAG0AbQBlAHIAYwBpAGEAbAAgAGEAbgBkACAAaQBuAGQAdQBzAHQAcgBpAGEAbAAgAHcAYQBzAHQAZQBcACIALAAgADEALgAzACwAIABcACIATgBHAEEARgAgADIAMAAyADUAIAB0AGEAYgBsAGUAIAAxADUAXAAiADsAXABuACAAIAAgACAAIAAgACAAIABcACIATABhAG4AZABmAGkAbABsAFwAIgAsACAAXAAiAEMAbwBuAHMAdAByAHUAYwB0AGkAbwBuACAAYQBuAGQAIABkAGUAbQBvAGwAaQB0AGkAbwBuACAAdwBhAHMAdABlAFwAIgAsACAAMAAuADIALAAgAFwAIgBOAEcAQQBGACAAMgAwADIANQAgAHQAYQBiAGwAZQAgADEANQBcACIAOwBcAG4AIAAgACAAIAAgACAAIAAgAFwAbgAgACAAIAAgACAAIAAgACAAXAAiAEkAbgBjAGkAbgBlAHIAYQB0AGkAbwBuAFwAIgAsACAAXAAiAEYAbwBvAGQAIAB3AGEAcwB0AGUALAAgAGcAcgBlAGUAbgAgAHcAYQBzAHQAZQAsACAAdwBvAG8AZAAsACAAcwBsAHUAZABnAGUAXAAiACwAIAAwACwAIABcACIAXAAiADsAXABuACAAIAAgACAAIAAgACAAIABcACIASQBuAGMAaQBuAGUAcgBhAHQAaQBvAG4AXAAiACwAIABcACIARgBvAG8AZAAgAHcAYQBzAHQAZQAgACgAaQBuAGMAbAB1AGQAaQBuAGcAIABhAG4AaQBtAGEAbAAgAGMAYQByAGMAYQBzAHMAZQBzACwAIABzAHAAbwBpAGwAZQBkACAAYQBuAGkAbQBhAGwAIABmAGUAZQBkACAAbwByACAAYwByAG8AcAApAFwAIgAsACAAMAAsACAAXAAiAFwAIgA7AFwAbgAgACAAIAAgACAAIAAgACAAXAAiAEkAbgBjAGkAbgBlAHIAYQB0AGkAbwBuAFwAIgAsACAAXAAiAEcAcgBlAGUAbgAgAHcAYQBzAHQAZQAgACgAaQBuAGMAbAB1AGQAaQBuAGcAIABjAHIAbwBwACAAcgBlAHMAaQBkAHUAZQBzACAAbwByACAAcAByAHUAbgBpAG4AZwBzACkAXAAiACwAIAAwACwAIABcACIAXAAiADsAXABuACAAIAAgACAAIAAgACAAIABcACIASQBuAGMAaQBuAGUAcgBhAHQAaQBvAG4AXAAiACwAIABcACIAVwBvAG8AZABcACIALAAgADAALAAgAFwAIgBcACIAOwBcAG4AIAAgACAAIAAgACAAIAAgAFwAIgBJAG4AYwBpAG4AZQByAGEAdABpAG8AbgBcACIALAAgAFwAIgBTAGwAdQBkAGcAZQBcACIALAAgADAALAAgAFwAIgBcACIAOwBcAG4AIAAgACAAIAAgACAAIAAgAFwAIgBJAG4AYwBpAG4AZQByAGEAdABpAG8AbgBcACIALAAgAFwAIgBQAGEAcABlAHIAIABhAG4AZAAgAGMAYQByAGQAYgBvAGEAcgBkAFwAIgAsACAAMAAuADAAMQA2ADkALAAgAFwAIgBcACIAOwBcAG4AIAAgACAAIAAgACAAIAAgAFwAIgBJAG4AYwBpAG4AZQByAGEAdABpAG8AbgBcACIALAAgAFwAIgBUAGUAeAB0AGkAbABlAHMAXAAiACwAIAAwAC4AMwA2ADYANwAsACAAXAAiAFwAIgA7AFwAbgAgACAAIAAgACAAIAAgACAAXAAiAEkAbgBjAGkAbgBlAHIAYQB0AGkAbwBuAFwAIgAsACAAXAAiAFIAdQBiAGIAZQByACAAYQBuAGQAIABsAGUAYQB0AGgAZQByAFwAIgAsACAAMAAuADQAOQAxADkALAAgAFwAIgBcACIAOwBcAG4AIAAgACAAIAAgACAAIAAgAFwAIgBJAG4AYwBpAG4AZQByAGEAdABpAG8AbgBcACIALAAgAFwAIgBJAG4AZQByAHQAIAB3AGEAcwB0AGUAIAAoAGkAbgBjAGwAdQBkAGkAbgBnACAAYwBvAG4AYwByAGUAdABlACwAIABtAGUAdABhAGwALAAgAHAAbABhAHMAdABpAGMAIABvAHIAIABnAGwAYQBzAHMAKQBcACIALAAgADAALgAxADEAMAAwACwAIABcACIAXAAiADsAXABuACAAIAAgACAAIAAgACAAIABcACIASQBuAGMAaQBuAGUAcgBhAHQAaQBvAG4AXAAiACwAIABcACIATQB1AG4AaQBjAGkAcABhAGwAIABzAG8AbABpAGQAIAB3AGEAcwB0AGUAXAAiACwAIAAwAC4AMAA1ADMANwAsACAAXAAiAE4ARwBBAEYAIAAyADAAMgA1ACAAVABhAGIAbABlACAAMQA4AFwAIgA7AFwAbgAgACAAIAAgACAAIAAgACAAXAAiAEkAbgBjAGkAbgBlAHIAYQB0AGkAbwBuAFwAIgAsACAAXAAiAEMAbwBtAG0AZQByAGMAaQBhAGwAIABhAG4AZAAgAGkAbgBkAHUAcwB0AHIAaQBhAGwAIAB3AGEAcwB0AGUAXAAiACwAIAAxAC4ANgA0ADkALAAgAFwAIgBOAEcAQQBGACAAMgAwADIANQAgAFQAYQBiAGwAZQAgADEAOABcACIAOwBcAG4AXABuACAAIAAgACAAIAAgACAAIABcACIAQwBvAG0AcABvAHMAdABpAG4AZwBcACIALAAgAFwAIgBBAGwAbAAgAG8AcgBnAGEAbgBpAGMAIAB3AGEAcwB0AGUAXAAiACwAIAAwAC4AMAA0ADYALAAgAFwAIgBOAEcAQQBGACAAMgAwADIANQAgAFQAYQBiAGwAZQAgADEAOQBcACIAOwBcAG4AIAAgACAAIAAgACAAIAAgAFwAIgBDAG8AbQBwAG8AcwB0AGkAbgBnAFwAIgAsACAAXAAiAEYAbwBvAGQAIAB3AGEAcwB0AGUAIAAoAGkAbgBjAGwAdQBkAGkAbgBnACAAYQBuAGkAbQBhAGwAIABjAGEAcgBjAGEAcwBzAGUAcwAsACAAcwBwAG8AaQBsAGUAZAAgAGEAbgBpAG0AYQBsACAAZgBlAGUAZAAgAG8AcgAgAGMAcgBvAHAAKQBcACIALAAgADAALgAwADQANgAsACAAXAAiAFwAIgA7AFwAbgAgACAAIAAgACAAIAAgACAAXAAiAEMAbwBtAHAAbwBzAHQAaQBuAGcAXAAiACwAIABcACIARwByAGUAZQBuACAAdwBhAHMAdABlACAAKABpAG4AYwBsAHUAZABpAG4AZwAgAGMAcgBvAHAAIAByAGUAcwBpAGQAdQBlAHMAIABvAHIAIABwAHIAdQBuAGkAbgBnAHMAKQBcACIALAAgADAALgAwADQANgAsACAAXAAiAFwAIgA7AFwAbgAgACAAIAAgACAAIAAgACAAXAAiAEMAbwBtAHAAbwBzAHQAaQBuAGcAXAAiACwAIABcACIAVwBvAG8AZABcACIALAAgADAALgAwADQANgAsACAAXAAiAFwAIgA7AFwAbgAgACAAIAAgACAAIAAgACAAXAAiAEMAbwBtAHAAbwBzAHQAaQBuAGcAXAAiACwAIABcACIAUwBsAHUAZABnAGUAXAAiACwAIAAwAC4AMAA0ADYALAAgAFwAIgBcACIAOwBcAG4AIAAgACAAIAAgACAAIAAgAFwAIgBDAG8AbQBwAG8AcwB0AGkAbgBnAFwAIgAsACAAXAAiAFAAYQBwAGUAcgAgAGEAbgBkACAAYwBhAHIAZABiAG8AYQByAGQAXAAiACwAIAAwAC4AMAA0ADYALAAgAFwAIgBcACIAOwBcAG4AXABuACAAIAAgACAAIAAgACAAIABcACIAQQBuAGEAZQByAG8AYgBpAGMAIABkAGkAZwBlAHMAdABpAG8AbgBcACIALAAgAFwAIgBBAGwAbAAgAG8AcgBnAGEAbgBpAGMAIAB3AGEAcwB0AGUAXAAiACwAIAAwAC4AMAAyADgALAAgAFwAIgBOAEcAQQBGACAAMgAwADIANQAgAFQAYQBiAGwAZQAgADEAOQBcACIAOwBcAG4AIAAgACAAIAAgACAAIAAgAFwAIgBBAG4AYQBlAHIAbwBiAGkAYwAgAGQAaQBnAGUAcwB0AGkAbwBuAFwAIgAsACAAXAAiAEYAbwBvAGQAIAB3AGEAcwB0AGUAIAAoAGkAbgBjAGwAdQBkAGkAbgBnACAAYQBuAGkAbQBhAGwAIABjAGEAcgBjAGEAcwBzAGUAcwAsACAAcwBwAG8AaQBsAGUAZAAgAGEAbgBpAG0AYQBsACAAZgBlAGUAZAAgAG8AcgAgAGMAcgBvAHAAKQBcACIALAAgADAALgAwADIAOAAsACAAXAAiAFwAIgA7AFwAbgAgACAAIAAgACAAIAAgACAAXAAiAEEAbgBhAGUAcgBvAGIAaQBjACAAZABpAGcAZQBzAHQAaQBvAG4AXAAiACwAIABcACIARwByAGUAZQBuACAAdwBhAHMAdABlACAAKABpAG4AYwBsAHUAZABpAG4AZwAgAGMAcgBvAHAAIAByAGUAcwBpAGQAdQBlAHMAIABvAHIAIABwAHIAdQBuAGkAbgBnAHMAKQBcACIALAAgADAALgAwADIAOAAsACAAXAAiAFwAIgA7AFwAbgAgACAAIAAgACAAIAAgACAAXAAiAEEAbgBhAGUAcgBvAGIAaQBjACAAZABpAGcAZQBzAHQAaQBvAG4AXAAiACwAIABcACIAVwBvAG8AZABcACIALAAgADAALgAwADIAOAAsACAAXAAiAFwAIgA7AFwAbgAgACAAIAAgACAAIAAgACAAXAAiAEEAbgBhAGUAcgBvAGIAaQBjACAAZABpAGcAZQBzAHQAaQBvAG4AXAAiACwAIABcACIAUwBsAHUAZABnAGUAXAAiACwAIAAwAC4AMAAyADgALAAgAFwAIgBcACIAOwBcAG4AIAAgACAAIAAgACAAIAAgAFwAIgBBAG4AYQBlAHIAbwBiAGkAYwAgAGQAaQBnAGUAcwB0AGkAbwBuAFwAIgAsACAAXAAiAFAAYQBwAGUAcgAgAGEAbgBkACAAYwBhAHIAZABiAG8AYQByAGQAXAAiACwAIAAwAC4AMAAyADgALAAgAFwAIgBcACIAXABuACAAIAAgACAAIAAgAH0ALAAgAHIALAAgAGMAKQBcAG4AKQApACkAOwBcAG4AXABuAFcAYQBzAHQAZQBfAEUAbQBpAHMAcwBpAG8AbgBGAGEAYwB0AG8AcgBzAEYAbwByAFcAYQBzAHQAZQBUAHIAZQBhAHQAbQBlAG4AdABfAFYAYQByAGkAYQB0AGkAbwBuAFwAbgA9AEwAQQBNAEIARABBACgAXABuACAAIABNAEEASwBFAEEAUgBSAEEAWQAoADcALAAgADEALABcAG4AIAAgACAAIABMAEEATQBCAEQAQQAoAHIALABjACwAXABuACAAIAAgACAAIAAgAEkATgBEAEUAWAAoAHsAXABuACAAIAAgACAAIAAgACAAIABcACIAVgBBAFIASQBBAFQASQBPAE4AIABPAE4AIABTAE8AVQBSAEMARQA6AFwAIgA7AFwAbgAgACAAIAAgACAAIAAgACAAXAAiAEYAaQB4AGUAZAAgAHQAeQBwAG8AIABcAHUAMAAwADIANwBwAGEAcABlAHIAIABhAG4AZAAgAGMAYQByAGIAbwBhAHIAZABcAHUAMAAwADIANwAgAHQAbwAgAFwAdQAwADAAMgA3AHAAYQBwAGUAcgAgAGEAbgBkACAAYwBhAHIAZABiAG8AYQByAGQAXAB1ADAAMAAyADcAXAAiADsAXABuACAAIAAgACAAIAAgACAAIABcACIARgBpAHgAZQBkACAAdAB5AHAAbwAgAFwAdQAwADAAMgA3AHAAcgB1AG4AbgBpAG4AZwBzAFwAdQAwADAAMgA3ACAAdABvACAAXAB1ADAAMAAyADcAcAByAHUAbgBpAG4AZwBzAFwAdQAwADAAMgA3AFwAIgA7AFwAbgAgACAAIAAgACAAIAAgACAAXAAiAEEAZABkAGUAZAAgAEUARgAgAHMAbwB1AHIAYwBlACAAYwBvAGwAdQBtAG4AIAB3AGkAdABoACAAcwBwAGUAYwBpAGYAaQBjACAAcgBlAGYAZQByAGUAbgBjAGUAcwBcACIAOwBcAG4AIAAgACAAIAAgACAAIAAgAFwAIgBBAGQAZABlAGQAIABzAHUAYgAtAGMAYQB0AGUAZwBvAHIAaQBlAHMAIABmAG8AcgAgAFwAdQAwADAAMgA3AEkAbgBjAGkAbgBlAHIAYQB0AGkAbwBuADoAIABGAG8AbwBkACAAdwBhAHMAdABlACwAIABnAHIAZQBlAG4AIAB3AGEAcwB0AGUALAAgAHcAbwBvAGQALAAgAHMAbAB1AGQAZwBlAFwAdQAwADAAMgA3ACAAaQBuACAAbwByAGQAZQByACAAdABvACAAdQBzAGUAIAB2AG8AbAB1AG0AZQAgAHQAbwAgAG0AYQBzAHMAIABjAG8AbgB2AGUAcgBzAGkAbwBuACAAZgBhAGMAdABvAHIAIAB2AGEAbAB1AGUAcwBcACIAOwBcAG4AIAAgACAAIAAgACAAIAAgAFwAIgBBAGQAZABlAGQAIABzAHUAYgAtAGMAYQB0AGUAZwBvAHIAaQBlAHMAIABmAG8AcgAgAFwAdQAwADAAMgA3AEMAbwBtAHAAbwBzAHQAaQBuAGcAOgAgAEEAbABsACAAbwByAGcAYQBuAGkAYwAgAHcAYQBzAHQAZQBcAHUAMAAwADIANwAgAGkAbgAgAG8AcgBkAGUAcgAgAHQAbwAgAHUAcwBlACAAdgBvAGwAdQBtAGUAIAB0AG8AIABtAGEAcwBzACAAYwBvAG4AdgBlAHIAcwBpAG8AbgAgAGYAYQBjAHQAbwByACAAdgBhAGwAdQBlAHMAXAAiADsAXABuACAAIAAgACAAIAAgACAAIABcACIAQQBkAGQAZQBkACAAcwB1AGIALQBjAGEAdABlAGcAbwByAGkAZQBzACAAZgBvAHIAIABcAHUAMAAwADIANwBBAG4AYQBlAHIAbwBiAGkAYwAgAGQAaQBnAGUAcwB0AGkAbwBuADoAIABBAGwAbAAgAG8AcgBnAGEAbgBpAGMAIAB3AGEAcwB0AGUAXAB1ADAAMAAyADcAIABpAG4AIABvAHIAZABlAHIAIAB0AG8AIAB1AHMAZQAgAHYAbwBsAHUAbQBlACAAdABvACAAbQBhAHMAcwAgAGMAbwBuAHYAZQByAHMAaQBvAG4AIABmAGEAYwB0AG8AcgAgAHYAYQBsAHUAZQBzAFwAIgBcAG4AIAAgACAAIAAgACAAfQAsACAAcgAsACAAYwApAFwAbgApACkAKQA7AFwAbgBcAG4AXABuAC8AKgBcAG4APQA9AD0APQA9AD0APQA9AD0APQA9AD0APQA9AD0APQA9AD0APQA9AD0APQA9AD0APQA9AD0APQA9AD0APQA9AD0APQA9AD0APQA9AD0APQA9AD0APQA9AD0APQA9AD0APQA9AD0APQA9AD0APQA9AD0APQA9AD0APQA9AD0APQA9AD0APQA9AD0APQA9AD0APQA9AD0APQBcAG4AVABhAGIAbABlACAAQQAuADQALgAxAC4AMgA6ACAAVgBvAGwAdQBtAGUAIAB0AG8AIABtAGEAcwBzACAAYwBvAG4AdgBlAHIAcwBpAG8AbgAgAGYAYQBjAHQAbwByACAAZgBvAHIAIAB2AGEAcgBpAG8AdQBzACAAdwBhAHMAdABlACAAdAB5AHAAZQBzACAAKAB0AC8AbQAzACkAIAAoAFYAVABNAHcAKQBcAG4APQA9AD0APQA9AD0APQA9AD0APQA9AD0APQA9AD0APQA9AD0APQA9AD0APQA9AD0APQA9AD0APQA9AD0APQA9AD0APQA9AD0APQA9AD0APQA9AD0APQA9AD0APQA9AD0APQA9AD0APQA9AD0APQA9AD0APQA9AD0APQA9AD0APQA9AD0APQA9AD0APQA9AD0APQA9AD0APQBcAG4AKgAvAFwAbgBcAG4AVwBhAHMAdABlAF8AVwBhAHMAdABlAFYAbwBsAHUAbQBlAFQAbwBNAGEAcwBzAEMAbwBuAHYAZQByAHMAaQBvAG4AXwBUAGkAdABsAGUAXABuAD0ATABBAE0AQgBEAEEAKAAoAFwAIgBWAG8AbAB1AG0AZQAgAHQAbwAgAG0AYQBzAHMAIABjAG8AbgB2AGUAcgBzAGkAbwBuACAAZgBhAGMAdABvAHIAIABmAG8AcgAgAHYAYQByAGkAbwB1AHMAIAB3AGEAcwB0AGUAIAB0AHkAcABlAHMAXAAiACkAKQA7AFwAbgBcAG4AVwBhAHMAdABlAF8AVwBhAHMAdABlAFYAbwBsAHUAbQBlAFQAbwBNAGEAcwBzAEMAbwBuAHYAZQByAHMAaQBvAG4AXwBWAGEAcgBpAGEAYgBsAGUAXABuAD0ATABBAE0AQgBEAEEAKAAoAFwAIgBWAFQATQB3AFwAIgApACkAOwBcAG4AXABuAFcAYQBzAHQAZQBfAFcAYQBzAHQAZQBWAG8AbAB1AG0AZQBUAG8ATQBhAHMAcwBDAG8AbgB2AGUAcgBzAGkAbwBuAF8AVQBuAGkAdABcAG4APQBMAEEATQBCAEQAQQAoACgAXAAiAHQALwBtADMAXAAiACkAKQA7AFwAbgBcAG4AVwBhAHMAdABlAF8AVwBhAHMAdABlAFYAbwBsAHUAbQBlAFQAbwBNAGEAcwBzAEMAbwBuAHYAZQByAHMAaQBvAG4AXwBTAG8AdQByAGMAZQBcAG4APQBMAEEATQBCAEQAQQAoACgAXAAiAFYARQBFAFIARwAgADIAMAAyADYAOgAgAFQAYQBiAGwAZQAgAEEALgA0AC4AMQAuADIAXAAiACkAKQA7AFwAbgBcAG4AVwBhAHMAdABlAF8AVwBhAHMAdABlAFYAbwBsAHUAbQBlAFQAbwBNAGEAcwBzAEMAbwBuAHYAZQByAHMAaQBvAG4AXwBEAGEAdABhAFwAbgA9AEwAQQBNAEIARABBACgAXABuACAAIABNAEEASwBFAEEAUgBSAEEAWQAoADEAMgAsACAAMgAsAFwAbgAgACAAIAAgAEwAQQBNAEIARABBACgAcgAsAGMALABcAG4AIAAgACAAIAAgACAASQBOAEQARQBYACgAewBcAG4AIAAgACAAIAAgACAAIAAgAFwAIgBXAGEAcwB0AGUAIAB0AHkAcABlACAAdwBcACIALAAgAFwAIgBWAFQATQB3AFwAIgA7AFwAbgAgACAAIAAgACAAIAAgACAAXAAiAEYAbwBvAGQAIAB3AGEAcwB0AGUAIAAoAGkAbgBjAGwAdQBkAGkAbgBnACAAYQBuAGkAbQBhAGwAIABjAGEAcgBjAGEAcwBzAGUAcwAsACAAcwBwAG8AaQBsAGUAZAAgAGEAbgBpAG0AYQBsACAAZgBlAGUAZAAgAG8AcgAgAGMAcgBvAHAAKQBcACIALAAgADAALgA1ADAAOwBcAG4AIAAgACAAIAAgACAAIAAgAFwAIgBQAGEAcABlAHIAIABhAG4AZAAgAGMAYQByAGQAYgBvAGEAcgBkAFwAIgAsACAAMAAuADAAOQA7AFwAbgAgACAAIAAgACAAIAAgACAAXAAiAEcAcgBlAGUAbgAgAHcAYQBzAHQAZQAgACgAaQBuAGMAbAB1AGQAaQBuAGcAIABjAHIAbwBwACAAcgBlAHMAaQBkAHUAZQBzACAAbwByACAAcAByAHUAbgBpAG4AZwBzACkAXAAiACwAIAAwAC4AMgA0ADsAXABuACAAIAAgACAAIAAgACAAIABcACIAVwBvAG8AZABcACIALAAgADAALgAxADUAOwBcAG4AIAAgACAAIAAgACAAIAAgAFwAIgBUAGUAeAB0AGkAbABlAHMAXAAiACwAIAAwAC4AMQA0ADsAXABuACAAIAAgACAAIAAgACAAIABcACIAUwBsAHUAZABnAGUAXAAiACwAIAAwAC4ANwAyADsAXABuACAAIAAgACAAIAAgACAAIABcACIAUgB1AGIAYgBlAHIAIABhAG4AZAAgAGwAZQBhAHQAaABlAHIAXAAiACwAIAAwAC4AMQA0ADsAXABuACAAIAAgACAAIAAgACAAIABcACIASQBuAGUAcgB0ACAAdwBhAHMAdABlACAAKABpAG4AYwBsAHUAZABpAG4AZwAgAGMAbwBuAGMAcgBlAHQAZQAsACAAbQBlAHQAYQBsACwAIABwAGwAYQBzAHQAaQBjACAAbwByACAAZwBsAGEAcwBzACkAXAAiACwAIAAwAC4ANAAyADsAXABuACAAIAAgACAAIAAgACAAIABcACIATQB1AG4AaQBjAGkAcABhAGwAIABzAG8AbABpAGQAIAB3AGEAcwB0AGUAXAAiACwAIAAwAC4AMwA2ADsAXABuACAAIAAgACAAIAAgACAAIABcACIAQwBvAG0AbQBlAHIAYwBpAGEAbAAgAGEAbgBkACAAaQBuAGQAdQBzAHQAcgBpAGEAbAAgAHcAYQBzAHQAZQBcACIALAAgADAALgAzADMAOwBcAG4AIAAgACAAIAAgACAAIAAgAFwAIgBDAG8AbgBzAHQAcgB1AGMAdABpAG8AbgAgAGEAbgBkACAAZABlAG0AbwBsAGkAdABpAG8AbgAgAHcAYQBzAHQAZQBcACIALAAgADAALgAzADkAXABuACAAIAAgACAAIAAgAH0ALAAgAHIALAAgAGMAKQBcAG4AKQApACkAOwBcAG4AXABuAFcAYQBzAHQAZQBfAFcAYQBzAHQAZQBWAG8AbAB1AG0AZQBUAG8ATQBhAHMAcwBDAG8AbgB2AGUAcgBzAGkAbwBuAF8AVgBhAHIAaQBhAHQAaQBvAG4AXABuAD0ATABBAE0AQgBEAEEAKAAoAFwAIgBWAEEAUgBJAEEAVABJAE8ATgAgAE8ARgAgAFMATwBVAFIAQwBFADoAIABDAGgAYQBuAGcAZQBkACAAYwBvAGwAdQBtAG4AIABoAGUAYQBkAGUAcgAgAEMARgB3ACAAdABvACAAVgBUAE0AdwAgAHQAbwAgAG0AYQB0AGMAaAAgAHQAaQB0AGwAZQAgAHYAYQByAGkAYQBiAGwAZQAuAFwAIgApACkAOwBcAG4AXABuAFwAbgAiAH0ALAB7ACIAcABhAHQAaAAiADoAIgAvAHAAcgBvAGoAZQBjAHQAcwAvAEEAZwBSAGUAcwBpAGQAdQBlAF8ARQBxAHUAYQB0AGkAbwBuAHMAXwBDAHIAbwBwAFIAZQBzAGkAZAB1AGUAIgAsACIAdABlAHgAdAAiADoAIgAvACoAIABcAG4ALQAtAC0ALQAtAC0ALQAtAC0ALQAtAC0ALQAtAC0ALQAtAC0ALQAtAC0ALQAtAC0ALQAtAC0ALQAtAC0ALQAtAC0ALQAtAC0ALQAtAFwAbgBWAEUARQBSAEcAXwA2AF8AMQBfADEAXwAxAF8AXwAxAF8AXwBOAGkAdAByAG8AdQBzAE8AeABpAGQAZQBFAG0AaQBzAHMAaQBvAG4AcwBGAHIAbwBtAEMAcgBvAHAAUgBlAHMAaQBkAHUAZQBzAFwAbgBOAGkAdAByAG8AdQBzACAAbwB4AGkAZABlACAAZQBtAGkAcwBzAGkAbwBuAHMAIABmAHIAbwBtACAAdABoAGUAIAByAGUAdAB1AHIAbgAgAG8AZgAgAGMAcgBvAHAAIAByAGUAcwBpAGQAdQBlAHMAIABhAGMAcgBvAHMAcwAgAGEAbABsACAAYwByAG8AcABzACAAYwAgAHQAbwAgAHQAaABlACAAcwBvAGkAbABcAG4ARQBcAG4AdAAgAE4AMgBPAFwAbgBFAD0AXABcAHMAdQBtAF8AewBjAH0AewBNAF8AewBjAH0AXABcAHQAaQBtAGUAcwAgAEUARgBfAHsATgB9AFwAXAB0AGkAbQBlAHMAIABDAF8AewBnACwATgAyAE8AfQBcAFwAdABpAG0AZQBzACAAMQAwAF4AewAtADMAfQB9AFwAbgBNAGMAIAA9ACAAbQBhAHMAcwAgAG8AZgAgAG4AaQB0AHIAbwBnAGUAbgAgAGkAbgAgAGMAcgBvAHAAIABjACAAcgBlAHMAaQBkAHUAZQBzACAAcgBlAHQAdQByAG4AZQBkACAAdABvACAAdABoAGUAIABzAG8AaQBsACAAKABrAGcAIABOACkAXABuAEUARgBOAGkAIAA9ACAAZQBtAGkAcwBzAGkAbwBuACAAZgBhAGMAdABvAHIAIABmAG8AcgAgAGMAcgBvAHAAIAByAGUAcwBpAGQAdQBlAHMAIAByAGUAdAB1AHIAbgBlAGQAIAB0AG8AIAB0AGgAZQAgAHMAbwBpAGwAIAAoAGsAZwAgAE4AMgBPAC0ATgAvAGsAZwAgAE4AKQBcAG4AQwBnAE4AMgBPACAAPQAgAGYAYQBjAHQAbwByACAAdABvACAAYwBvAG4AdgBlAHIAdAAgAGUAbABlAG0AZQBuAHQAYQBsACAAbQBhAHMAcwAgAG8AZgAgAG4AaQB0AHIAbwB1AHMAIABvAHgAaQBkAGUAIAB0AG8AIABtAG8AbABlAGMAdQBsAGEAcgAgAG0AYQBzAHMAIAAoAGQAaQBtAGUAbgBzAGkAbwBuAGwAZQBzAHMAKQBcAG4AYwAgAD0AIABDAHIAbwBwACAAdAB5AHAAZQBcAG4ALQAtAC0ALQAtAC0ALQAtAC0ALQAtAC0ALQAtAC0ALQAtAC0ALQAtAC0ALQAtAC0ALQAtAC0ALQAtAC0ALQAtAC0ALQAtAC0ALQAtAFwAbgAqAC8AXABuAFwAbgBWAEUARQBSAEcAXwA2AF8AMQBfADEAXwAxAF8AXwAxAF8AXwBOAGkAdAByAG8AdQBzAE8AeABpAGQAZQBFAG0AaQBzAHMAaQBvAG4AcwBGAHIAbwBtAEMAcgBvAHAAUgBlAHMAaQBkAHUAZQBzAFwAbgAgACAAPQBMAEEATQBCAEQAQQAoAFwAbgAgACAAIAAgAE0AXwBjACwAIABFAEYAXwBOAGkALAAgAEMAXwBOADIATwAsAFwAbgAgACAAIAAgAE0AXwBjACAAKgAgAEUARgBfAE4AaQAgACoAIABDAF8ATgAyAE8AIAAqACAAMQAwAF4AKAAtADMAKQBcAG4AIAAgACkAXABuADsAXABuAFwAbgBWAEUARQBSAEcAXwA2AF8AMQBfADEAXwAxAF8AXwAxAF8AXwBOAGkAdAByAG8AdQBzAE8AeABpAGQAZQBFAG0AaQBzAHMAaQBvAG4AcwBGAHIAbwBtAEMAcgBvAHAAUgBlAHMAaQBkAHUAZQBzAF8ARgB1AG4AYwB0AGkAbwBuAE4AYQBtAGUAXABuACAAIAA9AEwAQQBNAEIARABBACgAXAAiAFYARQBFAFIARwBfADYAXwAxAF8AMQBfADEAXwBfADEAXwBfAE4AaQB0AHIAbwB1AHMATwB4AGkAZABlAEUAbQBpAHMAcwBpAG8AbgBzAEYAcgBvAG0AQwByAG8AcABSAGUAcwBpAGQAdQBlAHMAXAAiACkAOwBcAG4AXABuAFYARQBFAFIARwBfADYAXwAxAF8AMQBfADEAXwBfADEAXwBfAE4AaQB0AHIAbwB1AHMATwB4AGkAZABlAEUAbQBpAHMAcwBpAG8AbgBzAEYAcgBvAG0AQwByAG8AcABSAGUAcwBpAGQAdQBlAHMAXwBUAGkAdABsAGUAXABuACAAIAA9AEwAQQBNAEIARABBACgAXAAiAE4AaQB0AHIAbwB1AHMAIABvAHgAaQBkAGUAIABlAG0AaQBzAHMAaQBvAG4AcwAgAGYAcgBvAG0AIAB0AGgAZQAgAHIAZQB0AHUAcgBuACAAbwBmACAAYwByAG8AcAAgAHIAZQBzAGkAZAB1AGUAcwAgAGEAYwByAG8AcwBzACAAYQBsAGwAIABjAHIAbwBwAHMAIABjACAAdABvACAAdABoAGUAIABzAG8AaQBsAFwAIgApADsAXABuAFwAbgBWAEUARQBSAEcAXwA2AF8AMQBfADEAXwAxAF8AXwAxAF8AXwBOAGkAdAByAG8AdQBzAE8AeABpAGQAZQBFAG0AaQBzAHMAaQBvAG4AcwBGAHIAbwBtAEMAcgBvAHAAUgBlAHMAaQBkAHUAZQBzAF8AVgBhAHIAaQBhAGIAbABlAFwAbgAgACAAPQBMAEEATQBCAEQAQQAoAFwAIgBFAFwAIgApADsAXABuAFwAbgBWAEUARQBSAEcAXwA2AF8AMQBfADEAXwAxAF8AXwAxAF8AXwBOAGkAdAByAG8AdQBzAE8AeABpAGQAZQBFAG0AaQBzAHMAaQBvAG4AcwBGAHIAbwBtAEMAcgBvAHAAUgBlAHMAaQBkAHUAZQBzAF8AVQBuAGkAdABcAG4AIAAgAD0ATABBAE0AQgBEAEEAKABcACIAdAAgAE4AMgBPAFwAIgApADsAXABuAFwAbgBWAEUARQBSAEcAXwA2AF8AMQBfADEAXwAxAF8AXwAxAF8AXwBOAGkAdAByAG8AdQBzAE8AeABpAGQAZQBFAG0AaQBzAHMAaQBvAG4AcwBGAHIAbwBtAEMAcgBvAHAAUgBlAHMAaQBkAHUAZQBzAF8AUwBvAHUAcgBjAGUAXABuACAAIAA9AEwAQQBNAEIARABBACgAXAAiAFYARQBFAFIARwAgADIAMAAyADYAOgAgADYALgAxAC4AMQAuADEALAAgAEUAcQB1AGEAdABpAG8AbgAgACgAMQApAFwAIgApADsAXABuAFwAbgBWAEUARQBSAEcAXwA2AF8AMQBfADEAXwAxAF8AXwAxAF8AXwBOAGkAdAByAG8AdQBzAE8AeABpAGQAZQBFAG0AaQBzAHMAaQBvAG4AcwBGAHIAbwBtAEMAcgBvAHAAUgBlAHMAaQBkAHUAZQBzAF8ATgBJAFIAUgBlAGYAZQByAGUAbgBjAGUAXABuACAAIAA9AEwAQQBNAEIARABBACgAXAAiAFwAIgApADsAXABuAFwAbgBWAEUARQBSAEcAXwA2AF8AMQBfADEAXwAxAF8AXwAxAF8AXwBOAGkAdAByAG8AdQBzAE8AeABpAGQAZQBFAG0AaQBzAHMAaQBvAG4AcwBGAHIAbwBtAEMAcgBvAHAAUgBlAHMAaQBkAHUAZQBzAF8ATABhAHQAZQB4AEUAcQB1AGEAdABpAG8AbgBcAG4AIAAgAD0ATABBAE0AQgBEAEEAKABcACIARQA9AFwAXABzAHUAbQBcAFwAbgBvAGwAaQBtAGkAdABzAF8AYwBcAFwAbABlAGYAdAAoAE0AXwB7AGMAfQBcAFwAdABpAG0AZQBzACAARQBGAF8AewBOAH0AXABcAHIAaQBnAGgAdAApAFwAXAB0AGkAbQBlAHMAIABDAF8AewBnACwATgAyAE8AfQBcAFwAdABpAG0AZQBzACAAMQAwAF4AewAtADMAfQBcACIAKQA7AFwAbgBcAG4AVgBFAEUAUgBHAF8ANgBfADEAXwAxAF8AMQBfAF8AMQBfAF8ATgBpAHQAcgBvAHUAcwBPAHgAaQBkAGUARQBtAGkAcwBzAGkAbwBuAHMARgByAG8AbQBDAHIAbwBwAFIAZQBzAGkAZAB1AGUAcwBfAEEAcgBnAHUAbQBlAG4AdABzAFwAbgAgACAAPQBMAEEATQBCAEQAQQAoAFwAbgAgACAAIAAgAE0AQQBLAEUAQQBSAFIAQQBZACgANQAsACAANAAsACAAXABuACAAIAAgACAAIAAgAEwAQQBNAEIARABBACgAcgAsAGMALAAgAFwAbgAgACAAIAAgACAAIAAgACAASQBOAEQARQBYACgAewBcAG4AIAAgACAAIAAgACAAIAAgACAAIABcACIATQBfAGMAXAAiACwAXAAiAG0AYQBzAHMAIABvAGYAIABuAGkAdAByAG8AZwBlAG4AIABpAG4AIABjAHIAbwBwACAAYwAgAHIAZQBzAGkAZAB1AGUAcwAgAHIAZQB0AHUAcgBuAGUAZAAgAHQAbwAgAHQAaABlACAAcwBvAGkAbABcACIALAAgAFwAIgBrAGcAIABOAFwAIgAsACAAXAAiAEMAYQBsAGMAdQBsAGEAdABlAGQAIABmAHIAbwBtACAANgAuADEALgAxAC4AMQAgACgAMgApAFwAIgA7AFwAbgAgACAAIAAgACAAIAAgACAAIAAgAFwAIgBFAEYAXwBOAGkAXAAiACwAXAAiAGUAbQBpAHMAcwBpAG8AbgAgAGYAYQBjAHQAbwByACAAZgBvAHIAIABjAHIAbwBwACAAcgBlAHMAaQBkAHUAZQBzACAAcgBlAHQAdQByAG4AZQBkACAAdABvACAAdABoAGUAIABzAG8AaQBsAFwAIgAsACAAXAAiAGsAZwAgAE4AMgBPAC0ATgAvAGsAZwAgAE4AXAAiACwAIABcACIAQwBvAG4AcwB0AGEAbgB0AFwAIgA7AFwAbgAgACAAIAAgACAAIAAgACAAIAAgAFwAIgBDAF8ATgAyAE8AXAAiACwAXAAiAGYAYQBjAHQAbwByACAAdABvACAAYwBvAG4AdgBlAHIAdAAgAGUAbABlAG0AZQBuAHQAYQBsACAAbQBhAHMAcwAgAG8AZgAgAG4AaQB0AHIAbwB1AHMAIABvAHgAaQBkAGUAIAB0AG8AIABtAG8AbABlAGMAdQBsAGEAcgAgAG0AYQBzAHMAXAAiACwAIABcACIAZABpAG0AZQBuAHMAaQBvAG4AbABlAHMAcwBcACIALAAgAFwAIgBDAG8AbgBzAHQAYQBuAHQAXAAiADsAXABuACAAIAAgACAAIAAgACAAIAAgACAAXAAiAGMAXAAiACwAXAAiAEMAcgBvAHAAIAB0AHkAcABlAFwAIgAsACAAXAAiAFwAIgAsACAAXAAiAEkAbgBwAHUAdABcACIAOwBcAG4AIAAgACAAIAAgACAAIAAgACAAIABcACIAaQBcACIALABcACIAVwBlAHQAIABvAHIAIABkAHIAeQAgAGMAbABpAG0AYQB0AGUAIAB6AG8AbgBlAFwAIgAsACAAXAAiAFwAIgAsACAAXAAiAEkAbgBwAHUAdABcACIAXABuACAAIAAgACAAIAAgACAAIAB9ACwAIAByACwAIABjACkAXABuACAAIAAgACAAIAAgACkAXABuACAAIAAgACAAKQBcAG4AIAAgACkAOwBcAG4AXABuAC8AKgAgAFwAbgAtAC0ALQAtAC0ALQAtAC0ALQAtAC0ALQAtAC0ALQAtAC0ALQAtAC0ALQAtAC0ALQAtAC0ALQAtAC0ALQAtAC0ALQAtAC0ALQAtAC0AXABuAFYARQBFAFIARwBfADYAXwAxAF8AMQBfADEAXwBfADIAXwBfAE0AYQBzAHMATwBmAE4AaQB0AHIAbwBnAGUAbgBJAG4AQwByAG8AcABSAGUAcwBpAGQAdQBlAHMAXABuAE0AYQBzAHMAIABvAGYAIABuAGkAdAByAG8AZwBlAG4AIABpAG4AIABjAHIAbwBwACAAcgBlAHMAaQBkAHUAZQBzACAAcgBlAHQAdQByAG4AZQBkACAAdABvACAAdABoAGUAIABzAG8AaQBsAFwAbgBNAGMAXABuAGsAZwAgAE4AXABuAE0AXwB7AGMAfQA9ACgAUABfAHsAYwB9AFwAXAB0AGkAbQBlAHMAIABSAF8AewBBAEcAYwB9AFwAXAB0AGkAbQBlAHMAKAAxAC0ARgBfAHsAYwB9AC0ARgBGAE8ARABfAHsAYwB9ACkAXABcAHQAaQBtAGUAcwAgAEQATQBfAHsAYwB9AFwAXAB0AGkAbQBlAHMAIABOAEMAXwB7AEEARwBjAH0AKQArACgAUABfAHsAYwB9AFwAXAB0AGkAbQBlAHMAIABSAF8AewBBAEcAYwB9AFwAXAB0AGkAbQBlAHMAIABSAF8AewBCAEcAYwB9AFwAXAB0AGkAbQBlAHMAIABEAE0AXwB7AGMAfQBcAFwAdABpAG0AZQBzACAATgBDAF8AewBCAEcAYwB9ACkAXABuAFAAYwAgAD0AIABhAG4AbgB1AGEAbAAgAHAAcgBvAGQAdQBjAHQAaQBvAG4AIABvAGYAIABjAHIAbwBwACAAYwAgACgAawBnACkAXABuAFIAQQBHAGMAIAA9ACAAcgBlAHMAaQBkAHUAZQAgAHQAbwAgAGMAcgBvAHAAIAByAGEAdABpAG8AIABmAG8AcgAgAGMAcgBvAHAAIABjACAAKABkAGkAbQBlAG4AcwBpAG8AbgBsAGUAcwBzACkAXABuAFIAQgBHAGMAIAA9ACAAYgBlAGwAbwB3ACAAZwByAG8AdQBuAGQALQByAGUAcwBpAGQAdQBlACAAdABvACAAYQBiAG8AdgBlACAAZwByAG8AdQBuAGQAIAByAGUAcwBpAGQAdQBlACAAcgBhAHQAaQBvACAAZgBvAHIAIABjAHIAbwBwACAAYwAgACgAZABpAG0AZQBuAHMAaQBvAG4AbABlAHMAcwApAFwAbgBGAGMAIAA9ACAAZgByAGEAYwB0AGkAbwBuACAAbwBmACAAYwByAG8AcAAgAHIAZQBzAGkAZAB1AGUAIAB0AGgAYQB0ACAAaQBzACAAYgB1AHIAbgB0ACAAZgBvAHIAIABjAHIAbwBwACAAYwAgACgAZABpAG0AZQBuAHMAaQBvAG4AbABlAHMAcwApAFwAbgBGAEYATwBEAGMAIAA9ACAAZgByAGEAYwB0AGkAbwBuACAAbwBmACAAdABoAGUAIABjAHIAbwBwACAAcgBlAHMAaQBkAHUAZQAgAHQAaABhAHQAIABpAHMAIAByAGUAbQBvAHYAZQBkACAAZgBvAHIAIABjAHIAbwBwACAAYwAgACgAZABpAG0AZQBuAHMAaQBvAG4AbABlAHMAcwApAFwAbgBEAE0AYwAgAD0AIABkAHIAeQAgAG0AYQB0AHQAZQByACAAYwBvAG4AdABlAG4AdAAgAG8AZgAgAGMAcgBvAHAAIABjACAAKABrAGcAIABkAHIAeQAgAHcAZQBpAGcAaAB0AC8AawBnACAAYwByAG8AcAAgAHIAZQBzAGkAZAB1AGUAKQBcAG4ATgBDAEEARwBjACAAPQAgAG4AaQB0AHIAbwBnAGUAbgAgAGMAbwBuAHQAZQBuAHQAIABvAGYAIABhAGIAbwB2AGUALQBnAHIAbwB1AG4AZAAgAGMAcgBvAHAAIAByAGUAcwBpAGQAdQBlACAAbwBmACAAYwByAG8AcAAgAGMAIAAoAGsAZwAgAE4ALwBrAGcAIABEAE0AKQBcAG4ATgBDAEIARwBjACAAPQAgAG4AaQB0AHIAbwBnAGUAbgAgAGMAbwBuAHQAZQBuAHQAIABvAGYAIABiAGUAbABvAHcALQBnAHIAbwB1AG4AZAAgAGMAcgBvAHAAIAByAGUAcwBpAGQAdQBlACAAbwBmACAAYwByAG8AcAAgAGMAIAAoAGsAZwAgAE4ALwBrAGcAIABEAE0AKQBcAG4AYwAgAD0AIABDAHIAbwBwACAAdAB5AHAAZQBcAG4ALQAtAC0ALQAtAC0ALQAtAC0ALQAtAC0ALQAtAC0ALQAtAC0ALQAtAC0ALQAtAC0ALQAtAC0ALQAtAC0ALQAtAC0ALQAtAC0ALQAtAFwAbgAqAC8AXABuAFwAbgBWAEUARQBSAEcAXwA2AF8AMQBfADEAXwAxAF8AXwAyAF8AXwBNAGEAcwBzAE8AZgBOAGkAdAByAG8AZwBlAG4ASQBuAEMAcgBvAHAAUgBlAHMAaQBkAHUAZQBzAFwAbgAgACAAPQBMAEEATQBCAEQAQQAoAFwAbgAgACAAIAAgAFAAXwBjACwAIABSAF8AQQBHAGMALAAgAEYAXwBjACwAIABGAEYATwBEAF8AYwAsACAARABNAF8AYwAsACAATgBDAF8AQQBHAGMALAAgAFIAXwBCAEcAYwAsACAATgBDAF8AQgBHAGMALABcAG4AIAAgACAAIAAoAFAAXwBjACAAKgAgAFIAXwBBAEcAYwAgACoAIAAoADEAIAAtACAARgBfAGMAIAAtACAARgBGAE8ARABfAGMAKQAgACoAIABEAE0AXwBjACAAKgAgAE4AQwBfAEEARwBjACkAIAArACAAKABQAF8AYwAgACoAIABSAF8AQQBHAGMAIAAqACAAUgBfAEIARwBjACAAKgAgAEQATQBfAGMAIAAqACAATgBDAF8AQgBHAGMAKQBcAG4AIAAgACkAXABuADsAXABuAFwAbgBWAEUARQBSAEcAXwA2AF8AMQBfADEAXwAxAF8AXwAyAF8AXwBNAGEAcwBzAE8AZgBOAGkAdAByAG8AZwBlAG4ASQBuAEMAcgBvAHAAUgBlAHMAaQBkAHUAZQBzAF8AVABpAHQAbABlAFwAbgAgACAAPQBMAEEATQBCAEQAQQAoAFwAIgBNAGEAcwBzACAAbwBmACAAbgBpAHQAcgBvAGcAZQBuACAAaQBuACAAYwByAG8AcAAgAHIAZQBzAGkAZAB1AGUAcwAgAHIAZQB0AHUAcgBuAGUAZAAgAHQAbwAgAHQAaABlACAAcwBvAGkAbABcACIAKQA7AFwAbgBcAG4AVgBFAEUAUgBHAF8ANgBfADEAXwAxAF8AMQBfAF8AMgBfAF8ATQBhAHMAcwBPAGYATgBpAHQAcgBvAGcAZQBuAEkAbgBDAHIAbwBwAFIAZQBzAGkAZAB1AGUAcwBfAFYAYQByAGkAYQBiAGwAZQBcAG4AIAAgAD0ATABBAE0AQgBEAEEAKABcACIATQBfAGMAXAAiACkAOwBcAG4AXABuAFYARQBFAFIARwBfADYAXwAxAF8AMQBfADEAXwBfADIAXwBfAE0AYQBzAHMATwBmAE4AaQB0AHIAbwBnAGUAbgBJAG4AQwByAG8AcABSAGUAcwBpAGQAdQBlAHMAXwBVAG4AaQB0AFwAbgAgACAAPQBMAEEATQBCAEQAQQAoAFwAIgBrAGcAIABOAFwAIgApADsAXABuAFwAbgBWAEUARQBSAEcAXwA2AF8AMQBfADEAXwAxAF8AXwAyAF8AXwBNAGEAcwBzAE8AZgBOAGkAdAByAG8AZwBlAG4ASQBuAEMAcgBvAHAAUgBlAHMAaQBkAHUAZQBzAF8AUwBvAHUAcgBjAGUAXABuACAAIAA9AEwAQQBNAEIARABBACgAXAAiAFYARQBFAFIARwAgADIAMAAyADYAOgAgADYALgAxAC4AMQAuADEALAAgAEUAcQB1AGEAdABpAG8AbgAgACgAMgApAFwAIgApADsAXABuAFwAbgBWAEUARQBSAEcAXwA2AF8AMQBfADEAXwAxAF8AXwAyAF8AXwBNAGEAcwBzAE8AZgBOAGkAdAByAG8AZwBlAG4ASQBuAEMAcgBvAHAAUgBlAHMAaQBkAHUAZQBzAF8ATgBJAFIAUgBlAGYAZQByAGUAbgBjAGUAXABuACAAIAA9AEwAQQBNAEIARABBACgAXAAiAFwAIgApADsAXABuAFwAbgBWAEUARQBSAEcAXwA2AF8AMQBfADEAXwAxAF8AXwAyAF8AXwBNAGEAcwBzAE8AZgBOAGkAdAByAG8AZwBlAG4ASQBuAEMAcgBvAHAAUgBlAHMAaQBkAHUAZQBzAF8ATABhAHQAZQB4AEUAcQB1AGEAdABpAG8AbgBcAG4AIAAgAD0ATABBAE0AQgBEAEEAKABcACIATQBfAHsAYwB9AD0AKABQAF8AewBjAH0AXABcAHQAaQBtAGUAcwAgAFIAXwB7AEEARwBjAH0AXABcAHQAaQBtAGUAcwAoADEALQBGAF8AewBjAH0ALQBGAEYATwBEAF8AewBjAH0AKQBcAFwAdABpAG0AZQBzACAARABNAF8AewBjAH0AXABcAHQAaQBtAGUAcwAgAE4AQwBfAHsAQQBHAGMAfQApACsAKABQAF8AewBjAH0AXABcAHQAaQBtAGUAcwAgAFIAXwB7AEEARwBjAH0AXABcAHQAaQBtAGUAcwAgAFIAXwB7AEIARwBjAH0AXABcAHQAaQBtAGUAcwAgAEQATQBfAHsAYwB9AFwAXAB0AGkAbQBlAHMAIABOAEMAXwB7AEIARwBjAH0AKQBcACIAKQA7AFwAbgBcAG4AVgBFAEUAUgBHAF8ANgBfADEAXwAxAF8AMQBfAF8AMgBfAF8ATQBhAHMAcwBPAGYATgBpAHQAcgBvAGcAZQBuAEkAbgBDAHIAbwBwAFIAZQBzAGkAZAB1AGUAcwBfAEEAcgBnAHUAbQBlAG4AdABzAFwAbgAgACAAPQBMAEEATQBCAEQAQQAoAFwAbgAgACAAIAAgAE0AQQBLAEUAQQBSAFIAQQBZACgAMQAwACwAIAA0ACwAIABcAG4AIAAgACAAIAAgACAATABBAE0AQgBEAEEAKAByACwAYwAsACAAXABuACAAIAAgACAAIAAgACAAIABJAE4ARABFAFgAKAB7AFwAbgAgACAAIAAgACAAIAAgACAAIAAgAFwAIgBQAF8AYwBcACIALABcACIAYQBuAG4AdQBhAGwAIABwAHIAbwBkAHUAYwB0AGkAbwBuACAAbwBmACAAYwByAG8AcAAgAGMAXAAiACwAIABcACIAawBnAFwAIgAsACAAXAAiAEkAbgBwAHUAdABcACIAOwBcAG4AIAAgACAAIAAgACAAIAAgACAAIABcACIAUgBfAEEARwBjAFwAIgAsAFwAIgByAGUAcwBpAGQAdQBlACAAdABvACAAYwByAG8AcAAgAHIAYQB0AGkAbwAgAGYAbwByACAAYwByAG8AcAAgAGMAXAAiACwAIABcACIAXAAiACwAIABcACIAQwBvAG4AcwB0AGEAbgB0AFwAIgA7AFwAbgAgACAAIAAgACAAIAAgACAAIAAgAFwAIgBSAF8AQgBHAGMAXAAiACwAXAAiAGIAZQBsAG8AdwAgAGcAcgBvAHUAbgBkAC0AcgBlAHMAaQBkAHUAZQAgAHQAbwAgAGEAYgBvAHYAZQAgAGcAcgBvAHUAbgBkACAAcgBlAHMAaQBkAHUAZQAgAHIAYQB0AGkAbwAgAGYAbwByACAAYwByAG8AcAAgAGMAXAAiACwAIABcACIAXAAiACwAIABcACIAQwBvAG4AcwB0AGEAbgB0AFwAIgA7AFwAbgAgACAAIAAgACAAIAAgACAAIAAgAFwAIgBGAF8AYwBcACIALABcACIAZgByAGEAYwB0AGkAbwBuACAAbwBmACAAYwByAG8AcAAgAHIAZQBzAGkAZAB1AGUAIAB0AGgAYQB0ACAAaQBzACAAYgB1AHIAbgB0ACAAZgBvAHIAIABjAHIAbwBwACAAYwBcACIALAAgAFwAIgBmAHIAYQBjAHQAaQBvAG4AXAAiACwAIABcACIASQBuAHAAdQB0AFwAIgA7AFwAbgAgACAAIAAgACAAIAAgACAAIAAgAFwAIgBGAEYATwBEAF8AYwBcACIALABcACIAZgByAGEAYwB0AGkAbwBuACAAbwBmACAAdABoAGUAIABjAHIAbwBwACAAcgBlAHMAaQBkAHUAZQAgAHQAaABhAHQAIABpAHMAIAByAGUAbQBvAHYAZQBkACAAZgBvAHIAIABjAHIAbwBwACAAYwBcACIALAAgAFwAIgBmAHIAYQBjAHQAaQBvAG4AXAAiACwAIABcACIAQwBvAG4AcwB0AGEAbgB0AFwAIgA7AFwAbgAgACAAIAAgACAAIAAgACAAIAAgAFwAIgBEAE0AXwBjAFwAIgAsAFwAIgBkAHIAeQAgAG0AYQB0AHQAZQByACAAYwBvAG4AdABlAG4AdAAgAG8AZgAgAGMAcgBvAHAAIABjAFwAIgAsACAAXAAiAGsAZwAgAGQAcgB5ACAAdwBlAGkAZwBoAHQALwBrAGcAIABjAHIAbwBwACAAcgBlAHMAaQBkAHUAZQBcACIALAAgAFwAIgBDAG8AbgBzAHQAYQBuAHQAXAAiADsAXABuACAAIAAgACAAIAAgACAAIAAgACAAXAAiAE4AQwBfAEEARwBjAFwAIgAsAFwAIgBuAGkAdAByAG8AZwBlAG4AIABjAG8AbgB0AGUAbgB0ACAAbwBmACAAYQBiAG8AdgBlAC0AZwByAG8AdQBuAGQAIABjAHIAbwBwACAAcgBlAHMAaQBkAHUAZQAgAG8AZgAgAGMAcgBvAHAAIABjAFwAIgAsACAAXAAiAGsAZwAgAE4ALwBrAGcAIABEAE0AXAAiACwAIABcACIAQwBvAG4AcwB0AGEAbgB0AFwAIgA7AFwAbgAgACAAIAAgACAAIAAgACAAIAAgAFwAIgBOAEMAXwBCAEcAYwBcACIALABcACIAbgBpAHQAcgBvAGcAZQBuACAAYwBvAG4AdABlAG4AdAAgAG8AZgAgAGIAZQBsAG8AdwAtAGcAcgBvAHUAbgBkACAAYwByAG8AcAAgAHIAZQBzAGkAZAB1AGUAIABvAGYAIABjAHIAbwBwACAAYwBcACIALAAgAFwAIgBrAGcAIABOAC8AawBnACAARABNAFwAIgAsACAAXAAiAEMAbwBuAHMAdABhAG4AdABcACIAOwBcAG4AIAAgACAAIAAgACAAIAAgACAAIABcACIAYwBcACIALABcACIAQwByAG8AcAAgAHQAeQBwAGUAXAAiACwAIABcACIAXAAiACwAIABcACIASQBuAHAAdQB0AFwAIgA7AFwAbgAgACAAIAAgACAAIAAgACAAIAAgAFwAIgBTAHQAYQB0AGUAXAAiACwAXAAiAFMAdABhAHQAZQAgAG8AcgAgAHQAZQByAHIAaQB0AG8AcgB5AFwAIgAsACAAXAAiAFwAIgAsACAAXAAiAEkAbgBwAHUAdABcACIAXABuACAAIAAgACAAIAAgACAAIAB9ACwAIAByACwAIABjACkAXABuACAAIAAgACAAIAAgACkAXABuACAAIAAgACAAKQBcAG4AIAAgACkAOwBcAG4AXABuAFYARQBFAFIARwBfADYAXwAxAF8AMQBfADEAXwBfADIAXwBfAE0AYQBzAHMATwBmAE4AaQB0AHIAbwBnAGUAbgBJAG4AQwByAG8AcABSAGUAcwBpAGQAdQBlAHMAXwBBAHIAZwB1AG0AZQBuAHQAcwBfAE0AZQB0AGgAbwBkADIAXABuACAAIAA9AEwAQQBNAEIARABBACgAXABuACAAIAAgACAATQBBAEsARQBBAFIAUgBBAFkAKAAxADAALAAgADQALAAgAFwAbgAgACAAIAAgACAAIABMAEEATQBCAEQAQQAoAHIALABjACwAIABcAG4AIAAgACAAIAAgACAAIAAgAEkATgBEAEUAWAAoAHsAXABuACAAIAAgACAAIAAgACAAIAAgACAAXAAiAFAAXwBjAFwAIgAsAFwAIgBhAG4AbgB1AGEAbAAgAHAAcgBvAGQAdQBjAHQAaQBvAG4AIABvAGYAIABjAHIAbwBwACAAYwBcACIALAAgAFwAIgBrAGcAXAAiACwAIABcACIASQBuAHAAdQB0AFwAIgA7AFwAbgAgACAAIAAgACAAIAAgACAAIAAgAFwAIgBSAF8AQQBHAGMAXAAiACwAXAAiAHIAZQBzAGkAZAB1AGUAIAB0AG8AIABjAHIAbwBwACAAcgBhAHQAaQBvACAAZgBvAHIAIABjAHIAbwBwACAAYwBcACIALAAgAFwAIgBcACIALAAgAFwAIgBDAG8AbgBzAHQAYQBuAHQAXAAiADsAXABuACAAIAAgACAAIAAgACAAIAAgACAAXAAiAFIAXwBCAEcAYwBcACIALABcACIAYgBlAGwAbwB3ACAAZwByAG8AdQBuAGQALQByAGUAcwBpAGQAdQBlACAAdABvACAAYQBiAG8AdgBlACAAZwByAG8AdQBuAGQAIAByAGUAcwBpAGQAdQBlACAAcgBhAHQAaQBvACAAZgBvAHIAIABjAHIAbwBwACAAYwBcACIALAAgAFwAIgBcACIALAAgAFwAIgBDAG8AbgBzAHQAYQBuAHQAXAAiADsAXABuACAAIAAgACAAIAAgACAAIAAgACAAXAAiAEYAXwBjAFwAIgAsAFwAIgBmAHIAYQBjAHQAaQBvAG4AIABvAGYAIABjAHIAbwBwACAAcgBlAHMAaQBkAHUAZQAgAHQAaABhAHQAIABpAHMAIABiAHUAcgBuAHQAIABmAG8AcgAgAGMAcgBvAHAAIABjAFwAIgAsACAAXAAiAGYAcgBhAGMAdABpAG8AbgBcACIALAAgAFwAIgBJAG4AcAB1AHQAXAAiADsAXABuACAAIAAgACAAIAAgACAAIAAgACAAXAAiAEYARgBPAEQAXwBjAFwAIgAsAFwAIgBmAHIAYQBjAHQAaQBvAG4AIABvAGYAIAB0AGgAZQAgAGMAcgBvAHAAIAByAGUAcwBpAGQAdQBlACAAdABoAGEAdAAgAGkAcwAgAHIAZQBtAG8AdgBlAGQAIABmAG8AcgAgAGMAcgBvAHAAIABjAFwAIgAsACAAXAAiAGYAcgBhAGMAdABpAG8AbgBcACIALAAgAFwAIgBDAGEAbABjAHUAbABhAHQAZQBkACAAZgByAG8AbQAgADYALgAxAC4AMQAuADIAIAAoADEAKQBcACIAOwBcAG4AIAAgACAAIAAgACAAIAAgACAAIABcACIARABNAF8AYwBcACIALABcACIAZAByAHkAIABtAGEAdAB0AGUAcgAgAGMAbwBuAHQAZQBuAHQAIABvAGYAIABjAHIAbwBwACAAYwBcACIALAAgAFwAIgBrAGcAIABkAHIAeQAgAHcAZQBpAGcAaAB0AC8AawBnACAAYwByAG8AcAAgAHIAZQBzAGkAZAB1AGUAXAAiACwAIABcACIAQwBvAG4AcwB0AGEAbgB0AFwAIgA7AFwAbgAgACAAIAAgACAAIAAgACAAIAAgAFwAIgBOAEMAXwBBAEcAYwBcACIALABcACIAbgBpAHQAcgBvAGcAZQBuACAAYwBvAG4AdABlAG4AdAAgAG8AZgAgAGEAYgBvAHYAZQAtAGcAcgBvAHUAbgBkACAAYwByAG8AcAAgAHIAZQBzAGkAZAB1AGUAIABvAGYAIABjAHIAbwBwACAAYwBcACIALAAgAFwAIgBrAGcAIABOAC8AawBnACAARABNAFwAIgAsACAAXAAiAEMAbwBuAHMAdABhAG4AdABcACIAOwBcAG4AIAAgACAAIAAgACAAIAAgACAAIABcACIATgBDAF8AQgBHAGMAXAAiACwAXAAiAG4AaQB0AHIAbwBnAGUAbgAgAGMAbwBuAHQAZQBuAHQAIABvAGYAIABiAGUAbABvAHcALQBnAHIAbwB1AG4AZAAgAGMAcgBvAHAAIAByAGUAcwBpAGQAdQBlACAAbwBmACAAYwByAG8AcAAgAGMAXAAiACwAIABcACIAawBnACAATgAvAGsAZwAgAEQATQBcACIALAAgAFwAIgBDAG8AbgBzAHQAYQBuAHQAXAAiADsAXABuACAAIAAgACAAIAAgACAAIAAgACAAXAAiAGMAXAAiACwAXAAiAEMAcgBvAHAAIAB0AHkAcABlAFwAIgAsACAAXAAiAFwAIgAsACAAXAAiAEkAbgBwAHUAdABcACIAOwBcAG4AIAAgACAAIAAgACAAIAAgACAAIABcACIAUwB0AGEAdABlAFwAIgAsAFwAIgBTAHQAYQB0AGUAIABvAHIAIAB0AGUAcgByAGkAdABvAHIAeQBcACIALAAgAFwAIgBcACIALAAgAFwAIgBJAG4AcAB1AHQAXAAiAFwAbgAgACAAIAAgACAAIAAgACAAfQAsACAAcgAsACAAYwApAFwAbgAgACAAIAAgACAAIAApAFwAbgAgACAAIAAgACkAXABuACAAIAApADsAXABuAFwAbgAvACoAIABcAG4ALQAtAC0ALQAtAC0ALQAtAC0ALQAtAC0ALQAtAC0ALQAtAC0ALQAtAC0ALQAtAC0ALQAtAC0ALQAtAC0ALQAtAC0ALQAtAC0ALQAtAFwAbgBWAEUARQBSAEcAXwA2AF8AMQBfADEAXwAyAF8AXwAxAF8AXwBGAHIAYQBjAHQAaQBvAG4ATwBmAEMAcgBvAHAAUgBlAHMAaQBkAHUAZQBSAGUAbQBvAHYAZQBkAEIAYQBsAGUAZABcAG4ARgByAGEAYwB0AGkAbwBuACAAbwBmACAAYwByAG8AcAAgAHIAZQBzAGkAZAB1AGUAIAB0AGgAYQB0ACAAaQBzACAAcgBlAG0AbwB2AGUAZAAgAGYAbwByACAAYwByAG8AcAAgAGMALAAgAGMAYQBsAGMAdQBsAGEAdABlAGQAIAB3AGgAZQByAGUAIAByAGUAcwBpAGQAdQBlAHMAIABhAHIAZQAgAGIAYQBsAGUAZABcAG4ARgBGAE8ARABjAFwAbgBkAGkAbQBlAG4AcwBpAG8AbgBsAGUAcwBzAFwAbgBGAEYATwBEAF8AewBjAH0APQBcAFwAZgByAGEAYwB7AEIAXABcAHQAaQBtAGUAcwAgAE0AXwB7AEIAfQB9AHsAUABfAHsAYwB9AFwAXAB0AGkAbQBlAHMAIABSAF8AewBBAEcALABjAH0AfQBcAG4AQgAgAD0AIABuAHUAbQBiAGUAcgAgAG8AZgAgAGIAYQBsAGUAcwAgAGcAZQBuAGUAcgBhAHQAZQBkACAAKABuAHUAbQBiAGUAcgApAFwAbgBNAEIAIAA9ACAAbQBhAHMAcwAgAG8AZgAgAGUAYQBjAGgAIABiAGEAbABlACAAKABrAGcAKQBcAG4AUABjACAAPQAgAGEAbgBuAHUAYQBsACAAcAByAG8AZAB1AGMAdABpAG8AbgAgAG8AZgAgAGMAcgBvAHAAIABjACAAKABrAGcAKQBcAG4AUgBBAEcAYwAgAD0AIAByAGUAcwBpAGQAdQBlACAAdABvACAAYwByAG8AcAAgAHIAYQB0AGkAbwAgAGYAbwByACAAYwByAG8AcAAgAGMAIAAoAGYAcgBhAGMAdABpAG8AbgApAFwAbgBjACAAPQAgAEMAcgBvAHAAIAB0AHkAcABlAFwAbgAtAC0ALQAtAC0ALQAtAC0ALQAtAC0ALQAtAC0ALQAtAC0ALQAtAC0ALQAtAC0ALQAtAC0ALQAtAC0ALQAtAC0ALQAtAC0ALQAtAC0AXABuACoALwBcAG4AXABuAFYARQBFAFIARwBfADYAXwAxAF8AMQBfADIAXwBfADEAXwBfAEYAcgBhAGMAdABpAG8AbgBPAGYAQwByAG8AcABSAGUAcwBpAGQAdQBlAFIAZQBtAG8AdgBlAGQAQgBhAGwAZQBkAFwAbgAgACAAPQBMAEEATQBCAEQAQQAoAFwAbgAgACAAIAAgAEIALAAgAE0AXwBCACwAIABQAF8AYwAsACAAUgBfAEEARwBjACwAXABuACAAIAAgACAASQBGAEUAUgBSAE8AUgAoACgAQgAgACoAIABNAF8AQgApACAALwAgACgAUABfAGMAIAAqACAAUgBfAEEARwBjACkALAAgADAAKQBcAG4AIAAgACkAXABuADsAXABuAFwAbgBWAEUARQBSAEcAXwA2AF8AMQBfADEAXwAyAF8AXwAxAF8AXwBGAHIAYQBjAHQAaQBvAG4ATwBmAEMAcgBvAHAAUgBlAHMAaQBkAHUAZQBSAGUAbQBvAHYAZQBkAEIAYQBsAGUAZABfAFQAaQB0AGwAZQBcAG4AIAAgAD0ATABBAE0AQgBEAEEAKABcACIARgByAGEAYwB0AGkAbwBuACAAbwBmACAAYwByAG8AcAAgAHIAZQBzAGkAZAB1AGUAIAB0AGgAYQB0ACAAaQBzACAAcgBlAG0AbwB2AGUAZAAgAGYAbwByACAAYwByAG8AcAAgAGMALAAgAGMAYQBsAGMAdQBsAGEAdABlAGQAIAB3AGgAZQByAGUAIAByAGUAcwBpAGQAdQBlAHMAIABhAHIAZQAgAGIAYQBsAGUAZABcACIAKQA7AFwAbgBcAG4AVgBFAEUAUgBHAF8ANgBfADEAXwAxAF8AMgBfAF8AMQBfAF8ARgByAGEAYwB0AGkAbwBuAE8AZgBDAHIAbwBwAFIAZQBzAGkAZAB1AGUAUgBlAG0AbwB2AGUAZABCAGEAbABlAGQAXwBWAGEAcgBpAGEAYgBsAGUAXABuACAAIAA9AEwAQQBNAEIARABBACgAXAAiAEYARgBPAEQAXwBjAFwAIgApADsAXABuAFwAbgBWAEUARQBSAEcAXwA2AF8AMQBfADEAXwAyAF8AXwAxAF8AXwBGAHIAYQBjAHQAaQBvAG4ATwBmAEMAcgBvAHAAUgBlAHMAaQBkAHUAZQBSAGUAbQBvAHYAZQBkAEIAYQBsAGUAZABfAFUAbgBpAHQAXABuACAAIAA9AEwAQQBNAEIARABBACgAXAAiAGYAcgBhAGMAdABpAG8AbgBcACIAKQA7AFwAbgBcAG4AVgBFAEUAUgBHAF8ANgBfADEAXwAxAF8AMgBfAF8AMQBfAF8ARgByAGEAYwB0AGkAbwBuAE8AZgBDAHIAbwBwAFIAZQBzAGkAZAB1AGUAUgBlAG0AbwB2AGUAZABCAGEAbABlAGQAXwBTAG8AdQByAGMAZQBcAG4AIAAgAD0ATABBAE0AQgBEAEEAKABcACIAVgBFAEUAUgBHACAAMgAwADIANgA6ACAANgAuADEALgAxAC4AMgAsACAARQBxAHUAYQB0AGkAbwBuACAAKAAxACkAXAAiACkAOwBcAG4AXABuAFYARQBFAFIARwBfADYAXwAxAF8AMQBfADIAXwBfADEAXwBfAEYAcgBhAGMAdABpAG8AbgBPAGYAQwByAG8AcABSAGUAcwBpAGQAdQBlAFIAZQBtAG8AdgBlAGQAQgBhAGwAZQBkAF8ATgBJAFIAUgBlAGYAZQByAGUAbgBjAGUAXABuACAAIAA9AEwAQQBNAEIARABBACgAXAAiAFwAIgApADsAXABuAFwAbgBWAEUARQBSAEcAXwA2AF8AMQBfADEAXwAyAF8AXwAxAF8AXwBGAHIAYQBjAHQAaQBvAG4ATwBmAEMAcgBvAHAAUgBlAHMAaQBkAHUAZQBSAGUAbQBvAHYAZQBkAEIAYQBsAGUAZABfAEwAYQB0AGUAeABFAHEAdQBhAHQAaQBvAG4AXABuACAAIAA9AEwAQQBNAEIARABBACgAXAAiAEYARgBPAEQAXwB7AGMAfQA9AFwAXABmAHIAYQBjAHsAQgBcAFwAdABpAG0AZQBzACAATQBfAHsAQgB9AH0AewBQAF8AewBjAH0AXABcAHQAaQBtAGUAcwAgAFIAXwB7AEEARwAsAGMAfQB9AFwAIgApADsAXABuAFwAbgBWAEUARQBSAEcAXwA2AF8AMQBfADEAXwAyAF8AXwAxAF8AXwBGAHIAYQBjAHQAaQBvAG4ATwBmAEMAcgBvAHAAUgBlAHMAaQBkAHUAZQBSAGUAbQBvAHYAZQBkAEIAYQBsAGUAZABfAEEAcgBnAHUAbQBlAG4AdABzAFwAbgAgACAAPQBMAEEATQBCAEQAQQAoAFwAbgAgACAAIAAgAE0AQQBLAEUAQQBSAFIAQQBZACgANQAsACAANAAsACAAXABuACAAIAAgACAAIAAgAEwAQQBNAEIARABBACgAcgAsAGMALAAgAFwAbgAgACAAIAAgACAAIAAgACAASQBOAEQARQBYACgAewBcAG4AIAAgACAAIAAgACAAIAAgACAAIABcACIAQgBcACIALABcACIAbgB1AG0AYgBlAHIAIABvAGYAIABiAGEAbABlAHMAIABnAGUAbgBlAHIAYQB0AGUAZABcACIALAAgAFwAIgBcACIALAAgAFwAIgBJAG4AcAB1AHQAXAAiADsAXABuACAAIAAgACAAIAAgACAAIAAgACAAXAAiAE0AXwBCAFwAIgAsAFwAIgBtAGEAcwBzACAAbwBmACAAZQBhAGMAaAAgAGIAYQBsAGUAXAAiACwAIABcACIAawBnAFwAIgAsACAAXAAiAEkAbgBwAHUAdABcACIAOwBcAG4AIAAgACAAIAAgACAAIAAgACAAIABcACIAUABfAGMAXAAiACwAXAAiAGEAbgBuAHUAYQBsACAAcAByAG8AZAB1AGMAdABpAG8AbgAgAG8AZgAgAGMAcgBvAHAAIABjAFwAIgAsACAAXAAiAGsAZwBcACIALAAgAFwAIgBJAG4AcAB1AHQAXAAiADsAXABuACAAIAAgACAAIAAgACAAIAAgACAAXAAiAFIAXwBBAEcAYwBcACIALABcACIAcgBlAHMAaQBkAHUAZQAgAHQAbwAgAGMAcgBvAHAAIAByAGEAdABpAG8AIABmAG8AcgAgAGMAcgBvAHAAIABjAFwAIgAsACAAXAAiAFwAIgAsACAAXAAiAEMAbwBuAHMAdABhAG4AdABcACIAOwBcAG4AIAAgACAAIAAgACAAIAAgACAAIABcACIAYwBcACIALABcACIAQwByAG8AcAAgAHQAeQBwAGUAXAAiACwAIABcACIAXAAiACwAIABcACIASQBuAHAAdQB0AFwAIgBcAG4AIAAgACAAIAAgACAAIAAgAH0ALAAgAHIALAAgAGMAKQBcAG4AIAAgACAAIAAgACAAKQBcAG4AIAAgACAAIAApAFwAbgAgACAAKQA7AFwAbgBcAG4AVgBFAEUAUgBHAF8ANgBfADEAXwAxAF8AMgBfAF8AMQBfAF8ARgByAGEAYwB0AGkAbwBuAE8AZgBDAHIAbwBwAFIAZQBzAGkAZAB1AGUAUgBlAG0AbwB2AGUAZABCAGEAbABlAGQAXwBWAGEAcgBpAGEAdABpAG8AbgBcAG4AIAAgAD0ATABBAE0AQgBEAEEAKABcACIAXAAiACkAOwBcAG4AXABuAFwAbgBcAG4ALwAqACAAXABuAC0ALQAtAC0ALQAtAC0ALQAtAC0ALQAtAC0ALQAtAC0ALQAtAC0ALQAtAC0ALQAtAC0ALQAtAC0ALQAtAC0ALQAtAC0ALQAtAC0ALQBcAG4AVgBFAEUAUgBHAF8ANgBfADEAXwAxAF8AMgBfAF8AMQBhAF8AXwBGAHIAYQBjAHQAaQBvAG4ATwBmAEMAcgBvAHAAUgBlAHMAaQBkAHUAZQBSAGUAbQBvAHYAZQBkAFwAbgBGAHIAYQBjAHQAaQBvAG4AIABvAGYAIABjAHIAbwBwACAAcgBlAHMAaQBkAHUAZQAgAHQAaABhAHQAIABpAHMAIAByAGUAbQBvAHYAZQBkACAAZgBvAHIAIABjAHIAbwBwACAAYwBcAG4ARgBGAE8ARABjAFwAbgBkAGkAbQBlAG4AcwBpAG8AbgBsAGUAcwBzAFwAbgBcAG4ALQAtAC0ALQAtAC0ALQAtAC0ALQAtAC0ALQAtAC0ALQAtAC0ALQAtAC0ALQAtAC0ALQAtAC0ALQAtAC0ALQAtAC0ALQAtAC0ALQAtAFwAbgAqAC8AXABuAFwAbgAvACoAXABuAFYARQBFAFIARwBfADYAXwAxAF8AMQBfADIAXwBfADEAYQBfAF8ARgByAGEAYwB0AGkAbwBuAE8AZgBDAHIAbwBwAFIAZQBzAGkAZAB1AGUAUgBlAG0AbwB2AGUAZABcAG4AIAAgAD0ATABBAE0AQgBEAEEAKABcAG4AIAAgACAAIABGAEYATwBEAF8AYwBiAGEAbABlAGQALAAgAEYARgBPAEQAXwBjAG8AdABoAGUAcgAsAFwAbgAgACAAIAAgAEYARgBPAEQAXwBjAGIAYQBsAGUAZAAgACsAIABGAEYATwBEAF8AYwBvAHQAaABlAHIAXABuACAAIAApAFwAbgA7AFwAbgBcAG4AVgBFAEUAUgBHAF8ANgBfADEAXwAxAF8AMgBfAF8AMQBhAF8AXwBGAHIAYQBjAHQAaQBvAG4ATwBmAEMAcgBvAHAAUgBlAHMAaQBkAHUAZQBSAGUAbQBvAHYAZQBkAF8AVABpAHQAbABlAFwAbgAgACAAPQBMAEEATQBCAEQAQQAoAFwAIgBGAHIAYQBjAHQAaQBvAG4AIABvAGYAIABjAHIAbwBwACAAcgBlAHMAaQBkAHUAZQAgAHQAaABhAHQAIABpAHMAIAByAGUAbQBvAHYAZQBkACAAZgBvAHIAIABjAHIAbwBwACAAYwBcACIAKQA7AFwAbgBcAG4AVgBFAEUAUgBHAF8ANgBfADEAXwAxAF8AMgBfAF8AMQBhAF8AXwBGAHIAYQBjAHQAaQBvAG4ATwBmAEMAcgBvAHAAUgBlAHMAaQBkAHUAZQBSAGUAbQBvAHYAZQBkAF8AVgBhAHIAaQBhAGIAbABlAFwAbgAgACAAPQBMAEEATQBCAEQAQQAoAFwAIgBGAEYATwBEAF8AYwBcACIAKQA7AFwAbgBcAG4AVgBFAEUAUgBHAF8ANgBfADEAXwAxAF8AMgBfAF8AMQBhAF8AXwBGAHIAYQBjAHQAaQBvAG4ATwBmAEMAcgBvAHAAUgBlAHMAaQBkAHUAZQBSAGUAbQBvAHYAZQBkAF8AVQBuAGkAdABcAG4AIAAgAD0ATABBAE0AQgBEAEEAKABcACIAZABpAG0AZQBuAHMAaQBvAG4AbABlAHMAcwBcACIAKQA7AFwAbgBcAG4AVgBFAEUAUgBHAF8ANgBfADEAXwAxAF8AMgBfAF8AMQBhAF8AXwBGAHIAYQBjAHQAaQBvAG4ATwBmAEMAcgBvAHAAUgBlAHMAaQBkAHUAZQBSAGUAbQBvAHYAZQBkAF8AUwBvAHUAcgBjAGUAXABuACAAIAA9AEwAQQBNAEIARABBACgAXAAiAFwAIgApADsAXABuAFwAbgBWAEUARQBSAEcAXwA2AF8AMQBfADEAXwAyAF8AXwAxAGEAXwBfAEYAcgBhAGMAdABpAG8AbgBPAGYAQwByAG8AcABSAGUAcwBpAGQAdQBlAFIAZQBtAG8AdgBlAGQAXwBOAEkAUgBSAGUAZgBlAHIAZQBuAGMAZQBcAG4AIAAgAD0ATABBAE0AQgBEAEEAKABcACIAXAAiACkAOwBcAG4AXABuAFYARQBFAFIARwBfADYAXwAxAF8AMQBfADIAXwBfADEAYQBfAF8ARgByAGEAYwB0AGkAbwBuAE8AZgBDAHIAbwBwAFIAZQBzAGkAZAB1AGUAUgBlAG0AbwB2AGUAZABfAEwAYQB0AGUAeABFAHEAdQBhAHQAaQBvAG4AXABuACAAIAA9AEwAQQBNAEIARABBACgAXAAiAEYARgBPAEQAXwB7AGMAfQAgAD0AIABGAEYATwBEAF8AewBjACwAYgBhAGwAZQBkAH0AIAArACAARgBGAE8ARABfAHsAYwAsAG8AdABoAGUAcgB9AFwAIgApADsAXABuAFwAbgBWAEUARQBSAEcAXwA2AF8AMQBfADEAXwAyAF8AXwAxAGEAXwBfAEYAcgBhAGMAdABpAG8AbgBPAGYAQwByAG8AcABSAGUAcwBpAGQAdQBlAFIAZQBtAG8AdgBlAGQAXwBBAHIAZwB1AG0AZQBuAHQAcwBcAG4AIAAgAD0ATABBAE0AQgBEAEEAKABcAG4AIAAgACAAIABNAEEASwBFAEEAUgBSAEEAWQAoADIALAAgADQALAAgAFwAbgAgACAAIAAgACAAIABMAEEATQBCAEQAQQAoAHIALABjACwAIABcAG4AIAAgACAAIAAgACAAIAAgAEkATgBEAEUAWAAoAHsAXABuACAAIAAgACAAIAAgACAAIAAgACAAXAAiAEYARgBPAEQAXwBjAGIAYQBsAGUAZABcACIALABcACIARgByAGEAYwB0AGkAbwBuACAAbwBmACAAYwByAG8AcAAgAHIAZQBzAGkAZAB1AGUAIAB0AGgAYQB0ACAAaQBzACAAcgBlAG0AbwB2AGUAZAAgAGYAbwByACAAYwByAG8AcAAgAGMALAAgAGMAYQBsAGMAdQBsAGEAdABlAGQAIAB3AGgAZQByAGUAIAByAGUAcwBpAGQAdQBlAHMAIABhAHIAZQAgAGIAYQBsAGUAZABcACIALAAgAFwAIgBmAHIAYQBjAHQAaQBvAG4AXAAiACwAIABcACIAQwBhAGwAYwB1AGwAYQB0AGUAZAAgAGYAcgBvAG0AIAA2AC4AMQAuADEALgAyACwAIAAoADEAKQBcACIAOwBcAG4AIAAgACAAIAAgACAAIAAgACAAIABcACIARgBGAE8ARABfAGMAbwB0AGgAZQByAFwAIgAsAFwAIgBGAHIAYQBjAHQAaQBvAG4AIABvAGYAIABjAHIAbwBwACAAcgBlAHMAaQBkAHUAZQAgAHQAaABhAHQAIABpAHMAIAByAGUAbQBvAHYAZQBkACAAZgBvAHIAIABjAHIAbwBwACAAYwAsACAAYwBhAGwAYwB1AGwAYQB0AGUAZAAgAHcAaABlAHIAZQAgAHIAZQBzAGkAZAB1AGUAcwAgAGEAcgBlACAAcgBlAG0AbwB2AGUAZAAgAGIAeQAgAG8AdABoAGUAcgAgAG0AZQBhAG4AcwBcACIALAAgAFwAIgBmAHIAYQBjAHQAaQBvAG4AXAAiACwAIABcACIASQBuAHAAdQB0AFwAIgBcAG4AIAAgACAAIAAgACAAIAAgAH0ALAAgAHIALAAgAGMAKQBcAG4AIAAgACAAIAAgACAAKQBcAG4AIAAgACAAIAApAFwAbgAgACAAKQA7AFwAbgBcAG4AVgBFAEUAUgBHAF8ANgBfADEAXwAxAF8AMgBfAF8AMQBhAF8AXwBGAHIAYQBjAHQAaQBvAG4ATwBmAEMAcgBvAHAAUgBlAHMAaQBkAHUAZQBSAGUAbQBvAHYAZQBkAF8AVgBhAHIAaQBhAHQAaQBvAG4AXABuACAAIAA9AEwAQQBNAEIARABBACgAXAAiAFYAQQBSAEkAQQBUAEkATwBOACAARgBSAE8ATQAgAFMATwBVAFIAQwBFADoAIABBAGQAZABlAGQAIAB0AGgAaQBzACAAZQBxAHUAYQB0AGkAbwBuACAAdABvACAAYQBjAGMAbwBtAG0AbwBkAGEAdABlACAAdQBzAGUAcgAtAGQAZQBmAGkAbgBlAGQAIAByAGUAcwBpAGQAdQBlACAAcgBlAG0AbwB2AGEAbAAgAG8AdABoAGUAcgAgAHQAaABhAG4AIABiAGEAbABpAG4AZwAuAFwAIgApADsAXABuACAAIAAqAC8AIgB9ACwAewAiAHAAYQB0AGgAIgA6ACIALwBwAHIAbwBqAGUAYwB0AHMALwBBAGcAUgBlAHMAaQBkAHUAZQBfAEUAcQB1AGEAdABpAG8AbgBzAF8AUABhAHMAdAB1AHIAZQBSAGUAcwBpAGQAdQBlACIALAAiAHQAZQB4AHQAIgA6ACIALwAqACAAXABuAC0ALQAtAC0ALQAtAC0ALQAtAC0ALQAtAC0ALQAtAC0ALQAtAC0ALQAtAC0ALQAtAC0ALQAtAC0ALQAtAC0ALQAtAC0ALQAtAC0ALQBcAG4AVgBFAEUAUgBHAF8ANgBfADIAXwAxAF8AMQBfAF8AMQBfAF8ATgBpAHQAcgBvAHUAcwBPAHgAaQBkAGUARQBtAGkAcwBzAGkAbwBuAHMARgByAG8AbQBQAGEAcwB0AHUAcgBlAFIAZQBzAGkAZAB1AGUAcwBcAG4ATgBpAHQAcgBvAHUAcwAgAG8AeABpAGQAZQAgAGUAbQBpAHMAcwBpAG8AbgBzACAAZgByAG8AbQAgAHQAaABlACAAcgBlAHQAdQByAG4AIABvAGYAIABwAGEAcwB0AHUAcgBlACAAcgBlAHMAaQBkAHUAZQBzACAAZgByAG8AbQAgAGEAbABsACAAcABhAHMAdAB1AHIAZQAgAHQAeQBwAGUAcwAgAHQAbwAgAHQAaABlACAAcwBvAGkAbABcAG4ARQBOADIATwBcAG4AdAAgAE4AMgBPAFwAbgBFAF8AewBOADIATwB9AD0AXABcAHMAdQBtAF8AewBwAH0AXABcAGwAZQBmAHQAKABNAF8AcABcAFwAdABpAG0AZQBzACAARQBGAF8AewBOAGkAfQBcAFwAdABpAG0AZQBzACAAQwBfAHsATgAyAE8AfQBcAFwAdABpAG0AZQBzAHsAMQAwAH0AXgB7AC0AMwB9AFwAXAByAGkAZwBoAHQAKQBcAG4ATQBwACAAPQAgAG0AYQBzAHMAIABvAGYAIABuAGkAdAByAG8AZwBlAG4AIABpAG4AIABwAGEAcwB0AHUAcgBlACAAcAAgAHIAZQBzAGkAZAB1AGUAcwAgAHIAZQB0AHUAcgBuAGUAZAAgAHQAbwAgAHQAaABlACAAcwBvAGkAbAAgACgAawBnACAATgApAFwAbgBFAEYATgBpACAAPQAgAGUAbQBpAHMAcwBpAG8AbgAgAGYAYQBjAHQAbwByACAAZgBvAHIAIABjAHIAbwBwACAAcgBlAHMAaQBkAHUAZQBzACAAcgBlAHQAdQByAG4AZQBkACAAdABvACAAdABoAGUAIABzAG8AaQBsACAAaQBuACAAYwBsAGkAbQBhAHQAZQAgAHoAbwBuAGUAIABpACAAKABrAGcAIABOADIATwAtAE4ALwBrAGcAIABOACkAXABuAEMATgAyAE8AIAA9ACAAZgBhAGMAdABvAHIAIAB0AG8AIABjAG8AbgB2AGUAcgB0ACAAZQBsAGUAbQBlAG4AdABhAGwAIABtAGEAcwBzACAAbwBmACAAbgBpAHQAcgBvAHUAcwAgAG8AeABpAGQAZQAgAHQAbwAgAG0AbwBsAGUAYwB1AGwAYQByACAAbQBhAHMAcwAgACgAZABpAG0AZQBuAHMAaQBvAG4AbABlAHMAcwApAFwAbgBwACAAPQAgAFAAYQBzAHQAdQByAGUAIAB0AHkAcABlAFwAbgBpACAAPQAgAEMAbABpAG0AYQB0AGUAIAB6AG8AbgBlAFwAbgAtAC0ALQAtAC0ALQAtAC0ALQAtAC0ALQAtAC0ALQAtAC0ALQAtAC0ALQAtAC0ALQAtAC0ALQAtAC0ALQAtAC0ALQAtAC0ALQAtAC0AXABuACoALwBcAG4AXABuAFYARQBFAFIARwBfADYAXwAyAF8AMQBfADEAXwBfADEAXwBfAE4AaQB0AHIAbwB1AHMATwB4AGkAZABlAEUAbQBpAHMAcwBpAG8AbgBzAEYAcgBvAG0AUABhAHMAdAB1AHIAZQBSAGUAcwBpAGQAdQBlAHMAXABuACAAIAA9AEwAQQBNAEIARABBACgAXABuACAAIAAgACAATQBfAHAALAAgAEUARgBfAE4AaQAsACAAQwBfAE4AMgBPACwAXABuACAAIAAgACAAKABNAF8AcAAgACoAIABFAEYAXwBOAGkAKQAgACoAIABDAF8ATgAyAE8AIAAqACAAMQAwAF4AKAAtADMAKQBcAG4AIAAgACkAOwBcAG4AXABuAFYARQBFAFIARwBfADYAXwAyAF8AMQBfADEAXwBfADEAXwBfAE4AaQB0AHIAbwB1AHMATwB4AGkAZABlAEUAbQBpAHMAcwBpAG8AbgBzAEYAcgBvAG0AUABhAHMAdAB1AHIAZQBSAGUAcwBpAGQAdQBlAHMAXwBUAGkAdABsAGUAXABuACAAIAA9AEwAQQBNAEIARABBACgAXAAiAE4AaQB0AHIAbwB1AHMAIABvAHgAaQBkAGUAIABlAG0AaQBzAHMAaQBvAG4AcwAgAGYAcgBvAG0AIAB0AGgAZQAgAHIAZQB0AHUAcgBuACAAbwBmACAAcABhAHMAdAB1AHIAZQAgAHIAZQBzAGkAZAB1AGUAcwAgAGYAcgBvAG0AIABhAGwAbAAgAHAAYQBzAHQAdQByAGUAIAB0AHkAcABlAHMAIAB0AG8AIAB0AGgAZQAgAHMAbwBpAGwAXAAiACkAOwBcAG4AXABuAFYARQBFAFIARwBfADYAXwAyAF8AMQBfADEAXwBfADEAXwBfAE4AaQB0AHIAbwB1AHMATwB4AGkAZABlAEUAbQBpAHMAcwBpAG8AbgBzAEYAcgBvAG0AUABhAHMAdAB1AHIAZQBSAGUAcwBpAGQAdQBlAHMAXwBWAGEAcgBpAGEAYgBsAGUAXABuACAAIAA9AEwAQQBNAEIARABBACgAXAAiAEUATgAyAE8AXAAiACkAOwBcAG4AXABuAFYARQBFAFIARwBfADYAXwAyAF8AMQBfADEAXwBfADEAXwBfAE4AaQB0AHIAbwB1AHMATwB4AGkAZABlAEUAbQBpAHMAcwBpAG8AbgBzAEYAcgBvAG0AUABhAHMAdAB1AHIAZQBSAGUAcwBpAGQAdQBlAHMAXwBVAG4AaQB0AFwAbgAgACAAPQBMAEEATQBCAEQAQQAoAFwAIgB0ACAATgAyAE8AXAAiACkAOwBcAG4AXABuAFYARQBFAFIARwBfADYAXwAyAF8AMQBfADEAXwBfADEAXwBfAE4AaQB0AHIAbwB1AHMATwB4AGkAZABlAEUAbQBpAHMAcwBpAG8AbgBzAEYAcgBvAG0AUABhAHMAdAB1AHIAZQBSAGUAcwBpAGQAdQBlAHMAXwBTAG8AdQByAGMAZQBcAG4AIAAgAD0ATABBAE0AQgBEAEEAKABcACIAVgBFAEUAUgBHACAAMgAwADIANgA6ACAANgAuADIALgAxAC4AMQAsACAARQBxAHUAYQB0AGkAbwBuACAAKAAxACkAXAAiACkAOwBcAG4AXABuAFYARQBFAFIARwBfADYAXwAyAF8AMQBfADEAXwBfADEAXwBfAE4AaQB0AHIAbwB1AHMATwB4AGkAZABlAEUAbQBpAHMAcwBpAG8AbgBzAEYAcgBvAG0AUABhAHMAdAB1AHIAZQBSAGUAcwBpAGQAdQBlAHMAXwBOAEkAUgBSAGUAZgBlAHIAZQBuAGMAZQBcAG4AIAAgAD0ATABBAE0AQgBEAEEAKABcACIAXAAiACkAOwBcAG4AXABuAFYARQBFAFIARwBfADYAXwAyAF8AMQBfADEAXwBfADEAXwBfAE4AaQB0AHIAbwB1AHMATwB4AGkAZABlAEUAbQBpAHMAcwBpAG8AbgBzAEYAcgBvAG0AUABhAHMAdAB1AHIAZQBSAGUAcwBpAGQAdQBlAHMAXwBMAGEAdABlAHgARQBxAHUAYQB0AGkAbwBuAFwAbgAgACAAPQBMAEEATQBCAEQAQQAoAFwAIgBFAF8AewBOADIATwB9AD0AXABcAHMAdQBtAFwAXABuAG8AbABpAG0AaQB0AHMAXwBwAFwAXABsAGUAZgB0ACgATQBfAHAAXABcAHQAaQBtAGUAcwAgAEUARgBfAHsATgBpAH0AXABcAHIAaQBnAGgAdAApAFwAXAB0AGkAbQBlAHMAIABDAF8AewBOADIATwB9AFwAXAB0AGkAbQBlAHMAewAxADAAfQBeAHsALQAzAH0AXAAiACkAOwBcAG4AXABuAFYARQBFAFIARwBfADYAXwAyAF8AMQBfADEAXwBfADEAXwBfAE4AaQB0AHIAbwB1AHMATwB4AGkAZABlAEUAbQBpAHMAcwBpAG8AbgBzAEYAcgBvAG0AUABhAHMAdAB1AHIAZQBSAGUAcwBpAGQAdQBlAHMAXwBBAHIAZwB1AG0AZQBuAHQAcwBcAG4AIAAgAD0ATABBAE0AQgBEAEEAKABcAG4AIAAgACAAIABNAEEASwBFAEEAUgBSAEEAWQAoADUALAAgADQALAAgAFwAbgAgACAAIAAgACAAIABMAEEATQBCAEQAQQAoAHIALABjACwAIABcAG4AIAAgACAAIAAgACAAIAAgAEkATgBEAEUAWAAoAHsAXABuACAAIAAgACAAIAAgACAAIAAgACAAXAAiAE0AXwBwAFwAIgAsAFwAIgBtAGEAcwBzACAAbwBmACAAbgBpAHQAcgBvAGcAZQBuACAAaQBuACAAcABhAHMAdAB1AHIAZQAgAHAAIAByAGUAcwBpAGQAdQBlAHMAIAByAGUAdAB1AHIAbgBlAGQAIAB0AG8AIAB0AGgAZQAgAHMAbwBpAGwAXAAiACwAIABcACIAawBnACAATgBcACIALAAgAFwAIgBDAGEAbABjAHUAbABhAHQAZQBkACAAZgByAG8AbQAgADYALgAyAC4AMQAuADEAIAAoADIAKQBcACIAOwBcAG4AIAAgACAAIAAgACAAIAAgACAAIABcACIARQBGAF8ATgBpAFwAIgAsAFwAIgBlAG0AaQBzAHMAaQBvAG4AIABmAGEAYwB0AG8AcgAgAGYAbwByACAAYwByAG8AcAAgAHIAZQBzAGkAZAB1AGUAcwAgAHIAZQB0AHUAcgBuAGUAZAAgAHQAbwAgAHQAaABlACAAcwBvAGkAbAAgAGkAbgAgAGMAbABpAG0AYQB0AGUAIAB6AG8AbgBlACAAaQBcACIALAAgAFwAIgBrAGcAIABOADIATwAtAE4ALwBrAGcAIABOAFwAIgAsACAAXAAiAEMAbwBuAHMAdABhAG4AdABcACIAOwBcAG4AIAAgACAAIAAgACAAIAAgACAAIABcACIAQwBfAE4AMgBPAFwAIgAsAFwAIgBmAGEAYwB0AG8AcgAgAHQAbwAgAGMAbwBuAHYAZQByAHQAIABlAGwAZQBtAGUAbgB0AGEAbAAgAG0AYQBzAHMAIABvAGYAIABuAGkAdAByAG8AdQBzACAAbwB4AGkAZABlACAAdABvACAAbQBvAGwAZQBjAHUAbABhAHIAIABtAGEAcwBzAFwAIgAsACAAXAAiAGQAaQBtAGUAbgBzAGkAbwBuAGwAZQBzAHMAXAAiACwAIABcACIAQwBvAG4AcwB0AGEAbgB0AFwAIgA7AFwAbgAgACAAIAAgACAAIAAgACAAIAAgAFwAIgBwAFwAIgAsAFwAIgBQAGEAcwB0AHUAcgBlACAAdAB5AHAAZQBcACIALAAgAFwAIgBcACIALAAgAFwAIgBJAG4AcAB1AHQAXAAiADsAXABuACAAIAAgACAAIAAgACAAIAAgACAAXAAiAGkAXAAiACwAXAAiAFcAZQB0ACAAbwByACAAZAByAHkAIABjAGwAaQBtAGEAdABlACAAegBvAG4AZQBcACIALAAgAFwAIgBcACIALAAgAFwAIgBJAG4AcAB1AHQAXAAiAFwAbgAgACAAIAAgACAAIAAgACAAfQAsACAAcgAsACAAYwApAFwAbgAgACAAIAAgACAAIAApAFwAbgAgACAAIAAgACkAXABuACAAIAApADsAXABuAFwAbgAvACoAIABcAG4ALQAtAC0ALQAtAC0ALQAtAC0ALQAtAC0ALQAtAC0ALQAtAC0ALQAtAC0ALQAtAC0ALQAtAC0ALQAtAC0ALQAtAC0ALQAtAC0ALQAtAFwAbgBWAEUARQBSAEcAXwA2AF8AMgBfADEAXwAxAF8AXwAyAF8AXwBNAGEAcwBzAE8AZgBOAGkAdAByAG8AZwBlAG4ASQBuAFAAYQBzAHQAdQByAGUAUgBlAHMAaQBkAHUAZQBzAFwAbgBNAGEAcwBzACAAbwBmACAAbgBpAHQAcgBvAGcAZQBuACAAaQBuACAAcABhAHMAdAB1AHIAZQAgAHIAZQBzAGkAZAB1AGUAcwAgAHIAZQB0AHUAcgBuAGUAZAAgAHQAbwAgAHQAaABlACAAcwBvAGkAbABcAG4ATQBwAFwAbgBrAGcAIABOAFwAbgBNAF8AcAAgAD0AIAAoAEEAXwBwACAA1wAoAFkAXwBwACAAXABcAHQAaQBtAGUAcwAgADEAMABeAHsALQAzAH0AKQAgAFwAXAB0AGkAbQBlAHMAIAAoADEALQAgAEYARgBPAEQAXwBwACkAIABcAFwAdABpAG0AZQBzACAATgBDAF8AewBBAEcAcAB9ACkAIAArACAAKABBAF8AcAAgAFwAXAB0AGkAbQBlAHMAIAAoAFkAXwBwACAAXABcAHQAaQBtAGUAcwAgADEAMABeAHsALQAzAH0AKQBcAFwAdABpAG0AZQBzACAAUgBfAHsAQgBHAHAAfQAgAFwAXAB0AGkAbQBlAHMAIABOAEMAXwB7AEIARwBwAH0AKQBcAG4AQQBfAHAAIAA9ACAAYQByAGUAYQAgAG8AZgAgAHAAYQBzAHQAdQByAGUAIAByAGUAbgBlAHcAZQBkACAAbwByACAAcgBlAG0AbwB2AGUAZAAgACgAaABhACkAXABuAFkAcAAgAD0AIABhAHYAZQByAGEAZwBlACAAeQBpAGUAbABkACAAbwBmACAAcABhAHMAdAB1AHIAZQAgAGMAcgBvAHAAIAAoAHQAIABEAE0ALwBoAGEAKQBcAG4ATgBDAEEARwBwACAAPQAgAE4AIABjAG8AbgB0AGUAbgB0ACAAbwBmACAAYQBiAG8AdgBlAC0AZwByAG8AdQBuAGQAIABwAGEAcwB0AHUAcgBlACAAcgBlAHMAaQBkAHUAZQAgACgAawBnACAATgAvAGsAZwAgAEQATQApAFwAbgBSAF8AQgBHAHAAIAA9ACAAYgBlAGwAbwB3AC0AZwByAG8AdQBuAGQAIAByAGUAcwBpAGQAdQBlACAAdABvACAAYQBiAG8AdgBlAC0AZwByAG8AdQBuAGQAIAByAGUAcwBpAGQAdQBlACAAcgBhAHQAaQBvACAAZgBvAHIAIABwAGEAcwB0AHUAcgBlACAAYwByAG8AcAAgACgAZABpAG0AZQBuAHMAaQBvAG4AbABlAHMAcwApAFwAbgBOAEMAXwBCAEcAcAAgAD0AIABOACAAYwBvAG4AdABlAG4AdAAgAG8AZgAgAGIAZQBsAG8AdwAtAGcAcgBvAHUAbgBkACAAcABhAHMAdAB1AHIAZQAgAGMAcgBvAHAAIAByAGUAcwBpAGQAdQBlACAAKABrAGcAIABOAC8AawBnACAARABNACkAXABuAEYARgBPAEQAcAAgAD0AIABmAHIAYQBjAHQAaQBvAG4AIABvAGYAIABwAGEAcwB0AHUAcgBlACAAeQBpAGUAbABkACAAdABoAGEAdAAgAGkAcwAgAHIAZQBtAG8AdgBlAGQAIAAoAGQAaQBtAGUAbgBzAGkAbwBuAGwAZQBzAHMAKQBcAG4AcAAgAD0AIABQAGEAcwB0AHUAcgBlACAAdAB5AHAAZQBcAG4ALQAtAC0ALQAtAC0ALQAtAC0ALQAtAC0ALQAtAC0ALQAtAC0ALQAtAC0ALQAtAC0ALQAtAC0ALQAtAC0ALQAtAC0ALQAtAC0ALQAtAFwAbgAqAC8AXABuAFwAbgBWAEUARQBSAEcAXwA2AF8AMgBfADEAXwAxAF8AXwAyAF8AXwBNAGEAcwBzAE8AZgBOAGkAdAByAG8AZwBlAG4ASQBuAFAAYQBzAHQAdQByAGUAUgBlAHMAaQBkAHUAZQBzAFwAbgAgACAAPQBMAEEATQBCAEQAQQAoAFwAbgAgACAAIAAgAEEAXwBwACwAIABZAF8AcAAsACAARgBGAE8ARABfAHAALAAgAE4AQwBfAEEARwBwACwAIABSAF8AQgBHAHAALAAgAE4AQwBfAEIARwBwACwAXABuACAAIAAgACAAKABBAF8AcAAgACoAIAAoAFkAXwBwACAAKgAgADEAMABeACgALQAzACkAKQAgACoAIAAoADEAIAAtACAARgBGAE8ARABfAHAAKQAgACoAIABOAEMAXwBBAEcAcAApACAAKwAgACgAQQBfAHAAIAAqACAAKABZAF8AcAAgACoAIAAxADAAXgAoAC0AMwApACkAIAAqACAAUgBfAEIARwBwACAAKgAgAE4AQwBfAEIARwBwACkAXABuACAAIAApADsAXABuAFwAbgBWAEUARQBSAEcAXwA2AF8AMgBfADEAXwAxAF8AXwAyAF8AXwBNAGEAcwBzAE8AZgBOAGkAdAByAG8AZwBlAG4ASQBuAFAAYQBzAHQAdQByAGUAUgBlAHMAaQBkAHUAZQBzAF8AVABpAHQAbABlAFwAbgAgACAAPQBMAEEATQBCAEQAQQAoAFwAIgBNAGEAcwBzACAAbwBmACAAbgBpAHQAcgBvAGcAZQBuACAAaQBuACAAcABhAHMAdAB1AHIAZQAgAHIAZQBzAGkAZAB1AGUAcwAgAHIAZQB0AHUAcgBuAGUAZAAgAHQAbwAgAHQAaABlACAAcwBvAGkAbABcACIAKQA7AFwAbgBcAG4AVgBFAEUAUgBHAF8ANgBfADIAXwAxAF8AMQBfAF8AMgBfAF8ATQBhAHMAcwBPAGYATgBpAHQAcgBvAGcAZQBuAEkAbgBQAGEAcwB0AHUAcgBlAFIAZQBzAGkAZAB1AGUAcwBfAFYAYQByAGkAYQBiAGwAZQBcAG4AIAAgAD0ATABBAE0AQgBEAEEAKABcACIATQBwAFwAIgApADsAXABuAFwAbgBWAEUARQBSAEcAXwA2AF8AMgBfADEAXwAxAF8AXwAyAF8AXwBNAGEAcwBzAE8AZgBOAGkAdAByAG8AZwBlAG4ASQBuAFAAYQBzAHQAdQByAGUAUgBlAHMAaQBkAHUAZQBzAF8AVQBuAGkAdABcAG4AIAAgAD0ATABBAE0AQgBEAEEAKABcACIAawBnACAATgBcACIAKQA7AFwAbgBcAG4AVgBFAEUAUgBHAF8ANgBfADIAXwAxAF8AMQBfAF8AMgBfAF8ATQBhAHMAcwBPAGYATgBpAHQAcgBvAGcAZQBuAEkAbgBQAGEAcwB0AHUAcgBlAFIAZQBzAGkAZAB1AGUAcwBfAFMAbwB1AHIAYwBlAFwAbgAgACAAPQBMAEEATQBCAEQAQQAoAFwAIgBWAEUARQBSAEcAIAAyADAAMgA2ADoAIAA2AC4AMgAuADEALgAxACwAIABFAHEAdQBhAHQAaQBvAG4AIAAoADIAKQBcACIAKQA7AFwAbgBcAG4AVgBFAEUAUgBHAF8ANgBfADIAXwAxAF8AMQBfAF8AMgBfAF8ATQBhAHMAcwBPAGYATgBpAHQAcgBvAGcAZQBuAEkAbgBQAGEAcwB0AHUAcgBlAFIAZQBzAGkAZAB1AGUAcwBfAE4ASQBSAFIAZQBmAGUAcgBlAG4AYwBlAFwAbgAgACAAPQBMAEEATQBCAEQAQQAoAFwAIgBcACIAKQA7AFwAbgBcAG4AVgBFAEUAUgBHAF8ANgBfADIAXwAxAF8AMQBfAF8AMgBfAF8ATQBhAHMAcwBPAGYATgBpAHQAcgBvAGcAZQBuAEkAbgBQAGEAcwB0AHUAcgBlAFIAZQBzAGkAZAB1AGUAcwBfAEwAYQB0AGUAeABFAHEAdQBhAHQAaQBvAG4AXABuACAAIAA9AEwAQQBNAEIARABBACgAXAAiAE0AXwBwACAAPQAgACgAQQBfAHAAIABcAFwAdABpAG0AZQBzACAAKABZAF8AcAAgAFwAXAB0AGkAbQBlAHMAIAAxADAAXgB7AC0AMwB9ACkAIABcAFwAdABpAG0AZQBzACAAKAAxAC0AIABGAEYATwBEAF8AcAApACAAXABcAHQAaQBtAGUAcwAgAE4AQwBfAHsAQQBHAHAAfQApACAAKwAgACgAQQBfAHAAIABcAFwAdABpAG0AZQBzACAAKABZAF8AcAAgAFwAXAB0AGkAbQBlAHMAIAAxADAAXgB7AC0AMwB9ACkAXABcAHQAaQBtAGUAcwAgAFIAXwB7AEIARwBwAH0AIABcAFwAdABpAG0AZQBzACAATgBDAF8AewBCAEcAcAB9ACkAXAAiACkAOwBcAG4AXABuAFYARQBFAFIARwBfADYAXwAyAF8AMQBfADEAXwBfADIAXwBfAE0AYQBzAHMATwBmAE4AaQB0AHIAbwBnAGUAbgBJAG4AUABhAHMAdAB1AHIAZQBSAGUAcwBpAGQAdQBlAHMAXwBBAHIAZwB1AG0AZQBuAHQAcwBcAG4AIAAgAD0ATABBAE0AQgBEAEEAKABcAG4AIAAgACAAIABNAEEASwBFAEEAUgBSAEEAWQAoADcALAAgADQALAAgAFwAbgAgACAAIAAgACAAIABMAEEATQBCAEQAQQAoAHIALABjACwAIABcAG4AIAAgACAAIAAgACAAIAAgAEkATgBEAEUAWAAoAHsAXABuACAAIAAgACAAIAAgACAAIAAgACAAXAAiAEEAXwBwAFwAIgAsAFwAIgBhAHIAZQBhACAAbwBmACAAcABhAHMAdAB1AHIAZQAgAHIAZQBuAGUAdwBlAGQAIABvAHIAIAByAGUAbQBvAHYAZQBkAFwAIgAsACAAXAAiAGgAYQBcACIALAAgAFwAIgBJAG4AcAB1AHQAXAAiADsAXABuACAAIAAgACAAIAAgACAAIAAgACAAXAAiAFkAXwBwAFwAIgAsAFwAIgBhAHYAZQByAGEAZwBlACAAeQBpAGUAbABkACAAbwBmACAAcABhAHMAdAB1AHIAZQAgAGMAcgBvAHAAXAAiACwAIABcACIAdAAgAEQATQAvAGgAYQBcACIALAAgAFwAIgBDAG8AbgBzAHQAYQBuAHQAXAAiADsAXABuACAAIAAgACAAIAAgACAAIAAgACAAXAAiAE4AQwBfAEEARwBwAFwAIgAsAFwAIgBOACAAYwBvAG4AdABlAG4AdAAgAG8AZgAgAGEAYgBvAHYAZQAtAGcAcgBvAHUAbgBkACAAcABhAHMAdAB1AHIAZQAgAHIAZQBzAGkAZAB1AGUAXAAiACwAIABcACIAawBnACAATgAvAGsAZwAgAEQATQBcACIALAAgAFwAIgBDAG8AbgBzAHQAYQBuAHQAXAAiADsAXABuACAAIAAgACAAIAAgACAAIAAgACAAXAAiAFIAXwBCAEcAcABcACIALABcACIAYgBlAGwAbwB3AC0AZwByAG8AdQBuAGQAIAByAGUAcwBpAGQAdQBlACAAdABvACAAYQBiAG8AdgBlAC0AZwByAG8AdQBuAGQAIAByAGUAcwBpAGQAdQBlACAAcgBhAHQAaQBvACAAZgBvAHIAIABwAGEAcwB0AHUAcgBlACAAYwByAG8AcABcACIALAAgAFwAIgBcACIALAAgAFwAIgBDAG8AbgBzAHQAYQBuAHQAXAAiADsAXABuACAAIAAgACAAIAAgACAAIAAgACAAXAAiAE4AQwBfAEIARwBwAFwAIgAsAFwAIgBOACAAYwBvAG4AdABlAG4AdAAgAG8AZgAgAGIAZQBsAG8AdwAtAGcAcgBvAHUAbgBkACAAcABhAHMAdAB1AHIAZQAgAGMAcgBvAHAAIAByAGUAcwBpAGQAdQBlAFwAIgAsACAAXAAiAGsAZwAgAE4ALwBrAGcAIABEAE0AXAAiACwAIABcACIAQwBvAG4AcwB0AGEAbgB0AFwAIgA7AFwAbgAgACAAIAAgACAAIAAgACAAIAAgAFwAIgBGAEYATwBEAF8AcABcACIALABcACIAZgByAGEAYwB0AGkAbwBuACAAbwBmACAAcABhAHMAdAB1AHIAZQAgAHkAaQBlAGwAZAAgAHQAaABhAHQAIABpAHMAIAByAGUAbQBvAHYAZQBkAFwAIgAsACAAXAAiAGYAcgBhAGMAdABpAG8AbgBcACIALAAgAFwAIgBDAG8AbgBzAHQAYQBuAHQAXAAiADsAXABuACAAIAAgACAAIAAgACAAIAAgACAAXAAiAHAAXAAiACwAXAAiAFAAYQBzAHQAdQByAGUAIAB0AHkAcABlAFwAIgAsACAAXAAiAFwAIgAsACAAXAAiAEkAbgBwAHUAdABcACIAXABuACAAIAAgACAAIAAgACAAIAB9ACwAIAByACwAIABjACkAXABuACAAIAAgACAAIAAgACkAXABuACAAIAAgACAAKQBcAG4AIAAgACkAOwBcAG4AXABuAFwAbgBWAEUARQBSAEcAXwA2AF8AMgBfADEAXwAxAF8AXwAyAF8AXwBNAGEAcwBzAE8AZgBOAGkAdAByAG8AZwBlAG4ASQBuAFAAYQBzAHQAdQByAGUAUgBlAHMAaQBkAHUAZQBzAF8AQQByAGcAdQBtAGUAbgB0AHMAXwBNAGUAdABoAG8AZAAyAFwAbgAgACAAPQBMAEEATQBCAEQAQQAoAFwAbgAgACAAIAAgAE0AQQBLAEUAQQBSAFIAQQBZACgANwAsACAANAAsACAAXABuACAAIAAgACAAIAAgAEwAQQBNAEIARABBACgAcgAsAGMALAAgAFwAbgAgACAAIAAgACAAIAAgACAASQBOAEQARQBYACgAewBcAG4AIAAgACAAIAAgACAAIAAgACAAIABcACIAQQBfAHAAXAAiACwAXAAiAGEAcgBlAGEAIABvAGYAIABwAGEAcwB0AHUAcgBlACAAcgBlAG4AZQB3AGUAZAAgAG8AcgAgAHIAZQBtAG8AdgBlAGQAXAAiACwAIABcACIAaABhAFwAIgAsACAAXAAiAEkAbgBwAHUAdABcACIAOwBcAG4AIAAgACAAIAAgACAAIAAgACAAIABcACIAWQBfAHAAXAAiACwAXAAiAGEAdgBlAHIAYQBnAGUAIAB5AGkAZQBsAGQAIABvAGYAIABwAGEAcwB0AHUAcgBlACAAYwByAG8AcABcACIALAAgAFwAIgB0ACAARABNAC8AaABhAFwAIgAsACAAXAAiAEkAbgBwAHUAdABcACIAOwBcAG4AIAAgACAAIAAgACAAIAAgACAAIABcACIATgBDAF8AQQBHAHAAXAAiACwAXAAiAE4AIABjAG8AbgB0AGUAbgB0ACAAbwBmACAAYQBiAG8AdgBlAC0AZwByAG8AdQBuAGQAIABwAGEAcwB0AHUAcgBlACAAcgBlAHMAaQBkAHUAZQBcACIALAAgAFwAIgBrAGcAIABOAC8AawBnACAARABNAFwAIgAsACAAXAAiAEMAbwBuAHMAdABhAG4AdABcACIAOwBcAG4AIAAgACAAIAAgACAAIAAgACAAIABcACIAUgBfAEIARwBwAFwAIgAsAFwAIgBiAGUAbABvAHcALQBnAHIAbwB1AG4AZAAgAHIAZQBzAGkAZAB1AGUAIAB0AG8AIABhAGIAbwB2AGUALQBnAHIAbwB1AG4AZAAgAHIAZQBzAGkAZAB1AGUAIAByAGEAdABpAG8AIABmAG8AcgAgAHAAYQBzAHQAdQByAGUAIABjAHIAbwBwAFwAIgAsACAAXAAiAFwAIgAsACAAXAAiAEMAbwBuAHMAdABhAG4AdABcACIAOwBcAG4AIAAgACAAIAAgACAAIAAgACAAIABcACIATgBDAF8AQgBHAHAAXAAiACwAXAAiAE4AIABjAG8AbgB0AGUAbgB0ACAAbwBmACAAYgBlAGwAbwB3AC0AZwByAG8AdQBuAGQAIABwAGEAcwB0AHUAcgBlACAAYwByAG8AcAAgAHIAZQBzAGkAZAB1AGUAXAAiACwAIABcACIAawBnACAATgAvAGsAZwAgAEQATQBcACIALAAgAFwAIgBDAG8AbgBzAHQAYQBuAHQAXAAiADsAXABuACAAIAAgACAAIAAgACAAIAAgACAAXAAiAEYARgBPAEQAXwBwAFwAIgAsAFwAIgBmAHIAYQBjAHQAaQBvAG4AIABvAGYAIABwAGEAcwB0AHUAcgBlACAAeQBpAGUAbABkACAAdABoAGEAdAAgAGkAcwAgAHIAZQBtAG8AdgBlAGQAXAAiACwAIABcACIAZgByAGEAYwB0AGkAbwBuAFwAIgAsACAAXAAiAEMAbwBuAHMAdABhAG4AdABcACIAOwBcAG4AIAAgACAAIAAgACAAIAAgACAAIABcACIAcABcACIALABcACIAUABhAHMAdAB1AHIAZQAgAHQAeQBwAGUAXAAiACwAIABcACIAXAAiACwAIABcACIASQBuAHAAdQB0AFwAIgBcAG4AIAAgACAAIAAgACAAIAAgAH0ALAAgAHIALAAgAGMAKQBcAG4AIAAgACAAIAAgACAAKQBcAG4AIAAgACAAIAApAFwAbgAgACAAKQA7AFwAbgBcAG4AXABuAFwAbgBcAG4AIgB9ACwAewAiAHAAYQB0AGgAIgA6ACIALwBwAHIAbwBqAGUAYwB0AHMALwBBAGcAUgBlAHMAaQBkAHUAZQBfAEUAcQB1AGEAdABpAG8AbgBzAF8ATABlAGEAYwBoAGkAbgBnACIALAAiAHQAZQB4AHQAIgA6ACIALwAqACAAXABuAC0ALQAtAC0ALQAtAC0ALQAtAC0ALQAtAC0ALQAtAC0ALQAtAC0ALQAtAC0ALQAtAC0ALQAtAC0ALQAtAC0ALQAtAC0ALQAtAC0ALQBcAG4AVgBFAEUAUgBHAF8ANgBfADMAXwAxAF8AMQBfAF8AMQBfAF8ATABlAGEAYwBoAGkAbgBnAEEAbgBkAFIAdQBuAG8AZgBmAEUAbQBpAHMAcwBpAG8AbgBzAEMAcgBvAHAAQQBuAGQAUABhAHMAdAB1AHIAZQBSAGUAcwBpAGQAdQBlAFwAbgBOAGkAdAByAG8AdQBzACAAbwB4AGkAZABlACAAbABlAGEAYwBoAGkAbgBnACAAYQBuAGQAIAByAHUAbgBvAGYAZgAgAGUAbQBpAHMAcwBpAG8AbgBzACAAZgByAG8AbQAgAGMAcgBvAHAAIABhAG4AZAAgAHAAYQBzAHQAdQByAGUAIAByAGUAcwBpAGQAdQBlAHMAIAByAGUAdAB1AHIAbgBlAGQAIAB0AG8AIAB0AGgAZQAgAHMAbwBpAGwALAAgAGEAYwByAG8AcwBzACAAYQBsAGwAIABjAHIAbwBwACAAcgBlAHMAaQBkAHUAZQBzACAAYwAgAGEAbgBkACAAcABhAHMAdAB1AHIAZQAgAHIAZQBzAGkAZAB1AGUAcwAgAHAAXABuAEUATgAyAE8AXABuAHQAIABOADIATwBcAG4ARQBfAHsATgAyAE8AfQA9AFwAXABzAHUAbQBfAHsAYwB9AFwAXABzAHUAbQBfAHsAcAB9ACgATQBfAHsAbABlAGEAYwBoACwAYwBwAH0AXABcAHQAaQBtAGUAcwAgAEUARgBfAHsAbABlAGEAYwBoAH0AXABcAHQAaQBtAGUAcwAgAEMAXwB7AE4AMgBPAH0AXABcAHQAaQBtAGUAcwAgADEAMABeAHsALQAzAH0AKQBcAG4ATQBfAGwAZQBhAGMAaABjAHAAIAA9ACAAbQBhAHMAcwAgAG8AZgAgAG4AaQB0AHIAbwBnAGUAbgAgAGwAbwBzAHQAIAB0AGgAcgBvAHUAZwBoACAAbABlAGEAYwBoAGkAbgBnACAAYQBuAGQAIAByAHUAbgBvAGYAZgAgAGYAcgBvAG0AIAB0AGgAZQAgAGMAcgBvAHAAIAByAGUAcwBpAGQAdQBlACAAYwAgAG8AcgAgAHAAYQBzAHQAdQByAGUAIAByAGUAcwBpAGQAdQBlACAAcAAgACgAawBnACAATgApAFwAbgBFAEYAXwBsAGUAYQBjAGgAIAA9ACAAZQBtAGkAcwBzAGkAbwBuACAAZgBhAGMAdABvAHIAIABmAG8AcgAgAGwAZQBhAGMAaABpAG4AZwAgAGEAbgBkACAAcgB1AG4AbwBmAGYAIAAoAGsAZwAgAE4AMgBPAC0ATgAvAGsAZwAgAE4AKQBcAG4AQwBOADIATwAgAD0AIABmAGEAYwB0AG8AcgAgAHQAbwAgAGMAbwBuAHYAZQByAHQAIABlAGwAZQBtAGUAbgB0AGEAbAAgAG0AYQBzAHMAIABvAGYAIABuAGkAdAByAG8AdQBzACAAbwB4AGkAZABlACAAdABvACAAbQBvAGwAZQBjAHUAbABhAHIAIABtAGEAcwBzACAAKABkAGkAbQBlAG4AcwBpAG8AbgBsAGUAcwBzACkAXABuAGMAIAA9ACAAQwByAG8AcAAgAHIAZQBzAGkAZAB1AGUAIAB0AHkAcABlAFwAbgBwACAAPQAgAFAAYQBzAHQAdQByAGUAIAByAGUAcwBpAGQAdQBlACAAdAB5AHAAZQBcAG4ALQAtAC0ALQAtAC0ALQAtAC0ALQAtAC0ALQAtAC0ALQAtAC0ALQAtAC0ALQAtAC0ALQAtAC0ALQAtAC0ALQAtAC0ALQAtAC0ALQAtAFwAbgAqAC8AXABuAFwAbgBWAEUARQBSAEcAXwA2AF8AMwBfADEAXwAxAF8AXwAxAF8AXwBMAGUAYQBjAGgAaQBuAGcAQQBuAGQAUgB1AG4AbwBmAGYARQBtAGkAcwBzAGkAbwBuAHMAQwByAG8AcABBAG4AZABQAGEAcwB0AHUAcgBlAFIAZQBzAGkAZAB1AGUAXABuACAAIAA9AEwAQQBNAEIARABBACgAXABuACAAIAAgACAATQBfAGwAZQBhAGMAaABjAHAALAAgAEUARgBfAGwAZQBhAGMAaAAsACAAQwBfAE4AMgBPACwAXABuACAAIAAgACAAKABNAF8AbABlAGEAYwBoAGMAcAAgACoAIABFAEYAXwBsAGUAYQBjAGgAKQAgACoAIABDAF8ATgAyAE8AIAAqACAAMQAwAF4AKAAtADMAKQBcAG4AIAAgACkAXABuADsAXABuAFwAbgBWAEUARQBSAEcAXwA2AF8AMwBfADEAXwAxAF8AXwAxAF8AXwBMAGUAYQBjAGgAaQBuAGcAQQBuAGQAUgB1AG4AbwBmAGYARQBtAGkAcwBzAGkAbwBuAHMAQwByAG8AcABBAG4AZABQAGEAcwB0AHUAcgBlAFIAZQBzAGkAZAB1AGUAXwBUAGkAdABsAGUAXABuACAAIAA9AEwAQQBNAEIARABBACgAXAAiAE4AaQB0AHIAbwB1AHMAIABvAHgAaQBkAGUAIABsAGUAYQBjAGgAaQBuAGcAIABhAG4AZAAgAHIAdQBuAG8AZgBmACAAZQBtAGkAcwBzAGkAbwBuAHMAIABmAHIAbwBtACAAYwByAG8AcAAgAGEAbgBkACAAcABhAHMAdAB1AHIAZQAgAHIAZQBzAGkAZAB1AGUAcwAgAHIAZQB0AHUAcgBuAGUAZAAgAHQAbwAgAHQAaABlACAAcwBvAGkAbABcACIAKQA7AFwAbgBcAG4AVgBFAEUAUgBHAF8ANgBfADMAXwAxAF8AMQBfAF8AMQBfAF8ATABlAGEAYwBoAGkAbgBnAEEAbgBkAFIAdQBuAG8AZgBmAEUAbQBpAHMAcwBpAG8AbgBzAEMAcgBvAHAAQQBuAGQAUABhAHMAdAB1AHIAZQBSAGUAcwBpAGQAdQBlAF8AVgBhAHIAaQBhAGIAbABlAFwAbgAgACAAPQBMAEEATQBCAEQAQQAoAFwAIgBFAE4AMgBPAFwAIgApADsAXABuAFwAbgBWAEUARQBSAEcAXwA2AF8AMwBfADEAXwAxAF8AXwAxAF8AXwBMAGUAYQBjAGgAaQBuAGcAQQBuAGQAUgB1AG4AbwBmAGYARQBtAGkAcwBzAGkAbwBuAHMAQwByAG8AcABBAG4AZABQAGEAcwB0AHUAcgBlAFIAZQBzAGkAZAB1AGUAXwBVAG4AaQB0AFwAbgAgACAAPQBMAEEATQBCAEQAQQAoAFwAIgB0ACAATgAyAE8AXAAiACkAOwBcAG4AXABuAFYARQBFAFIARwBfADYAXwAzAF8AMQBfADEAXwBfADEAXwBfAEwAZQBhAGMAaABpAG4AZwBBAG4AZABSAHUAbgBvAGYAZgBFAG0AaQBzAHMAaQBvAG4AcwBDAHIAbwBwAEEAbgBkAFAAYQBzAHQAdQByAGUAUgBlAHMAaQBkAHUAZQBfAFMAbwB1AHIAYwBlAFwAbgAgACAAPQBMAEEATQBCAEQAQQAoAFwAIgBWAEUARQBSAEcAIAAyADAAMgA2ADoAIAA2AC4AMwAuADEALgAxACwAIABFAHEAdQBhAHQAaQBvAG4AIAAoADEAKQBcACIAKQA7AFwAbgBcAG4AVgBFAEUAUgBHAF8ANgBfADMAXwAxAF8AMQBfAF8AMQBfAF8ATABlAGEAYwBoAGkAbgBnAEEAbgBkAFIAdQBuAG8AZgBmAEUAbQBpAHMAcwBpAG8AbgBzAEMAcgBvAHAAQQBuAGQAUABhAHMAdAB1AHIAZQBSAGUAcwBpAGQAdQBlAF8ATgBJAFIAUgBlAGYAZQByAGUAbgBjAGUAXABuACAAIAA9AEwAQQBNAEIARABBACgAXAAiAFwAIgApADsAXABuAFwAbgBWAEUARQBSAEcAXwA2AF8AMwBfADEAXwAxAF8AXwAxAF8AXwBMAGUAYQBjAGgAaQBuAGcAQQBuAGQAUgB1AG4AbwBmAGYARQBtAGkAcwBzAGkAbwBuAHMAQwByAG8AcABBAG4AZABQAGEAcwB0AHUAcgBlAFIAZQBzAGkAZAB1AGUAXwBMAGEAdABlAHgARQBxAHUAYQB0AGkAbwBuAFwAbgAgACAAPQBMAEEATQBCAEQAQQAoAFwAIgBFAF8AewBOADIATwB9AD0AXABcAHMAdQBtAFwAXABuAG8AbABpAG0AaQB0AHMAXwBjAFwAXABzAHUAbQBcAFwAbgBvAGwAaQBtAGkAdABzAF8AcAAoAE0AXwB7AGwAZQBhAGMAaAAsAGMAcAB9AFwAXAB0AGkAbQBlAHMAIABFAEYAXwB7AGwAZQBhAGMAaAB9AFwAXAB0AGkAbQBlAHMAIABDAF8AewBOADIATwB9AFwAXAB0AGkAbQBlAHMAIAAxADAAXgB7AC0AMwB9ACkAXAAiACkAOwBcAG4AXABuAFYARQBFAFIARwBfADYAXwAzAF8AMQBfADEAXwBfADEAXwBfAEwAZQBhAGMAaABpAG4AZwBBAG4AZABSAHUAbgBvAGYAZgBFAG0AaQBzAHMAaQBvAG4AcwBDAHIAbwBwAEEAbgBkAFAAYQBzAHQAdQByAGUAUgBlAHMAaQBkAHUAZQBfAEEAcgBnAHUAbQBlAG4AdABzAFwAbgAgACAAPQBMAEEATQBCAEQAQQAoAFwAbgAgACAAIAAgAE0AQQBLAEUAQQBSAFIAQQBZACgANQAsACAANAAsACAAXABuACAAIAAgACAAIAAgAEwAQQBNAEIARABBACgAcgAsAGMALAAgAFwAbgAgACAAIAAgACAAIAAgACAASQBOAEQARQBYACgAewBcAG4AIAAgACAAIAAgACAAIAAgACAAIABcACIATQBfAGwAZQBhAGMAaABjAHAAXAAiACwAXAAiAG0AYQBzAHMAIABvAGYAIABuAGkAdAByAG8AZwBlAG4AIABsAG8AcwB0ACAAdABoAHIAbwB1AGcAaAAgAGwAZQBhAGMAaABpAG4AZwAgAGEAbgBkACAAcgB1AG4AbwBmAGYAIABmAHIAbwBtACAAdABoAGUAIABjAHIAbwBwACAAcgBlAHMAaQBkAHUAZQAgAGMAIABvAHIAIABwAGEAcwB0AHUAcgBlACAAcgBlAHMAaQBkAHUAZQAgAHAAXAAiACwAIABcACIAawBnACAATgBcACIALAAgAFwAIgBDAGEAbABjAHUAbABhAHQAZQBkACAAZgByAG8AbQAgADYALgAzAC4AMQAuADEAIAAoADIAKQBcACIAOwBcAG4AIAAgACAAIAAgACAAIAAgACAAIABcACIARQBGAF8AbABlAGEAYwBoAFwAIgAsAFwAIgBlAG0AaQBzAHMAaQBvAG4AIABmAGEAYwB0AG8AcgAgAGYAbwByACAAbABlAGEAYwBoAGkAbgBnACAAYQBuAGQAIAByAHUAbgBvAGYAZgBcACIALAAgAFwAIgBrAGcAIABOADIATwAtAE4ALwBrAGcAIABOAFwAIgAsACAAXAAiAEMAbwBuAHMAdABhAG4AdABcACIAOwBcAG4AIAAgACAAIAAgACAAIAAgACAAIABcACIAQwBfAE4AMgBPAFwAIgAsAFwAIgBmAGEAYwB0AG8AcgAgAHQAbwAgAGMAbwBuAHYAZQByAHQAIABlAGwAZQBtAGUAbgB0AGEAbAAgAG0AYQBzAHMAIABvAGYAIABuAGkAdAByAG8AdQBzACAAbwB4AGkAZABlACAAdABvACAAbQBvAGwAZQBjAHUAbABhAHIAIABtAGEAcwBzAFwAIgAsACAAXAAiAGQAaQBtAGUAbgBzAGkAbwBuAGwAZQBzAHMAXAAiACwAIABcACIAQwBvAG4AcwB0AGEAbgB0AFwAIgA7AFwAbgAgACAAIAAgACAAIAAgACAAIAAgAFwAIgBjAFwAIgAsAFwAIgBDAHIAbwBwACAAcgBlAHMAaQBkAHUAZQAgAHQAeQBwAGUAXAAiACwAIABcACIAXAAiACwAIABcACIASQBuAHAAdQB0AFwAIgA7AFwAbgAgACAAIAAgACAAIAAgACAAIAAgAFwAIgBwAFwAIgAsAFwAIgBQAGEAcwB0AHUAcgBlACAAcgBlAHMAaQBkAHUAZQAgAHQAeQBwAGUAXAAiACwAIABcACIAXAAiACwAIABcACIASQBuAHAAdQB0AFwAIgBcAG4AIAAgACAAIAAgACAAIAAgAH0ALAAgAHIALAAgAGMAKQBcAG4AIAAgACAAIAAgACAAKQBcAG4AIAAgACAAIAApAFwAbgAgACAAKQA7AFwAbgBcAG4ALwAqACAAXABuAC0ALQAtAC0ALQAtAC0ALQAtAC0ALQAtAC0ALQAtAC0ALQAtAC0ALQAtAC0ALQAtAC0ALQAtAC0ALQAtAC0ALQAtAC0ALQAtAC0ALQBcAG4AVgBFAEUAUgBHAF8ANgBfADMAXwAxAF8AMQBfAF8AMgBfAF8ATQBhAHMAcwBPAGYATgBpAHQAcgBvAGcAZQBuAEwAbwBzAHQAVABoAHIAbwB1AGcAaABMAGUAYQBjAGgAaQBuAGcAQQBuAGQAUgB1AG4AbwBmAGYAXABuAE0AYQBzAHMAIABvAGYAIABuAGkAdAByAG8AZwBlAG4AIABsAG8AcwB0ACAAdABoAHIAbwB1AGcAaAAgAGwAZQBhAGMAaABpAG4AZwAgAGEAbgBkACAAcgB1AG4AbwBmAGYAXABuAE0AXwBsAGUAYQBjAGgAYwBwAFwAbgBrAGcAIABOAFwAbgBNAF8AewBsAGUAYQBjAGgALABjAHAAfQA9AE0AXwB7AGMAcAB9AFwAXAB0AGkAbQBlAHMAIABGAHIAYQBjAFcARQBUAF8AewBqAH0AXABcAHQAaQBtAGUAcwAgAEYAcgBhAGMATABFAEEAQwBIAFwAbgBNAF8AYwBwACAAPQAgAG0AYQBzAHMAIABvAGYAIABuAGkAdAByAG8AZwBlAG4AIABpAG4AIABjAHIAbwBwACAAcgBlAHMAaQBkAHUAZQBzACAAYwAgAG8AcgAgAHAAYQBzAHQAdQByAGUAIAByAGUAcwBpAGQAdQBlAHMAIABwACAAYQBwAHAAbABpAGUAZAAgAHQAbwAgAHMAbwBpAGwAcwAgACgAawBnACAATgApAFwAbgBGAHIAYQBjAFcARQBUAGoAIAA9ACAAZgByAGEAYwB0AGkAbwBuACAAbwBmACAATgAgAHQAaABhAHQAIABpAHMAIABhAHYAYQBpAGwAYQBiAGwAZQAgAGYAbwByACAAbABlAGEAYwBoAGkAbgBnACAAYQBuAGQAIAByAHUAbgBvAGYAZgAgAGYAcgBvAG0AIABwAHIAbwBkAHUAYwB0AGkAbwBuACAAcwB5AHMAdABlAG0AIABqACAAKABkAGkAbQBlAG4AcwBpAG8AbgBsAGUAcwBzACkAXABuAEYAcgBhAGMATABFAEEAQwBIACAAPQAgAGYAcgBhAGMAdABpAG8AbgAgAG8AZgAgAE4AIAB0AGgAYQB0ACAAaQBzACAAbABvAHMAdAAgAHQAaAByAG8AdQBnAGgAIABsAGUAYQBjAGgAaQBuAGcAIABhAG4AZAAgAHIAdQBuAG8AZgBmACAAKABkAGkAbQBlAG4AcwBpAG8AbgBsAGUAcwBzACkAXABuAGMAIAA9ACAAQwByAG8AcAAgAHIAZQBzAGkAZAB1AGUAIAB0AHkAcABlAFwAbgBwACAAPQAgAFAAYQBzAHQAdQByAGUAIAByAGUAcwBpAGQAdQBlACAAdAB5AHAAZQBcAG4AaQByACAAPQAgAGkAcgByAGkAZwBhAHQAaQBvAG4AIAB0AHkAcABlAFwAbgAtAC0ALQAtAC0ALQAtAC0ALQAtAC0ALQAtAC0ALQAtAC0ALQAtAC0ALQAtAC0ALQAtAC0ALQAtAC0ALQAtAC0ALQAtAC0ALQAtAC0AXABuACoALwBcAG4AXABuAFYARQBFAFIARwBfADYAXwAzAF8AMQBfADEAXwBfADIAXwBfAE0AYQBzAHMATwBmAE4AaQB0AHIAbwBnAGUAbgBMAG8AcwB0AFQAaAByAG8AdQBnAGgATABlAGEAYwBoAGkAbgBnAEEAbgBkAFIAdQBuAG8AZgBmAFwAbgAgACAAPQBMAEEATQBCAEQAQQAoAFwAbgAgACAAIAAgAE0AXwBjAHAALAAgAEYAcgBhAGMAVwBFAFQAXwBqACwAIABGAHIAYQBjAEwARQBBAEMASAAsAFwAbgAgACAAIAAgAE0AXwBjAHAAIAAqACAARgByAGEAYwBXAEUAVABfAGoAIAAqACAARgByAGEAYwBMAEUAQQBDAEgAXABuACAAIAApAFwAbgA7AFwAbgBcAG4AVgBFAEUAUgBHAF8ANgBfADMAXwAxAF8AMQBfAF8AMgBfAF8ATQBhAHMAcwBPAGYATgBpAHQAcgBvAGcAZQBuAEwAbwBzAHQAVABoAHIAbwB1AGcAaABMAGUAYQBjAGgAaQBuAGcAQQBuAGQAUgB1AG4AbwBmAGYAXwBUAGkAdABsAGUAXABuACAAIAA9AEwAQQBNAEIARABBACgAXAAiAE0AYQBzAHMAIABvAGYAIABuAGkAdAByAG8AZwBlAG4AIABsAG8AcwB0ACAAdABoAHIAbwB1AGcAaAAgAGwAZQBhAGMAaABpAG4AZwAgAGEAbgBkACAAcgB1AG4AbwBmAGYAXAAiACkAOwBcAG4AXABuAFYARQBFAFIARwBfADYAXwAzAF8AMQBfADEAXwBfADIAXwBfAE0AYQBzAHMATwBmAE4AaQB0AHIAbwBnAGUAbgBMAG8AcwB0AFQAaAByAG8AdQBnAGgATABlAGEAYwBoAGkAbgBnAEEAbgBkAFIAdQBuAG8AZgBmAF8AVgBhAHIAaQBhAGIAbABlAFwAbgAgACAAPQBMAEEATQBCAEQAQQAoAFwAIgBNAF8AbABlAGEAYwBoAGMAcABcACIAKQA7AFwAbgBcAG4AVgBFAEUAUgBHAF8ANgBfADMAXwAxAF8AMQBfAF8AMgBfAF8ATQBhAHMAcwBPAGYATgBpAHQAcgBvAGcAZQBuAEwAbwBzAHQAVABoAHIAbwB1AGcAaABMAGUAYQBjAGgAaQBuAGcAQQBuAGQAUgB1AG4AbwBmAGYAXwBVAG4AaQB0AFwAbgAgACAAPQBMAEEATQBCAEQAQQAoAFwAIgBrAGcAIABOAFwAIgApADsAXABuAFwAbgBWAEUARQBSAEcAXwA2AF8AMwBfADEAXwAxAF8AXwAyAF8AXwBNAGEAcwBzAE8AZgBOAGkAdAByAG8AZwBlAG4ATABvAHMAdABUAGgAcgBvAHUAZwBoAEwAZQBhAGMAaABpAG4AZwBBAG4AZABSAHUAbgBvAGYAZgBfAFMAbwB1AHIAYwBlAFwAbgAgACAAPQBMAEEATQBCAEQAQQAoAFwAIgBWAEUARQBSAEcAIAAyADAAMgA2ADoAIAA2AC4AMwAuADEALgAxACwAIABFAHEAdQBhAHQAaQBvAG4AIAAoADIAKQBcACIAKQA7AFwAbgBcAG4AVgBFAEUAUgBHAF8ANgBfADMAXwAxAF8AMQBfAF8AMgBfAF8ATQBhAHMAcwBPAGYATgBpAHQAcgBvAGcAZQBuAEwAbwBzAHQAVABoAHIAbwB1AGcAaABMAGUAYQBjAGgAaQBuAGcAQQBuAGQAUgB1AG4AbwBmAGYAXwBOAEkAUgBSAGUAZgBlAHIAZQBuAGMAZQBcAG4AIAAgAD0ATABBAE0AQgBEAEEAKABcACIAXAAiACkAOwBcAG4AXABuAFYARQBFAFIARwBfADYAXwAzAF8AMQBfADEAXwBfADIAXwBfAE0AYQBzAHMATwBmAE4AaQB0AHIAbwBnAGUAbgBMAG8AcwB0AFQAaAByAG8AdQBnAGgATABlAGEAYwBoAGkAbgBnAEEAbgBkAFIAdQBuAG8AZgBmAF8ATABhAHQAZQB4AEUAcQB1AGEAdABpAG8AbgBcAG4AIAAgAD0ATABBAE0AQgBEAEEAKABcACIATQBfAHsAbABlAGEAYwBoACwAYwBwAH0APQBNAF8AewBjAHAAfQBcAFwAdABpAG0AZQBzACAARgByAGEAYwBXAEUAVABfAHsAagB9AFwAXAB0AGkAbQBlAHMAIABGAHIAYQBjAEwARQBBAEMASABcACIAKQA7AFwAbgBcAG4AVgBFAEUAUgBHAF8ANgBfADMAXwAxAF8AMQBfAF8AMgBfAF8ATQBhAHMAcwBPAGYATgBpAHQAcgBvAGcAZQBuAEwAbwBzAHQAVABoAHIAbwB1AGcAaABMAGUAYQBjAGgAaQBuAGcAQQBuAGQAUgB1AG4AbwBmAGYAXwBBAHIAZwB1AG0AZQBuAHQAcwBcAG4AIAAgAD0ATABBAE0AQgBEAEEAKABcAG4AIAAgACAAIABNAEEASwBFAEEAUgBSAEEAWQAoADcALAAgADQALAAgAFwAbgAgACAAIAAgACAAIABMAEEATQBCAEQAQQAoAHIALABjACwAIABcAG4AIAAgACAAIAAgACAAIAAgAEkATgBEAEUAWAAoAHsAXABuACAAIAAgACAAIAAgACAAIAAgACAAXAAiAE0AXwBjAHAAXAAiACwAXAAiAG0AYQBzAHMAIABvAGYAIABuAGkAdAByAG8AZwBlAG4AIABpAG4AIABjAHIAbwBwACAAcgBlAHMAaQBkAHUAZQBzACAAYwAgAG8AcgAgAHAAYQBzAHQAdQByAGUAIAByAGUAcwBpAGQAdQBlAHMAIABwACAAYQBwAHAAbABpAGUAZAAgAHQAbwAgAHMAbwBpAGwAcwBcACIALAAgAFwAIgBrAGcAIABOAFwAIgAsACAAXAAiAEMAYQBsAGMAIABmAHIAbwBtACAANgAuADEALgAxAC4AMQAgACgAMgApACAAYQBuAGQAIAA2AC4AMgAuADEALgAxACAAKAAyACkAXAAiADsAXABuACAAIAAgACAAIAAgACAAIAAgACAAXAAiAEYAcgBhAGMAVwBFAFQAXwBqAFwAIgAsAFwAIgBmAHIAYQBjAHQAaQBvAG4AIABvAGYAIABOACAAdABoAGEAdAAgAGkAcwAgAGEAdgBhAGkAbABhAGIAbABlACAAZgBvAHIAIABsAGUAYQBjAGgAaQBuAGcAIABhAG4AZAAgAHIAdQBuAG8AZgBmACAAZgByAG8AbQAgAHQAaABlACAAbABlAGEAYwBoAGkAbgBnACAAegBvAG4AZQAgAHoAIABhAG4AZAAgAGkAcgByAGkAZwBhAHQAaQBvAG4AIAB0AHkAcABlACAAaQByAFwAIgAsACAAXAAiAGYAcgBhAGMAdABpAG8AbgBcACIALAAgAFwAIgBDAG8AbgBzAHQAYQBuAHQAXAAiADsAXABuACAAIAAgACAAIAAgACAAIAAgACAAXAAiAEYAcgBhAGMATABFAEEAQwBIAFwAIgAsAFwAIgBmAHIAYQBjAHQAaQBvAG4AIABvAGYAIABOACAAdABoAGEAdAAgAGkAcwAgAGwAbwBzAHQAIAB0AGgAcgBvAHUAZwBoACAAbABlAGEAYwBoAGkAbgBnACAAYQBuAGQAIAByAHUAbgBvAGYAZgBcACIALAAgAFwAIgBmAHIAYQBjAHQAaQBvAG4AXAAiACwAIABcACIAQwBvAG4AcwB0AGEAbgB0AFwAIgA7AFwAbgAgACAAIAAgACAAIAAgACAAIAAgAFwAIgB6AFwAIgAsACAAXAAiAEwAbwBjAGEAdABpAG8AbgAgAGkAbgAgAGwAZQBhAGMAaABpAG4AZwAgAHoAbwBuAGUAXAAiACwAIABcACIAXAAiACwAIABcACIASQBuAHAAdQB0AFwAIgA7AFwAbgAgACAAIAAgACAAIAAgACAAIAAgAFwAIgBjAFwAIgAsAFwAIgBDAHIAbwBwACAAcgBlAHMAaQBkAHUAZQAgAHQAeQBwAGUAXAAiACwAIABcACIAXAAiACwAIABcACIASQBuAHAAdQB0AFwAIgA7AFwAbgAgACAAIAAgACAAIAAgACAAIAAgAFwAIgBwAFwAIgAsAFwAIgBQAGEAcwB0AHUAcgBlACAAcgBlAHMAaQBkAHUAZQAgAHQAeQBwAGUAXAAiACwAIABcACIAXAAiACwAIABcACIASQBuAHAAdQB0AFwAIgA7AFwAbgAgACAAIAAgACAAIAAgACAAIAAgAFwAIgBpAHIAXAAiACwAIABcACIASQByAHIAaQBnAGEAdABpAG8AbgAgAHQAeQBwAGUAXAAiACwAIABcACIAXAAiACwAIABcACIASQBuAHAAdQB0AFwAIgBcAG4AIAAgACAAIAAgACAAIAAgAH0ALAAgAHIALAAgAGMAKQBcAG4AIAAgACAAIAAgACAAKQBcAG4AIAAgACAAIAApAFwAbgAgACAAKQA7AFwAbgBcAG4AIAAgAFYARQBFAFIARwBfADYAXwAzAF8AMQBfADEAXwBfADIAXwBfAE0AYQBzAHMATwBmAE4AaQB0AHIAbwBnAGUAbgBMAG8AcwB0AFQAaAByAG8AdQBnAGgATABlAGEAYwBoAGkAbgBnAEEAbgBkAFIAdQBuAG8AZgBmAF8AVgBhAHIAaQBhAHQAaQBvAG4AXABuACAAIAA9AEwAQQBNAEIARABBACgAXAAiAFwAIgApADsAXABuAFwAbgBcAG4AXABuACIAfQAsAHsAIgBwAGEAdABoACIAOgAiAC8AcAByAG8AagBlAGMAdABzAC8AQQBnAFIAZQBzAGkAZAB1AGUAXwBFAHEAdQBhAHQAaQBvAG4AcwBfAEYAaQBlAGwAZABCAHUAcgBuAGkAbgBnACIALAAiAHQAZQB4AHQAIgA6ACIALwAqACAAXABuAC0ALQAtAC0ALQAtAC0ALQAtAC0ALQAtAC0ALQAtAC0ALQAtAC0ALQAtAC0ALQAtAC0ALQAtAC0ALQAtAC0ALQAtAC0ALQAtAC0ALQBcAG4AVgBFAEUAUgBHAF8ANgBfADQAXwAxAF8AMQBfAF8AMQBfAF8ATQBlAHQAaABhAG4AZQBFAG0AaQBzAHMAaQBvAG4AcwBGAHIAbwBtAEIAdQByAG4AaQBuAGcATwBmAEMAcgBvAHAAUgBlAHMAaQBkAHUAZQBzAFwAbgBNAGUAdABoAGEAbgBlACAAZQBtAGkAcwBzAGkAbwBuAHMAIABmAHIAbwBtACAAdABoAGUAIABiAHUAcgBuAGkAbgBnACAAbwBmACAAYwByAG8AcAAgAHIAZQBzAGkAZAB1AGUAcwBcAG4ARQBDAEgANABcAG4AdAAgAEMASAA0AFwAbgBFAF8AewBDAEgANAB9AD0AXABuAFwAXABzAHUAbQBfAHsAYwB9ACgATQBfAHsAYgB1AHIAbgAsAGMAfQBcAFwAdABpAG0AZQBzACAAQwBDAF8AewBjAH0AXABcAHQAaQBtAGUAcwAgAEUARgBfAHsAQwBIADQAfQBcAFwAdABpAG0AZQBzACAAQwBfAHsAQwBIADQAfQBcAFwAdABpAG0AZQBzACAAMQAwAF4AewAtADMAfQApAFwAbgBNAF8AYgB1AHIAbgBjACAAPQAgAG0AYQBzAHMAIABvAGYAIAByAGUAcwBpAGQAdQBlACAAYgB1AHIAbgB0ACAAZgBvAHIAIABjAHIAbwBwACAAdAB5AHAAZQAgAGMAIAAoAGsAZwApAFwAbgBDAEMAXwBjACAAPQAgAGMAYQByAGIAbwBuACAAbQBhAHMAcwAgAGYAcgBhAGMAdABpAG8AbgAgAGkAbgAgAHQAaABlACAAcgBlAHMAaQBkAHUAZQBzACAAbwBmACAAYwByAG8AcAAgAHQAeQBwAGUAIABjACAAKABkAGkAbQBlAG4AcwBpAG8AbgBsAGUAcwBzACkAXABuAEUARgBfAEMASAA0ACAAPQAgAGUAbQBpAHMAcwBpAG8AbgAgAGYAYQBjAHQAbwByACAAZgBvAHIAIABtAGUAdABoAGEAbgBlACAAZgByAG8AbQAgAGIAdQByAG4AaQBuAGcAIABvAGYAIABjAHIAbwBwACAAcgBlAHMAaQBkAHUAZQBzACAAKABrAGcAIABDAEgANAAvAGsAZwAgAEMASAA0ACAAYgB1AHIAbgB0ACkAXABuAEMAQwBIADQAIAA9ACAAZgBhAGMAdABvAHIAIAB0AG8AIABjAG8AbgB2AGUAcgB0ACAAZQBsAGUAbQBlAG4AdABhAGwAIABtAGEAcwBzACAAbwBmACAAbQBlAHQAaABhAG4AZQAgAHQAbwAgAG0AbwBsAGUAYwB1AGwAYQByACAAbQBhAHMAcwAgACgAZABpAG0AZQBuAHMAaQBvAG4AbABlAHMAcwApAFwAbgBjACAAPQAgAEMAcgBvAHAAIAB0AHkAcABlAFwAbgAtAC0ALQAtAC0ALQAtAC0ALQAtAC0ALQAtAC0ALQAtAC0ALQAtAC0ALQAtAC0ALQAtAC0ALQAtAC0ALQAtAC0ALQAtAC0ALQAtAC0AXABuACoALwBcAG4AXABuAFYARQBFAFIARwBfADYAXwA0AF8AMQBfADEAXwBfADEAXwBfAE0AZQB0AGgAYQBuAGUARQBtAGkAcwBzAGkAbwBuAHMARgByAG8AbQBCAHUAcgBuAGkAbgBnAE8AZgBDAHIAbwBwAFIAZQBzAGkAZAB1AGUAcwBcAG4AIAAgAD0ATABBAE0AQgBEAEEAKABcAG4AIAAgACAAIABNAF8AYgB1AHIAbgBjACwAIABDAEMAXwBjACwAIABFAEYAXwBDAEgANAAsACAAQwBfAEMASAA0ACwAXABuACAAIAAgACAAKABNAF8AYgB1AHIAbgBjACAAKgAgAEMAQwBfAGMAKQAgACoAIABFAEYAXwBDAEgANAAgACoAIABDAF8AQwBIADQAIAAqACAAMQAwAF4AKAAtADMAKQBcAG4AIAAgACkAOwBcAG4AXABuAFYARQBFAFIARwBfADYAXwA0AF8AMQBfADEAXwBfADEAXwBfAE0AZQB0AGgAYQBuAGUARQBtAGkAcwBzAGkAbwBuAHMARgByAG8AbQBCAHUAcgBuAGkAbgBnAE8AZgBDAHIAbwBwAFIAZQBzAGkAZAB1AGUAcwBfAEYAdQBuAGMAdABpAG8AbgBOAGEAbQBlAFwAbgAgACAAPQBMAEEATQBCAEQAQQAoAFwAIgBWAEUARQBSAEcAXwA2AF8ANABfADEAXwAxAF8AXwAxAF8AXwBNAGUAdABoAGEAbgBlAEUAbQBpAHMAcwBpAG8AbgBzAEYAcgBvAG0AQgB1AHIAbgBpAG4AZwBPAGYAQwByAG8AcABSAGUAcwBpAGQAdQBlAHMAXAAiACkAOwBcAG4AXABuAFYARQBFAFIARwBfADYAXwA0AF8AMQBfADEAXwBfADEAXwBfAE0AZQB0AGgAYQBuAGUARQBtAGkAcwBzAGkAbwBuAHMARgByAG8AbQBCAHUAcgBuAGkAbgBnAE8AZgBDAHIAbwBwAFIAZQBzAGkAZAB1AGUAcwBfAFQAaQB0AGwAZQBcAG4AIAAgAD0ATABBAE0AQgBEAEEAKABcACIATQBlAHQAaABhAG4AZQAgAGUAbQBpAHMAcwBpAG8AbgBzACAAZgByAG8AbQAgAHQAaABlACAAYgB1AHIAbgBpAG4AZwAgAG8AZgAgAGMAcgBvAHAAIAByAGUAcwBpAGQAdQBlAHMAXAAiACkAOwBcAG4AXABuAFYARQBFAFIARwBfADYAXwA0AF8AMQBfADEAXwBfADEAXwBfAE0AZQB0AGgAYQBuAGUARQBtAGkAcwBzAGkAbwBuAHMARgByAG8AbQBCAHUAcgBuAGkAbgBnAE8AZgBDAHIAbwBwAFIAZQBzAGkAZAB1AGUAcwBfAFYAYQByAGkAYQBiAGwAZQBcAG4AIAAgAD0ATABBAE0AQgBEAEEAKABcACIARQBDAEgANABcACIAKQA7AFwAbgBcAG4AVgBFAEUAUgBHAF8ANgBfADQAXwAxAF8AMQBfAF8AMQBfAF8ATQBlAHQAaABhAG4AZQBFAG0AaQBzAHMAaQBvAG4AcwBGAHIAbwBtAEIAdQByAG4AaQBuAGcATwBmAEMAcgBvAHAAUgBlAHMAaQBkAHUAZQBzAF8AVQBuAGkAdABcAG4AIAAgAD0ATABBAE0AQgBEAEEAKABcACIAdAAgAEMASAA0AFwAIgApADsAXABuAFwAbgBWAEUARQBSAEcAXwA2AF8ANABfADEAXwAxAF8AXwAxAF8AXwBNAGUAdABoAGEAbgBlAEUAbQBpAHMAcwBpAG8AbgBzAEYAcgBvAG0AQgB1AHIAbgBpAG4AZwBPAGYAQwByAG8AcABSAGUAcwBpAGQAdQBlAHMAXwBTAG8AdQByAGMAZQBcAG4AIAAgAD0ATABBAE0AQgBEAEEAKABcACIAVgBFAEUAUgBHACAAMgAwADIANgA6ACAANgAuADQALgAxAC4AMQAsACAARQBxAHUAYQB0AGkAbwBuACAAKAAxACkAXAAiACkAOwBcAG4AXABuAFYARQBFAFIARwBfADYAXwA0AF8AMQBfADEAXwBfADEAXwBfAE0AZQB0AGgAYQBuAGUARQBtAGkAcwBzAGkAbwBuAHMARgByAG8AbQBCAHUAcgBuAGkAbgBnAE8AZgBDAHIAbwBwAFIAZQBzAGkAZAB1AGUAcwBfAE4ASQBSAFIAZQBmAGUAcgBlAG4AYwBlAFwAbgAgACAAPQBMAEEATQBCAEQAQQAoAFwAIgBcACIAKQA7AFwAbgBcAG4AVgBFAEUAUgBHAF8ANgBfADQAXwAxAF8AMQBfAF8AMQBfAF8ATQBlAHQAaABhAG4AZQBFAG0AaQBzAHMAaQBvAG4AcwBGAHIAbwBtAEIAdQByAG4AaQBuAGcATwBmAEMAcgBvAHAAUgBlAHMAaQBkAHUAZQBzAF8ATABhAHQAZQB4AEUAcQB1AGEAdABpAG8AbgBcAG4AIAAgAD0ATABBAE0AQgBEAEEAKABcACIARQBfAHsAQwBIADQAfQA9AFwAXABzAHUAbQBcAFwAbgBvAGwAaQBtAGkAdABzAF8AYwAoAE0AXwB7AGIAdQByAG4ALABjAH0AXABcAHQAaQBtAGUAcwAgAEMAQwBfAHsAYwB9ACkAXABcAHQAaQBtAGUAcwAgAEUARgBfAHsAQwBIADQAfQBcAFwAdABpAG0AZQBzACAAQwBfAHsAQwBIADQAfQBcAFwAdABpAG0AZQBzACAAMQAwAF4AewAtADMAfQBcACIAKQA7AFwAbgBcAG4AVgBFAEUAUgBHAF8ANgBfADQAXwAxAF8AMQBfAF8AMQBfAF8ATQBlAHQAaABhAG4AZQBFAG0AaQBzAHMAaQBvAG4AcwBGAHIAbwBtAEIAdQByAG4AaQBuAGcATwBmAEMAcgBvAHAAUgBlAHMAaQBkAHUAZQBzAF8AQQByAGcAdQBtAGUAbgB0AHMAXABuACAAIAA9AEwAQQBNAEIARABBACgAXABuACAAIAAgACAATQBBAEsARQBBAFIAUgBBAFkAKAA1ACwAIAA0ACwAXABuACAAIAAgACAAIAAgAEwAQQBNAEIARABBACgAcgAsAGMALABcAG4AIAAgACAAIAAgACAAIAAgAEkATgBEAEUAWAAoAHsAXABuACAAIAAgACAAIAAgACAAIAAgACAAXAAiAE0AXwBiAHUAcgBuAGMAXAAiACwAXAAiAG0AYQBzAHMAIABvAGYAIAByAGUAcwBpAGQAdQBlACAAYgB1AHIAbgB0ACAAZgBvAHIAIABjAHIAbwBwACAAdAB5AHAAZQAgAGMAXAAiACwAIABcACIAawBnAFwAIgAsACAAXAAiAEMAYQBsAGMAdQBsAGEAdABlAGQAIABmAHIAbwBtACAANgAuADQALgAxAC4AMQAgACgAMwApAFwAIgA7AFwAbgAgACAAIAAgACAAIAAgACAAIAAgAFwAIgBDAEMAXwBjAFwAIgAsAFwAIgBjAGEAcgBiAG8AbgAgAG0AYQBzAHMAIABmAHIAYQBjAHQAaQBvAG4AIABpAG4AIAB0AGgAZQAgAHIAZQBzAGkAZAB1AGUAcwAgAG8AZgAgAGMAcgBvAHAAIAB0AHkAcABlACAAYwBcACIALAAgAFwAIgBmAHIAYQBjAHQAaQBvAG4AXAAiACwAIABcACIAQwBvAG4AcwB0AGEAbgB0AFwAIgA7AFwAbgAgACAAIAAgACAAIAAgACAAIAAgAFwAIgBFAEYAXwBDAEgANABcACIALABcACIAZQBtAGkAcwBzAGkAbwBuACAAZgBhAGMAdABvAHIAIABmAG8AcgAgAG0AZQB0AGgAYQBuAGUAIABmAHIAbwBtACAAYgB1AHIAbgBpAG4AZwAgAG8AZgAgAGMAcgBvAHAAIAByAGUAcwBpAGQAdQBlAHMAXAAiACwAIABcACIAawBnACAAQwBIADQAIAAvACAAawBnACAAQwBIADQAIABiAHUAcgBuAHQAXAAiACwAIABcACIAQwBvAG4AcwB0AGEAbgB0AFwAIgA7AFwAbgAgACAAIAAgACAAIAAgACAAIAAgAFwAIgBDAF8AQwBIADQAXAAiACwAXAAiAGYAYQBjAHQAbwByACAAdABvACAAYwBvAG4AdgBlAHIAdAAgAGUAbABlAG0AZQBuAHQAYQBsACAAbQBhAHMAcwAgAG8AZgAgAG0AZQB0AGgAYQBuAGUAIAB0AG8AIABtAG8AbABlAGMAdQBsAGEAcgAgAG0AYQBzAHMAXAAiACwAIABcACIAZABpAG0AZQBuAHMAaQBvAG4AbABlAHMAcwBcACIALAAgAFwAIgBDAG8AbgBzAHQAYQBuAHQAXAAiADsAXABuACAAIAAgACAAIAAgACAAIAAgACAAXAAiAGMAXAAiACwAXAAiAEMAcgBvAHAAIAB0AHkAcABlAFwAIgAsACAAXAAiAFwAIgAsACAAXAAiAEkAbgBwAHUAdABcACIAXABuACAAIAAgACAAIAAgACAAIAB9ACwAIAByACwAIABjACkAXABuACAAIAAgACAAIAAgACkAXABuACAAIAAgACAAKQBcAG4AIAAgACkAOwBcAG4AXABuAC8AKgAgAFwAbgAtAC0ALQAtAC0ALQAtAC0ALQAtAC0ALQAtAC0ALQAtAC0ALQAtAC0ALQAtAC0ALQAtAC0ALQAtAC0ALQAtAC0ALQAtAC0ALQAtAC0AXABuAFYARQBFAFIARwBfADYAXwA0AF8AMQBfADEAXwBfADIAXwBfAE4AaQB0AHIAbwB1AHMATwB4AGkAZABlAEUAbQBpAHMAcwBpAG8AbgBzAEYAcgBvAG0AQgB1AHIAbgBpAG4AZwBPAGYAQwByAG8AcABSAGUAcwBpAGQAdQBlAHMAXABuAE4AaQB0AHIAbwB1AHMAIABvAHgAaQBkAGUAIABlAG0AaQBzAHMAaQBvAG4AcwAgAGYAcgBvAG0AIAB0AGgAZQAgAGIAdQByAG4AaQBuAGcAIABvAGYAIABjAHIAbwBwACAAcgBlAHMAaQBkAHUAZQBzAFwAbgBFAE4AMgBPAFwAbgB0ACAATgAyAE8AXABuAEUAXwB7AE4AMgBPAH0APQBcAFwAcwB1AG0AXwB7AGMAfQAoAE0AXwB7AGIAdQByAG4ALABjAH0AXABcAHQAaQBtAGUAcwAgAE4AQwBfAHsAQQBHAGMAfQBcAFwAdABpAG0AZQBzACAARQBGAF8AewBOADIATwB9AFwAXAB0AGkAbQBlAHMAIABDAF8AewBOADIATwB9AFwAXAB0AGkAbQBlAHMAIAAxADAAXgB7AC0AMwB9ACkAXABuAE0AXwBiAHUAcgBuAGMAIAA9ACAAbQBhAHMAcwAgAG8AZgAgAHIAZQBzAGkAZAB1AGUAIABiAHUAcgBuAHQAIABmAG8AcgAgAGMAcgBvAHAAIAB0AHkAcABlACAAYwAgACgAawBnACkAXABuAE4AQwBfAEEARwBjACAAPQAgAG4AaQB0AHIAbwBnAGUAbgAgAGMAbwBuAHQAZQBuAHQAIABpAG4AIAB0AGgAZQAgAGEAYgBvAHYAZQAtAGcAcgBvAHUAbgBkACAAcgBlAHMAaQBkAHUAZQAgAG8AZgAgAGMAcgBvAHAAIAB0AHkAcABlACAAYwAgACgAawBnACAATgAvAGsAZwAgAEQATQApAFwAbgBFAEYAXwBOADIATwAgAD0AIABlAG0AaQBzAHMAaQBvAG4AIABmAGEAYwB0AG8AcgAgAGYAbwByACAAbgBpAHQAcgBvAHUAcwAgAG8AeABpAGQAZQAgAGYAcgBvAG0AIABiAHUAcgBuAGkAbgBnACAAbwBmACAAYwByAG8AcAAgAHIAZQBzAGkAZAB1AGUAcwAgACgAawBnACAATgAyAE8ALwBrAGcAIABOADIATwAgAGIAdQByAG4AdAApAFwAbgBDAF8ATgAyAE8AIAA9ACAAZgBhAGMAdABvAHIAIAB0AG8AIABjAG8AbgB2AGUAcgB0ACAAZQBsAGUAbQBlAG4AdABhAGwAIABtAGEAcwBzACAAbwBmACAAbgBpAHQAcgBvAHUAcwAgAG8AeABpAGQAZQAgAHQAbwAgAG0AbwBsAGUAYwB1AGwAYQByACAAbQBhAHMAcwAgACgAZABpAG0AZQBuAHMAaQBvAG4AbABlAHMAcwApAFwAbgBjACAAPQAgAEMAcgBvAHAAIAB0AHkAcABlAFwAbgAtAC0ALQAtAC0ALQAtAC0ALQAtAC0ALQAtAC0ALQAtAC0ALQAtAC0ALQAtAC0ALQAtAC0ALQAtAC0ALQAtAC0ALQAtAC0ALQAtAC0AXABuACoALwBcAG4AXABuAFYARQBFAFIARwBfADYAXwA0AF8AMQBfADEAXwBfADIAXwBfAE4AaQB0AHIAbwB1AHMATwB4AGkAZABlAEUAbQBpAHMAcwBpAG8AbgBzAEYAcgBvAG0AQgB1AHIAbgBpAG4AZwBPAGYAQwByAG8AcABSAGUAcwBpAGQAdQBlAHMAXABuACAAIAA9AEwAQQBNAEIARABBACgAXABuACAAIAAgACAATQBfAGIAdQByAG4AYwAsACAATgBDAF8AQQBHAGMALAAgAEUARgBfAE4AMgBPACwAIABDAF8ATgAyAE8ALABcAG4AIAAgACAAIAAoAE0AXwBiAHUAcgBuAGMAIAAqACAATgBDAF8AQQBHAGMAKQAgACoAIABFAEYAXwBOADIATwAgACoAIABDAF8ATgAyAE8AIAAqACAAMQAwAF4AKAAtADMAKQBcAG4AIAAgACkAOwBcAG4AXABuAFYARQBFAFIARwBfADYAXwA0AF8AMQBfADEAXwBfADIAXwBfAE4AaQB0AHIAbwB1AHMATwB4AGkAZABlAEUAbQBpAHMAcwBpAG8AbgBzAEYAcgBvAG0AQgB1AHIAbgBpAG4AZwBPAGYAQwByAG8AcABSAGUAcwBpAGQAdQBlAHMAXwBGAHUAbgBjAHQAaQBvAG4ATgBhAG0AZQBcAG4AIAAgAD0ATABBAE0AQgBEAEEAKABcACIAVgBFAEUAUgBHAF8ANgBfADQAXwAxAF8AMQBfAF8AMgBfAF8ATgBpAHQAcgBvAHUAcwBPAHgAaQBkAGUARQBtAGkAcwBzAGkAbwBuAHMARgByAG8AbQBCAHUAcgBuAGkAbgBnAE8AZgBDAHIAbwBwAFIAZQBzAGkAZAB1AGUAcwBcACIAKQA7AFwAbgBcAG4AVgBFAEUAUgBHAF8ANgBfADQAXwAxAF8AMQBfAF8AMgBfAF8ATgBpAHQAcgBvAHUAcwBPAHgAaQBkAGUARQBtAGkAcwBzAGkAbwBuAHMARgByAG8AbQBCAHUAcgBuAGkAbgBnAE8AZgBDAHIAbwBwAFIAZQBzAGkAZAB1AGUAcwBfAFQAaQB0AGwAZQBcAG4AIAAgAD0ATABBAE0AQgBEAEEAKABcACIATgBpAHQAcgBvAHUAcwAgAG8AeABpAGQAZQAgAGUAbQBpAHMAcwBpAG8AbgBzACAAZgByAG8AbQAgAHQAaABlACAAYgB1AHIAbgBpAG4AZwAgAG8AZgAgAGMAcgBvAHAAIAByAGUAcwBpAGQAdQBlAHMAXAAiACkAOwBcAG4AXABuAFYARQBFAFIARwBfADYAXwA0AF8AMQBfADEAXwBfADIAXwBfAE4AaQB0AHIAbwB1AHMATwB4AGkAZABlAEUAbQBpAHMAcwBpAG8AbgBzAEYAcgBvAG0AQgB1AHIAbgBpAG4AZwBPAGYAQwByAG8AcABSAGUAcwBpAGQAdQBlAHMAXwBWAGEAcgBpAGEAYgBsAGUAXABuACAAIAA9AEwAQQBNAEIARABBACgAXAAiAEUATgAyAE8AXAAiACkAOwBcAG4AXABuAFYARQBFAFIARwBfADYAXwA0AF8AMQBfADEAXwBfADIAXwBfAE4AaQB0AHIAbwB1AHMATwB4AGkAZABlAEUAbQBpAHMAcwBpAG8AbgBzAEYAcgBvAG0AQgB1AHIAbgBpAG4AZwBPAGYAQwByAG8AcABSAGUAcwBpAGQAdQBlAHMAXwBVAG4AaQB0AFwAbgAgACAAPQBMAEEATQBCAEQAQQAoAFwAIgB0ACAATgAyAE8AXAAiACkAOwBcAG4AXABuAFYARQBFAFIARwBfADYAXwA0AF8AMQBfADEAXwBfADIAXwBfAE4AaQB0AHIAbwB1AHMATwB4AGkAZABlAEUAbQBpAHMAcwBpAG8AbgBzAEYAcgBvAG0AQgB1AHIAbgBpAG4AZwBPAGYAQwByAG8AcABSAGUAcwBpAGQAdQBlAHMAXwBTAG8AdQByAGMAZQBcAG4AIAAgAD0ATABBAE0AQgBEAEEAKABcACIAVgBFAEUAUgBHACAAMgAwADIANgA6ACAANgAuADQALgAxAC4AMQAsACAARQBxAHUAYQB0AGkAbwBuACAAKAAyACkAXAAiACkAOwBcAG4AXABuAFYARQBFAFIARwBfADYAXwA0AF8AMQBfADEAXwBfADIAXwBfAE4AaQB0AHIAbwB1AHMATwB4AGkAZABlAEUAbQBpAHMAcwBpAG8AbgBzAEYAcgBvAG0AQgB1AHIAbgBpAG4AZwBPAGYAQwByAG8AcABSAGUAcwBpAGQAdQBlAHMAXwBOAEkAUgBSAGUAZgBlAHIAZQBuAGMAZQBcAG4AIAAgAD0ATABBAE0AQgBEAEEAKABcACIAXAAiACkAOwBcAG4AXABuAFYARQBFAFIARwBfADYAXwA0AF8AMQBfADEAXwBfADIAXwBfAE4AaQB0AHIAbwB1AHMATwB4AGkAZABlAEUAbQBpAHMAcwBpAG8AbgBzAEYAcgBvAG0AQgB1AHIAbgBpAG4AZwBPAGYAQwByAG8AcABSAGUAcwBpAGQAdQBlAHMAXwBMAGEAdABlAHgARQBxAHUAYQB0AGkAbwBuAFwAbgAgACAAPQBMAEEATQBCAEQAQQAoAFwAIgBFAF8AewBOADIATwB9AD0AXABcAHMAdQBtAFwAXABuAG8AbABpAG0AaQB0AHMAXwBjACgATQBfAHsAYgB1AHIAbgAsAGMAfQBcAFwAdABpAG0AZQBzACAATgBDAF8AewBBAEcAYwB9ACkAXABcAHQAaQBtAGUAcwAgAEUARgBfAHsATgAyAE8AfQBcAFwAdABpAG0AZQBzACAAQwBfAHsATgAyAE8AfQBcAFwAdABpAG0AZQBzACAAMQAwAF4AewAtADMAfQBcACIAKQA7AFwAbgBcAG4AVgBFAEUAUgBHAF8ANgBfADQAXwAxAF8AMQBfAF8AMgBfAF8ATgBpAHQAcgBvAHUAcwBPAHgAaQBkAGUARQBtAGkAcwBzAGkAbwBuAHMARgByAG8AbQBCAHUAcgBuAGkAbgBnAE8AZgBDAHIAbwBwAFIAZQBzAGkAZAB1AGUAcwBfAEEAcgBnAHUAbQBlAG4AdABzAFwAbgAgACAAPQBMAEEATQBCAEQAQQAoAFwAbgAgACAAIAAgAE0AQQBLAEUAQQBSAFIAQQBZACgANQAsACAANAAsAFwAbgAgACAAIAAgACAAIABMAEEATQBCAEQAQQAoAHIALABjACwAXABuACAAIAAgACAAIAAgACAAIABJAE4ARABFAFgAKAB7AFwAbgAgACAAIAAgACAAIAAgACAAIAAgAFwAIgBNAF8AYgB1AHIAbgBjAFwAIgAsAFwAIgBtAGEAcwBzACAAbwBmACAAcgBlAHMAaQBkAHUAZQAgAGIAdQByAG4AdAAgAGYAbwByACAAYwByAG8AcAAgAHQAeQBwAGUAIABjAFwAIgAsACAAXAAiAGsAZwBcACIALAAgAFwAIgBDAGEAbABjAHUAbABhAHQAZQBkACAAZgByAG8AbQAgADYALgA0AC4AMQAuADEAIAAoADMAKQBcACIAOwBcAG4AIAAgACAAIAAgACAAIAAgACAAIABcACIATgBDAF8AQQBHAGMAXAAiACwAXAAiAG4AaQB0AHIAbwBnAGUAbgAgAGMAbwBuAHQAZQBuAHQAIABpAG4AIAB0AGgAZQAgAGEAYgBvAHYAZQAtAGcAcgBvAHUAbgBkACAAcgBlAHMAaQBkAHUAZQAgAG8AZgAgAGMAcgBvAHAAIAB0AHkAcABlACAAYwBcACIALAAgAFwAIgBrAGcAIABOAC8AawBnACAARABNAFwAIgAsACAAXAAiAEMAbwBuAHMAdABhAG4AdABcACIAOwBcAG4AIAAgACAAIAAgACAAIAAgACAAIABcACIARQBGAF8ATgAyAE8AXAAiACwAXAAiAGUAbQBpAHMAcwBpAG8AbgAgAGYAYQBjAHQAbwByACAAZgBvAHIAIABuAGkAdAByAG8AdQBzACAAbwB4AGkAZABlACAAZgByAG8AbQAgAGIAdQByAG4AaQBuAGcAIABvAGYAIABjAHIAbwBwACAAcgBlAHMAaQBkAHUAZQBzAFwAIgAsACAAXAAiAGsAZwAgAE4AMgBPAC8AawBnACAATgAyAE8AIABiAHUAcgBuAHQAXAAiACwAIABcACIAQwBvAG4AcwB0AGEAbgB0AFwAIgA7AFwAbgAgACAAIAAgACAAIAAgACAAIAAgAFwAIgBDAF8ATgAyAE8AXAAiACwAXAAiAGYAYQBjAHQAbwByACAAdABvACAAYwBvAG4AdgBlAHIAdAAgAGUAbABlAG0AZQBuAHQAYQBsACAAbQBhAHMAcwAgAG8AZgAgAG4AaQB0AHIAbwB1AHMAIABvAHgAaQBkAGUAIAB0AG8AIABtAG8AbABlAGMAdQBsAGEAcgAgAG0AYQBzAHMAXAAiACwAIABcACIAZABpAG0AZQBuAHMAaQBvAG4AbABlAHMAcwBcACIALAAgAFwAIgBDAG8AbgBzAHQAYQBuAHQAXAAiADsAXABuACAAIAAgACAAIAAgACAAIAAgACAAXAAiAGMAXAAiACwAXAAiAEMAcgBvAHAAIAB0AHkAcABlAFwAIgAsACAAXAAiAFwAIgAsACAAXAAiAEkAbgBwAHUAdABcACIAXABuACAAIAAgACAAIAAgACAAIAB9ACwAIAByACwAIABjACkAXABuACAAIAAgACAAIAAgACkAXABuACAAIAAgACAAKQBcAG4AIAAgACkAOwBcAG4AXABuAC8AKgAgAFwAbgAtAC0ALQAtAC0ALQAtAC0ALQAtAC0ALQAtAC0ALQAtAC0ALQAtAC0ALQAtAC0ALQAtAC0ALQAtAC0ALQAtAC0ALQAtAC0ALQAtAC0AXABuAFYARQBFAFIARwBfADYAXwA0AF8AMQBfADEAXwBfADMAXwBfAE0AYQBzAHMATwBmAEMAcgBvAHAAUgBlAHMAaQBkAHUAZQBCAHUAcgBuAHQAXABuAE0AYQBzAHMAIABvAGYAIAByAGUAcwBpAGQAdQBlACAAbwBmACAAYwByAG8AcAAgAGMAIABiAHUAcgBuAHQAXABuAE0AXwBiAHUAcgBuAGMAXABuAGsAZwBcAG4ATQBfAHsAYgB1AHIAbgAsAGMAfQA9AFAAXwB7AGMAfQBcAFwAdABpAG0AZQBzACAAUgBfAHsAQQBHAGMAfQBcAFwAdABpAG0AZQBzACAAUwBfAHsAYwB9AFwAXAB0AGkAbQBlAHMAIABEAE0AXwB7AGMAfQBcAFwAdABpAG0AZQBzACAAWgBfAHsAYwB9AFwAXAB0AGkAbQBlAHMAIABGAF8AewBjAH0AXABuAFAAXwBjACAAPQAgAGEAbgBuAHUAYQBsACAAcAByAG8AZAB1AGMAdABpAG8AbgAgAG8AZgAgAGMAcgBvAHAAIAB0AHkAcABlACAAYwAgACgAawBnACkAXABuAFIAXwBBAEcAYwAgAD0AIAByAGUAcwBpAGQAdQBlACAAdABvACAAYwByAG8AcAAgAHIAYQB0AGkAbwAgAG8AZgAgAGMAcgBvAHAAIAB0AHkAcABlACAAYwAgACgAawBnACAAYwByAG8AcAAgAHIAZQBzAGkAZAB1AGUALwBrAGcAIABjAHIAbwBwACkAXABuAFMAXwBjACAAPQAgAGYAcgBhAGMAdABpAG8AbgAgAG8AZgAgAHIAZQBzAGkAZAB1AGUAcwAgAG8AZgAgAGMAcgBvAHAAIAB0AHkAcABlACAAYwAgAHIAZQBtAGEAaQBuAGkAbgBnACAAYQB0ACAAYgB1AHIAbgBpAG4AZwAgACgAZABpAG0AZQBuAHMAaQBvAG4AbABlAHMAcwApAFwAbgBEAE0AXwBjACAAPQAgAGQAcgB5ACAAbQBhAHQAdABlAHIAIABjAG8AbgB0AGUAbgB0ACAAbwBmACAAYwByAG8AcAAgAHQAeQBwAGUAIABjACAAKABrAGcAIABkAHIAeQAgAHcAZQBpAGcAaAB0AC8AawBnACAAYwByAG8AcAAgAHIAZQBzAGkAZAB1AGUAKQBcAG4AWgBfAGMAIAA9ACAAYgB1AHIAbgBpAG4AZwAgAGUAZgBmAGkAYwBpAGUAbgBjAHkAIAAoAHIAYQB0AGkAbwAgAG8AZgAgAGYAdQBlAGwAIABiAHUAcgBuAHQAIAB0AG8AIABmAHUAZQBsACAAbABvAGEAZAApACAAbwBmACAAYwByAG8AcAAgAHQAeQBwAGUAIABjACAAKABkAGkAbQBlAG4AcwBpAG8AbgBsAGUAcwBzACkAXABuAEYAXwBjACAAPQAgAGYAcgBhAGMAdABpAG8AbgAgAG8AZgAgAHQAaABlACAAYQBuAG4AdQBhAGwAIABwAHIAbwBkAHUAYwB0AGkAbwBuACAAbwBmACAAYwByAG8AcAAgAHQAeQBwAGUAIABjACAAdABoAGEAdAAgAGkAcwAgAGIAdQByAG4AdAAgACgAZABpAG0AZQBuAHMAaQBvAG4AbABlAHMAcwApAFwAbgBjACAAPQAgAEMAcgBvAHAAIAB0AHkAcABlAFwAbgAtAC0ALQAtAC0ALQAtAC0ALQAtAC0ALQAtAC0ALQAtAC0ALQAtAC0ALQAtAC0ALQAtAC0ALQAtAC0ALQAtAC0ALQAtAC0ALQAtAC0AXABuACoALwBcAG4AXABuAFYARQBFAFIARwBfADYAXwA0AF8AMQBfADEAXwBfADMAXwBfAE0AYQBzAHMATwBmAEMAcgBvAHAAUgBlAHMAaQBkAHUAZQBCAHUAcgBuAHQAXABuACAAIAA9AEwAQQBNAEIARABBACgAXABuACAAIAAgACAAUABfAGMALAAgAFIAXwBBAEcAYwAsACAAUwBfAGMALAAgAEQATQBfAGMALAAgAFoAXwBjACwAIABGAF8AYwAsAFwAbgAgACAAIAAgAFAAXwBjACAAKgAgAFIAXwBBAEcAYwAgACoAIABTAF8AYwAgACoAIABEAE0AXwBjACAAKgAgAFoAXwBjACAAKgAgAEYAXwBjAFwAbgAgACAAKQA7AFwAbgBcAG4AVgBFAEUAUgBHAF8ANgBfADQAXwAxAF8AMQBfAF8AMwBfAF8ATQBhAHMAcwBPAGYAQwByAG8AcABSAGUAcwBpAGQAdQBlAEIAdQByAG4AdABfAEYAdQBuAGMAdABpAG8AbgBOAGEAbQBlAFwAbgAgACAAPQBMAEEATQBCAEQAQQAoAFwAIgBWAEUARQBSAEcAXwA2AF8ANABfADEAXwAxAF8AXwAzAF8AXwBNAGEAcwBzAE8AZgBDAHIAbwBwAFIAZQBzAGkAZAB1AGUAQgB1AHIAbgB0AFwAIgApADsAXABuAFwAbgBWAEUARQBSAEcAXwA2AF8ANABfADEAXwAxAF8AXwAzAF8AXwBNAGEAcwBzAE8AZgBDAHIAbwBwAFIAZQBzAGkAZAB1AGUAQgB1AHIAbgB0AF8AVABpAHQAbABlAFwAbgAgACAAPQBMAEEATQBCAEQAQQAoAFwAIgBNAGEAcwBzACAAbwBmACAAcgBlAHMAaQBkAHUAZQAgAG8AZgAgAGMAcgBvAHAAIABjACAAYgB1AHIAbgB0AFwAIgApADsAXABuAFwAbgBWAEUARQBSAEcAXwA2AF8ANABfADEAXwAxAF8AXwAzAF8AXwBNAGEAcwBzAE8AZgBDAHIAbwBwAFIAZQBzAGkAZAB1AGUAQgB1AHIAbgB0AF8AVgBhAHIAaQBhAGIAbABlAFwAbgAgACAAPQBMAEEATQBCAEQAQQAoAFwAIgBNAF8AYgB1AHIAbgBjAFwAIgApADsAXABuAFwAbgBWAEUARQBSAEcAXwA2AF8ANABfADEAXwAxAF8AXwAzAF8AXwBNAGEAcwBzAE8AZgBDAHIAbwBwAFIAZQBzAGkAZAB1AGUAQgB1AHIAbgB0AF8AVQBuAGkAdABcAG4AIAAgAD0ATABBAE0AQgBEAEEAKABcACIAawBnAFwAIgApADsAXABuAFwAbgBWAEUARQBSAEcAXwA2AF8ANABfADEAXwAxAF8AXwAzAF8AXwBNAGEAcwBzAE8AZgBDAHIAbwBwAFIAZQBzAGkAZAB1AGUAQgB1AHIAbgB0AF8AUwBvAHUAcgBjAGUAXABuACAAIAA9AEwAQQBNAEIARABBACgAXAAiAFYARQBFAFIARwAgADIAMAAyADYAOgAgADYALgA0AC4AMQAuADEALAAgAEUAcQB1AGEAdABpAG8AbgAgACgAMwApAFwAIgApADsAXABuAFwAbgBWAEUARQBSAEcAXwA2AF8ANABfADEAXwAxAF8AXwAzAF8AXwBNAGEAcwBzAE8AZgBDAHIAbwBwAFIAZQBzAGkAZAB1AGUAQgB1AHIAbgB0AF8ATgBJAFIAUgBlAGYAZQByAGUAbgBjAGUAXABuACAAIAA9AEwAQQBNAEIARABBACgAXAAiAFwAIgApADsAXABuAFwAbgBWAEUARQBSAEcAXwA2AF8ANABfADEAXwAxAF8AXwAzAF8AXwBNAGEAcwBzAE8AZgBDAHIAbwBwAFIAZQBzAGkAZAB1AGUAQgB1AHIAbgB0AF8ATABhAHQAZQB4AEUAcQB1AGEAdABpAG8AbgBcAG4AIAAgAD0ATABBAE0AQgBEAEEAKABcACIATQBfAHsAYgB1AHIAbgAsAGMAfQA9AFAAXwB7AGMAfQBcAFwAdABpAG0AZQBzACAAUgBfAHsAQQBHAGMAfQBcAFwAdABpAG0AZQBzACAAUwBfAHsAYwB9AFwAXAB0AGkAbQBlAHMAIABEAE0AXwB7AGMAfQBcAFwAdABpAG0AZQBzACAAWgBfAHsAYwB9AFwAXAB0AGkAbQBlAHMAIABGAF8AewBjAH0AXAAiACkAOwBcAG4AXABuAFYARQBFAFIARwBfADYAXwA0AF8AMQBfADEAXwBfADMAXwBfAE0AYQBzAHMATwBmAEMAcgBvAHAAUgBlAHMAaQBkAHUAZQBCAHUAcgBuAHQAXwBBAHIAZwB1AG0AZQBuAHQAcwBcAG4AIAAgAD0ATABBAE0AQgBEAEEAKABcAG4AIAAgACAAIABNAEEASwBFAEEAUgBSAEEAWQAoADcALAAgADQALABcAG4AIAAgACAAIAAgACAATABBAE0AQgBEAEEAKAByACwAYwAsAFwAbgAgACAAIAAgACAAIAAgACAASQBOAEQARQBYACgAewBcAG4AIAAgACAAIAAgACAAIAAgACAAIABcACIAUABfAGMAXAAiACwAXAAiAGEAbgBuAHUAYQBsACAAcAByAG8AZAB1AGMAdABpAG8AbgAgAG8AZgAgAGMAcgBvAHAAIAB0AHkAcABlACAAYwBcACIALAAgAFwAIgBrAGcAXAAiACwAIABcACIASQBuAHAAdQB0AFwAIgA7AFwAbgAgACAAIAAgACAAIAAgACAAIAAgAFwAIgBSAF8AQQBHAGMAXAAiACwAXAAiAHIAZQBzAGkAZAB1AGUAIAB0AG8AIABjAHIAbwBwACAAcgBhAHQAaQBvACAAbwBmACAAYwByAG8AcAAgAHQAeQBwAGUAIABjAFwAIgAsACAAXAAiAGsAZwAgAGMAcgBvAHAAIAByAGUAcwBpAGQAdQBlAC8AawBnACAAYwByAG8AcABcACIALAAgAFwAIgBDAG8AbgBzAHQAYQBuAHQAXAAiADsAXABuACAAIAAgACAAIAAgACAAIAAgACAAXAAiAFMAXwBjAFwAIgAsAFwAIgBmAHIAYQBjAHQAaQBvAG4AIABvAGYAIAByAGUAcwBpAGQAdQBlAHMAIABvAGYAIABjAHIAbwBwACAAdAB5AHAAZQAgAGMAIAByAGUAbQBhAGkAbgBpAG4AZwAgAGEAdAAgAGIAdQByAG4AaQBuAGcAXAAiACwAIABcACIAZgByAGEAYwB0AGkAbwBuAFwAIgAsACAAXAAiAEMAbwBuAHMAdABhAG4AdABcACIAOwBcAG4AIAAgACAAIAAgACAAIAAgACAAIABcACIARABNAF8AYwBcACIALABcACIAZAByAHkAIABtAGEAdAB0AGUAcgAgAGMAbwBuAHQAZQBuAHQAIABvAGYAIABjAHIAbwBwACAAdAB5AHAAZQAgAGMAXAAiACwAIABcACIAawBnACAAZAByAHkAIAB3AGUAaQBnAGgAdAAvAGsAZwAgAGMAcgBvAHAAIAByAGUAcwBpAGQAdQBlAFwAIgAsACAAXAAiAEMAbwBuAHMAdABhAG4AdABcACIAOwBcAG4AIAAgACAAIAAgACAAIAAgACAAIABcACIAWgBfAGMAXAAiACwAXAAiAGIAdQByAG4AaQBuAGcAIABlAGYAZgBpAGMAaQBlAG4AYwB5ACAAKAByAGEAdABpAG8AIABvAGYAIABmAHUAZQBsACAAYgB1AHIAbgB0ACAAdABvACAAZgB1AGUAbAAgAGwAbwBhAGQAKQAgAG8AZgAgAGMAcgBvAHAAIAB0AHkAcABlACAAYwBcACIALAAgAFwAIgBcACIALAAgAFwAIgBDAG8AbgBzAHQAYQBuAHQAXAAiADsAXABuACAAIAAgACAAIAAgACAAIAAgACAAXAAiAEYAXwBjAFwAIgAsAFwAIgBmAHIAYQBjAHQAaQBvAG4AIABvAGYAIAB0AGgAZQAgAGEAbgBuAHUAYQBsACAAcAByAG8AZAB1AGMAdABpAG8AbgAgAG8AZgAgAGMAcgBvAHAAIAB0AHkAcABlACAAYwAgAHQAaABhAHQAIABpAHMAIABiAHUAcgBuAHQAXAAiACwAIABcACIAZgByAGEAYwB0AGkAbwBuAFwAIgAsACAAXAAiAEMAbwBuAHMAdABhAG4AdABcACIAOwBcAG4AIAAgACAAIAAgACAAIAAgACAAIABcACIAYwBcACIALABcACIAQwByAG8AcAAgAHQAeQBwAGUAXAAiACwAIABcACIAXAAiACwAIABcACIASQBuAHAAdQB0AFwAIgBcAG4AIAAgACAAIAAgACAAIAAgAH0ALAAgAHIALAAgAGMAKQBcAG4AIAAgACAAIAAgACAAKQBcAG4AIAAgACAAIAApAFwAbgAgACAAKQA7ACIAfQAsAHsAIgBwAGEAdABoACIAOgAiAC8AcAByAG8AagBlAGMAdABzAC8AQQBnAHIAZQBzAGkAZAB1AGUAXwBTAG8AdQByAGMAZQBEAGEAdABhACIALAAiAHQAZQB4AHQAIgA6ACIALwAqAFwAbgA9AD0APQA9AD0APQA9AD0APQA9AD0APQA9AD0APQA9AD0APQA9AD0APQA9AD0APQA9AD0APQA9AD0APQA9AD0APQA9AD0APQA9AD0APQA9AD0APQA9AD0APQA9AD0APQA9AD0APQA9AD0APQA9AD0APQA9AD0APQA9AD0APQA9AD0APQA9AD0APQA9AD0APQA9AD0APQA9AFwAbgBDAHIAbwBwACAAcAB1AHIAcABvAHMAZQAgAGEAbgBkACAAeQBpAGUAbABkAFwAbgA9AD0APQA9AD0APQA9AD0APQA9AD0APQA9AD0APQA9AD0APQA9AD0APQA9AD0APQA9AD0APQA9AD0APQA9AD0APQA9AD0APQA9AD0APQA9AD0APQA9AD0APQA9AD0APQA9AD0APQA9AD0APQA9AD0APQA9AD0APQA9AD0APQA9AD0APQA9AD0APQA9AD0APQA9AD0APQA9AFwAbgAqAC8AXABuAFwAbgBDAHIAbwBwAFAAdQByAHAAbwBzAGUAQQBuAGQAWQBpAGUAbABkAF8AVABpAHQAbABlAFwAbgA9AEwAQQBNAEIARABBACgAKABcACIAQwByAG8AcAAgAHAAdQByAHAAbwBzAGUAIABhAG4AZAAgAHkAaQBlAGwAZABcACIAKQApADsAXABuAFwAbgBDAHIAbwBwAFAAdQByAHAAbwBzAGUAQQBuAGQAWQBpAGUAbABkAF8ARABhAHQAYQBcAG4APQBMAEEATQBCAEQAQQAoAFwAbgAgACAATQBBAEsARQBBAFIAUgBBAFkAKAA0ACwAIAA4ACwAXABuACAAIAAgACAATABBAE0AQgBEAEEAKAByACwAYwAsAFwAbgAgACAAIAAgACAAIABJAE4ARABFAFgAKAB7AFwAbgAgACAAIAAgACAAIAAgACAAXAAiAFAAdQByAHAAbwBzAGUAXAAiACwAIABcACIAUABlAHIAIABoAGUAYwB0AGEAcgBlACAAdQBuAGkAdABcACIALAAgAFwAIgBoAGEAcgB2AGUAcwB0ACAAdABlAHIAbQBcACIALAAgAFwAIgBoAGEAcgB2AGUAcwB0ACAAZQBuAGQAcABvAGkAbgB0AFwAIgAsACAAXAAiAEgAYQByAHYAZQBzAHQAIAB1AGkAdABcACIALAAgAFwAIgBZAGkAZQBsAGQAIABuAG8AdABlAFwAIgAsACAAXAAiAFIAZQBzAGkAZAB1AGUAIABjAHIAbwBwACAAcgBhAHQAaQBvACAAbgBvAHQAZQBcACIALAAgAFwAIgBUAG8AdABhAGwAIABwAHIAbwBkAHUAYwB0AGkAbwBuACAAbgBvAHQAZQBcACIAOwBcAG4AIAAgACAAIAAgACAAIAAgAFwAIgBDAGEAcwBoACAAZwByAGEAaQBuACAAYwByAG8AcABcACIALAAgAFwAIgBnAHIAYQBpAG4AXAAiACwAIABcACIAeQBpAGUAbABkAFwAIgAsACAAXAAiAGgAYQByAHYAZQBzAHQAXAAiACwAIABcACIAZwByAGEAaQBuAFwAIgAsACAAXAAiAFkAaQBlAGwAZAAgAGkAcwAgAHQAaABlACAAZwByAGEAaQBuACAAaABhAHIAdgBlAHMAdABlAGQAIABmAHIAbwBtACAAdABoAGUAIABwAGwAYQBuAHQAXAAiACwAIABcACIAUgBlAHMAaQBkAHUAZQAgAHQAbwAgAGMAcgBvAHAAIAByAGEAdABpAG8AIABpAHMAIABwAHIAbwB2AGkAZABlAGQAIABmAHIAbwBtACAAZABlAGYAYQB1AGwAdAAgAHYAYQBsAHUAZQBzAFwAIgAsACAAXAAiAFQAbwB0AGEAbAAgAHAAcgBvAGQAdQBjAHQAaQBvAG4AIABpAHMAIAB0AGgAZQAgAHQAbwB0AGEAbAAgAGcAcgBhAGkAbgAgAGgAYQByAHYAZQBzAHQAZQBkAFwAIgA7AFwAbgAgACAAIAAgACAAIAAgACAAXAAiAEMAYQBzAGgAIABjAHIAbwBwACAAZgBvAHIAIABoAGEAeQAvAHMAaQBsAGEAZwBlAFwAIgAsACAAXAAiAGEAYgBvAHYAZQAgAGcAcgBvAHUAbgBkACAAYgBpAG8AbQBhAHMAcwBcACIALAAgAFwAIgB5AGkAZQBsAGQAXAAiACwAIABcACIAaABhAHIAdgBlAHMAdABcACIALAAgAFwAIgBwAGwAYQBuAHQAIABiAGkAbwBtAGEAcwBzAFwAIgAsACAAXAAiAFkAaQBlAGwAZAAgAGkAcwAgAHQAaABlACAAdwBoAG8AbABlACAAcABsAGEAbgB0ACAAaABhAHIAdgBlAHMAdABlAGQAIABmAG8AcgAgAGgAYQB5AC8AcwBpAGwAYQBnAGUAXAAiACwAIABcACIAUgBlAHMAaQBkAHUAZQAgAHQAbwAgAGMAcgBvAHAAIAByAGEAdABpAG8AIABpAHMAIAAwACAAYQBzAHMAdQBtAGkAbgBnACAAdABoAGUAIAB3AGgAbwBsAGUAIABwAGwAYQBuAHQAIABpAHMAIABoAGEAcgB2AGUAcwB0AGUAZAAgAGYAbwByACAAaABhAHkALwBzAGkAbABhAGcAZQBcACIALAAgAFwAIgBUAG8AdABhAGwAIABwAHIAbwBkAHUAYwB0AGkAbwBuACAAaQBzACAAdABoAGUAIAB0AG8AdABhAGwAIAB3AGgAbwBsAGUAIABwAGwAYQBuAHQAIABiAGkAbwBtAGEAcwBzACAAaABhAHIAdgBlAHMAdABlAGQAIABhAHMAIABoAGEAeQAvAHMAaQBsAGEAZwBlAFwAIgA7AFwAbgAgACAAIAAgACAAIAAgACAAXAAiAEMAbwB2AGUAcgAgAGMAcgBvAHAAXAAiACwAIABcACIAYQBiAG8AdgBlACAAZwByAG8AdQBuAGQAIABiAGkAbwBtAGEAcwBzAFwAIgAsACAAXAAiAG0AYQBzAHMAXAAiACwAIABcACIAZQBuAGQAIABvAGYAIABjAHIAbwBwACAAYwB5AGMAbABlAFwAIgAsACAAXAAiAGEAYgBvAHYAZQAgAGcAcgBvAHUAbgBkACAAYgBpAG8AbQBhAHMAcwBcACIALAAgAFwAIgBZAGkAZQBsAGQAIABpAHMAIAB0AGgAZQAgAHcAaABvAGwAZQAgAHAAbABhAG4AdAAgAGsAZQBwAHQAIABhAHMAIABjAG8AdgBlAHIAIABjAHIAbwBwAFwAIgAsACAAXAAiAFIAZQBzAGkAZAB1AGUAIAB0AG8AIABjAHIAbwBwACAAcgBhAHQAaQBvACAAaQBzACAAMQAgAGEAcwBzAHUAbQBpAG4AZwAgAHQAaABlACAAdwBoAG8AbABlACAAcABsAGEAbgB0ACAAaQBzACAAawBlAHAAdAAgAGEAcwAgAGMAbwB2AGUAcgAgAGMAcgBvAHAAXAAiACwAIABcACIAVABvAHQAYQBsACAAcAByAG8AZAB1AGMAdABpAG8AbgAgAGkAcwAgAHQAaABlACAAdABvAHQAYQBsACAAdwBoAG8AbABlACAAcABsAGEAbgB0ACAAYgBpAG8AbQBhAHMAcwAgAGsAZQBwAHQAIABhAHMAIABjAG8AdgBlAHIAIABjAHIAbwBwAFwAIgBcAG4AIAAgACAAIAAgACAAfQAsACAAcgAsACAAYwApAFwAbgApACkAKQA7AFwAbgBcAG4ALwAqAFwAbgA9AD0APQA9AD0APQA9AD0APQA9AD0APQA9AD0APQA9AD0APQA9AD0APQA9AD0APQA9AD0APQA9AD0APQA9AD0APQA9AD0APQA9AD0APQA9AD0APQA9AD0APQA9AD0APQA9AD0APQA9AD0APQA9AD0APQA9AD0APQA9AD0APQA9AD0APQA9AD0APQA9AD0APQA9AD0APQA9AFwAbgBDAHIAbwBwACAAYQB0AHQAcgBpAGIAdQB0AGUAcwBcAG4APQA9AD0APQA9AD0APQA9AD0APQA9AD0APQA9AD0APQA9AD0APQA9AD0APQA9AD0APQA9AD0APQA9AD0APQA9AD0APQA9AD0APQA9AD0APQA9AD0APQA9AD0APQA9AD0APQA9AD0APQA9AD0APQA9AD0APQA9AD0APQA9AD0APQA9AD0APQA9AD0APQA9AD0APQA9AD0APQBcAG4AKgAvAFwAbgBcAG4AQwByAG8AcABBAHQAdAByAGkAYgB1AHQAZQBzAF8AVABpAHQAbABlAFwAbgA9AEwAQQBNAEIARABBACgAKABcACIAVABhAGIAbABlACAAQQAuADIALgAxAC4AMQA6ACAAQwByAG8AcAAgAGEAdAB0AHIAaQBiAHUAdABlAHMAXAAiACkAKQA7AFwAbgBcAG4AQwByAG8AcABBAHQAdAByAGkAYgB1AHQAZQBzAF8ARABlAHMAYwByAGkAcAB0AGkAbwBuAFwAbgA9AEwAQQBNAEIARABBACgAKABcACIAQwByAG8AcAAgAGEAdAB0AHIAaQBiAHUAdABlAHMAXAAiACkAKQA7AFwAbgBcAG4AQwByAG8AcABBAHQAdAByAGkAYgB1AHQAZQBzAF8AUwBvAHUAcgBjAGUAXABuAD0ATABBAE0AQgBEAEEAKAAoAFwAIgBWAEUARQBSAEcAIAAyADAAMgA2ADoAIABUAGEAYgBsAGUAIABBAC4AMgAuADEALgAxADoAIABDAHIAbwBwACAAYQB0AHQAcgBpAGIAdQB0AGUAcwBcACIAKQApADsAXABuAFwAbgBDAHIAbwBwAEEAdAB0AHIAaQBiAHUAdABlAHMAXwBEAGEAdABhAFwAbgA9AEwAQQBNAEIARABBACgAXABuACAAIABNAEEASwBFAEEAUgBSAEEAWQAoADIAMAAsACAAOQAsAFwAbgAgACAAIAAgAEwAQQBNAEIARABBACgAcgAsAGMALABcAG4AIAAgACAAIAAgACAASQBOAEQARQBYACgAewBcAG4AIAAgACAAIAAgACAAIAAgAFwAIgBDAHIAbwBwACAAdAB5AHAAZQBcACIALAAgAFwAIgBSAGUAcwBpAGQAdQBlADoAIABDAHIAbwBwACAAcgBhAHQAaQBvAFwAIgAsACAAXAAiAEIAZQBsAG8AdwAtAGcAcgBvAHUAbgBkADoAIABhAGIAbwB2AGUALQBnAHIAbwB1AG4AZAAgAHIAZQBzAGkAZAB1AGUAIAByAGEAdABpAG8AXAAiACwAIABcACIARAByAHkAIABtAGEAdAB0AGUAcgAgAGMAbwBuAHQAZQBuAHQAXAAiACwAIABcACIAQwBhAHIAYgBvAG4AIABmAHIAYQBjAHQAaQBvAG4AIABpAG4AIABkAHIAeQAgAG0AYQB0AHQAZQByAFwAIgAsACAAXAAiAE4AIABjAG8AbgB0AGUAbgB0ACAAYQBiAG8AdgBlAC0AZwByAG8AdQBuAGQAXAAiACwAIABcACIATgAgAGMAbwBuAHQAZQBuAHQAIABiAGUAbABvAHcALQBnAHIAbwB1AG4AZABcACIALAAgAFwAIgBGAHIAYQBjAHQAaQBvAG4AIABvAGYAIAByAGUAcwBpAGQAdQBlACAAcgBlAG0AYQBpAG4AaQBuAGcAIABhAHQAIAB0AGkAbQBlACAAbwBmACAAYgB1AHIAbgBpAG4AZwBcACIALAAgAFwAIgBCAHUAcgBuAGkAbgBnACAAZQBmAGYAaQBjAGkAZQBuAGMAeQB0AFwAIgA7AFwAbgAgACAAIAAgACAAIAAgACAAXAAiAGMAXAAiACwAIABcACIAUgBBAEcAYwBcACIALAAgAFwAIgBSAEIARwBjAFwAIgAsACAAXAAiAEQATQBjAFwAIgAsACAAXAAiAEMAQwBjAFwAIgAsACAAXAAiAE4AQwBBAEcAYwBcACIALAAgAFwAIgBOAEMAQgBHAGMAXAAiACwAIABcACIAUwBjAFwAIgAsACAAXAAiAFoAYwBcACIAOwBcAG4AIAAgACAAIAAgACAAIAAgAFwAIgBXAGgAZQBhAHQAXAAiACwAIAAxAC4ANQAwACwAIAAwAC4AMgA5ACwAIAAwAC4AOAA4ACwAIAAwAC4ANAAwACwAIAAwAC4AMAAwADYALAAgADAALgAwADEAMAAsACAAMAAuADUALAAgADAALgA5ADAAOwBcAG4AIAAgACAAIAAgACAAIAAgAFwAIgBCAGEAcgBsAGUAeQBcACIALAAgADEALgAyADQALAAgADAALgAzADIALAAgADAALgA4ADgALAAgADAALgA0ADAALAAgADAALgAwADAANwAsACAAMAAuADAAMQAwACwAIAAwAC4ANQAsACAAMAAuADgANQA7AFwAbgAgACAAIAAgACAAIAAgACAAXAAiAE0AYQBpAHoAZQBcACIALAAgADAALgA4ADEALAAgADAALgAzADkALAAgADAALgA4ADUALAAgADAALgA0ADIALAAgADAALgAwADAANQAsACAAMAAuADAAMAA3ACwAIAAxAC4AMAAsACAAMAAuADgAMAA7AFwAbgAgACAAIAAgACAAIAAgACAAXAAiAE8AYQB0AHMAXAAiACwAIAAxAC4ANAAyACwAIAAwAC4ANAAzACwAIAAwAC4AOAA4ACwAIAAwAC4ANAAwACwAIAAwAC4AMAAwADYALAAgADAALgAwADEAMAAsACAAMAAuADUALAAgADAALgA4ADUAOwBcAG4AIAAgACAAIAAgACAAIAAgAFwAIgBSAGkAYwBlAFwAIgAsACAAMQAuADMAMQAsACAAMAAuADEANgAsACAAMAAuADgAMAAsACAAMAAuADQAMgAsACAAMAAuADAAMAA3ACwAIAAwAC4AMAAxADAALAAgADEALgAwACwAIAAwAC4AOAAwADsAXABuACAAIAAgACAAIAAgACAAIABcACIAUwBvAHIAZwBoAHUAbQBcACIALAAgADEALgA1ADAALAAgADAALgAyADIALAAgADAALgA4ADAALAAgADAALgA0ADAALAAgADAALgAwADAAOAAsACAAMAAuADAAMAA3ACwAIAAwAC4ANQAsACAAMAAuADgANQA7AFwAbgAgACAAIAAgACAAIAAgACAAXAAiAFQAcgBpAHQAaQBjAGEAbABlAFwAIgAsACAAMQAuADUAMAAsACAAMAAuADQAMgAsACAAMAAuADgAOAAsACAAMAAuADQAMAAsACAAMAAuADAAMAA2ACwAIAAwAC4AMAAxADAALAAgADAALgA1ACwAIAAwAC4AOAA1ADsAXABuACAAIAAgACAAIAAgACAAIABcACIATwB0AGgAZQByACAAYwBlAHIAZQBhAGwAcwBcACIALAAgADEALgA0ADYALAAgADAALgAzADYALAAgADAALgA4ADgALAAgADAALgA0ADAALAAgADAALgAwADAANgAsACAAMAAuADAAMQAwACwAIAAwAC4ANQAsACAAMAAuADgANQA7AFwAbgAgACAAIAAgACAAIAAgACAAXAAiAFAAdQBsAHMAZQBzAFwAIgAsACAAMQAuADMANwAsACAAMAAuADUAMQAsACAAMAAuADgANwAsACAAMAAuADQAMAAsACAAMAAuADAAMAA5ACwAIAAwAC4AMAAxADAALAAgADAALgA1ACwAIAAwAC4AOAA1ADsAXABuACAAIAAgACAAIAAgACAAIABcACIAVAB1AGIAZQByAHMAIABhAG4AZAAgAHIAbwBvAHQAcwBcACIALAAgADAALgAzADQALAAgADAALgA0ADMALAAgADAALgAyADUALAAgADAALgA0ADAALAAgADAALgAwADIAMAAsACAAMAAuADAAMQAwACwAIABcACIAbgAvAGEAXAAiACwAIAAwAC4AOAA1ADsAXABuACAAIAAgACAAIAAgACAAIABcACIAUABlAGEAbgB1AHQAcwBcACIALAAgADEALgAwADcALAAgADAALgAyADAALAAgADAALgA4ADAALAAgADAALgA0ADIALAAgADAALgAwADEANgAsACAAMAAuADAAMQA0ACwAIAAwAC4ANQAsACAAMAAuADgANQA7AFwAbgAgACAAIAAgACAAIAAgACAAXAAiAFMAdQBnAGEAcgAgAGMAYQBuAGUAXAAiACwAIAAwAC4AMgA1ACwAIAAwAC4ANAA1ACwAIAAwAC4AMgAwACwAIAAwAC4ANAAwACwAIAAwAC4AMAAwADUALAAgADAALgAwADAANwAsACAAMQAuADAALAAgADAALgA4ADAAOwBcAG4AIAAgACAAIAAgACAAIAAgAFwAIgBDAG8AdAB0AG8AbgBcACIALAAgADEALgA5ADAALAAgADAALgAzADAALAAgADAALgA5ADAALAAgADAALgA0ADAALAAgADAALgAwADEALAAgADAALgAwADEALAAgAFwAIgBuAC8AYQBcACIALAAgADAALgA4ADUAOwBcAG4AIAAgACAAIAAgACAAIAAgAFwAIgBIAG8AcABzAFwAIgAsACAAMQAuADUAMAAsACAAMAAuADIAOQAsACAAMAAuADgAOAAsACAAMAAuADQAMAAsACAAMAAuADAAMAA2ACwAIABcACIAbgAvAGEAXAAiACwAIABcACIAbgAvAGEAXAAiACwAIAAwAC4AOAA1ADsAXABuACAAIAAgACAAIAAgACAAIABcACIATwBpAGwAcwBlAGUAZABzAFwAIgAsACAAMgAuADAAOAAsACAAMAAuADMAMwAsACAAMAAuADkANgAsACAAMAAuADQAMAAsACAAMAAuADAAMAA5ACwAIAAwAC4AMAAxADAALAAgADAALgA1ACwAIAAwAC4AOAA1ADsAXABuACAAIAAgACAAIAAgACAAIABcACIARgBvAHIAYQBnAGUAIABjAHIAbwBwAHMAXAAiACwAIAAxAC4AMwA0ACwAIAAwAC4AMwA3ACwAIAAwAC4AOAA4ACwAIAAwAC4ANAAwACwAIAAwAC4AMAAwADYALAAgADAALgAwADEAMAAsACAAXAAiAG4ALwBhAFwAIgAsACAAMAAuADgANQA7AFwAbgAgACAAIAAgACAAIAAgACAAXAAiAE8AdABoAGUAcgAgAGEAbgBuAHUAYQBsACAAYwByAG8AcABzAFwAIgAsACAAMQAuADAAMAAsACAAMAAuADIAMgAsACAAMAAuADgANQAsACAAMAAuADQAMAAsACAAMAAuADAAMAA4ACwAIAAwAC4AMAAwADkALAAgAFwAIgBuAC8AYQBcACIALAAgAFwAIgBuAC8AYQBcACIAOwBcAG4AIAAgACAAIAAgACAAIAAgAFwAIgBPAHQAaABlAHIAIABwAGUAcgBlAG4AbgBpAGEAbAAgAGMAcgBvAHAAcwBcACIALAAgADEALgA1ACwAIAAwAC4AMgA5ACwAIAAwAC4AOAA4ACwAIAAwAC4ANAAsACAAMAAuADAAMAA2ACwAIABcACIAbgAvAGEAXAAiACwAIABcACIAbgAvAGEAXAAiACwAIABcACIAbgAvAGEAXAAiAFwAbgAgACAAIAAgACAAIAB9ACwAIAByACwAIABjACkAXABuACkAKQApADsAXABuAFwAbgBDAHIAbwBwAEEAdAB0AHIAaQBiAHUAdABlAHMAXwBWAGEAcgBpAGEAdABpAG8AbgBcAG4APQBMAEEATQBCAEQAQQAoACgAXAAiAFYAQQBSAEkAQQBUAEkATwBOACAARgBSAE8ATQAgAFMATwBVAFIAQwBFADoAIABcAHUAMAAwADIANwBOAC8AQQBcAHUAMAAwADIANwAgAHYAYQBsAHUAZQBzACAAcABhAHMAcwBlAGQAIABhAHMAIAB6AGUAcgBvACAAZgBvAHIAIABjAGEAbABjAHUAbABhAHQAaQBvAG4AcwAuAFwAIgApACkAOwBcAG4AXABuAC8AKgBcAG4APQA9AD0APQA9AD0APQA9AD0APQA9AD0APQA9AD0APQA9AD0APQA9AD0APQA9AD0APQA9AD0APQA9AD0APQA9AD0APQA9AD0APQA9AD0APQA9AD0APQA9AD0APQA9AD0APQA9AD0APQA9AD0APQA9AD0APQA9AD0APQA9AD0APQA9AD0APQA9AD0APQA9AD0APQA9AD0APQBcAG4AQwByAG8AcAAgAGEAdAB0AHIAaQBiAHUAdABlAHMAIAAtACAARgByAGEAYwB0AGkAbwBuACAAcgBlAG0AbwB2AGUAZAAgACgARgBGAE8ARABjACkAXABuAD0APQA9AD0APQA9AD0APQA9AD0APQA9AD0APQA9AD0APQA9AD0APQA9AD0APQA9AD0APQA9AD0APQA9AD0APQA9AD0APQA9AD0APQA9AD0APQA9AD0APQA9AD0APQA9AD0APQA9AD0APQA9AD0APQA9AD0APQA9AD0APQA9AD0APQA9AD0APQA9AD0APQA9AD0APQA9AD0AXABuACoALwBcAG4AXABuAEMAcgBvAHAARgByAGEAYwB0AGkAbwBuAFIAZQBtAG8AdgBlAGQAXwBUAGkAdABsAGUAXABuAD0ATABBAE0AQgBEAEEAKAAoAFwAIgBUAGEAYgBsAGUAIABBAC4AMgAuADEALgAyADoAIABDAHIAbwBwACAAYQB0AHQAcgBpAGIAdQB0AGUAcwAgAC0AIABGAHIAYQBjAHQAaQBvAG4AIAByAGUAbQBvAHYAZQBkACAAKABGAEYATwBEAGMAKQBcACIAKQApADsAXABuAFwAbgBDAHIAbwBwAEYAcgBhAGMAdABpAG8AbgBSAGUAbQBvAHYAZQBkAF8ARABlAHMAYwByAGkAcAB0AGkAbwBuAFwAbgA9AEwAQQBNAEIARABBACgAKABcACIAQwByAG8AcAAgAGEAdAB0AHIAaQBiAHUAdABlAHMAIAAtACAARgByAGEAYwB0AGkAbwBuACAAcgBlAG0AbwB2AGUAZAAgACgARgBGAE8ARABjACkAXAAiACkAKQA7AFwAbgBcAG4AQwByAG8AcABGAHIAYQBjAHQAaQBvAG4AUgBlAG0AbwB2AGUAZABfAFMAbwB1AHIAYwBlAFwAbgA9AEwAQQBNAEIARABBACgAKABcACIAVgBFAEUAUgBHACAAMgAwADIANgA6ACAAVABhAGIAbABlACAAQQAuADIALgAxAC4AMgA6ACAAQwByAG8AcAAgAGEAdAB0AHIAaQBiAHUAdABlAHMAIAAtACAARgByAGEAYwB0AGkAbwBuACAAcgBlAG0AbwB2AGUAZAAgACgARgBGAE8ARABjACkAXAAiACkAKQA7AFwAbgBcAG4AQwByAG8AcABGAHIAYQBjAHQAaQBvAG4AUgBlAG0AbwB2AGUAZABfAEQAYQB0AGEAXABuAD0ATABBAE0AQgBEAEEAKABcAG4AIAAgAE0AQQBLAEUAQQBSAFIAQQBZACgAMQA3ACwAIAAzACwAXABuACAAIAAgACAATABBAE0AQgBEAEEAKAByACwAYwAsAFwAbgAgACAAIAAgACAAIABJAE4ARABFAFgAKAB7AFwAbgAgACAAIAAgACAAIAAgACAAXAAiAEMAcgBvAHAAIAB0AHkAcABlACAAYwBcACIALAAgAFwAIgBTAHQAYQB0AGUAXAAiACwAIABcACIARgByAGEAYwB0AGkAbwBuACAAcgBlAG0AbwB2AGUAZAAgAEYARgBPAEQAYwBcACIAOwBcAG4AIAAgACAAIAAgACAAIAAgAFwAIgBSAGkAYwBlAFwAIgAsACAAXAAiAEEAbABsACAAcwB0AGEAdABlAHMAXAAiACwAIAAwAC4AMAA2ADsAXABuACAAIAAgACAAIAAgACAAIABcACIAVAB1AGIAZQByAHMAIABhAG4AZAAgAHIAbwBvAHQAcwBcACIALAAgAFwAIgBBAGwAbAAgAHMAdABhAHQAZQBzAFwAIgAsACAAMQA7AFwAbgAgACAAIAAgACAAIAAgACAAXAAiAEMAbwB0AHQAbwBuAFwAIgAsACAAXAAiAEEAbABsACAAcwB0AGEAdABlAHMAXAAiACwAIAAwADsAXABuACAAIAAgACAAIAAgACAAIABcACIASABvAHAAcwBcACIALAAgAFwAIgBBAGwAbAAgAHMAdABhAHQAZQBzAFwAIgAsACAAMAA7AFwAbgAgACAAIAAgACAAIAAgACAAXAAiAEYAbwByAGEAZwBlACAAYwByAG8AcABzAFwAIgAsACAAXAAiAEEAbABsACAAcwB0AGEAdABlAHMAXAAiACwAIAAwAC4AOAA7AFwAbgAgACAAIAAgACAAIAAgACAAXAAiAFMAdQBnAGEAcgAgAEMAYQBuAGUAXAAiACwAIABcACIATgBTAFcAXAAiACwAIAAwADsAXABuACAAIAAgACAAIAAgACAAIABcACIAUwB1AGcAYQByACAAQwBhAG4AZQBcACIALAAgAFwAIgBRAEwARABcACIALAAgADAALgAwADMAOwBcAG4AIAAgACAAIAAgACAAIAAgAFwAIgBTAHUAZwBhAHIAIABDAGEAbgBlAFwAIgAsACAAXAAiAFcAQQBcACIALAAgADAAOwBcAG4AIAAgACAAIAAgACAAIAAgAFwAIgBBAGwAbAAgAG8AdABoAGUAcgAgAGMAcgBvAHAAIAB0AHkAcABlAHMAXAAiACwAIABcACIATgBTAFcAXAAiACwAIAAwAC4AMAA1ADsAXABuACAAIAAgACAAIAAgACAAIABcACIAQQBsAGwAIABvAHQAaABlAHIAIABjAHIAbwBwACAAdAB5AHAAZQBzAFwAIgAsACAAXAAiAFYASQBDAFwAIgAsACAAMAAuADAANwA7AFwAbgAgACAAIAAgACAAIAAgACAAXAAiAEEAbABsACAAbwB0AGgAZQByACAAYwByAG8AcAAgAHQAeQBwAGUAcwBcACIALAAgAFwAIgBRAEwARABcACIALAAgADAALgAwADQAOwBcAG4AIAAgACAAIAAgACAAIAAgAFwAIgBBAGwAbAAgAG8AdABoAGUAcgAgAGMAcgBvAHAAIAB0AHkAcABlAHMAXAAiACwAIABcACIAUwBBAFwAIgAsACAAMAAuADAAOQA7AFwAbgAgACAAIAAgACAAIAAgACAAXAAiAEEAbABsACAAbwB0AGgAZQByACAAYwByAG8AcAAgAHQAeQBwAGUAcwBcACIALAAgAFwAIgBXAEEAXAAiACwAIAAwAC4AMQAxADsAXABuACAAIAAgACAAIAAgACAAIABcACIAQQBsAGwAIABvAHQAaABlAHIAIABjAHIAbwBwACAAdAB5AHAAZQBzAFwAIgAsACAAXAAiAFQAQQBTAFwAIgAsACAAMAAuADEANgA7AFwAbgAgACAAIAAgACAAIAAgACAAXAAiAEEAbABsACAAbwB0AGgAZQByACAAYwByAG8AcAAgAHQAeQBwAGUAcwBcACIALAAgAFwAIgBOAFQAXAAiACwAIAAwAC4AMAAxADsAXABuACAAIAAgACAAIAAgACAAIABcACIAQQBsAGwAIABvAHQAaABlAHIAIABjAHIAbwBwACAAdAB5AHAAZQBzAFwAIgAsACAAXAAiAEEAQwBUAFwAIgAsACAAMAAuADAAMABcAG4AIAAgACAAIAAgACAAfQAsACAAcgAsACAAYwApAFwAbgApACkAKQA7AFwAbgBcAG4AQwByAG8AcABGAHIAYQBjAHQAaQBvAG4AUgBlAG0AbwB2AGUAZABfAEMAdQBzAHQAbwBtAGkAcwBlAGQARABhAHQAYQBcAG4APQBMAEEATQBCAEQAQQAoAFwAbgAgACAATQBBAEsARQBBAFIAUgBBAFkAKAAxADQANAAsACAAMwAsAFwAbgAgACAAIAAgAEwAQQBNAEIARABBACgAcgAsAGMALABcAG4AIAAgACAAIAAgACAASQBOAEQARQBYACgAewBcAG4AIAAgACAAIAAgACAAIAAgAFwAIgBDAHIAbwBwACAAdAB5AHAAZQAgAGMAXAAiACwAIABcACIAUwB0AGEAdABlAFwAIgAsACAAXAAiAEYAcgBhAGMAdABpAG8AbgAgAHIAZQBtAG8AdgBlAGQAIABGAEYATwBEAGMAXAAiADsAXABuACAAIAAgACAAIAAgACAAIABcACIAUgBpAGMAZQBcACIALAAgAFwAIgBOAFMAVwBcACIALAAgADAALgAwADYAOwBcAG4AIAAgACAAIAAgACAAIAAgAFwAIgBSAGkAYwBlAFwAIgAsACAAXAAiAFYASQBDAFwAIgAsACAAMAAuADAANgA7AFwAbgAgACAAIAAgACAAIAAgACAAXAAiAFIAaQBjAGUAXAAiACwAIABcACIAUQBMAEQAXAAiACwAIAAwAC4AMAA2ADsAXABuACAAIAAgACAAIAAgACAAIABcACIAUgBpAGMAZQBcACIALAAgAFwAIgBTAEEAXAAiACwAIAAwAC4AMAA2ADsAXABuACAAIAAgACAAIAAgACAAIABcACIAUgBpAGMAZQBcACIALAAgAFwAIgBXAEEAXAAiACwAIAAwAC4AMAA2ADsAXABuACAAIAAgACAAIAAgACAAIABcACIAUgBpAGMAZQBcACIALAAgAFwAIgBUAEEAUwBcACIALAAgADAALgAwADYAOwBcAG4AIAAgACAAIAAgACAAIAAgAFwAIgBSAGkAYwBlAFwAIgAsACAAXAAiAE4AVABcACIALAAgADAALgAwADYAOwBcAG4AIAAgACAAIAAgACAAIAAgAFwAIgBSAGkAYwBlAFwAIgAsACAAXAAiAEEAQwBUAFwAIgAsACAAMAAuADAANgA7AFwAbgAgACAAIAAgACAAIAAgACAAXAAiAFQAdQBiAGUAcgBzACAAYQBuAGQAIAByAG8AbwB0AHMAXAAiACwAIABcACIATgBTAFcAXAAiACwAIAAxADsAXABuACAAIAAgACAAIAAgACAAIABcACIAVAB1AGIAZQByAHMAIABhAG4AZAAgAHIAbwBvAHQAcwBcACIALAAgAFwAIgBWAEkAQwBcACIALAAgADEAOwBcAG4AIAAgACAAIAAgACAAIAAgAFwAIgBUAHUAYgBlAHIAcwAgAGEAbgBkACAAcgBvAG8AdABzAFwAIgAsACAAXAAiAFEATABEAFwAIgAsACAAMQA7AFwAbgAgACAAIAAgACAAIAAgACAAXAAiAFQAdQBiAGUAcgBzACAAYQBuAGQAIAByAG8AbwB0AHMAXAAiACwAIABcACIAUwBBAFwAIgAsACAAMQA7AFwAbgAgACAAIAAgACAAIAAgACAAXAAiAFQAdQBiAGUAcgBzACAAYQBuAGQAIAByAG8AbwB0AHMAXAAiACwAIABcACIAVwBBAFwAIgAsACAAMQA7AFwAbgAgACAAIAAgACAAIAAgACAAXAAiAFQAdQBiAGUAcgBzACAAYQBuAGQAIAByAG8AbwB0AHMAXAAiACwAIABcACIAVABBAFMAXAAiACwAIAAxADsAXABuACAAIAAgACAAIAAgACAAIABcACIAVAB1AGIAZQByAHMAIABhAG4AZAAgAHIAbwBvAHQAcwBcACIALAAgAFwAIgBOAFQAXAAiACwAIAAxADsAXABuACAAIAAgACAAIAAgACAAIABcACIAVAB1AGIAZQByAHMAIABhAG4AZAAgAHIAbwBvAHQAcwBcACIALAAgAFwAIgBBAEMAVABcACIALAAgADEAOwBcAG4AIAAgACAAIAAgACAAIAAgAFwAIgBDAG8AdAB0AG8AbgBcACIALAAgAFwAIgBOAFMAVwBcACIALAAgADAAOwBcAG4AIAAgACAAIAAgACAAIAAgAFwAIgBDAG8AdAB0AG8AbgBcACIALAAgAFwAIgBWAEkAQwBcACIALAAgADAAOwBcAG4AIAAgACAAIAAgACAAIAAgAFwAIgBDAG8AdAB0AG8AbgBcACIALAAgAFwAIgBRAEwARABcACIALAAgADAAOwBcAG4AIAAgACAAIAAgACAAIAAgAFwAIgBDAG8AdAB0AG8AbgBcACIALAAgAFwAIgBTAEEAXAAiACwAIAAwADsAXABuACAAIAAgACAAIAAgACAAIABcACIAQwBvAHQAdABvAG4AXAAiACwAIABcACIAVwBBAFwAIgAsACAAMAA7AFwAbgAgACAAIAAgACAAIAAgACAAXAAiAEMAbwB0AHQAbwBuAFwAIgAsACAAXAAiAFQAQQBTAFwAIgAsACAAMAA7AFwAbgAgACAAIAAgACAAIAAgACAAXAAiAEMAbwB0AHQAbwBuAFwAIgAsACAAXAAiAE4AVABcACIALAAgADAAOwBcAG4AIAAgACAAIAAgACAAIAAgAFwAIgBDAG8AdAB0AG8AbgBcACIALAAgAFwAIgBBAEMAVABcACIALAAgADAAOwBcAG4AIAAgACAAIAAgACAAIAAgAFwAIgBIAG8AcABzAFwAIgAsACAAXAAiAE4AUwBXAFwAIgAsACAAMAA7AFwAbgAgACAAIAAgACAAIAAgACAAXAAiAEgAbwBwAHMAXAAiACwAIABcACIAVgBJAEMAXAAiACwAIAAwADsAXABuACAAIAAgACAAIAAgACAAIABcACIASABvAHAAcwBcACIALAAgAFwAIgBRAEwARABcACIALAAgADAAOwBcAG4AIAAgACAAIAAgACAAIAAgAFwAIgBIAG8AcABzAFwAIgAsACAAXAAiAFMAQQBcACIALAAgADAAOwBcAG4AIAAgACAAIAAgACAAIAAgAFwAIgBIAG8AcABzAFwAIgAsACAAXAAiAFcAQQBcACIALAAgADAAOwBcAG4AIAAgACAAIAAgACAAIAAgAFwAIgBIAG8AcABzAFwAIgAsACAAXAAiAFQAQQBTAFwAIgAsACAAMAA7AFwAbgAgACAAIAAgACAAIAAgACAAXAAiAEgAbwBwAHMAXAAiACwAIABcACIATgBUAFwAIgAsACAAMAA7AFwAbgAgACAAIAAgACAAIAAgACAAXAAiAEgAbwBwAHMAXAAiACwAIABcACIAQQBDAFQAXAAiACwAIAAwADsAXABuACAAIAAgACAAIAAgACAAIABcACIARgBvAHIAYQBnAGUAIABjAHIAbwBwAHMAXAAiACwAIABcACIATgBTAFcAXAAiACwAIAAwAC4AOAA7AFwAbgAgACAAIAAgACAAIAAgACAAXAAiAEYAbwByAGEAZwBlACAAYwByAG8AcABzAFwAIgAsACAAXAAiAFYASQBDAFwAIgAsACAAMAAuADgAOwBcAG4AIAAgACAAIAAgACAAIAAgAFwAIgBGAG8AcgBhAGcAZQAgAGMAcgBvAHAAcwBcACIALAAgAFwAIgBRAEwARABcACIALAAgADAALgA4ADsAXABuACAAIAAgACAAIAAgACAAIABcACIARgBvAHIAYQBnAGUAIABjAHIAbwBwAHMAXAAiACwAIABcACIAUwBBAFwAIgAsACAAMAAuADgAOwBcAG4AIAAgACAAIAAgACAAIAAgAFwAIgBGAG8AcgBhAGcAZQAgAGMAcgBvAHAAcwBcACIALAAgAFwAIgBXAEEAXAAiACwAIAAwAC4AOAA7AFwAbgAgACAAIAAgACAAIAAgACAAXAAiAEYAbwByAGEAZwBlACAAYwByAG8AcABzAFwAIgAsACAAXAAiAFQAQQBTAFwAIgAsACAAMAAuADgAOwBcAG4AIAAgACAAIAAgACAAIAAgAFwAIgBGAG8AcgBhAGcAZQAgAGMAcgBvAHAAcwBcACIALAAgAFwAIgBOAFQAXAAiACwAIAAwAC4AOAA7AFwAbgAgACAAIAAgACAAIAAgACAAXAAiAEYAbwByAGEAZwBlACAAYwByAG8AcABzAFwAIgAsACAAXAAiAEEAQwBUAFwAIgAsACAAMAAuADgAOwBcAG4AIAAgACAAIAAgACAAIAAgAFwAIgBTAHUAZwBhAHIAIABDAGEAbgBlAFwAIgAsACAAXAAiAE4AUwBXAFwAIgAsACAAMAA7AFwAbgAgACAAIAAgACAAIAAgACAAXAAiAFMAdQBnAGEAcgAgAEMAYQBuAGUAXAAiACwAIABcACIAVgBJAEMAXAAiACwAIABcACIATgAvAEEAXAAiADsAXABuACAAIAAgACAAIAAgACAAIABcACIAUwB1AGcAYQByACAAQwBhAG4AZQBcACIALAAgAFwAIgBRAEwARABcACIALAAgADAALgAwADMAOwBcAG4AIAAgACAAIAAgACAAIAAgAFwAIgBTAHUAZwBhAHIAIABDAGEAbgBlAFwAIgAsACAAXAAiAFMAQQBcACIALAAgAFwAIgBOAC8AQQBcACIAOwBcAG4AIAAgACAAIAAgACAAIAAgAFwAIgBTAHUAZwBhAHIAIABDAGEAbgBlAFwAIgAsACAAXAAiAFcAQQBcACIALAAgADAAOwBcAG4AIAAgACAAIAAgACAAIAAgAFwAIgBTAHUAZwBhAHIAIABDAGEAbgBlAFwAIgAsACAAXAAiAFQAQQBTAFwAIgAsACAAXAAiAE4ALwBBAFwAIgA7AFwAbgAgACAAIAAgACAAIAAgACAAXAAiAFMAdQBnAGEAcgAgAEMAYQBuAGUAXAAiACwAIABcACIATgBUAFwAIgAsACAAXAAiAE4ALwBBAFwAIgA7AFwAbgAgACAAIAAgACAAIAAgACAAXAAiAFMAdQBnAGEAcgAgAEMAYQBuAGUAXAAiACwAIABcACIAQQBDAFQAXAAiACwAIABcACIATgAvAEEAXAAiADsAXABuACAAIAAgACAAIAAgACAAIABcACIAVwBoAGUAYQB0AFwAIgAsACAAXAAiAE4AUwBXAFwAIgAsACAAMAAuADAANQA7AFwAbgAgACAAIAAgACAAIAAgACAAXAAiAFcAaABlAGEAdABcACIALAAgAFwAIgBWAEkAQwBcACIALAAgADAALgAwADcAOwBcAG4AIAAgACAAIAAgACAAIAAgAFwAIgBXAGgAZQBhAHQAXAAiACwAIABcACIAUQBMAEQAXAAiACwAIAAwAC4AMAA0ADsAXABuACAAIAAgACAAIAAgACAAIABcACIAVwBoAGUAYQB0AFwAIgAsACAAXAAiAFMAQQBcACIALAAgADAALgAwADkAOwBcAG4AIAAgACAAIAAgACAAIAAgAFwAIgBXAGgAZQBhAHQAXAAiACwAIABcACIAVwBBAFwAIgAsACAAMAAuADEAMQA7AFwAbgAgACAAIAAgACAAIAAgACAAXAAiAFcAaABlAGEAdABcACIALAAgAFwAIgBUAEEAUwBcACIALAAgADAALgAxADYAOwBcAG4AIAAgACAAIAAgACAAIAAgAFwAIgBXAGgAZQBhAHQAXAAiACwAIABcACIATgBUAFwAIgAsACAAMAAuADAAMQA7AFwAbgAgACAAIAAgACAAIAAgACAAXAAiAFcAaABlAGEAdABcACIALAAgAFwAIgBBAEMAVABcACIALAAgADAALgAwADAAOwBcAG4AIAAgACAAIAAgACAAIAAgAFwAIgBCAGEAcgBsAGUAeQBcACIALAAgAFwAIgBOAFMAVwBcACIALAAgADAALgAwADUAOwBcAG4AIAAgACAAIAAgACAAIAAgAFwAIgBCAGEAcgBsAGUAeQBcACIALAAgAFwAIgBWAEkAQwBcACIALAAgADAALgAwADcAOwBcAG4AIAAgACAAIAAgACAAIAAgAFwAIgBCAGEAcgBsAGUAeQBcACIALAAgAFwAIgBRAEwARABcACIALAAgADAALgAwADQAOwBcAG4AIAAgACAAIAAgACAAIAAgAFwAIgBCAGEAcgBsAGUAeQBcACIALAAgAFwAIgBTAEEAXAAiACwAIAAwAC4AMAA5ADsAXABuACAAIAAgACAAIAAgACAAIABcACIAQgBhAHIAbABlAHkAXAAiACwAIABcACIAVwBBAFwAIgAsACAAMAAuADEAMQA7AFwAbgAgACAAIAAgACAAIAAgACAAXAAiAEIAYQByAGwAZQB5AFwAIgAsACAAXAAiAFQAQQBTAFwAIgAsACAAMAAuADEANgA7AFwAbgAgACAAIAAgACAAIAAgACAAXAAiAEIAYQByAGwAZQB5AFwAIgAsACAAXAAiAE4AVABcACIALAAgADAALgAwADEAOwBcAG4AIAAgACAAIAAgACAAIAAgAFwAIgBCAGEAcgBsAGUAeQBcACIALAAgAFwAIgBBAEMAVABcACIALAAgADAALgAwADAAOwBcAG4AIAAgACAAIAAgACAAIAAgAFwAIgBNAGEAaQB6AGUAXAAiACwAIABcACIATgBTAFcAXAAiACwAIAAwAC4AMAA1ADsAXABuACAAIAAgACAAIAAgACAAIABcACIATQBhAGkAegBlAFwAIgAsACAAXAAiAFYASQBDAFwAIgAsACAAMAAuADAANwA7AFwAbgAgACAAIAAgACAAIAAgACAAXAAiAE0AYQBpAHoAZQBcACIALAAgAFwAIgBRAEwARABcACIALAAgADAALgAwADQAOwBcAG4AIAAgACAAIAAgACAAIAAgAFwAIgBNAGEAaQB6AGUAXAAiACwAIABcACIAUwBBAFwAIgAsACAAMAAuADAAOQA7AFwAbgAgACAAIAAgACAAIAAgACAAXAAiAE0AYQBpAHoAZQBcACIALAAgAFwAIgBXAEEAXAAiACwAIAAwAC4AMQAxADsAXABuACAAIAAgACAAIAAgACAAIABcACIATQBhAGkAegBlAFwAIgAsACAAXAAiAFQAQQBTAFwAIgAsACAAMAAuADEANgA7AFwAbgAgACAAIAAgACAAIAAgACAAXAAiAE0AYQBpAHoAZQBcACIALAAgAFwAIgBOAFQAXAAiACwAIAAwAC4AMAAxADsAXABuACAAIAAgACAAIAAgACAAIABcACIATQBhAGkAegBlAFwAIgAsACAAXAAiAEEAQwBUAFwAIgAsACAAMAAuADAAMAA7AFwAbgAgACAAIAAgACAAIAAgACAAXAAiAE8AYQB0AHMAXAAiACwAIABcACIATgBTAFcAXAAiACwAIAAwAC4AMAA1ADsAXABuACAAIAAgACAAIAAgACAAIABcACIATwBhAHQAcwBcACIALAAgAFwAIgBWAEkAQwBcACIALAAgADAALgAwADcAOwBcAG4AIAAgACAAIAAgACAAIAAgAFwAIgBPAGEAdABzAFwAIgAsACAAXAAiAFEATABEAFwAIgAsACAAMAAuADAANAA7AFwAbgAgACAAIAAgACAAIAAgACAAXAAiAE8AYQB0AHMAXAAiACwAIABcACIAUwBBAFwAIgAsACAAMAAuADAAOQA7AFwAbgAgACAAIAAgACAAIAAgACAAXAAiAE8AYQB0AHMAXAAiACwAIABcACIAVwBBAFwAIgAsACAAMAAuADEAMQA7AFwAbgAgACAAIAAgACAAIAAgACAAXAAiAE8AYQB0AHMAXAAiACwAIABcACIAVABBAFMAXAAiACwAIAAwAC4AMQA2ADsAXABuACAAIAAgACAAIAAgACAAIABcACIATwBhAHQAcwBcACIALAAgAFwAIgBOAFQAXAAiACwAIAAwAC4AMAAxADsAXABuACAAIAAgACAAIAAgACAAIABcACIATwBhAHQAcwBcACIALAAgAFwAIgBBAEMAVABcACIALAAgADAALgAwADAAOwBcAG4AIAAgACAAIAAgACAAIAAgAFwAIgBTAG8AcgBnAGgAdQBtAFwAIgAsACAAXAAiAE4AUwBXAFwAIgAsACAAMAAuADAANQA7AFwAbgAgACAAIAAgACAAIAAgACAAXAAiAFMAbwByAGcAaAB1AG0AXAAiACwAIABcACIAVgBJAEMAXAAiACwAIAAwAC4AMAA3ADsAXABuACAAIAAgACAAIAAgACAAIABcACIAUwBvAHIAZwBoAHUAbQBcACIALAAgAFwAIgBRAEwARABcACIALAAgADAALgAwADQAOwBcAG4AIAAgACAAIAAgACAAIAAgAFwAIgBTAG8AcgBnAGgAdQBtAFwAIgAsACAAXAAiAFMAQQBcACIALAAgADAALgAwADkAOwBcAG4AIAAgACAAIAAgACAAIAAgAFwAIgBTAG8AcgBnAGgAdQBtAFwAIgAsACAAXAAiAFcAQQBcACIALAAgADAALgAxADEAOwBcAG4AIAAgACAAIAAgACAAIAAgAFwAIgBTAG8AcgBnAGgAdQBtAFwAIgAsACAAXAAiAFQAQQBTAFwAIgAsACAAMAAuADEANgA7AFwAbgAgACAAIAAgACAAIAAgACAAXAAiAFMAbwByAGcAaAB1AG0AXAAiACwAIABcACIATgBUAFwAIgAsACAAMAAuADAAMQA7AFwAbgAgACAAIAAgACAAIAAgACAAXAAiAFMAbwByAGcAaAB1AG0AXAAiACwAIABcACIAQQBDAFQAXAAiACwAIAAwAC4AMAAwADsAXABuACAAIAAgACAAIAAgACAAIABcACIAVAByAGkAdABpAGMAYQBsAGUAXAAiACwAIABcACIATgBTAFcAXAAiACwAIAAwAC4AMAA1ADsAXABuACAAIAAgACAAIAAgACAAIABcACIAVAByAGkAdABpAGMAYQBsAGUAXAAiACwAIABcACIAVgBJAEMAXAAiACwAIAAwAC4AMAA3ADsAXABuACAAIAAgACAAIAAgACAAIABcACIAVAByAGkAdABpAGMAYQBsAGUAXAAiACwAIABcACIAUQBMAEQAXAAiACwAIAAwAC4AMAA0ADsAXABuACAAIAAgACAAIAAgACAAIABcACIAVAByAGkAdABpAGMAYQBsAGUAXAAiACwAIABcACIAUwBBAFwAIgAsACAAMAAuADAAOQA7AFwAbgAgACAAIAAgACAAIAAgACAAXAAiAFQAcgBpAHQAaQBjAGEAbABlAFwAIgAsACAAXAAiAFcAQQBcACIALAAgADAALgAxADEAOwBcAG4AIAAgACAAIAAgACAAIAAgAFwAIgBUAHIAaQB0AGkAYwBhAGwAZQBcACIALAAgAFwAIgBUAEEAUwBcACIALAAgADAALgAxADYAOwBcAG4AIAAgACAAIAAgACAAIAAgAFwAIgBUAHIAaQB0AGkAYwBhAGwAZQBcACIALAAgAFwAIgBOAFQAXAAiACwAIAAwAC4AMAAxADsAXABuACAAIAAgACAAIAAgACAAIABcACIAVAByAGkAdABpAGMAYQBsAGUAXAAiACwAIABcACIAQQBDAFQAXAAiACwAIAAwAC4AMAAwADsAXABuACAAIAAgACAAIAAgACAAIABcACIATwB0AGgAZQByACAAYwBlAHIAZQBhAGwAcwBcACIALAAgAFwAIgBOAFMAVwBcACIALAAgADAALgAwADUAOwBcAG4AIAAgACAAIAAgACAAIAAgAFwAIgBPAHQAaABlAHIAIABjAGUAcgBlAGEAbABzAFwAIgAsACAAXAAiAFYASQBDAFwAIgAsACAAMAAuADAANwA7AFwAbgAgACAAIAAgACAAIAAgACAAXAAiAE8AdABoAGUAcgAgAGMAZQByAGUAYQBsAHMAXAAiACwAIABcACIAUQBMAEQAXAAiACwAIAAwAC4AMAA0ADsAXABuACAAIAAgACAAIAAgACAAIABcACIATwB0AGgAZQByACAAYwBlAHIAZQBhAGwAcwBcACIALAAgAFwAIgBTAEEAXAAiACwAIAAwAC4AMAA5ADsAXABuACAAIAAgACAAIAAgACAAIABcACIATwB0AGgAZQByACAAYwBlAHIAZQBhAGwAcwBcACIALAAgAFwAIgBXAEEAXAAiACwAIAAwAC4AMQAxADsAXABuACAAIAAgACAAIAAgACAAIABcACIATwB0AGgAZQByACAAYwBlAHIAZQBhAGwAcwBcACIALAAgAFwAIgBUAEEAUwBcACIALAAgADAALgAxADYAOwBcAG4AIAAgACAAIAAgACAAIAAgAFwAIgBPAHQAaABlAHIAIABjAGUAcgBlAGEAbABzAFwAIgAsACAAXAAiAE4AVABcACIALAAgADAALgAwADEAOwBcAG4AIAAgACAAIAAgACAAIAAgAFwAIgBPAHQAaABlAHIAIABjAGUAcgBlAGEAbABzAFwAIgAsACAAXAAiAEEAQwBUAFwAIgAsACAAMAAuADAAMAA7AFwAbgAgACAAIAAgACAAIAAgACAAXAAiAFAAdQBsAHMAZQBzAFwAIgAsACAAXAAiAE4AUwBXAFwAIgAsACAAMAAuADAANQA7AFwAbgAgACAAIAAgACAAIAAgACAAXAAiAFAAdQBsAHMAZQBzAFwAIgAsACAAXAAiAFYASQBDAFwAIgAsACAAMAAuADAANwA7AFwAbgAgACAAIAAgACAAIAAgACAAXAAiAFAAdQBsAHMAZQBzAFwAIgAsACAAXAAiAFEATABEAFwAIgAsACAAMAAuADAANAA7AFwAbgAgACAAIAAgACAAIAAgACAAXAAiAFAAdQBsAHMAZQBzAFwAIgAsACAAXAAiAFMAQQBcACIALAAgADAALgAwADkAOwBcAG4AIAAgACAAIAAgACAAIAAgAFwAIgBQAHUAbABzAGUAcwBcACIALAAgAFwAIgBXAEEAXAAiACwAIAAwAC4AMQAxADsAXABuACAAIAAgACAAIAAgACAAIABcACIAUAB1AGwAcwBlAHMAXAAiACwAIABcACIAVABBAFMAXAAiACwAIAAwAC4AMQA2ADsAXABuACAAIAAgACAAIAAgACAAIABcACIAUAB1AGwAcwBlAHMAXAAiACwAIABcACIATgBUAFwAIgAsACAAMAAuADAAMQA7AFwAbgAgACAAIAAgACAAIAAgACAAXAAiAFAAdQBsAHMAZQBzAFwAIgAsACAAXAAiAEEAQwBUAFwAIgAsACAAMAAuADAAMAA7AFwAbgAgACAAIAAgACAAIAAgACAAXAAiAFAAZQBhAG4AdQB0AHMAXAAiACwAIABcACIATgBTAFcAXAAiACwAIAAwAC4AMAA1ADsAXABuACAAIAAgACAAIAAgACAAIABcACIAUABlAGEAbgB1AHQAcwBcACIALAAgAFwAIgBWAEkAQwBcACIALAAgADAALgAwADcAOwBcAG4AIAAgACAAIAAgACAAIAAgAFwAIgBQAGUAYQBuAHUAdABzAFwAIgAsACAAXAAiAFEATABEAFwAIgAsACAAMAAuADAANAA7AFwAbgAgACAAIAAgACAAIAAgACAAXAAiAFAAZQBhAG4AdQB0AHMAXAAiACwAIABcACIAUwBBAFwAIgAsACAAMAAuADAAOQA7AFwAbgAgACAAIAAgACAAIAAgACAAXAAiAFAAZQBhAG4AdQB0AHMAXAAiACwAIABcACIAVwBBAFwAIgAsACAAMAAuADEAMQA7AFwAbgAgACAAIAAgACAAIAAgACAAXAAiAFAAZQBhAG4AdQB0AHMAXAAiACwAIABcACIAVABBAFMAXAAiACwAIAAwAC4AMQA2ADsAXABuACAAIAAgACAAIAAgACAAIABcACIAUABlAGEAbgB1AHQAcwBcACIALAAgAFwAIgBOAFQAXAAiACwAIAAwAC4AMAAxADsAXABuACAAIAAgACAAIAAgACAAIABcACIAUABlAGEAbgB1AHQAcwBcACIALAAgAFwAIgBBAEMAVABcACIALAAgADAALgAwADAAOwBcAG4AIAAgACAAIAAgACAAIAAgAFwAIgBPAGkAbABzAGUAZQBkAHMAXAAiACwAIABcACIATgBTAFcAXAAiACwAIAAwAC4AMAA1ADsAXABuACAAIAAgACAAIAAgACAAIABcACIATwBpAGwAcwBlAGUAZABzAFwAIgAsACAAXAAiAFYASQBDAFwAIgAsACAAMAAuADAANwA7AFwAbgAgACAAIAAgACAAIAAgACAAXAAiAE8AaQBsAHMAZQBlAGQAcwBcACIALAAgAFwAIgBRAEwARABcACIALAAgADAALgAwADQAOwBcAG4AIAAgACAAIAAgACAAIAAgAFwAIgBPAGkAbABzAGUAZQBkAHMAXAAiACwAIABcACIAUwBBAFwAIgAsACAAMAAuADAAOQA7AFwAbgAgACAAIAAgACAAIAAgACAAXAAiAE8AaQBsAHMAZQBlAGQAcwBcACIALAAgAFwAIgBXAEEAXAAiACwAIAAwAC4AMQAxADsAXABuACAAIAAgACAAIAAgACAAIABcACIATwBpAGwAcwBlAGUAZABzAFwAIgAsACAAXAAiAFQAQQBTAFwAIgAsACAAMAAuADEANgA7AFwAbgAgACAAIAAgACAAIAAgACAAXAAiAE8AaQBsAHMAZQBlAGQAcwBcACIALAAgAFwAIgBOAFQAXAAiACwAIAAwAC4AMAAxADsAXABuACAAIAAgACAAIAAgACAAIABcACIATwBpAGwAcwBlAGUAZABzAFwAIgAsACAAXAAiAEEAQwBUAFwAIgAsACAAMAAuADAAMAA7AFwAbgAgACAAIAAgACAAIAAgACAAXAAiAE8AdABoAGUAcgAgAGEAbgBuAHUAYQBsACAAYwByAG8AcABzAFwAIgAsACAAXAAiAE4AUwBXAFwAIgAsACAAMAAuADAANQA7AFwAbgAgACAAIAAgACAAIAAgACAAXAAiAE8AdABoAGUAcgAgAGEAbgBuAHUAYQBsACAAYwByAG8AcABzAFwAIgAsACAAXAAiAFYASQBDAFwAIgAsACAAMAAuADAANwA7AFwAbgAgACAAIAAgACAAIAAgACAAXAAiAE8AdABoAGUAcgAgAGEAbgBuAHUAYQBsACAAYwByAG8AcABzAFwAIgAsACAAXAAiAFEATABEAFwAIgAsACAAMAAuADAANAA7AFwAbgAgACAAIAAgACAAIAAgACAAXAAiAE8AdABoAGUAcgAgAGEAbgBuAHUAYQBsACAAYwByAG8AcABzAFwAIgAsACAAXAAiAFMAQQBcACIALAAgADAALgAwADkAOwBcAG4AIAAgACAAIAAgACAAIAAgAFwAIgBPAHQAaABlAHIAIABhAG4AbgB1AGEAbAAgAGMAcgBvAHAAcwBcACIALAAgAFwAIgBXAEEAXAAiACwAIAAwAC4AMQAxADsAXABuACAAIAAgACAAIAAgACAAIABcACIATwB0AGgAZQByACAAYQBuAG4AdQBhAGwAIABjAHIAbwBwAHMAXAAiACwAIABcACIAVABBAFMAXAAiACwAIAAwAC4AMQA2ADsAXABuACAAIAAgACAAIAAgACAAIABcACIATwB0AGgAZQByACAAYQBuAG4AdQBhAGwAIABjAHIAbwBwAHMAXAAiACwAIABcACIATgBUAFwAIgAsACAAMAAuADAAMQA7AFwAbgAgACAAIAAgACAAIAAgACAAXAAiAE8AdABoAGUAcgAgAGEAbgBuAHUAYQBsACAAYwByAG8AcABzAFwAIgAsACAAXAAiAEEAQwBUAFwAIgAsACAAMAAuADAAMAA7AFwAbgAgACAAIAAgACAAIAAgACAAXAAiAE8AdABoAGUAcgAgAHAAZQByAGUAbgBuAGkAYQBsACAAYwByAG8AcABzAFwAIgAsACAAXAAiAE4AUwBXAFwAIgAsACAAMAAuADAANQA7AFwAbgAgACAAIAAgACAAIAAgACAAXAAiAE8AdABoAGUAcgAgAHAAZQByAGUAbgBuAGkAYQBsACAAYwByAG8AcABzAFwAIgAsACAAXAAiAFYASQBDAFwAIgAsACAAMAAuADAANwA7AFwAbgAgACAAIAAgACAAIAAgACAAXAAiAE8AdABoAGUAcgAgAHAAZQByAGUAbgBuAGkAYQBsACAAYwByAG8AcABzAFwAIgAsACAAXAAiAFEATABEAFwAIgAsACAAMAAuADAANAA7AFwAbgAgACAAIAAgACAAIAAgACAAXAAiAE8AdABoAGUAcgAgAHAAZQByAGUAbgBuAGkAYQBsACAAYwByAG8AcABzAFwAIgAsACAAXAAiAFMAQQBcACIALAAgADAALgAwADkAOwBcAG4AIAAgACAAIAAgACAAIAAgAFwAIgBPAHQAaABlAHIAIABwAGUAcgBlAG4AbgBpAGEAbAAgAGMAcgBvAHAAcwBcACIALAAgAFwAIgBXAEEAXAAiACwAIAAwAC4AMQAxADsAXABuACAAIAAgACAAIAAgACAAIABcACIATwB0AGgAZQByACAAcABlAHIAZQBuAG4AaQBhAGwAIABjAHIAbwBwAHMAXAAiACwAIABcACIAVABBAFMAXAAiACwAIAAwAC4AMQA2ADsAXABuACAAIAAgACAAIAAgACAAIABcACIATwB0AGgAZQByACAAcABlAHIAZQBuAG4AaQBhAGwAIABjAHIAbwBwAHMAXAAiACwAIABcACIATgBUAFwAIgAsACAAMAAuADAAMQA7AFwAbgAgACAAIAAgACAAIAAgACAAXAAiAE8AdABoAGUAcgAgAHAAZQByAGUAbgBuAGkAYQBsACAAYwByAG8AcABzAFwAIgAsACAAXAAiAEEAQwBUAFwAIgAsACAAMAAuADAAMABcAG4AIAAgACAAIAAgACAAfQAsACAAcgAsACAAYwApAFwAbgApACkAKQA7AFwAbgBcAG4AQwByAG8AcABGAHIAYQBjAHQAaQBvAG4AUgBlAG0AbwB2AGUAZABfAFYAYQByAGkAYQB0AGkAbwBuAFwAbgA9AEwAQQBNAEIARABBACgAKABcACIAVgBBAFIASQBBAFQASQBPAE4AIABPAEYAIABTAE8AVQBSAEMARQAgAEQAQQBUAEEAOgAgAFMAcABsAGkAdAAgAFwAdQAwADAAMgA3AEEAbABsACAAbwB0AGgAZQByACAAYwByAG8AcAAgAHQAeQBwAGUAcwBcAHUAMAAwADIANwAgAGkAbgB0AG8AIABpAG4AZABpAHYAaQBkAHUAYQBsACAAYwByAG8AcAAgAHQAeQBwAGUAcwAgAGYAbwByACAAZQBhAGMAaAAgAHMAdABhAHQAZQAuACAATABpAHMAdABlAGQAIABhAGwAbAAgAHMAdABhAHQAZQBzACAAZgBvAHIAIABTAHUAZwBhAHIAIABDAGEAbgBlACwAIAB3AGkAdABoACAAXAB1ADAAMAAyADcATgAvAEEAXAB1ADAAMAAyADcAIABmAG8AcgAgAHMAdABhAHQAZQBzACAAdwBoAGUAcgBlACAAaQB0ACAAaQBzACAAbgBvAHQAIABnAHIAbwB3AG4ALgBcACIAKQApADsAXABuAFwAbgBcAG4ALwAqAFwAbgA9AD0APQA9AD0APQA9AD0APQA9AD0APQA9AD0APQA9AD0APQA9AD0APQA9AD0APQA9AD0APQA9AD0APQA9AD0APQA9AD0APQA9AD0APQA9AD0APQA9AD0APQA9AD0APQA9AD0APQA9AD0APQA9AD0APQA9AD0APQA9AD0APQA9AD0APQA9AD0APQA9AD0APQA9AD0APQA9AFwAbgBQAGEAcwB0AHUAcgBlACAAYQB0AHQAcgBpAGIAdQB0AGUAcwBcAG4APQA9AD0APQA9AD0APQA9AD0APQA9AD0APQA9AD0APQA9AD0APQA9AD0APQA9AD0APQA9AD0APQA9AD0APQA9AD0APQA9AD0APQA9AD0APQA9AD0APQA9AD0APQA9AD0APQA9AD0APQA9AD0APQA9AD0APQA9AD0APQA9AD0APQA9AD0APQA9AD0APQA9AD0APQA9AD0APQBcAG4AKgAvAFwAbgBcAG4AUABhAHMAdAB1AHIAZQBBAHQAdAByAGkAYgB1AHQAZQBzAF8AVABpAHQAbABlAFwAbgA9AEwAQQBNAEIARABBACgAKABcACIAVABhAGIAbABlACAAQQAuADIALgAxAC4AMwAgAFAAYQBzAHQAdQByAGUAIABhAHQAdAByAGkAYgB1AHQAZQBzAFwAIgApACkAOwBcAG4AXABuAFAAYQBzAHQAdQByAGUAQQB0AHQAcgBpAGIAdQB0AGUAcwBfAEQAZQBzAGMAcgBpAHAAdABpAG8AbgBcAG4APQBMAEEATQBCAEQAQQAoACgAXAAiAFAAYQBzAHQAdQByAGUAIABhAHQAdAByAGkAYgB1AHQAZQBzAFwAIgApACkAOwBcAG4AXABuAFAAYQBzAHQAdQByAGUAQQB0AHQAcgBpAGIAdQB0AGUAcwBfAFMAbwB1AHIAYwBlAFwAbgA9AEwAQQBNAEIARABBACgAKABcACIAVgBFAEUAUgBHACAAMgAwADIANgA6ACAAVABhAGIAbABlACAAQQAuADIALgAxAC4AMwA6ACAAUABhAHMAdAB1AHIAZQAgAGEAdAB0AHIAaQBiAHUAdABlAHMAXAAiACkAKQA7AFwAbgBcAG4AUABhAHMAdAB1AHIAZQBBAHQAdAByAGkAYgB1AHQAZQBzAF8ARABhAHQAYQBcAG4APQBMAEEATQBCAEQAQQAoAFwAbgAgACAATQBBAEsARQBBAFIAUgBBAFkAKAA2ACwAIAA2ACwAXABuACAAIAAgACAATABBAE0AQgBEAEEAKAByACwAYwAsAFwAbgAgACAAIAAgACAAIABJAE4ARABFAFgAKAB7AFwAbgAgACAAIAAgACAAIAAgACAAXAAiAFAAYQBzAHQAdQByAGUAIAB0AHkAcABlAFwAIgAsACAAXAAiAEEAdgBlAHIAYQBnAGUAIABZAGkAZQBsAGQAIAAoAHQAIABEAE0AIABoAGEAKQAgAFkAcABcACIALAAgAFwAIgBCAGUAbABvAHcALQBnAHIAbwB1AG4AZAA6ACAAYQBiAG8AdgBlAC0AZwByAG8AdQBuAGQAIAByAGUAcwBpAGQAdQBlACAAcgBhAHQAaQBvACAAUgBCAEcAcABcACIALAAgAFwAIgBOACAAYwBvAG4AdABlAG4AdAAgAEEAYgBvAHYAZQAtAGcAcgBvAHUAbgBkACAATgBDAEEARwBwAFwAIgAsACAAXAAiAE4AIABjAG8AbgB0AGUAbgB0ACAAQgBlAGwAbwB3AC0AZwByAG8AdQBuAGQAIABOAEMAQgBHAHAAXAAiACwAIABcACIARgByAGEAYwB0AGkAbwBuACAAbwBmACAAcABhAHMAdAB1AHIAZQAgAHkAaQBlAGwAZAAgAHQAaABhAHQAIABpAHMAIAByAGUAbQBvAHYAZQBkACAARgBGAE8ARABwAFwAIgA7AFwAbgAgACAAIAAgACAAIAAgACAAXAAiAEEAbgBuAHUAYQBsACAAZwByAGEAcwBzAFwAIgAsACAANAAuADQAMQAsACAAMAAuADQALAAgADAALgAwADEANQAsACAAMAAuADAAMQAyACwAIAAwAC4AOAA7AFwAbgAgACAAIAAgACAAIAAgACAAXAAiAEcAcgBhAHMAcwAgAGMAbABvAHYAZQByACAAbQBpAHgAdAB1AHIAZQBcACIALAAgADgALgAzADQALAAgADAALgA4ACwAIAAwAC4AMAAyADUALAAgADAALgAwADEANgAsACAAMAAuADgAOwBcAG4AIAAgACAAIAAgACAAIAAgAFwAIgBMAHUAYwBlAHIAbgBlAFwAIgAsACAAOAAuADYAMgAsACAAMAAuADQALAAgADAALgAwADIANwAsACAAMAAuADAAMQA5ACwAIAAwAC4AOAA7AFwAbgAgACAAIAAgACAAIAAgACAAXAAiAE8AdABoAGUAcgAgAGwAZQBnAHUAbQBlAFwAIgAsACAANQAuADYAMgAsACAAMAAuADQALAAgADAALgAwADIANwAsACAAMAAuADAAMgAyACwAIAAwAC4AOAA7AFwAbgAgACAAIAAgACAAIAAgACAAXAAiAFAAZQByAGUAbgBuAGkAYQBsACAAcABhAHMAdAB1AHIAZQBcACIALAAgADgALgAzADUALAAgADAALgA4ACwAIAAwAC4AMAAxADUALAAgADAALgAwADEAMgAsACAAMAAuADgAXABuACAAIAAgACAAIAAgAH0ALAAgAHIALAAgAGMAKQBcAG4AKQApACkAOwBcAG4AXABuAFwAbgAvACoAXABuAD0APQA9AD0APQA9AD0APQA9AD0APQA9AD0APQA9AD0APQA9AD0APQA9AD0APQA9AD0APQA9AD0APQA9AD0APQA9AD0APQA9AD0APQA9AD0APQA9AD0APQA9AD0APQA9AD0APQA9AD0APQA9AD0APQA9AD0APQA9AD0APQA9AD0APQA9AD0APQA9AD0APQA9AD0APQA9AD0AXABuAFQAYQBiAGwAZQAgADUALgAzADEAIABCAHUAcgBuAGkAbgBnACAAbwBmACAAYQBnAHIAaQBjAHUAbAB0AHUAcgBhAGwAIAByAGUAcwBpAGQAdQBlAHMAIAAtACAARQBGAHMAXABuAD0APQA9AD0APQA9AD0APQA9AD0APQA9AD0APQA9AD0APQA9AD0APQA9AD0APQA9AD0APQA9AD0APQA9AD0APQA9AD0APQA9AD0APQA9AD0APQA9AD0APQA9AD0APQA9AD0APQA9AD0APQA9AD0APQA9AD0APQA9AD0APQA9AD0APQA9AD0APQA9AD0APQA9AD0APQA9AD0AXABuACoALwBcAG4AXABuAEIAdQByAG4AaQBuAGcATwBmAEEAZwByAGkAYwB1AGwAdAB1AHIAYQBsAFIAZQBzAGkAZAB1AGUAcwBFAEYAcwBfAFQAaQB0AGwAZQBcAG4APQBMAEEATQBCAEQAQQAoACgAXAAiAFQAYQBiAGwAZQAgADUALgAzADEAIABCAHUAcgBuAGkAbgBnACAAbwBmACAAYQBnAHIAaQBjAHUAbAB0AHUAcgBhAGwAIAByAGUAcwBpAGQAdQBlAHMAIAAtACAARQBGAHMAXAAiACkAKQA7AFwAbgBcAG4AQgB1AHIAbgBpAG4AZwBPAGYAQQBnAHIAaQBjAHUAbAB0AHUAcgBhAGwAUgBlAHMAaQBkAHUAZQBzAEUARgBzAF8ARABlAHMAYwByAGkAcAB0AGkAbwBuAFwAbgA9AEwAQQBNAEIARABBACgAKABcACIAQgB1AHIAbgBpAG4AZwAgAG8AZgAgAGEAZwByAGkAYwB1AGwAdAB1AHIAYQBsACAAcgBlAHMAaQBkAHUAZQBzACAALQAgAEUARgBzAFwAIgApACkAOwBcAG4AXABuAEIAdQByAG4AaQBuAGcATwBmAEEAZwByAGkAYwB1AGwAdAB1AHIAYQBsAFIAZQBzAGkAZAB1AGUAcwBFAEYAcwBfAFMAbwB1AHIAYwBlAFwAbgA9AEwAQQBNAEIARABBACgAKABcACIATgBhAHQAaQBvAG4AYQBsACAASQBuAHYAZQBuAHQAbwByAHkAIABSAGUAcABvAHIAdAAgADIAMAAyADMAIAB2AG8AbAB1AG0AZQAgADIAOgAgAFQAYQBiAGwAZQAgADUALgAzADEAOgAgAEIAdQByAG4AaQBuAGcAIABvAGYAIABhAGcAcgBpAGMAdQBsAHQAdQByAGEAbAAgAHIAZQBzAGkAZAB1AGUAcwAgAC0AIABFAEYAcwBcACIAKQApADsAXABuAFwAbgBCAHUAcgBuAGkAbgBnAE8AZgBBAGcAcgBpAGMAdQBsAHQAdQByAGEAbABSAGUAcwBpAGQAdQBlAHMARQBGAHMAXwBEAGEAdABhAFwAbgA9AEwAQQBNAEIARABBACgAXABuACAAIABNAEEASwBFAEEAUgBSAEEAWQAoADYALAAgADMALABcAG4AIAAgACAAIABMAEEATQBCAEQAQQAoAHIALABjACwAXABuACAAIAAgACAAIAAgAEkATgBEAEUAWAAoAHsAXABuACAAIAAgACAAIAAgACAAIABcACIARwBhAHMAIABzAHAAZQBjAGkAZQBzAFwAIgAsACAAXAAiAEUAbQBpAHMAcwBpAG8AbgAgAGYAYQBjAHQAbwByACAARQBGAGcAIAAoAEcAZwAgAGUAbABlAG0AZQBuAHQAIABpAG4AIABzAHAAZQBjAGkAZQBzAC8AIABHAGcAIABlAGwAZQBtAGUAbgB0ACAAaQBuACAAZgB1AGUAbAAgAGIAdQByAG4AdAApAFwAIgAsACAAXAAiAEUAbABlAG0AZQBuAHQAYQBsACAAdABvACAAbQBvAGwAZQBjAHUAbABhAHIAIABtAGEAcwBzACAAYwBvAG4AdgBlAHIAcwBpAG8AbgAgAGYAYQBjAHQAbwByACAAKABDAGcAKQBcACIAOwBcAG4AIAAgACAAIAAgACAAIAAgAFwAIgBDAEgANABcACIALAAgADAALgAwADAAMwA1ACwAIABcACIAMQA2AC8AMQAyAFwAIgA7AFwAbgAgACAAIAAgACAAIAAgACAAXAAiAE4AMgBPAFwAIgAsACAAMAAuADAAMAA3ADYALAAgAFwAIgA0ADQALwAyADgAXAAiADsAXABuACAAIAAgACAAIAAgACAAIABcACIATgBPAHgAXAAiACwAIAAwAC4AMgAxADAAMAAsACAAXAAiADQANgAvADEANABcACIAOwBcAG4AIAAgACAAIAAgACAAIAAgAFwAIgBDAE8AXAAiACwAIAAwAC4AMAA3ADgAMAAsACAAXAAiADIAOAAvADEAMgBcACIAOwBcAG4AIAAgACAAIAAgACAAIAAgAFwAIgBOAE0AVgBPAEMAXAAiACwAIAAwAC4AMAAwADkAMQAsACAAXAAiADEANAAvADEAMgBcACIAXABuACAAIAAgACAAIAAgAH0ALAAgAHIALAAgAGMAKQBcAG4AKQApACkAOwBcAG4AXABuAFwAbgAvACoAIABcAG4ALQAtAC0ALQAtAC0ALQAtAC0ALQAtAC0ALQAtAC0ALQAtAC0ALQAtAC0ALQAtAC0ALQAtAC0ALQAtAC0ALQAtAC0ALQAtAC0ALQAtAFwAbgBOADIATwBFAEYATwByAGcAYQBuAGkAYwBGAGUAcgB0AGkAbABpAHMAZQByAFwAbgBWAEUARQBSAEcAIAAyADAAMgA2ADoAIABUAGEAYgBsAGUAIABBAC4AMgAuADEALgA0ACAARQBtAGkAcwBzAGkAbwBuACAAZgBhAGMAdABvAHIAIABmAG8AcgAgAG8AcgBnAGEAbgBpAGMAIABmAGUAcgB0AGkAbABpAHMAZQByACAAYQBuAGQAIABjAHIAbwBwACAAcgBlAHMAaQBkAHUAZQBzACAAcgBlAHQAdQByAG4AZQBkACAAdABvACAAdABoAGUAIABzAG8AaQBsAFwAbgAtAC0ALQAtAC0ALQAtAC0ALQAtAC0ALQAtAC0ALQAtAC0ALQAtAC0ALQAtAC0ALQAtAC0ALQAtAC0ALQAtAC0ALQAtAC0ALQAtAC0AXABuACoALwBcAG4AXABuAE4AMgBPAEUARgBPAHIAZwBhAG4AaQBjAEYAZQByAHQAaQBsAGkAcwBlAHIAXwBUAGkAdABsAGUAXABuACAAIAA9AEwAQQBNAEIARABBACgAXAAiAEUAbQBpAHMAcwBpAG8AbgAgAGYAYQBjAHQAbwByACAAZgBvAHIAIABvAHIAZwBhAG4AaQBjACAAZgBlAHIAdABpAGwAaQBzAGUAcgAgAGEAbgBkACAAYwByAG8AcAAgAHIAZQBzAGkAZAB1AGUAcwAgAHIAZQB0AHUAcgBuAGUAZAAgAHQAbwAgAHQAaABlACAAcwBvAGkAbABcACIAKQA7AFwAbgBcAG4ATgAyAE8ARQBGAE8AcgBnAGEAbgBpAGMARgBlAHIAdABpAGwAaQBzAGUAcgBfAFUAbgBpAHQAXABuACAAIAA9AEwAQQBNAEIARABBACgAXAAiAGsAZwAgAE4AMgBPACAALQAgAE4AIAAvACAAawBnACAATgBcACIAKQA7AFwAbgBcAG4ATgAyAE8ARQBGAE8AcgBnAGEAbgBpAGMARgBlAHIAdABpAGwAaQBzAGUAcgBfAFMAbwB1AHIAYwBlAFwAbgAgACAAPQBMAEEATQBCAEQAQQAoAFwAIgBWAEUARQBSAEcAIAAyADAAMgA2ADoAIABUAGEAYgBsAGUAIABBAC4AMgAuADEALgA0AFwAIgApADsAXABuAFwAbgBOADIATwBFAEYATwByAGcAYQBuAGkAYwBGAGUAcgB0AGkAbABpAHMAZQByAF8ATgBJAFIAUgBlAGYAZQByAGUAbgBjAGUAXABuACAAIAA9AEwAQQBNAEIARABBACgAXAAiAEkAUABDAEMAIAAyADAAMQA5ACAAUgBlAGYAaQBuAGUAbQBlAG4AdAAgAFYAbwBsAHUAbQBlACAANAAgAFQAYQBiAGwAZQAgADEAMQAuADEAIABbADEALAAgAHAALgAgADEAMQBdAFwAIgApADsAXABuAFwAbgBOADIATwBFAEYATwByAGcAYQBuAGkAYwBGAGUAcgB0AGkAbABpAHMAZQByAF8ARABhAHQAYQBcAG4AIAAgAD0ATABBAE0AQgBEAEEAKABcAG4AIAAgACAAIABNAEEASwBFAEEAUgBSAEEAWQAoADMALAAgADIALAAgAFwAbgAgACAAIAAgACAAIABMAEEATQBCAEQAQQAoAHIALABjACwAIABcAG4AIAAgACAAIAAgACAAIAAgAEkATgBEAEUAWAAoAHsAXABuACAAIAAgACAAIAAgACAAIAAgACAAXAAiAEMAbABpAG0AYQB0AGUAIAB6AG8AbgBlACAAaQBcACIALAAgAFwAIgBFAEYAIABpACAATgAyAE8AXAAiADsAXABuACAAIAAgACAAIAAgACAAIAAgACAAIAAgAFwAIgBXAGUAdAAgAGMAbABpAG0AYQB0AGUAIAB6AG8AbgBlAFwAIgAsACAAMAAuADAAMAA2ADsAXABuACAAIAAgACAAIAAgACAAIAAgACAAIAAgAFwAIgBEAHIAeQAgAGMAbABpAG0AYQB0AGUAIAB6AG8AbgBlAFwAIgAsACAAMAAuADAAMAA1AFwAbgAgACAAIAAgACAAIAAgACAAfQAsACAAcgAsACAAYwApAFwAbgAgACAAIAAgACAAIAApAFwAbgAgACAAIAAgACkAXABuACAAIAApADsAXABuAFwAbgBcAG4AXABuACIAfQAsAHsAIgBwAGEAdABoACIAOgAiAC8AcAByAG8AagBlAGMAdABzAC8AUwBjAG8AcABlADMAXwBFAHEAdQBhAHQAaQBvAG4AcwAiACwAIgB0AGUAeAB0ACIAOgAiAC8AKgBcAG4APQA9AD0APQA9AD0APQA9AD0APQA9AD0APQA9AD0APQA9AD0APQA9AD0APQA9AD0APQA9AD0APQA9AD0APQA9AD0APQA9AD0APQA9AD0APQA9AD0APQA9AD0APQA9AD0APQA9AD0APQA9AD0APQA9AD0APQA9AD0APQA9AD0APQA9AD0APQA9AD0APQA9AD0APQA9AD0APQBcAG4AMQA1ADoAIABTAGMAbwBwAGUAIAAzACAARQBtAGkAcwBzAGkAbwBuAHMAXABuAD0APQA9AD0APQA9AD0APQA9AD0APQA9AD0APQA9AD0APQA9AD0APQA9AD0APQA9AD0APQA9AD0APQA9AD0APQA9AD0APQA9AD0APQA9AD0APQA9AD0APQA9AD0APQA9AD0APQA9AD0APQA9AD0APQA9AD0APQA9AD0APQA9AD0APQA9AD0APQA9AD0APQA9AD0APQA9AD0AXABuACoALwBcAG4AXABuAC8AKgBcAG4ALQAtAC0ALQAtAC0ALQAtAC0ALQAtAC0ALQAtAC0ALQAtAC0ALQAtAC0ALQAtAC0ALQAtAC0ALQAtAC0ALQAtAC0ALQAtAC0ALQAtAFwAbgBWAEUARQBSAEcAXwAxADUAXwAxAF8AMQBfADEAXwBfADEAXwBFAG0AaQBzAHMAaQBvAG4AcwBGAHIAbwBtAFAAdQByAGMAaABhAHMAZQBkAEwAaQB2AGUAcwB0AG8AYwBrAFwAbgBUAG8AdABhAGwAIABlAG0AaQBzAHMAaQBvAG4AcwAgAGYAcgBvAG0AIABwAHUAcgBjAGgAYQBzAGUAZAAgAGwAaQB2AGUAcwB0AG8AYwBrAFwAbgBFAFwAbgB0ACAAQwBPADIAZQBcAG4ARQA9AFwAXABzAHUAbQBcAFwAbgBvAGwAaQBtAGkAdABzAF8AYwBcAFwAcwB1AG0AXABcAG4AbwBsAGkAbQBpAHQAcwBfAG8AXABcAGwAZQBmAHQAKABOAF8AewBjAG8AfQBcAFwAdABpAG0AZQBzACAAVwBfAHsAYwBvAH0AXABcAHQAaQBtAGUAcwAgAEUARgBfAHsAYwBvAH0AXABcAHIAaQBnAGgAdAApAFwAXAB0AGkAbQBlAHMAIAAxADAAXgB7AC0AMwB9AFwAbgBOAF8AYwBvACAAPQAgAG4AdQBtAGIAZQByACAAbwBmACAAYQBuAGkAbQBhAGwAcwAgAHAAdQByAGMAaABhAHMAZQBkACAAaQBuACAAbABpAHYAZQBzAHQAbwBjAGsAIAB0AHkAcABlACAAYwAgAGYAcgBvAG0AIABvAHIAaQBnAGkAbgAgAG8AXABuAFcAXwBjAG8AIAA9ACAAYQB2AGUAcgBhAGcAZQAgAGwAaQB2AGUAdwBlAGkAZwBoAHQAIABvAGYAIABwAHUAcgBjAGgAYQBzAGUAZAAgAGwAaQB2AGUAcwB0AG8AYwBrACAAYQB0ACAAcABvAGkAbgB0ACAAbwBmACAAcAB1AHIAYwBoAGEAcwBlAFwAbgBFAEYAXwBjAG8AIAA9ACAAZQBtAGkAcwBzAGkAbwBuACAAZgBhAGMAdABvAHIAIABwAGUAcgAgAGwAaQB2AGUAcwB0AG8AYwBrACAAdAB5AHAAZQAgAGEAbgBkACAAbwByAGkAZwBpAG4AXABuAC0ALQAtAC0ALQAtAC0ALQAtAC0ALQAtAC0ALQAtAC0ALQAtAC0ALQAtAC0ALQAtAC0ALQAtAC0ALQAtAC0ALQAtAC0ALQAtAC0ALQBcAG4AKgAvAFwAbgBcAG4AVgBFAEUAUgBHAF8AMQA1AF8AMQBfADEAXwAxAF8AXwAxAF8ARQBtAGkAcwBzAGkAbwBuAHMARgByAG8AbQBQAHUAcgBjAGgAYQBzAGUAZABMAGkAdgBlAHMAdABvAGMAawBcAG4AIAAgAD0ATABBAE0AQgBEAEEAKABcAG4AIAAgACAAIABOAF8AYwBvACwAIABXAF8AYwBvACwAIABFAEYAXwBjAG8ALABcAG4AIAAgACAAIAAoAE4AXwBjAG8AIAAqACAAVwBfAGMAbwAgACoAIABFAEYAXwBjAG8AKQAgACoAIAAxADAAIABeACAALQAzAFwAbgAgACAAKQA7AFwAbgBcAG4AVgBFAEUAUgBHAF8AMQA1AF8AMQBfADEAXwAxAF8AXwAxAF8ARQBtAGkAcwBzAGkAbwBuAHMARgByAG8AbQBQAHUAcgBjAGgAYQBzAGUAZABMAGkAdgBlAHMAdABvAGMAawBfAFQAaQB0AGwAZQBcAG4AIAAgAD0ATABBAE0AQgBEAEEAKABcACIAVABvAHQAYQBsACAAZQBtAGkAcwBzAGkAbwBuAHMAIABmAHIAbwBtACAAcAB1AHIAYwBoAGEAcwBlAGQAIABsAGkAdgBlAHMAdABvAGMAawBcACIAKQA7AFwAbgBcAG4AVgBFAEUAUgBHAF8AMQA1AF8AMQBfADEAXwAxAF8AXwAxAF8ARQBtAGkAcwBzAGkAbwBuAHMARgByAG8AbQBQAHUAcgBjAGgAYQBzAGUAZABMAGkAdgBlAHMAdABvAGMAawBfAFYAYQByAGkAYQBiAGwAZQBcAG4AIAAgAD0ATABBAE0AQgBEAEEAKABcACIARQBcACIAKQA7AFwAbgBcAG4AVgBFAEUAUgBHAF8AMQA1AF8AMQBfADEAXwAxAF8AXwAxAF8ARQBtAGkAcwBzAGkAbwBuAHMARgByAG8AbQBQAHUAcgBjAGgAYQBzAGUAZABMAGkAdgBlAHMAdABvAGMAawBfAFUAbgBpAHQAXABuACAAIAA9AEwAQQBNAEIARABBACgAXAAiAHQAIABDAE8AMgBlAFwAIgApADsAXABuAFwAbgBWAEUARQBSAEcAXwAxADUAXwAxAF8AMQBfADEAXwBfADEAXwBFAG0AaQBzAHMAaQBvAG4AcwBGAHIAbwBtAFAAdQByAGMAaABhAHMAZQBkAEwAaQB2AGUAcwB0AG8AYwBrAF8AUwBvAHUAcgBjAGUAXABuACAAIAA9AEwAQQBNAEIARABBACgAXAAiAFYARQBFAFIARwAgADIAMAAyADYAOgAgADEANQAuADEALgAxAC4AMQAsACAARQBxAHUAYQB0AGkAbwBuACAAKAAxACkAXAAiACkAOwBcAG4AXABuAFYARQBFAFIARwBfADEANQBfADEAXwAxAF8AMQBfAF8AMQBfAEUAbQBpAHMAcwBpAG8AbgBzAEYAcgBvAG0AUAB1AHIAYwBoAGEAcwBlAGQATABpAHYAZQBzAHQAbwBjAGsAXwBOAEkAUgBSAGUAZgBlAHIAZQBuAGMAZQBcAG4AIAAgAD0ATABBAE0AQgBEAEEAKABcACIAXAAiACkAOwBcAG4AXABuAFYARQBFAFIARwBfADEANQBfADEAXwAxAF8AMQBfAF8AMQBfAEUAbQBpAHMAcwBpAG8AbgBzAEYAcgBvAG0AUAB1AHIAYwBoAGEAcwBlAGQATABpAHYAZQBzAHQAbwBjAGsAXwBMAGEAdABlAHgARQBxAHUAYQB0AGkAbwBuAFwAbgAgACAAPQBMAEEATQBCAEQAQQAoAFwAIgBFAD0AXABcAHMAdQBtAFwAXABuAG8AbABpAG0AaQB0AHMAXwBjAFwAXABzAHUAbQBcAFwAbgBvAGwAaQBtAGkAdABzAF8AbwBcAFwAbABlAGYAdAAoAE4AXwB7AGMAbwB9AFwAXAB0AGkAbQBlAHMAIABXAF8AewBjAG8AfQBcAFwAdABpAG0AZQBzACAARQBGAF8AewBjAG8AfQBcAFwAcgBpAGcAaAB0ACkAXABcAHQAaQBtAGUAcwAgADEAMABeAHsALQAzAH0AXAAiACkAOwBcAG4AXABuAFYARQBFAFIARwBfADEANQBfADEAXwAxAF8AMQBfAF8AMQBfAEUAbQBpAHMAcwBpAG8AbgBzAEYAcgBvAG0AUAB1AHIAYwBoAGEAcwBlAGQATABpAHYAZQBzAHQAbwBjAGsAXwBBAHIAZwB1AG0AZQBuAHQAcwBcAG4AIAAgAD0ATABBAE0AQgBEAEEAKABcAG4AIAAgACAAIABNAEEASwBFAEEAUgBSAEEAWQAoADUALAAgADQALABcAG4AIAAgACAAIAAgACAATABBAE0AQgBEAEEAKAByACwAYwAsAFwAbgAgACAAIAAgACAAIAAgACAASQBOAEQARQBYACgAewBcAG4AIAAgACAAIAAgACAAIAAgACAAIABcACIATgBfAGMAbwBcACIALAAgAFwAIgBuAHUAbQBiAGUAcgAgAG8AZgAgAGEAbgBpAG0AYQBsAHMAIABwAHUAcgBjAGgAYQBzAGUAZAAgAGkAbgAgAGwAaQB2AGUAcwB0AG8AYwBrACAAdAB5AHAAZQAgAGMAIABmAHIAbwBtACAAbwByAGkAZwBpAG4AIABvAFwAIgAsACAAXAAiAGgAZQBhAGQAXAAiACwAIABcACIASQBuAHAAdQB0AFwAIgA7AFwAbgAgACAAIAAgACAAIAAgACAAIAAgAFwAIgBXAF8AYwBvAFwAIgAsACAAXAAiAGEAdgBlAHIAYQBnAGUAIABsAGkAdgBlAHcAZQBpAGcAaAB0ACAAbwBmACAAcAB1AHIAYwBoAGEAcwBlAGQAIABsAGkAdgBlAHMAdABvAGMAawAgAGEAdAAgAHAAbwBpAG4AdAAgAG8AZgAgAHAAdQByAGMAaABhAHMAZQBcACIALAAgAFwAIgBrAGcALwBoAGUAYQBkAFwAIgAsACAAXAAiAEkAbgBwAHUAdABcACIAOwBcAG4AIAAgACAAIAAgACAAIAAgACAAIABcACIARQBGAF8AYwBvAFwAIgAsACAAXAAiAGUAbQBpAHMAcwBpAG8AbgAgAGYAYQBjAHQAbwByACAAcABlAHIAIABsAGkAdgBlAHMAdABvAGMAawAgAHQAeQBwAGUAIABhAG4AZAAgAG8AcgBpAGcAaQBuAFwAIgAsACAAXAAiAGsAZwAgAEMATwAyAGUALwBrAGcAXAAiACwAIABcACIAQwBvAG4AcwB0AGEAbgB0AFwAIgA7AFwAbgAgACAAIAAgACAAIAAgACAAIAAgAFwAIgBjAFwAIgAsACAAXAAiAGwAaQB2AGUAcwB0AG8AYwBrACAAdAB5AHAAZQBcACIALAAgAFwAIgBcACIALAAgAFwAIgBJAG4AcAB1AHQAXAAiADsAXABuACAAIAAgACAAIAAgACAAIAAgACAAXAAiAG8AXAAiACwAIABcACIAbwByAGkAZwBpAG4AXAAiACwAIABcACIAXAAiACwAIABcACIASQBuAHAAdQB0AFwAIgBcAG4AIAAgACAAIAAgACAAIAAgAH0ALAAgAHIALAAgAGMAKQBcAG4AIAAgACAAIAAgACAAKQBcAG4AIAAgACAAIAApAFwAbgAgACAAKQA7AFwAbgBcAG4ALwAqAFwAbgAtAC0ALQAtAC0ALQAtAC0ALQAtAC0ALQAtAC0ALQAtAC0ALQAtAC0ALQAtAC0ALQAtAC0ALQAtAC0ALQAtAC0ALQAtAC0ALQAtAC0AXABuAFYARQBFAFIARwBfADEANQBfADIAXwAxAF8AMQBfAF8AMQBfAEUAbQBpAHMAcwBpAG8AbgBzAEYAcgBvAG0AUAB1AHIAYwBoAGEAcwBlAGQARgBlAGUAZABcAG4ARQBtAGkAcwBzAGkAbwBuAHMAIABmAHIAbwBtACAAcAB1AHIAYwBoAGEAcwBlAGQAIABmAGUAZQBkAFwAbgBFAFwAbgB0ACAAQwBPADIAZQBcAG4ARQA9AFwAXABzAHUAbQBcAFwAbgBvAGwAaQBtAGkAdABzAF8AagBcAFwAbABlAGYAdAAoAFEAXwBqAFwAXAB0AGkAbQBlAHMAIABFAEYAXwBqAFwAXAByAGkAZwBoAHQAKQBcAG4AUQBfAGoAIAA9ACAAcQB1AGEAbgB0AGkAdAB5ACAAbwBmACAAZgBlAGUAZAAgAHQAeQBwAGUAIABqACAAcAB1AHIAYwBoAGEAcwBlAGQAXABuAEUARgBfAGoAIAA9ACAAZQBtAGkAcwBzAGkAbwBuACAAZgBhAGMAdABvAHIAIABvAGYAIABwAHUAcgBjAGgAYQBzAGUAZAAgAGYAZQBlAGQAXABuAC0ALQAtAC0ALQAtAC0ALQAtAC0ALQAtAC0ALQAtAC0ALQAtAC0ALQAtAC0ALQAtAC0ALQAtAC0ALQAtAC0ALQAtAC0ALQAtAC0ALQBcAG4AKgAvAFwAbgBcAG4AVgBFAEUAUgBHAF8AMQA1AF8AMgBfADEAXwAxAF8AXwAxAF8ARQBtAGkAcwBzAGkAbwBuAHMARgByAG8AbQBQAHUAcgBjAGgAYQBzAGUAZABGAGUAZQBkAFwAbgAgACAAPQBMAEEATQBCAEQAQQAoAFwAbgAgACAAIAAgAFEAXwBqACwAIABFAEYAXwBqACwAXABuACAAIAAgACAAUQBfAGoAIAAqACAARQBGAF8AagBcAG4AIAAgACkAOwBcAG4AXABuAFYARQBFAFIARwBfADEANQBfADIAXwAxAF8AMQBfAF8AMQBfAEUAbQBpAHMAcwBpAG8AbgBzAEYAcgBvAG0AUAB1AHIAYwBoAGEAcwBlAGQARgBlAGUAZABfAFQAaQB0AGwAZQBcAG4AIAAgAD0ATABBAE0AQgBEAEEAKABcACIARQBtAGkAcwBzAGkAbwBuAHMAIABmAHIAbwBtACAAcAB1AHIAYwBoAGEAcwBlAGQAIABmAGUAZQBkAFwAIgApADsAXABuAFwAbgBWAEUARQBSAEcAXwAxADUAXwAyAF8AMQBfADEAXwBfADEAXwBFAG0AaQBzAHMAaQBvAG4AcwBGAHIAbwBtAFAAdQByAGMAaABhAHMAZQBkAEYAZQBlAGQAXwBWAGEAcgBpAGEAYgBsAGUAXABuACAAIAA9AEwAQQBNAEIARABBACgAXAAiAEUAXAAiACkAOwBcAG4AXABuAFYARQBFAFIARwBfADEANQBfADIAXwAxAF8AMQBfAF8AMQBfAEUAbQBpAHMAcwBpAG8AbgBzAEYAcgBvAG0AUAB1AHIAYwBoAGEAcwBlAGQARgBlAGUAZABfAFUAbgBpAHQAXABuACAAIAA9AEwAQQBNAEIARABBACgAXAAiAHQAIABDAE8AMgBlAFwAIgApADsAXABuAFwAbgBWAEUARQBSAEcAXwAxADUAXwAyAF8AMQBfADEAXwBfADEAXwBFAG0AaQBzAHMAaQBvAG4AcwBGAHIAbwBtAFAAdQByAGMAaABhAHMAZQBkAEYAZQBlAGQAXwBTAG8AdQByAGMAZQBcAG4AIAAgAD0ATABBAE0AQgBEAEEAKABcACIAVgBFAEUAUgBHACAAMgAwADIANgA6ACAAMQA1AC4AMgAuADEALgAxACwAIABFAHEAdQBhAHQAaQBvAG4AIAAoADEAKQBcACIAKQA7AFwAbgBcAG4AVgBFAEUAUgBHAF8AMQA1AF8AMgBfADEAXwAxAF8AXwAxAF8ARQBtAGkAcwBzAGkAbwBuAHMARgByAG8AbQBQAHUAcgBjAGgAYQBzAGUAZABGAGUAZQBkAF8ATgBJAFIAUgBlAGYAZQByAGUAbgBjAGUAXABuACAAIAA9AEwAQQBNAEIARABBACgAXAAiAFwAIgApADsAXABuAFwAbgBWAEUARQBSAEcAXwAxADUAXwAyAF8AMQBfADEAXwBfADEAXwBFAG0AaQBzAHMAaQBvAG4AcwBGAHIAbwBtAFAAdQByAGMAaABhAHMAZQBkAEYAZQBlAGQAXwBMAGEAdABlAHgARQBxAHUAYQB0AGkAbwBuAFwAbgAgACAAPQBMAEEATQBCAEQAQQAoAFwAIgBFAD0AXABcAHMAdQBtAFwAXABuAG8AbABpAG0AaQB0AHMAXwBqAFwAXABsAGUAZgB0ACgAUQBfAGoAXABcAHQAaQBtAGUAcwAgAEUARgBfAGoAXABcAHIAaQBnAGgAdAApAFwAIgApADsAXABuAFwAbgBWAEUARQBSAEcAXwAxADUAXwAyAF8AMQBfADEAXwBfADEAXwBFAG0AaQBzAHMAaQBvAG4AcwBGAHIAbwBtAFAAdQByAGMAaABhAHMAZQBkAEYAZQBlAGQAXwBBAHIAZwB1AG0AZQBuAHQAcwBcAG4AIAAgAD0ATABBAE0AQgBEAEEAKABcAG4AIAAgACAAIABNAEEASwBFAEEAUgBSAEEAWQAoADMALAAgADQALABcAG4AIAAgACAAIAAgACAATABBAE0AQgBEAEEAKAByACwAYwAsAFwAbgAgACAAIAAgACAAIAAgACAASQBOAEQARQBYACgAewBcAG4AIAAgACAAIAAgACAAIAAgACAAIABcACIAUQBfAGoAXAAiACwAIABcACIAcQB1AGEAbgB0AGkAdAB5ACAAbwBmACAAZgBlAGUAZAAgAHQAeQBwAGUAIABqACAAcAB1AHIAYwBoAGEAcwBlAGQAXAAiACwAIABcACIAdABcACIALAAgAFwAIgBJAG4AcAB1AHQAXAAiADsAXABuACAAIAAgACAAIAAgACAAIAAgACAAXAAiAEUARgBfAGoAXAAiACwAIABcACIAZQBtAGkAcwBzAGkAbwBuACAAZgBhAGMAdABvAHIAIABvAGYAIABwAHUAcgBjAGgAYQBzAGUAZAAgAGYAZQBlAGQAXAAiACwAIABcACIAawBnACAAQwBPADIAZQAvAGsAZwBcACIALAAgAFwAIgBDAG8AbgBzAHQAYQBuAHQAXAAiADsAXABuACAAIAAgACAAIAAgACAAIAAgACAAXAAiAGoAXAAiACwAIABcACIAZgBlAGUAZAAgAHQAeQBwAGUAXAAiACwAIABcACIAXAAiACwAIABcACIASQBuAHAAdQB0AFwAIgBcAG4AIAAgACAAIAAgACAAIAAgAH0ALAAgAHIALAAgAGMAKQBcAG4AIAAgACAAIAAgACAAKQBcAG4AIAAgACAAIAApAFwAbgAgACAAKQA7AFwAbgBcAG4ALwAqAFwAbgAtAC0ALQAtAC0ALQAtAC0ALQAtAC0ALQAtAC0ALQAtAC0ALQAtAC0ALQAtAC0ALQAtAC0ALQAtAC0ALQAtAC0ALQAtAC0ALQAtAC0AXABuAFYARQBFAFIARwBfADEANQBfADMAXwAxAF8AMQBfAF8AMQBfAEUAbQBpAHMAcwBpAG8AbgBzAEYAcgBvAG0AUAB1AHIAYwBoAGEAcwBlAGQATQBpAG4AZQByAGEAbABTAHUAcABwAGwAZQBtAGUAbgB0AHMAXABuAFQAbwB0AGEAbAAgAGUAbQBpAHMAcwBpAG8AbgBzACAAZgByAG8AbQAgAHAAdQByAGMAaABhAHMAZQBkACAAbQBpAG4AZQByAGEAbAAgAHMAdQBwAHAAbABlAG0AZQBuAHQAcwBcAG4ARQBcAG4AdAAgAEMATwAyAGUAXABuAEUAPQBcAFwAcwB1AG0AXABcAG4AbwBsAGkAbQBpAHQAcwBfAG0AXABcAGwAZQBmAHQAKABRAF8AbQBcAFwAdABpAG0AZQBzACAARQBGAF8AbQBcAFwAcgBpAGcAaAB0ACkAXABuAFEAXwBtACAAPQAgAHQAbwB0AGEAbAAgAHEAdQBhAG4AdABpAHQAeQAgAG8AZgAgAG0AaQBuAGUAcgBhAGwAIABzAHUAcABwAGwAZQBtAGUAbgB0ACAAdAB5AHAAZQAgAG0AIAB1AHMAZQBkAFwAbgBFAEYAXwBtACAAPQAgAGUAbQBpAHMAcwBpAG8AbgAgAGYAYQBjAHQAbwByACAAbwBmACAAcAB1AHIAYwBoAGEAcwBlAGQAIABtAGkAbgBlAHIAYQBsACAAcwB1AHAAcABsAGUAbQBlAG4AdABcAG4ALQAtAC0ALQAtAC0ALQAtAC0ALQAtAC0ALQAtAC0ALQAtAC0ALQAtAC0ALQAtAC0ALQAtAC0ALQAtAC0ALQAtAC0ALQAtAC0ALQAtAFwAbgAqAC8AXABuAFwAbgBWAEUARQBSAEcAXwAxADUAXwAzAF8AMQBfADEAXwBfADEAXwBFAG0AaQBzAHMAaQBvAG4AcwBGAHIAbwBtAFAAdQByAGMAaABhAHMAZQBkAE0AaQBuAGUAcgBhAGwAUwB1AHAAcABsAGUAbQBlAG4AdABzAFwAbgAgACAAPQBMAEEATQBCAEQAQQAoAFwAbgAgACAAIAAgAFEAXwBtACwAIABFAEYAXwBtACwAXABuACAAIAAgACAAUQBfAG0AIAAqACAARQBGAF8AbQBcAG4AIAAgACkAOwBcAG4AXABuAFYARQBFAFIARwBfADEANQBfADMAXwAxAF8AMQBfAF8AMQBfAEUAbQBpAHMAcwBpAG8AbgBzAEYAcgBvAG0AUAB1AHIAYwBoAGEAcwBlAGQATQBpAG4AZQByAGEAbABTAHUAcABwAGwAZQBtAGUAbgB0AHMAXwBUAGkAdABsAGUAXABuACAAIAA9AEwAQQBNAEIARABBACgAXAAiAFQAbwB0AGEAbAAgAGUAbQBpAHMAcwBpAG8AbgBzACAAZgByAG8AbQAgAHAAdQByAGMAaABhAHMAZQBkACAAbQBpAG4AZQByAGEAbAAgAHMAdQBwAHAAbABlAG0AZQBuAHQAcwBcACIAKQA7AFwAbgBcAG4AVgBFAEUAUgBHAF8AMQA1AF8AMwBfADEAXwAxAF8AXwAxAF8ARQBtAGkAcwBzAGkAbwBuAHMARgByAG8AbQBQAHUAcgBjAGgAYQBzAGUAZABNAGkAbgBlAHIAYQBsAFMAdQBwAHAAbABlAG0AZQBuAHQAcwBfAFYAYQByAGkAYQBiAGwAZQBcAG4AIAAgAD0ATABBAE0AQgBEAEEAKABcACIARQBcACIAKQA7AFwAbgBcAG4AVgBFAEUAUgBHAF8AMQA1AF8AMwBfADEAXwAxAF8AXwAxAF8ARQBtAGkAcwBzAGkAbwBuAHMARgByAG8AbQBQAHUAcgBjAGgAYQBzAGUAZABNAGkAbgBlAHIAYQBsAFMAdQBwAHAAbABlAG0AZQBuAHQAcwBfAFUAbgBpAHQAXABuACAAIAA9AEwAQQBNAEIARABBACgAXAAiAHQAIABDAE8AMgBlAFwAIgApADsAXABuAFwAbgBWAEUARQBSAEcAXwAxADUAXwAzAF8AMQBfADEAXwBfADEAXwBFAG0AaQBzAHMAaQBvAG4AcwBGAHIAbwBtAFAAdQByAGMAaABhAHMAZQBkAE0AaQBuAGUAcgBhAGwAUwB1AHAAcABsAGUAbQBlAG4AdABzAF8AUwBvAHUAcgBjAGUAXABuACAAIAA9AEwAQQBNAEIARABBACgAXAAiAFYARQBFAFIARwAgADIAMAAyADYAOgAgADEANQAuADMALgAxAC4AMQAsACAARQBxAHUAYQB0AGkAbwBuACAAKAAxACkAXAAiACkAOwBcAG4AXABuAFYARQBFAFIARwBfADEANQBfADMAXwAxAF8AMQBfAF8AMQBfAEUAbQBpAHMAcwBpAG8AbgBzAEYAcgBvAG0AUAB1AHIAYwBoAGEAcwBlAGQATQBpAG4AZQByAGEAbABTAHUAcABwAGwAZQBtAGUAbgB0AHMAXwBOAEkAUgBSAGUAZgBlAHIAZQBuAGMAZQBcAG4AIAAgAD0ATABBAE0AQgBEAEEAKABcACIAXAAiACkAOwBcAG4AXABuAFYARQBFAFIARwBfADEANQBfADMAXwAxAF8AMQBfAF8AMQBfAEUAbQBpAHMAcwBpAG8AbgBzAEYAcgBvAG0AUAB1AHIAYwBoAGEAcwBlAGQATQBpAG4AZQByAGEAbABTAHUAcABwAGwAZQBtAGUAbgB0AHMAXwBMAGEAdABlAHgARQBxAHUAYQB0AGkAbwBuAFwAbgAgACAAPQBMAEEATQBCAEQAQQAoAFwAIgBFAD0AXABcAHMAdQBtAFwAXABuAG8AbABpAG0AaQB0AHMAXwBtAFwAXABsAGUAZgB0ACgAUQBfAG0AXABcAHQAaQBtAGUAcwAgAEUARgBfAG0AXABcAHIAaQBnAGgAdAApAFwAIgApADsAXABuAFwAbgBWAEUARQBSAEcAXwAxADUAXwAzAF8AMQBfADEAXwBfADEAXwBFAG0AaQBzAHMAaQBvAG4AcwBGAHIAbwBtAFAAdQByAGMAaABhAHMAZQBkAE0AaQBuAGUAcgBhAGwAUwB1AHAAcABsAGUAbQBlAG4AdABzAF8AQQByAGcAdQBtAGUAbgB0AHMAXABuACAAIAA9AEwAQQBNAEIARABBACgAXABuACAAIAAgACAATQBBAEsARQBBAFIAUgBBAFkAKAAzACwAIAA0ACwAXABuACAAIAAgACAAIAAgAEwAQQBNAEIARABBACgAcgAsAGMALABcAG4AIAAgACAAIAAgACAAIAAgAEkATgBEAEUAWAAoAHsAXABuACAAIAAgACAAIAAgACAAIAAgACAAXAAiAFEAXwBtAFwAIgAsACAAXAAiAHQAbwB0AGEAbAAgAHEAdQBhAG4AdABpAHQAeQAgAG8AZgAgAG0AaQBuAGUAcgBhAGwAIABzAHUAcABwAGwAZQBtAGUAbgB0ACAAdAB5AHAAZQAgAG0AIAB1AHMAZQBkAFwAIgAsACAAXAAiAHQAXAAiACwAIABcACIASQBuAHAAdQB0AFwAIgA7AFwAbgAgACAAIAAgACAAIAAgACAAIAAgAFwAIgBFAEYAXwBtAFwAIgAsACAAXAAiAGUAbQBpAHMAcwBpAG8AbgAgAGYAYQBjAHQAbwByACAAbwBmACAAcAB1AHIAYwBoAGEAcwBlAGQAIABtAGkAbgBlAHIAYQBsACAAcwB1AHAAcABsAGUAbQBlAG4AdABcACIALAAgAFwAIgBrAGcAIABDAE8AMgBlAC8AawBnAFwAIgAsACAAXAAiAEMAbwBuAHMAdABhAG4AdABcACIAOwBcAG4AIAAgACAAIAAgACAAIAAgACAAIABcACIAbQBcACIALAAgAFwAIgBtAGkAbgBlAHIAYQBsACAAcwB1AHAAcABsAGUAbQBlAG4AdAAgAHQAeQBwAGUAXAAiACwAIABcACIAXAAiACwAIABcACIASQBuAHAAdQB0AFwAIgBcAG4AIAAgACAAIAAgACAAIAAgAH0ALAAgAHIALAAgAGMAKQBcAG4AIAAgACAAIAAgACAAKQBcAG4AIAAgACAAIAApAFwAbgAgACAAKQA7AFwAbgBcAG4ALwAqAFwAbgAtAC0ALQAtAC0ALQAtAC0ALQAtAC0ALQAtAC0ALQAtAC0ALQAtAC0ALQAtAC0ALQAtAC0ALQAtAC0ALQAtAC0ALQAtAC0ALQAtAC0AXABuAFYARQBFAFIARwBfADEANQBfADQAXwAxAF8AMQBfAF8AMQBfAEUAbQBpAHMAcwBpAG8AbgBzAEYAcgBvAG0AUAB1AHIAYwBoAGEAcwBlAGQARgBlAHIAdABpAGwAaQBzAGUAcgBcAG4ARQBtAGkAcwBzAGkAbwBuAHMAIABmAHIAbwBtACAAcAB1AHIAYwBoAGEAcwBlAGQAIABmAGUAcgB0AGkAbABpAHMAZQByAFwAbgBFAFwAbgB0ACAAQwBPADIAZQBcAG4ARQA9AFwAXABzAHUAbQBcAFwAbgBvAGwAaQBtAGkAdABzAF8AZgBcAFwAcwB1AG0AXABcAG4AbwBsAGkAbQBpAHQAcwBfAGoAXABcAGwAZQBmAHQAKABUAE0AXwB7AGoAZgB9AFwAXAB0AGkAbQBlAHMAIABFAEYAXwBmAFwAXAByAGkAZwBoAHQAKQBcAFwAdABpAG0AZQBzACAAMQAwAF4AewAtADMAfQBcAG4AVABNAF8AagBmACAAPQAgAHEAdQBhAG4AdABpAHQAeQAgAG8AZgAgAGkAbgBvAHIAZwBhAG4AaQBjACAAZgBlAHIAdABpAGwAaQBzAGUAcgAgAHQAeQBwAGUAIABmACAAcAB1AHIAYwBoAGEAcwBlAGQAIABhAG4AZAAgAGEAcABwAGwAaQBlAGQAIAB0AG8AIABwAHIAbwBkAHUAYwB0AGkAbwBuACAAcwB5AHMAdABlAG0AIABqAFwAbgBFAEYAXwBmACAAPQAgAGUAbQBpAHMAcwBpAG8AbgAgAGYAYQBjAHQAbwByACAAbwBmACAAcAB1AHIAYwBoAGEAcwBlAGQAIABpAG4AbwByAGcAYQBuAGkAYwAgAGYAZQByAHQAaQBsAGkAcwBlAHIAXABuAC0ALQAtAC0ALQAtAC0ALQAtAC0ALQAtAC0ALQAtAC0ALQAtAC0ALQAtAC0ALQAtAC0ALQAtAC0ALQAtAC0ALQAtAC0ALQAtAC0ALQBcAG4AKgAvAFwAbgBcAG4AVgBFAEUAUgBHAF8AMQA1AF8ANABfADEAXwAxAF8AXwAxAF8ARQBtAGkAcwBzAGkAbwBuAHMARgByAG8AbQBQAHUAcgBjAGgAYQBzAGUAZABGAGUAcgB0AGkAbABpAHMAZQByAFwAbgAgACAAPQBMAEEATQBCAEQAQQAoAFwAbgAgACAAIAAgAFQATQBfAGoAZgAsACAARQBGAF8AZgAsAFwAbgAgACAAIAAgACgAVABNAF8AagBmACAAKgAgAEUARgBfAGYAKQAgACoAIAAxADAAIABeACAALQAzAFwAbgAgACAAKQA7AFwAbgBcAG4AVgBFAEUAUgBHAF8AMQA1AF8ANABfADEAXwAxAF8AXwAxAF8ARQBtAGkAcwBzAGkAbwBuAHMARgByAG8AbQBQAHUAcgBjAGgAYQBzAGUAZABGAGUAcgB0AGkAbABpAHMAZQByAF8AVABpAHQAbABlAFwAbgAgACAAPQBMAEEATQBCAEQAQQAoAFwAIgBFAG0AaQBzAHMAaQBvAG4AcwAgAGYAcgBvAG0AIABwAHUAcgBjAGgAYQBzAGUAZAAgAGYAZQByAHQAaQBsAGkAcwBlAHIAXAAiACkAOwBcAG4AXABuAFYARQBFAFIARwBfADEANQBfADQAXwAxAF8AMQBfAF8AMQBfAEUAbQBpAHMAcwBpAG8AbgBzAEYAcgBvAG0AUAB1AHIAYwBoAGEAcwBlAGQARgBlAHIAdABpAGwAaQBzAGUAcgBfAFYAYQByAGkAYQBiAGwAZQBcAG4AIAAgAD0ATABBAE0AQgBEAEEAKABcACIARQBcACIAKQA7AFwAbgBcAG4AVgBFAEUAUgBHAF8AMQA1AF8ANABfADEAXwAxAF8AXwAxAF8ARQBtAGkAcwBzAGkAbwBuAHMARgByAG8AbQBQAHUAcgBjAGgAYQBzAGUAZABGAGUAcgB0AGkAbABpAHMAZQByAF8AVQBuAGkAdABcAG4AIAAgAD0ATABBAE0AQgBEAEEAKABcACIAdAAgAEMATwAyAGUAXAAiACkAOwBcAG4AXABuAFYARQBFAFIARwBfADEANQBfADQAXwAxAF8AMQBfAF8AMQBfAEUAbQBpAHMAcwBpAG8AbgBzAEYAcgBvAG0AUAB1AHIAYwBoAGEAcwBlAGQARgBlAHIAdABpAGwAaQBzAGUAcgBfAFMAbwB1AHIAYwBlAFwAbgAgACAAPQBMAEEATQBCAEQAQQAoAFwAIgBWAEUARQBSAEcAIAAyADAAMgA2ADoAIAAxADUALgA0AC4AMQAuADEALAAgAEUAcQB1AGEAdABpAG8AbgAgACgAMQApAFwAIgApADsAXABuAFwAbgBWAEUARQBSAEcAXwAxADUAXwA0AF8AMQBfADEAXwBfADEAXwBFAG0AaQBzAHMAaQBvAG4AcwBGAHIAbwBtAFAAdQByAGMAaABhAHMAZQBkAEYAZQByAHQAaQBsAGkAcwBlAHIAXwBOAEkAUgBSAGUAZgBlAHIAZQBuAGMAZQBcAG4AIAAgAD0ATABBAE0AQgBEAEEAKABcACIAXAAiACkAOwBcAG4AXABuAFYARQBFAFIARwBfADEANQBfADQAXwAxAF8AMQBfAF8AMQBfAEUAbQBpAHMAcwBpAG8AbgBzAEYAcgBvAG0AUAB1AHIAYwBoAGEAcwBlAGQARgBlAHIAdABpAGwAaQBzAGUAcgBfAEwAYQB0AGUAeABFAHEAdQBhAHQAaQBvAG4AXABuACAAIAA9AEwAQQBNAEIARABBACgAXAAiAEUAPQBcAFwAcwB1AG0AXABcAG4AbwBsAGkAbQBpAHQAcwBfAGYAXABcAHMAdQBtAFwAXABuAG8AbABpAG0AaQB0AHMAXwBqAFwAXABsAGUAZgB0ACgAVABNAF8AewBqAGYAfQBcAFwAdABpAG0AZQBzACAARQBGAF8AZgBcAFwAcgBpAGcAaAB0ACkAXABcAHQAaQBtAGUAcwAgADEAMABeAHsALQAzAH0AXAAiACkAOwBcAG4AXABuAFYARQBFAFIARwBfADEANQBfADQAXwAxAF8AMQBfAF8AMQBfAEUAbQBpAHMAcwBpAG8AbgBzAEYAcgBvAG0AUAB1AHIAYwBoAGEAcwBlAGQARgBlAHIAdABpAGwAaQBzAGUAcgBfAEEAcgBnAHUAbQBlAG4AdABzAFwAbgAgACAAPQBMAEEATQBCAEQAQQAoAFwAbgAgACAAIAAgAE0AQQBLAEUAQQBSAFIAQQBZACgANAAsACAANAAsAFwAbgAgACAAIAAgACAAIABMAEEATQBCAEQAQQAoAHIALABjACwAXABuACAAIAAgACAAIAAgACAAIABJAE4ARABFAFgAKAB7AFwAbgAgACAAIAAgACAAIAAgACAAIAAgAFwAIgBUAE0AXwBqAGYAXAAiACwAIABcACIAcQB1AGEAbgB0AGkAdAB5ACAAbwBmACAAaQBuAG8AcgBnAGEAbgBpAGMAIABmAGUAcgB0AGkAbABpAHMAZQByACAAdAB5AHAAZQAgAGYAIABwAHUAcgBjAGgAYQBzAGUAZAAgAGEAbgBkACAAYQBwAHAAbABpAGUAZAAgAHQAbwAgAHAAcgBvAGQAdQBjAHQAaQBvAG4AIABzAHkAcwB0AGUAbQAgAGoAXAAiACwAIABcACIAawBnAFwAIgAsACAAXAAiAEkAbgBwAHUAdABcACIAOwBcAG4AIAAgACAAIAAgACAAIAAgACAAIABcACIARQBGAF8AZgBcACIALAAgAFwAIgBlAG0AaQBzAHMAaQBvAG4AIABmAGEAYwB0AG8AcgAgAG8AZgAgAHAAdQByAGMAaABhAHMAZQBkACAAaQBuAG8AcgBnAGEAbgBpAGMAIABmAGUAcgB0AGkAbABpAHMAZQByAFwAIgAsACAAXAAiAGsAZwAgAEMATwAyAGUALwBrAGcAXAAiACwAIABcACIAQwBvAG4AcwB0AGEAbgB0AFwAIgA7AFwAbgAgACAAIAAgACAAIAAgACAAIAAgAFwAIgBqAFwAIgAsACAAXAAiAHAAcgBvAGQAdQBjAHQAaQBvAG4AIABzAHkAcwB0AGUAbQBcACIALAAgAFwAIgBcACIALAAgAFwAIgBJAG4AcAB1AHQAXAAiADsAXABuACAAIAAgACAAIAAgACAAIAAgACAAXAAiAGYAXAAiACwAIABcACIAaQBuAG8AcgBnAGEAbgBpAGMAIABmAGUAcgB0AGkAbABpAHMAZQByACAAdAB5AHAAZQBcACIALAAgAFwAIgBcACIALAAgAFwAIgBJAG4AcAB1AHQAXAAiAFwAbgAgACAAIAAgACAAIAAgACAAfQAsACAAcgAsACAAYwApAFwAbgAgACAAIAAgACAAIAApAFwAbgAgACAAIAAgACkAXABuACAAIAApADsAXABuAFwAbgAvACoAXABuAC0ALQAtAC0ALQAtAC0ALQAtAC0ALQAtAC0ALQAtAC0ALQAtAC0ALQAtAC0ALQAtAC0ALQAtAC0ALQAtAC0ALQAtAC0ALQAtAC0ALQBcAG4AVgBFAEUAUgBHAF8AMQA1AF8ANABfADEAXwAxAF8AXwAyAF8ARQBtAGkAcwBzAGkAbwBuAHMARgByAG8AbQBQAHUAcgBjAGgAYQBzAGUAZABGAGUAcgB0AGkAbABpAHMAZQByAEMAbwBtAHAAbwBuAGUAbgB0AHMAXABuAEUAbQBpAHMAcwBpAG8AbgBzACAAZgByAG8AbQAgAHAAdQByAGMAaABhAHMAZQBkACAAZgBlAHIAdABpAGwAaQBzAGUAcgAgAGMAbwBtAHAAbwBuAGUAbgB0AHMAXABuAEUAXABuAHQAIABDAE8AMgBlAFwAbgBFAD0AXABcAHMAdQBtAFwAXABuAG8AbABpAG0AaQB0AHMAXwBmAFwAXABzAHUAbQBcAFwAbgBvAGwAaQBtAGkAdABzAF8AYwBcAFwAcwB1AG0AXABcAG4AbwBsAGkAbQBpAHQAcwBfAGoAXABcAGwAZQBmAHQAKAAoAEYAXwB7AGMAZgB9AFwAXAB0AGkAbQBlAHMAIABUAE0AXwB7AGoAZgB9ACkALwAxADAAMABcAFwAdABpAG0AZQBzACAARQBGAF8AYwBcAFwAcgBpAGcAaAB0ACkAXABuAEYAXwBjAGYAIAA9ACAAZgByAGEAYwB0AGkAbwBuACAAbwBmACAAYwBvAG0AcABvAG4AZQBuAHQAIABjACAAYwBvAG4AdABhAGkAbgBlAGQAIAB3AGkAdABoAGkAbgAgAHQAaABlACAAaQBuAG8AcgBnAGEAbgBpAGMAIABmAGUAcgB0AGkAbABpAHMAZQByACAAZgBcAG4AVABNAF8AagBmACAAPQAgAHEAdQBhAG4AdABpAHQAeQAgAG8AZgAgAGkAbgBvAHIAZwBhAG4AaQBjACAAZgBlAHIAdABpAGwAaQBzAGUAcgAgAHQAeQBwAGUAIABmACAAcAB1AHIAYwBoAGEAcwBlAGQAIABhAG4AZAAgAGEAcABwAGwAaQBlAGQAIAB0AG8AIABwAHIAbwBkAHUAYwB0AGkAbwBuACAAcwB5AHMAdABlAG0AIABqAFwAbgBFAEYAXwBjACAAPQAgAGUAbQBpAHMAcwBpAG8AbgAgAGYAYQBjAHQAbwByACAAZgBvAHIAIAB0AGgAZQAgAHAAcgBvAGQAdQBjAHQAaQBvAG4AIABvAGYAIABjAG8AbQBwAG8AbgBlAG4AdAAgAGMAXABuAC0ALQAtAC0ALQAtAC0ALQAtAC0ALQAtAC0ALQAtAC0ALQAtAC0ALQAtAC0ALQAtAC0ALQAtAC0ALQAtAC0ALQAtAC0ALQAtAC0ALQBcAG4AKgAvAFwAbgBcAG4AVgBFAEUAUgBHAF8AMQA1AF8ANABfADEAXwAxAF8AXwAyAF8ARQBtAGkAcwBzAGkAbwBuAHMARgByAG8AbQBQAHUAcgBjAGgAYQBzAGUAZABGAGUAcgB0AGkAbABpAHMAZQByAEMAbwBtAHAAbwBuAGUAbgB0AHMAXABuACAAIAA9AEwAQQBNAEIARABBACgAXABuACAAIAAgACAARgBfAGMAZgAsACAAVABNAF8AagBmACwAIABFAEYAXwBjACwAXABuACAAIAAgACAAKAAoAEYAXwBjAGYAIAAqACAAVABNAF8AagBmACkAIAAvACAAMQAwADAAKQAgACoAIABFAEYAXwBjAFwAbgAgACAAKQA7AFwAbgBcAG4AVgBFAEUAUgBHAF8AMQA1AF8ANABfADEAXwAxAF8AXwAyAF8ARQBtAGkAcwBzAGkAbwBuAHMARgByAG8AbQBQAHUAcgBjAGgAYQBzAGUAZABGAGUAcgB0AGkAbABpAHMAZQByAEMAbwBtAHAAbwBuAGUAbgB0AHMAVgBhAHIAaQBhAHQAaQBvAG4AXABuACAAIAA9AEwAQQBNAEIARABBACgAXABuACAAIAAgACAARgBfAGMAZgAsACAAVABNAF8AagBmACwAIABFAEYAXwBjACwAXABuACAAIAAgACAAKABGAF8AYwBmACAAKgAgAFQATQBfAGoAZgApACAAKgAgAEUARgBfAGMAIAAqACAAMQAwAF4ALQAzAFwAbgAgACAAKQA7AFwAbgBcAG4AVgBFAEUAUgBHAF8AMQA1AF8ANABfADEAXwAxAF8AXwAyAF8ARQBtAGkAcwBzAGkAbwBuAHMARgByAG8AbQBQAHUAcgBjAGgAYQBzAGUAZABGAGUAcgB0AGkAbABpAHMAZQByAEMAbwBtAHAAbwBuAGUAbgB0AHMAXwBUAGkAdABsAGUAXABuACAAIAA9AEwAQQBNAEIARABBACgAXAAiAEUAbQBpAHMAcwBpAG8AbgBzACAAZgByAG8AbQAgAHAAdQByAGMAaABhAHMAZQBkACAAZgBlAHIAdABpAGwAaQBzAGUAcgAgAGMAbwBtAHAAbwBuAGUAbgB0AHMAXAAiACkAOwBcAG4AXABuAFYARQBFAFIARwBfADEANQBfADQAXwAxAF8AMQBfAF8AMgBfAEUAbQBpAHMAcwBpAG8AbgBzAEYAcgBvAG0AUAB1AHIAYwBoAGEAcwBlAGQARgBlAHIAdABpAGwAaQBzAGUAcgBDAG8AbQBwAG8AbgBlAG4AdABzAF8AVgBhAHIAaQBhAGIAbABlAFwAbgAgACAAPQBMAEEATQBCAEQAQQAoAFwAIgBFAFwAIgApADsAXABuAFwAbgBWAEUARQBSAEcAXwAxADUAXwA0AF8AMQBfADEAXwBfADIAXwBFAG0AaQBzAHMAaQBvAG4AcwBGAHIAbwBtAFAAdQByAGMAaABhAHMAZQBkAEYAZQByAHQAaQBsAGkAcwBlAHIAQwBvAG0AcABvAG4AZQBuAHQAcwBfAFUAbgBpAHQAXABuACAAIAA9AEwAQQBNAEIARABBACgAXAAiAHQAIABDAE8AMgBlAFwAIgApADsAXABuAFwAbgBWAEUARQBSAEcAXwAxADUAXwA0AF8AMQBfADEAXwBfADIAXwBFAG0AaQBzAHMAaQBvAG4AcwBGAHIAbwBtAFAAdQByAGMAaABhAHMAZQBkAEYAZQByAHQAaQBsAGkAcwBlAHIAQwBvAG0AcABvAG4AZQBuAHQAcwBfAFMAbwB1AHIAYwBlAFwAbgAgACAAPQBMAEEATQBCAEQAQQAoAFwAIgBWAEUARQBSAEcAIAAyADAAMgA2ADoAIAAxADUALgA0AC4AMQAuADEALAAgAEUAcQB1AGEAdABpAG8AbgAgACgAMgApAFwAIgApADsAXABuAFwAbgBWAEUARQBSAEcAXwAxADUAXwA0AF8AMQBfADEAXwBfADIAXwBFAG0AaQBzAHMAaQBvAG4AcwBGAHIAbwBtAFAAdQByAGMAaABhAHMAZQBkAEYAZQByAHQAaQBsAGkAcwBlAHIAQwBvAG0AcABvAG4AZQBuAHQAcwBfAE4ASQBSAFIAZQBmAGUAcgBlAG4AYwBlAFwAbgAgACAAPQBMAEEATQBCAEQAQQAoAFwAIgBcACIAKQA7AFwAbgBcAG4AVgBFAEUAUgBHAF8AMQA1AF8ANABfADEAXwAxAF8AXwAyAF8ARQBtAGkAcwBzAGkAbwBuAHMARgByAG8AbQBQAHUAcgBjAGgAYQBzAGUAZABGAGUAcgB0AGkAbABpAHMAZQByAEMAbwBtAHAAbwBuAGUAbgB0AHMAXwBMAGEAdABlAHgARQBxAHUAYQB0AGkAbwBuAFwAbgAgACAAPQBMAEEATQBCAEQAQQAoAFwAIgBFAD0AXABcAHMAdQBtAFwAXABuAG8AbABpAG0AaQB0AHMAXwBmAFwAXABzAHUAbQBcAFwAbgBvAGwAaQBtAGkAdABzAF8AYwBcAFwAcwB1AG0AXABcAG4AbwBsAGkAbQBpAHQAcwBfAGoAXABcAGwAZQBmAHQAKABcAFwAZgByAGEAYwB7AEYAXwB7AGMAZgB9AFwAXAB0AGkAbQBlAHMAIABUAE0AXwB7AGoAZgB9AH0AewAxADAAMAB9AFwAXAB0AGkAbQBlAHMAIABFAEYAXwBjAFwAXAByAGkAZwBoAHQAKQBcACIAKQA7AFwAbgBcAG4AVgBFAEUAUgBHAF8AMQA1AF8ANABfADEAXwAxAF8AXwAyAF8ARQBtAGkAcwBzAGkAbwBuAHMARgByAG8AbQBQAHUAcgBjAGgAYQBzAGUAZABGAGUAcgB0AGkAbABpAHMAZQByAEMAbwBtAHAAbwBuAGUAbgB0AHMAXwBMAGEAdABlAHgARQBxAHUAYQB0AGkAbwBuAFYAYQByAGkAYQB0AGkAbwBuAFwAbgAgACAAPQBMAEEATQBCAEQAQQAoAFwAIgBFAD0AXABcAHMAdQBtAFwAXABuAG8AbABpAG0AaQB0AHMAXwBmAFwAXABzAHUAbQBcAFwAbgBvAGwAaQBtAGkAdABzAF8AYwBcAFwAcwB1AG0AXABcAG4AbwBsAGkAbQBpAHQAcwBfAGoAXABcAGwAZQBmAHQAKABGAF8AewBjAGYAfQBcAFwAdABpAG0AZQBzACAAVABNAF8AewBqAGYAfQBcAFwAdABpAG0AZQBzACAARQBGAF8AYwBcAFwAcgBpAGcAaAB0ACkAXABcAHQAaQBtAGUAcwAgADEAMABeAHsALQAzAH0AXAAiACkAOwBcAG4AXABuAFYARQBFAFIARwBfADEANQBfADQAXwAxAF8AMQBfAF8AMgBfAEUAbQBpAHMAcwBpAG8AbgBzAEYAcgBvAG0AUAB1AHIAYwBoAGEAcwBlAGQARgBlAHIAdABpAGwAaQBzAGUAcgBDAG8AbQBwAG8AbgBlAG4AdABzAF8AQQByAGcAdQBtAGUAbgB0AHMAXABuACAAIAA9AEwAQQBNAEIARABBACgAXABuACAAIAAgACAATQBBAEsARQBBAFIAUgBBAFkAKAA2ACwAIAA0ACwAXABuACAAIAAgACAAIAAgAEwAQQBNAEIARABBACgAcgAsAGMALABcAG4AIAAgACAAIAAgACAAIAAgAEkATgBEAEUAWAAoAHsAXABuACAAIAAgACAAIAAgACAAIAAgACAAXAAiAEYAXwBjAGYAXAAiACwAIABcACIAZgByAGEAYwB0AGkAbwBuACAAbwBmACAAYwBvAG0AcABvAG4AZQBuAHQAIABjACAAYwBvAG4AdABhAGkAbgBlAGQAIAB3AGkAdABoAGkAbgAgAHQAaABlACAAaQBuAG8AcgBnAGEAbgBpAGMAIABmAGUAcgB0AGkAbABpAHMAZQByACAAZgBcACIALAAgAFwAIgB3AHQAJQBcACIALAAgAFwAIgBJAG4AcAB1AHQAXAAiADsAXABuACAAIAAgACAAIAAgACAAIAAgACAAXAAiAFQATQBfAGoAZgBcACIALAAgAFwAIgBxAHUAYQBuAHQAaQB0AHkAIABvAGYAIABpAG4AbwByAGcAYQBuAGkAYwAgAGYAZQByAHQAaQBsAGkAcwBlAHIAIAB0AHkAcABlACAAZgAgAHAAdQByAGMAaABhAHMAZQBkACAAYQBuAGQAIABhAHAAcABsAGkAZQBkACAAdABvACAAcAByAG8AZAB1AGMAdABpAG8AbgAgAHMAeQBzAHQAZQBtACAAagBcACIALAAgAFwAIgBrAGcAXAAiACwAIABcACIASQBuAHAAdQB0AFwAIgA7AFwAbgAgACAAIAAgACAAIAAgACAAIAAgAFwAIgBFAEYAXwBjAFwAIgAsACAAXAAiAGUAbQBpAHMAcwBpAG8AbgAgAGYAYQBjAHQAbwByACAAZgBvAHIAIAB0AGgAZQAgAHAAcgBvAGQAdQBjAHQAaQBvAG4AIABvAGYAIABjAG8AbQBwAG8AbgBlAG4AdAAgAGMAXAAiACwAIABcACIAawBnACAAQwBPADIAZQAvAGsAZwAgAGMAbwBtAHAAbwBuAGUAbgB0AFwAIgAsACAAXAAiAEMAbwBuAHMAdABhAG4AdABcACIAOwBcAG4AIAAgACAAIAAgACAAIAAgACAAIABcACIAYwBcACIALAAgAFwAIgBmAGUAcgB0AGkAbABpAHMAZQByACAAYwBvAG0AcABvAG4AZQBuAHQAXAAiACwAIABcACIAXAAiACwAIABcACIASQBuAHAAdQB0AFwAIgA7AFwAbgAgACAAIAAgACAAIAAgACAAIAAgAFwAIgBmAFwAIgAsACAAXAAiAGkAbgBvAHIAZwBhAG4AaQBjACAAZgBlAHIAdABpAGwAaQBzAGUAcgAgAHQAeQBwAGUAXAAiACwAIABcACIAXAAiACwAIABcACIASQBuAHAAdQB0AFwAIgA7AFwAbgAgACAAIAAgACAAIAAgACAAIAAgAFwAIgBqAFwAIgAsACAAXAAiAHAAcgBvAGQAdQBjAHQAaQBvAG4AIABzAHkAcwB0AGUAbQBcACIALAAgAFwAIgBcACIALAAgAFwAIgBJAG4AcAB1AHQAXAAiAFwAbgAgACAAIAAgACAAIAAgACAAfQAsACAAcgAsACAAYwApAFwAbgAgACAAIAAgACAAIAApAFwAbgAgACAAIAAgACkAXABuACAAIAApADsAXABuAFwAbgBWAEUARQBSAEcAXwAxADUAXwA0AF8AMQBfADEAXwBfADIAXwBFAG0AaQBzAHMAaQBvAG4AcwBGAHIAbwBtAFAAdQByAGMAaABhAHMAZQBkAEYAZQByAHQAaQBsAGkAcwBlAHIAQwBvAG0AcABvAG4AZQBuAHQAcwBfAFYAYQByAGkAYQB0AGkAbwBuAFwAbgAgACAAPQBMAEEATQBCAEQAQQAoAFwAIgBWAEEAUgBJAEEAVABJAE8ATgAgAE8ATgAgAFMATwBVAFIAQwBFADoAIAByAGUAbQBvAHYAZQBzACAAZABpAHYAaQBzAGkAbwBuACAAYgB5ACAAMQAwADAAIABmAG8AcgAgAEYAXwBjAGYALAAgAHQAcgBlAGEAdABpAG4AZwAgAEYAXwBjAGYAIABhAHMAIABmAHIAYQBjAHQAaQBvAG4AIABpAG4AcwB0AGUAYQBkACAAbwBmACAAcABlAHIAYwBlAG4AdAAgAGIAZQBjAGEAdQBzAGUAIABpAHQAIABpAHMAIABhACAAZgByAGEAYwB0AGkAbwBuACAAaQBuACAAcwBjAG8AcABlACAAMQAgAGUAcQB1AGEAdABpAG8AbgBzAC4AIABDAG8AbgB2AGUAcgB0ACAAawBnACAAdABvACAAdABvAG4AbgBlAHMAIABiAHkAIABtAHUAdABpAHAAbAB5AGkAbgBnACAAYgB5ACAAMQAwAF4ALQAzAC4AXAAiACkAOwBcAG4AXABuAFwAbgBcAG4AXABuAC8AKgBcAG4ALQAtAC0ALQAtAC0ALQAtAC0ALQAtAC0ALQAtAC0ALQAtAC0ALQAtAC0ALQAtAC0ALQAtAC0ALQAtAC0ALQAtAC0ALQAtAC0ALQAtAFwAbgBWAEUARQBSAEcAXwAxADUAXwA0AF8AMQBfADEAXwBfAFgAXwBFAG0AaQBzAHMAaQBvAG4ARgBhAGMAdABvAHIARgByAG8AbQBQAHUAcgBjAGgAYQBzAGUAZABGAGUAcgB0AGkAbABpAHMAZQByAEMAbwBtAHAAbwBuAGUAbgB0AHMAXABuAEUAbQBpAHMAcwBpAG8AbgAgAGYAYQBjAHQAbwByACAAZgBvAHIAIABmAGUAcgB0AGkAbABpAHMAZQByACAAcAByAG8AZAB1AGMAdAAgAGQAZQByAGkAdgBlAGQAIABmAHIAbwBtACAAYwBvAG0AcABvAG4AZQBuAHQAcwBcAG4ALQAtAC0ALQAtAC0ALQAtAC0ALQAtAC0ALQAtAC0ALQAtAC0ALQAtAC0ALQAtAC0ALQAtAC0ALQAtAC0ALQAtAC0ALQAtAC0ALQAtAFwAbgAqAC8AXABuAFwAbgBWAEUARQBSAEcAXwAxADUAXwA0AF8AMQBfADEAXwBfAFgAXwBFAG0AaQBzAHMAaQBvAG4ARgBhAGMAdABvAHIARgByAG8AbQBQAHUAcgBjAGgAYQBzAGUAZABGAGUAcgB0AGkAbABpAHMAZQByAEMAbwBtAHAAbwBuAGUAbgB0AHMAXABuACAAIAA9AEwAQQBNAEIARABBACgAXABuACAAIAAgACAARgBfAGMAZgAsACAARQBGAF8AYwAsAFwAbgAgACAAIAAgAEYAXwBjAGYAIAAqACAARQBGAF8AYwBcAG4AIAAgACkAOwBcAG4AXABuAFYARQBFAFIARwBfADEANQBfADQAXwAxAF8AMQBfAF8AWABfAEUAbQBpAHMAcwBpAG8AbgBGAGEAYwB0AG8AcgBGAHIAbwBtAFAAdQByAGMAaABhAHMAZQBkAEYAZQByAHQAaQBsAGkAcwBlAHIAQwBvAG0AcABvAG4AZQBuAHQAcwBfAFQAaQB0AGwAZQBcAG4AIAAgAD0ATABBAE0AQgBEAEEAKABcACIARQBtAGkAcwBzAGkAbwBuACAAZgBhAGMAdABvAHIAIABmAG8AcgAgAGYAZQByAHQAaQBsAGkAcwBlAHIAIABwAHIAbwBkAHUAYwB0ACAAZABlAHIAaQB2AGUAZAAgAGYAcgBvAG0AIABjAG8AbQBwAG8AbgBlAG4AdABzAFwAIgApADsAXABuAFwAbgBWAEUARQBSAEcAXwAxADUAXwA0AF8AMQBfADEAXwBfAFgAXwBFAG0AaQBzAHMAaQBvAG4ARgBhAGMAdABvAHIARgByAG8AbQBQAHUAcgBjAGgAYQBzAGUAZABGAGUAcgB0AGkAbABpAHMAZQByAEMAbwBtAHAAbwBuAGUAbgB0AHMAXwBWAGEAcgBpAGEAYgBsAGUAXABuACAAIAA9AEwAQQBNAEIARABBACgAXAAiAEUARgBfAGYAXAAiACkAOwBcAG4AXABuAFYARQBFAFIARwBfADEANQBfADQAXwAxAF8AMQBfAF8AWABfAEUAbQBpAHMAcwBpAG8AbgBGAGEAYwB0AG8AcgBGAHIAbwBtAFAAdQByAGMAaABhAHMAZQBkAEYAZQByAHQAaQBsAGkAcwBlAHIAQwBvAG0AcABvAG4AZQBuAHQAcwBfAFUAbgBpAHQAXABuACAAIAA9AEwAQQBNAEIARABBACgAXAAiAGsAZwAgAEMATwAyAGUALwBrAGcAIABmAGUAcgB0AGkAbABpAHMAZQByAFwAIgApADsAXABuAFwAbgBWAEUARQBSAEcAXwAxADUAXwA0AF8AMQBfADEAXwBfAFgAXwBFAG0AaQBzAHMAaQBvAG4ARgBhAGMAdABvAHIARgByAG8AbQBQAHUAcgBjAGgAYQBzAGUAZABGAGUAcgB0AGkAbABpAHMAZQByAEMAbwBtAHAAbwBuAGUAbgB0AHMAXwBTAG8AdQByAGMAZQBcAG4AIAAgAD0ATABBAE0AQgBEAEEAKABcACIARwBBAEYAXAAiACkAOwBcAG4AXABuAFYARQBFAFIARwBfADEANQBfADQAXwAxAF8AMQBfAF8AWABfAEUAbQBpAHMAcwBpAG8AbgBGAGEAYwB0AG8AcgBGAHIAbwBtAFAAdQByAGMAaABhAHMAZQBkAEYAZQByAHQAaQBsAGkAcwBlAHIAQwBvAG0AcABvAG4AZQBuAHQAcwBfAE4ASQBSAFIAZQBmAGUAcgBlAG4AYwBlAFwAbgAgACAAPQBMAEEATQBCAEQAQQAoAFwAIgBcACIAKQA7AFwAbgBcAG4AVgBFAEUAUgBHAF8AMQA1AF8ANABfADEAXwAxAF8AXwBYAF8ARQBtAGkAcwBzAGkAbwBuAEYAYQBjAHQAbwByAEYAcgBvAG0AUAB1AHIAYwBoAGEAcwBlAGQARgBlAHIAdABpAGwAaQBzAGUAcgBDAG8AbQBwAG8AbgBlAG4AdABzAF8ATABhAHQAZQB4AEUAcQB1AGEAdABpAG8AbgBcAG4AIAAgAD0ATABBAE0AQgBEAEEAKABcACIARQBGAF8AZgA9AFwAXABzAHUAbQBcAFwAbgBvAGwAaQBtAGkAdABzAF8AYwBcAFwAbABlAGYAdAAoAEYAXwB7AGMAZgB9AFwAXAB0AGkAbQBlAHMAIABFAEYAXwBjAFwAXAByAGkAZwBoAHQAKQBcACIAKQA7AFwAbgBcAG4AVgBFAEUAUgBHAF8AMQA1AF8ANABfADEAXwAxAF8AXwBYAF8ARQBtAGkAcwBzAGkAbwBuAEYAYQBjAHQAbwByAEYAcgBvAG0AUAB1AHIAYwBoAGEAcwBlAGQARgBlAHIAdABpAGwAaQBzAGUAcgBDAG8AbQBwAG8AbgBlAG4AdABzAF8AQQByAGcAdQBtAGUAbgB0AHMAXABuACAAIAA9AEwAQQBNAEIARABBACgAXABuACAAIAAgACAATQBBAEsARQBBAFIAUgBBAFkAKAA0ACwAIAA0ACwAXABuACAAIAAgACAAIAAgAEwAQQBNAEIARABBACgAcgAsAGMALABcAG4AIAAgACAAIAAgACAAIAAgAEkATgBEAEUAWAAoAHsAXABuACAAIAAgACAAIAAgACAAIAAgACAAXAAiAEYAXwBjAGYAXAAiACwAIABcACIAZgByAGEAYwB0AGkAbwBuACAAbwBmACAAYwBvAG0AcABvAG4AZQBuAHQAIABjACAAYwBvAG4AdABhAGkAbgBlAGQAIAB3AGkAdABoAGkAbgAgAHQAaABlACAAaQBuAG8AcgBnAGEAbgBpAGMAIABmAGUAcgB0AGkAbABpAHMAZQByACAAZgBcACIALAAgAFwAIgB3AHQAJQBcACIALAAgAFwAIgBJAG4AcAB1AHQAXAAiADsAXABuACAAIAAgACAAIAAgACAAIAAgACAAXAAiAEUARgBfAGMAXAAiACwAIABcACIAZQBtAGkAcwBzAGkAbwBuACAAZgBhAGMAdABvAHIAIABmAG8AcgAgAHQAaABlACAAcAByAG8AZAB1AGMAdABpAG8AbgAgAG8AZgAgAGMAbwBtAHAAbwBuAGUAbgB0ACAAYwBcACIALAAgAFwAIgBrAGcAIABDAE8AMgBlAC8AawBnACAAYwBvAG0AcABvAG4AZQBuAHQAXAAiACwAIABcACIAQwBvAG4AcwB0AGEAbgB0AFwAIgA7AFwAbgAgACAAIAAgACAAIAAgACAAIAAgAFwAIgBjAFwAIgAsACAAXAAiAGYAZQByAHQAaQBsAGkAcwBlAHIAIABjAG8AbQBwAG8AbgBlAG4AdABcACIALAAgAFwAIgBcACIALAAgAFwAIgBJAG4AcAB1AHQAXAAiADsAXABuACAAIAAgACAAIAAgACAAIAAgACAAXAAiAGYAXAAiACwAIABcACIAaQBuAG8AcgBnAGEAbgBpAGMAIABmAGUAcgB0AGkAbABpAHMAZQByACAAdAB5AHAAZQBcACIALAAgAFwAIgBcACIALAAgAFwAIgBJAG4AcAB1AHQAXAAiAFwAbgAgACAAIAAgACAAIAAgACAAfQAsACAAcgAsACAAYwApAFwAbgAgACAAIAAgACAAIAApAFwAbgAgACAAIAAgACkAXABuACAAIAApADsAXABuAFwAbgBWAEUARQBSAEcAXwAxADUAXwA0AF8AMQBfADEAXwBfAFgAXwBFAG0AaQBzAHMAaQBvAG4ARgBhAGMAdABvAHIARgByAG8AbQBQAHUAcgBjAGgAYQBzAGUAZABGAGUAcgB0AGkAbABpAHMAZQByAEMAbwBtAHAAbwBuAGUAbgB0AHMAXwBWAGEAcgBpAGEAdABpAG8AbgBcAG4AIAAgAD0ATABBAE0AQgBEAEEAKABcACIAVgBBAFIASQBBAFQASQBPAE4AIABPAE4AIABTAE8AVQBSAEMARQA6ACAAVABoAGkAcwAgAGUAcQB1AGEAdABpAG8AbgAgAGkAcwAgAGEAZABkAGUAZAAgAHQAbwAgAGMAYQBsAGMAdQBsAGEAdABlACAAYQBuACAARQBGACAAdgBhAGwAdQBlACAAZgByAG8AbQAgAGYAZQByAHQAaQBsAGkAcwBlAHIAIABjAG8AbQBwAG8AbgBlAG4AdABzACAAdABoAGEAdAAgAGMAYQBuACAAYgBlACAAdQBzAGUAZAAgAGkAbgAgADEANQAuADQALgAxAC4AMQAgACgAMQApAFwAIgApADsAXABuAFwAbgAvACoAXABuAC0ALQAtAC0ALQAtAC0ALQAtAC0ALQAtAC0ALQAtAC0ALQAtAC0ALQAtAC0ALQAtAC0ALQAtAC0ALQAtAC0ALQAtAC0ALQAtAC0ALQBcAG4AVgBFAEUAUgBHAF8AMQA1AF8ANQBfADEAXwAxAF8AXwAxAF8ARQBtAGkAcwBzAGkAbwBuAHMARgByAG8AbQBQAHUAcgBjAGgAYQBzAGUAZABBAGcAcgBpAGMAaABlAG0AaQBjAGEAbABzAFwAbgBUAG8AdABhAGwAIABlAG0AaQBzAHMAaQBvAG4AcwAgAGYAcgBvAG0AIABwAHUAcgBjAGgAYQBzAGUAZAAgAGEAZwByAGkAYwBoAGUAbQBpAGMAYQBsAHMAXABuAEUAXABuAHQAIABDAE8AMgBlAFwAbgBFAD0AXABcAHMAdQBtAFwAXABuAG8AbABpAG0AaQB0AHMAXwBoAFwAXABsAGUAZgB0ACgAUQBfAGgAXABcAHQAaQBtAGUAcwAgAEUARgBfAGgAXABcAHIAaQBnAGgAdAApAFwAXAB0AGkAbQBlAHMAIAAxADAAXgB7AC0AMwB9AFwAbgBRAF8AaAAgAD0AIABxAHUAYQBuAHQAaQB0AHkAIABvAGYAIABhAGMAdABpAHYAZQAgAGkAbgBnAHIAZQBkAGkAZQBuAHQAcwAgAGkAbgAgAGEAZwByAGkAYwBoAGUAbQBpAGMAYQBsACAAdAB5AHAAZQAgAGgAIABwAHUAcgBjAGgAYQBzAGUAZAAgAGEAbgBkACAAYQBwAHAAbABpAGUAZAAgAHQAbwAgAHMAbwBpAGwAcwBcAG4ARQBGAF8AaAAgAD0AIABlAG0AaQBzAHMAaQBvAG4AIABmAGEAYwB0AG8AcgAgAGYAbwByACAAcAB1AHIAYwBoAGEAcwBlAGQAIABhAGcAcgBpAGMAaABlAG0AaQBjAGEAbAAgAGEAYwB0AGkAdgBlACAAaQBuAGcAcgBlAGQAaQBlAG4AdABcAG4ALQAtAC0ALQAtAC0ALQAtAC0ALQAtAC0ALQAtAC0ALQAtAC0ALQAtAC0ALQAtAC0ALQAtAC0ALQAtAC0ALQAtAC0ALQAtAC0ALQAtAFwAbgAqAC8AXABuAFwAbgBWAEUARQBSAEcAXwAxADUAXwA1AF8AMQBfADEAXwBfADEAXwBFAG0AaQBzAHMAaQBvAG4AcwBGAHIAbwBtAFAAdQByAGMAaABhAHMAZQBkAEEAZwByAGkAYwBoAGUAbQBpAGMAYQBsAHMAXABuACAAIAA9AEwAQQBNAEIARABBACgAXABuACAAIAAgACAAUQBfAGgALAAgAEUARgBfAGgALABcAG4AIAAgACAAIAAoAFEAXwBoACAAKgAgAEUARgBfAGgAKQAgACoAIAAxADAAIABeACAALQAzAFwAbgAgACAAKQA7AFwAbgBcAG4AVgBFAEUAUgBHAF8AMQA1AF8ANQBfADEAXwAxAF8AXwAxAF8ARQBtAGkAcwBzAGkAbwBuAHMARgByAG8AbQBQAHUAcgBjAGgAYQBzAGUAZABBAGcAcgBpAGMAaABlAG0AaQBjAGEAbABzAF8AVABpAHQAbABlAFwAbgAgACAAPQBMAEEATQBCAEQAQQAoAFwAIgBUAG8AdABhAGwAIABlAG0AaQBzAHMAaQBvAG4AcwAgAGYAcgBvAG0AIABwAHUAcgBjAGgAYQBzAGUAZAAgAGEAZwByAGkAYwBoAGUAbQBpAGMAYQBsAHMAXAAiACkAOwBcAG4AXABuAFYARQBFAFIARwBfADEANQBfADUAXwAxAF8AMQBfAF8AMQBfAEUAbQBpAHMAcwBpAG8AbgBzAEYAcgBvAG0AUAB1AHIAYwBoAGEAcwBlAGQAQQBnAHIAaQBjAGgAZQBtAGkAYwBhAGwAcwBfAFYAYQByAGkAYQBiAGwAZQBcAG4AIAAgAD0ATABBAE0AQgBEAEEAKABcACIARQBcACIAKQA7AFwAbgBcAG4AVgBFAEUAUgBHAF8AMQA1AF8ANQBfADEAXwAxAF8AXwAxAF8ARQBtAGkAcwBzAGkAbwBuAHMARgByAG8AbQBQAHUAcgBjAGgAYQBzAGUAZABBAGcAcgBpAGMAaABlAG0AaQBjAGEAbABzAF8AVQBuAGkAdABcAG4AIAAgAD0ATABBAE0AQgBEAEEAKABcACIAdAAgAEMATwAyAGUAXAAiACkAOwBcAG4AXABuAFYARQBFAFIARwBfADEANQBfADUAXwAxAF8AMQBfAF8AMQBfAEUAbQBpAHMAcwBpAG8AbgBzAEYAcgBvAG0AUAB1AHIAYwBoAGEAcwBlAGQAQQBnAHIAaQBjAGgAZQBtAGkAYwBhAGwAcwBfAFMAbwB1AHIAYwBlAFwAbgAgACAAPQBMAEEATQBCAEQAQQAoAFwAIgBWAEUARQBSAEcAIAAyADAAMgA2ADoAIAAxADUALgA1AC4AMQAuADEALAAgAEUAcQB1AGEAdABpAG8AbgAgACgAMQApAFwAIgApADsAXABuAFwAbgBWAEUARQBSAEcAXwAxADUAXwA1AF8AMQBfADEAXwBfADEAXwBFAG0AaQBzAHMAaQBvAG4AcwBGAHIAbwBtAFAAdQByAGMAaABhAHMAZQBkAEEAZwByAGkAYwBoAGUAbQBpAGMAYQBsAHMAXwBOAEkAUgBSAGUAZgBlAHIAZQBuAGMAZQBcAG4AIAAgAD0ATABBAE0AQgBEAEEAKABcACIAXAAiACkAOwBcAG4AXABuAFYARQBFAFIARwBfADEANQBfADUAXwAxAF8AMQBfAF8AMQBfAEUAbQBpAHMAcwBpAG8AbgBzAEYAcgBvAG0AUAB1AHIAYwBoAGEAcwBlAGQAQQBnAHIAaQBjAGgAZQBtAGkAYwBhAGwAcwBfAEwAYQB0AGUAeABFAHEAdQBhAHQAaQBvAG4AXABuACAAIAA9AEwAQQBNAEIARABBACgAXAAiAEUAPQBcAFwAcwB1AG0AXABcAG4AbwBsAGkAbQBpAHQAcwBfAGgAXABcAGwAZQBmAHQAKABRAF8AaABcAFwAdABpAG0AZQBzACAARQBGAF8AaABcAFwAcgBpAGcAaAB0ACkAXABcAHQAaQBtAGUAcwAgADEAMABeAHsALQAzAH0AXAAiACkAOwBcAG4AXABuAFYARQBFAFIARwBfADEANQBfADUAXwAxAF8AMQBfAF8AMQBfAEUAbQBpAHMAcwBpAG8AbgBzAEYAcgBvAG0AUAB1AHIAYwBoAGEAcwBlAGQAQQBnAHIAaQBjAGgAZQBtAGkAYwBhAGwAcwBfAEEAcgBnAHUAbQBlAG4AdABzAFwAbgAgACAAPQBMAEEATQBCAEQAQQAoAFwAbgAgACAAIAAgAE0AQQBLAEUAQQBSAFIAQQBZACgAMwAsACAANAAsAFwAbgAgACAAIAAgACAAIABMAEEATQBCAEQAQQAoAHIALABjACwAXABuACAAIAAgACAAIAAgACAAIABJAE4ARABFAFgAKAB7AFwAbgAgACAAIAAgACAAIAAgACAAIAAgAFwAIgBRAF8AaABcACIALAAgAFwAIgBxAHUAYQBuAHQAaQB0AHkAIABvAGYAIABhAGMAdABpAHYAZQAgAGkAbgBnAHIAZQBkAGkAZQBuAHQAcwAgAGkAbgAgAGEAZwByAGkAYwBoAGUAbQBpAGMAYQBsACAAdAB5AHAAZQAgAGgAIABwAHUAcgBjAGgAYQBzAGUAZAAgAGEAbgBkACAAYQBwAHAAbABpAGUAZAAgAHQAbwAgAHMAbwBpAGwAcwBcACIALAAgAFwAIgBrAGcAIABhAGkAXAAiACwAIABcACIASQBuAHAAdQB0AFwAIgA7AFwAbgAgACAAIAAgACAAIAAgACAAIAAgAFwAIgBFAEYAXwBoAFwAIgAsACAAXAAiAGUAbQBpAHMAcwBpAG8AbgAgAGYAYQBjAHQAbwByACAAZgBvAHIAIABwAHUAcgBjAGgAYQBzAGUAZAAgAGEAZwByAGkAYwBoAGUAbQBpAGMAYQBsACAAYQBjAHQAaQB2AGUAIABpAG4AZwByAGUAZABpAGUAbgB0AFwAIgAsACAAXAAiAGsAZwAgAEMATwAyAGUALwBrAGcAIABhAGkAXAAiACwAIABcACIAQwBvAG4AcwB0AGEAbgB0AFwAIgA7AFwAbgAgACAAIAAgACAAIAAgACAAIAAgAFwAIgBoAFwAIgAsACAAXAAiAGEAZwByAGkAYwBoAGUAbQBpAGMAYQBsACAAdAB5AHAAZQBcACIALAAgAFwAIgBcACIALAAgAFwAIgBJAG4AcAB1AHQAXAAiAFwAbgAgACAAIAAgACAAIAAgACAAfQAsACAAcgAsACAAYwApAFwAbgAgACAAIAAgACAAIAApAFwAbgAgACAAIAAgACkAXABuACAAIAApADsAXABuAFwAbgAvACoAXABuAC0ALQAtAC0ALQAtAC0ALQAtAC0ALQAtAC0ALQAtAC0ALQAtAC0ALQAtAC0ALQAtAC0ALQAtAC0ALQAtAC0ALQAtAC0ALQAtAC0ALQBcAG4AVgBFAEUAUgBHAF8AMQA1AF8ANgBfADEAXwAxAF8AXwAxAF8ARQBtAGkAcwBzAGkAbwBuAHMARgByAG8AbQBQAHUAcgBjAGgAYQBzAGUAZABMAGkAbQBlAFwAbgBFAG0AYgBlAGQAZABlAGQAIABlAG0AaQBzAHMAaQBvAG4AcwAgAGYAbwByACAAcAB1AHIAYwBoAGEAcwBlAGQAIABsAGkAbQBlAFwAbgBFAFwAbgB0ACAAQwBPADIAZQBcAG4ARQA9AE0AXwBsAGkAbQBlAFwAXAB0AGkAbQBlAHMAIABFAEYAXwBsAFwAbgBNAF8AbABpAG0AZQAgAD0AIAB0AG8AdABhAGwAIABxAHUAYQBuAHQAaQB0AHkAIABvAGYAIABsAGkAbQBlACAAYQBwAHAAbABpAGUAZAAgAHQAbwAgAHMAbwBpAGwAcwBcAG4ARQBGAF8AbAAgAD0AIABlAG0AaQBzAHMAaQBvAG4AIABmAGEAYwB0AG8AcgAgAGYAbwByACAAcAB1AHIAYwBoAGEAcwBlAGQAIABsAGkAbQBlAFwAbgAtAC0ALQAtAC0ALQAtAC0ALQAtAC0ALQAtAC0ALQAtAC0ALQAtAC0ALQAtAC0ALQAtAC0ALQAtAC0ALQAtAC0ALQAtAC0ALQAtAC0AXABuACoALwBcAG4AXABuAFYARQBFAFIARwBfADEANQBfADYAXwAxAF8AMQBfAF8AMQBfAEUAbQBpAHMAcwBpAG8AbgBzAEYAcgBvAG0AUAB1AHIAYwBoAGEAcwBlAGQATABpAG0AZQBcAG4AIAAgAD0ATABBAE0AQgBEAEEAKABcAG4AIAAgACAAIABNAF8AbABpAG0AZQAsACAARQBGAF8AbAAsAFwAbgAgACAAIAAgAE0AXwBsAGkAbQBlACAAKgAgAEUARgBfAGwAXABuACAAIAApADsAXABuAFwAbgBWAEUARQBSAEcAXwAxADUAXwA2AF8AMQBfADEAXwBfADEAXwBFAG0AaQBzAHMAaQBvAG4AcwBGAHIAbwBtAFAAdQByAGMAaABhAHMAZQBkAEwAaQBtAGUAXwBUAGkAdABsAGUAXABuACAAIAA9AEwAQQBNAEIARABBACgAXAAiAEUAbQBiAGUAZABkAGUAZAAgAGUAbQBpAHMAcwBpAG8AbgBzACAAZgBvAHIAIABwAHUAcgBjAGgAYQBzAGUAZAAgAGwAaQBtAGUAXAAiACkAOwBcAG4AXABuAFYARQBFAFIARwBfADEANQBfADYAXwAxAF8AMQBfAF8AMQBfAEUAbQBpAHMAcwBpAG8AbgBzAEYAcgBvAG0AUAB1AHIAYwBoAGEAcwBlAGQATABpAG0AZQBfAFYAYQByAGkAYQBiAGwAZQBcAG4AIAAgAD0ATABBAE0AQgBEAEEAKABcACIARQBcACIAKQA7AFwAbgBcAG4AVgBFAEUAUgBHAF8AMQA1AF8ANgBfADEAXwAxAF8AXwAxAF8ARQBtAGkAcwBzAGkAbwBuAHMARgByAG8AbQBQAHUAcgBjAGgAYQBzAGUAZABMAGkAbQBlAF8AVQBuAGkAdABcAG4AIAAgAD0ATABBAE0AQgBEAEEAKABcACIAdAAgAEMATwAyAGUAXAAiACkAOwBcAG4AXABuAFYARQBFAFIARwBfADEANQBfADYAXwAxAF8AMQBfAF8AMQBfAEUAbQBpAHMAcwBpAG8AbgBzAEYAcgBvAG0AUAB1AHIAYwBoAGEAcwBlAGQATABpAG0AZQBfAFMAbwB1AHIAYwBlAFwAbgAgACAAPQBMAEEATQBCAEQAQQAoAFwAIgBWAEUARQBSAEcAIAAyADAAMgA2ADoAIAAxADUALgA2AC4AMQAuADEALAAgAEUAcQB1AGEAdABpAG8AbgAgACgAMQApAFwAIgApADsAXABuAFwAbgBWAEUARQBSAEcAXwAxADUAXwA2AF8AMQBfADEAXwBfADEAXwBFAG0AaQBzAHMAaQBvAG4AcwBGAHIAbwBtAFAAdQByAGMAaABhAHMAZQBkAEwAaQBtAGUAXwBOAEkAUgBSAGUAZgBlAHIAZQBuAGMAZQBcAG4AIAAgAD0ATABBAE0AQgBEAEEAKABcACIAXAAiACkAOwBcAG4AXABuAFYARQBFAFIARwBfADEANQBfADYAXwAxAF8AMQBfAF8AMQBfAEUAbQBpAHMAcwBpAG8AbgBzAEYAcgBvAG0AUAB1AHIAYwBoAGEAcwBlAGQATABpAG0AZQBfAEwAYQB0AGUAeABFAHEAdQBhAHQAaQBvAG4AXABuACAAIAA9AEwAQQBNAEIARABBACgAXAAiAEUAPQBNAF8AewBsAGkAbQBlAH0AXABcAHQAaQBtAGUAcwAgAEUARgBfAGwAXAAiACkAOwBcAG4AXABuAFYARQBFAFIARwBfADEANQBfADYAXwAxAF8AMQBfAF8AMQBfAEUAbQBpAHMAcwBpAG8AbgBzAEYAcgBvAG0AUAB1AHIAYwBoAGEAcwBlAGQATABpAG0AZQBfAEEAcgBnAHUAbQBlAG4AdABzAFwAbgAgACAAPQBMAEEATQBCAEQAQQAoAFwAbgAgACAAIAAgAE0AQQBLAEUAQQBSAFIAQQBZACgAMgAsACAANAAsAFwAbgAgACAAIAAgACAAIABMAEEATQBCAEQAQQAoAHIALABjACwAXABuACAAIAAgACAAIAAgACAAIABJAE4ARABFAFgAKAB7AFwAbgAgACAAIAAgACAAIAAgACAAIAAgAFwAIgBNAF8AbABpAG0AZQBcACIALAAgAFwAIgB0AG8AdABhAGwAIABxAHUAYQBuAHQAaQB0AHkAIABvAGYAIABsAGkAbQBlACAAYQBwAHAAbABpAGUAZAAgAHQAbwAgAHMAbwBpAGwAcwBcACIALAAgAFwAIgB0AFwAIgAsACAAXAAiAEkAbgBwAHUAdABcACIAOwBcAG4AIAAgACAAIAAgACAAIAAgACAAIABcACIARQBGAF8AbABcACIALAAgAFwAIgBlAG0AaQBzAHMAaQBvAG4AIABmAGEAYwB0AG8AcgAgAGYAbwByACAAcAB1AHIAYwBoAGEAcwBlAGQAIABsAGkAbQBlAFwAIgAsACAAXAAiAHQAIABDAE8AMgBlAC8AdABcACIALAAgAFwAIgBDAG8AbgBzAHQAYQBuAHQAXAAiAFwAbgAgACAAIAAgACAAIAAgACAAfQAsACAAcgAsACAAYwApAFwAbgAgACAAIAAgACAAIAApAFwAbgAgACAAIAAgACkAXABuACAAIAApADsAXABuAFwAbgAvACoAXABuAC0ALQAtAC0ALQAtAC0ALQAtAC0ALQAtAC0ALQAtAC0ALQAtAC0ALQAtAC0ALQAtAC0ALQAtAC0ALQAtAC0ALQAtAC0ALQAtAC0ALQBcAG4AVgBFAEUAUgBHAF8AMQA1AF8ANwBfADEAXwAxAF8AXwAxAF8ARQBtAGkAcwBzAGkAbwBuAHMARgByAG8AbQBQAHUAcgBjAGgAYQBzAGUAZABTAGUAcgB2AGkAYwBlAHMAXABuAEUAbQBpAHMAcwBpAG8AbgBzACAAbwBmACAAcAB1AHIAYwBoAGEAcwBlAGQAIABzAGUAcgB2AGkAYwBlAHMAIABhAG4AZAAgAGMAbwBuAHQAcgBhAGMAdABvAHIAIABvAHAAZQByAGEAdABpAG8AbgBzAFwAbgBFAFwAbgB0ACAAQwBPADIAZQBcAG4ARQA9AFwAXABzAHUAbQBcAFwAbgBvAGwAaQBtAGkAdABzAF8AcABcAFwAbABlAGYAdAAoAEEAXwBwAFwAXAB0AGkAbQBlAHMAIABFAEYAXwBwAFwAXAByAGkAZwBoAHQAKQBcAFwAdABpAG0AZQBzACAAMQAwAF4AewAtADMAfQBcAG4AQQBfAHAAIAA9ACAAYQBjAHQAaQB2AGkAdAB5ACAAZABhAHQAYQAgAG8AZgAgAHQAaABlACAAcwBlAHIAdgBpAGMAZQAgAHQAaABhAHQAIAB3AGEAcwAgAHAAdQByAGMAaABhAHMAZQBkAFwAbgBFAEYAXwBwACAAPQAgAGwAaQBmAGUAIABjAHkAYwBsAGUAIABlAG0AaQBzAHMAaQBvAG4AIABmAGEAYwB0AG8AcgAgAGYAbwByACAAdABoAGUAIABwAHUAcgBjAGgAYQBzAGUAZAAgAHMAZQByAHYAaQBjAGUAXABuAC0ALQAtAC0ALQAtAC0ALQAtAC0ALQAtAC0ALQAtAC0ALQAtAC0ALQAtAC0ALQAtAC0ALQAtAC0ALQAtAC0ALQAtAC0ALQAtAC0ALQBcAG4AKgAvAFwAbgBcAG4AVgBFAEUAUgBHAF8AMQA1AF8ANwBfADEAXwAxAF8AXwAxAF8ARQBtAGkAcwBzAGkAbwBuAHMARgByAG8AbQBQAHUAcgBjAGgAYQBzAGUAZABTAGUAcgB2AGkAYwBlAHMAXABuACAAIAA9AEwAQQBNAEIARABBACgAXABuACAAIAAgACAAQQBfAHAALAAgAEUARgBfAHAALABcAG4AIAAgACAAIAAoAEEAXwBwACAAKgAgAEUARgBfAHAAKQAgACoAIAAxADAAIABeACAALQAzAFwAbgAgACAAKQA7AFwAbgBcAG4AVgBFAEUAUgBHAF8AMQA1AF8ANwBfADEAXwAxAF8AXwAxAF8ARQBtAGkAcwBzAGkAbwBuAHMARgByAG8AbQBQAHUAcgBjAGgAYQBzAGUAZABTAGUAcgB2AGkAYwBlAHMAXwBUAGkAdABsAGUAXABuACAAIAA9AEwAQQBNAEIARABBACgAXAAiAEUAbQBpAHMAcwBpAG8AbgBzACAAbwBmACAAcAB1AHIAYwBoAGEAcwBlAGQAIABzAGUAcgB2AGkAYwBlAHMAIABhAG4AZAAgAGMAbwBuAHQAcgBhAGMAdABvAHIAIABvAHAAZQByAGEAdABpAG8AbgBzAFwAIgApADsAXABuAFwAbgBWAEUARQBSAEcAXwAxADUAXwA3AF8AMQBfADEAXwBfADEAXwBFAG0AaQBzAHMAaQBvAG4AcwBGAHIAbwBtAFAAdQByAGMAaABhAHMAZQBkAFMAZQByAHYAaQBjAGUAcwBfAFYAYQByAGkAYQBiAGwAZQBcAG4AIAAgAD0ATABBAE0AQgBEAEEAKABcACIARQBcACIAKQA7AFwAbgBcAG4AVgBFAEUAUgBHAF8AMQA1AF8ANwBfADEAXwAxAF8AXwAxAF8ARQBtAGkAcwBzAGkAbwBuAHMARgByAG8AbQBQAHUAcgBjAGgAYQBzAGUAZABTAGUAcgB2AGkAYwBlAHMAXwBVAG4AaQB0AFwAbgAgACAAPQBMAEEATQBCAEQAQQAoAFwAIgB0ACAAQwBPADIAZQBcACIAKQA7AFwAbgBcAG4AVgBFAEUAUgBHAF8AMQA1AF8ANwBfADEAXwAxAF8AXwAxAF8ARQBtAGkAcwBzAGkAbwBuAHMARgByAG8AbQBQAHUAcgBjAGgAYQBzAGUAZABTAGUAcgB2AGkAYwBlAHMAXwBTAG8AdQByAGMAZQBcAG4AIAAgAD0ATABBAE0AQgBEAEEAKABcACIAVgBFAEUAUgBHACAAMgAwADIANgA6ACAAMQA1AC4ANwAuADEALgAxACwAIABFAHEAdQBhAHQAaQBvAG4AIAAoADEAKQBcACIAKQA7AFwAbgBcAG4AVgBFAEUAUgBHAF8AMQA1AF8ANwBfADEAXwAxAF8AXwAxAF8ARQBtAGkAcwBzAGkAbwBuAHMARgByAG8AbQBQAHUAcgBjAGgAYQBzAGUAZABTAGUAcgB2AGkAYwBlAHMAXwBOAEkAUgBSAGUAZgBlAHIAZQBuAGMAZQBcAG4AIAAgAD0ATABBAE0AQgBEAEEAKABcACIAXAAiACkAOwBcAG4AXABuAFYARQBFAFIARwBfADEANQBfADcAXwAxAF8AMQBfAF8AMQBfAEUAbQBpAHMAcwBpAG8AbgBzAEYAcgBvAG0AUAB1AHIAYwBoAGEAcwBlAGQAUwBlAHIAdgBpAGMAZQBzAF8ATABhAHQAZQB4AEUAcQB1AGEAdABpAG8AbgBcAG4AIAAgAD0ATABBAE0AQgBEAEEAKABcACIARQA9AFwAXABzAHUAbQBcAFwAbgBvAGwAaQBtAGkAdABzAF8AcABcAFwAbABlAGYAdAAoAEEAXwBwAFwAXAB0AGkAbQBlAHMAIABFAEYAXwBwAFwAXAByAGkAZwBoAHQAKQBcAFwAdABpAG0AZQBzACAAMQAwAF4AewAtADMAfQBcACIAKQA7AFwAbgBcAG4AVgBFAEUAUgBHAF8AMQA1AF8ANwBfADEAXwAxAF8AXwAxAF8ARQBtAGkAcwBzAGkAbwBuAHMARgByAG8AbQBQAHUAcgBjAGgAYQBzAGUAZABTAGUAcgB2AGkAYwBlAHMAXwBBAHIAZwB1AG0AZQBuAHQAcwBcAG4AIAAgAD0ATABBAE0AQgBEAEEAKABcAG4AIAAgACAAIABNAEEASwBFAEEAUgBSAEEAWQAoADMALAAgADQALABcAG4AIAAgACAAIAAgACAATABBAE0AQgBEAEEAKAByACwAYwAsAFwAbgAgACAAIAAgACAAIAAgACAASQBOAEQARQBYACgAewBcAG4AIAAgACAAIAAgACAAIAAgACAAIABcACIAQQBfAHAAXAAiACwAIABcACIAYQBjAHQAaQB2AGkAdAB5ACAAZABhAHQAYQAgAG8AZgAgAHQAaABlACAAcwBlAHIAdgBpAGMAZQAgAHQAaABhAHQAIAB3AGEAcwAgAHAAdQByAGMAaABhAHMAZQBkAFwAIgAsACAAXAAiAGgAYQAgAG8AcgAgAGgAXAAiACwAIABcACIASQBuAHAAdQB0AFwAIgA7AFwAbgAgACAAIAAgACAAIAAgACAAIAAgAFwAIgBFAEYAXwBwAFwAIgAsACAAXAAiAGwAaQBmAGUAIABjAHkAYwBsAGUAIABlAG0AaQBzAHMAaQBvAG4AIABmAGEAYwB0AG8AcgAgAGYAbwByACAAdABoAGUAIABwAHUAcgBjAGgAYQBzAGUAZAAgAHMAZQByAHYAaQBjAGUAXAAiACwAIABcACIAawBnACAAQwBPADIAZQAvAGgAYQAgAG8AcgAgAGsAZwAgAEMATwAyAGUALwBoAFwAIgAsACAAXAAiAEMAbwBuAHMAdABhAG4AdABcACIAOwBcAG4AIAAgACAAIAAgACAAIAAgACAAIABcACIAcABcACIALAAgAFwAIgBzAGUAcgB2AGkAYwBlACAAdAB5AHAAZQBcACIALAAgAFwAIgBcACIALAAgAFwAIgBJAG4AcAB1AHQAXAAiAFwAbgAgACAAIAAgACAAIAAgACAAfQAsACAAcgAsACAAYwApAFwAbgAgACAAIAAgACAAIAApAFwAbgAgACAAIAAgACkAXABuACAAIAApADsAXABuAFwAbgAvACoAXABuAC0ALQAtAC0ALQAtAC0ALQAtAC0ALQAtAC0ALQAtAC0ALQAtAC0ALQAtAC0ALQAtAC0ALQAtAC0ALQAtAC0ALQAtAC0ALQAtAC0ALQBcAG4AVgBFAEUAUgBHAF8AMQA1AF8AOABfADEAXwAxAF8AXwAxAF8ARQBtAGkAcwBzAGkAbwBuAHMARgByAG8AbQBQAHUAcgBjAGgAYQBzAGUAZABQAGEAYwBrAGEAZwBpAG4AZwBcAG4ARQBtAGIAZQBkAGQAZQBkACAAZQBtAGkAcwBzAGkAbwBuAHMAIABmAHIAbwBtACAAdQBzAGUAIABvAGYAIABwAGEAYwBrAGEAZwBpAG4AZwAgAG0AYQB0AGUAcgBpAGEAbABzAFwAbgBFAFwAbgB0ACAAQwBPADIAZQBcAG4ARQA9AFwAXABzAHUAbQBcAFwAbgBvAGwAaQBtAGkAdABzAF8AcABcAFwAbABlAGYAdAAoAFEAXwBwAFwAXAB0AGkAbQBlAHMAIABFAEYAXwBwAFwAXAByAGkAZwBoAHQAKQBcAFwAdABpAG0AZQBzACAAMQAwAF4AewAtADMAfQBcAG4AUQBfAHAAIAA9ACAAdQBuAGkAdABzACAAbwBmACAAcABhAGMAawBhAGcAaQBuAGcAIAB0AHkAcABlACAAcABcAG4ARQBGAF8AcAAgAD0AIABlAG0AaQBzAHMAaQBvAG4AIABmAGEAYwB0AG8AcgAgAGYAbwByACAAcABhAGMAawBhAGcAaQBuAGcAIAB0AHkAcABlACAAcABcAG4ALQAtAC0ALQAtAC0ALQAtAC0ALQAtAC0ALQAtAC0ALQAtAC0ALQAtAC0ALQAtAC0ALQAtAC0ALQAtAC0ALQAtAC0ALQAtAC0ALQAtAFwAbgAqAC8AXABuAFwAbgBWAEUARQBSAEcAXwAxADUAXwA4AF8AMQBfADEAXwBfADEAXwBFAG0AaQBzAHMAaQBvAG4AcwBGAHIAbwBtAFAAdQByAGMAaABhAHMAZQBkAFAAYQBjAGsAYQBnAGkAbgBnAFwAbgAgACAAPQBMAEEATQBCAEQAQQAoAFwAbgAgACAAIAAgAFEAXwBwACwAIABFAEYAXwBwACwAXABuACAAIAAgACAAKABRAF8AcAAgACoAIABFAEYAXwBwACkAIAAqACAAMQAwACAAXgAgAC0AMwBcAG4AIAAgACkAOwBcAG4AXABuAFYARQBFAFIARwBfADEANQBfADgAXwAxAF8AMQBfAF8AMQBfAEUAbQBpAHMAcwBpAG8AbgBzAEYAcgBvAG0AUAB1AHIAYwBoAGEAcwBlAGQAUABhAGMAawBhAGcAaQBuAGcAXwBUAGkAdABsAGUAXABuACAAIAA9AEwAQQBNAEIARABBACgAXAAiAEUAbQBiAGUAZABkAGUAZAAgAGUAbQBpAHMAcwBpAG8AbgBzACAAZgByAG8AbQAgAHUAcwBlACAAbwBmACAAcABhAGMAawBhAGcAaQBuAGcAIABtAGEAdABlAHIAaQBhAGwAcwBcACIAKQA7AFwAbgBcAG4AVgBFAEUAUgBHAF8AMQA1AF8AOABfADEAXwAxAF8AXwAxAF8ARQBtAGkAcwBzAGkAbwBuAHMARgByAG8AbQBQAHUAcgBjAGgAYQBzAGUAZABQAGEAYwBrAGEAZwBpAG4AZwBfAFYAYQByAGkAYQBiAGwAZQBcAG4AIAAgAD0ATABBAE0AQgBEAEEAKABcACIARQBcACIAKQA7AFwAbgBcAG4AVgBFAEUAUgBHAF8AMQA1AF8AOABfADEAXwAxAF8AXwAxAF8ARQBtAGkAcwBzAGkAbwBuAHMARgByAG8AbQBQAHUAcgBjAGgAYQBzAGUAZABQAGEAYwBrAGEAZwBpAG4AZwBfAFUAbgBpAHQAXABuACAAIAA9AEwAQQBNAEIARABBACgAXAAiAHQAIABDAE8AMgBlAFwAIgApADsAXABuAFwAbgBWAEUARQBSAEcAXwAxADUAXwA4AF8AMQBfADEAXwBfADEAXwBFAG0AaQBzAHMAaQBvAG4AcwBGAHIAbwBtAFAAdQByAGMAaABhAHMAZQBkAFAAYQBjAGsAYQBnAGkAbgBnAF8AUwBvAHUAcgBjAGUAXABuACAAIAA9AEwAQQBNAEIARABBACgAXAAiAFYARQBFAFIARwAgADIAMAAyADYAOgAgADEANQAuADgALgAxAC4AMQAsACAARQBxAHUAYQB0AGkAbwBuACAAKAAxACkAXAAiACkAOwBcAG4AXABuAFYARQBFAFIARwBfADEANQBfADgAXwAxAF8AMQBfAF8AMQBfAEUAbQBpAHMAcwBpAG8AbgBzAEYAcgBvAG0AUAB1AHIAYwBoAGEAcwBlAGQAUABhAGMAawBhAGcAaQBuAGcAXwBOAEkAUgBSAGUAZgBlAHIAZQBuAGMAZQBcAG4AIAAgAD0ATABBAE0AQgBEAEEAKABcACIAXAAiACkAOwBcAG4AXABuAFYARQBFAFIARwBfADEANQBfADgAXwAxAF8AMQBfAF8AMQBfAEUAbQBpAHMAcwBpAG8AbgBzAEYAcgBvAG0AUAB1AHIAYwBoAGEAcwBlAGQAUABhAGMAawBhAGcAaQBuAGcAXwBMAGEAdABlAHgARQBxAHUAYQB0AGkAbwBuAFwAbgAgACAAPQBMAEEATQBCAEQAQQAoAFwAIgBFAD0AXABcAHMAdQBtAFwAXABuAG8AbABpAG0AaQB0AHMAXwBwAFwAXABsAGUAZgB0ACgAUQBfAHAAXABcAHQAaQBtAGUAcwAgAEUARgBfAHAAXABcAHIAaQBnAGgAdAApAFwAXAB0AGkAbQBlAHMAIAAxADAAXgB7AC0AMwB9AFwAIgApADsAXABuAFwAbgBWAEUARQBSAEcAXwAxADUAXwA4AF8AMQBfADEAXwBfADEAXwBFAG0AaQBzAHMAaQBvAG4AcwBGAHIAbwBtAFAAdQByAGMAaABhAHMAZQBkAFAAYQBjAGsAYQBnAGkAbgBnAF8AQQByAGcAdQBtAGUAbgB0AHMAXABuACAAIAA9AEwAQQBNAEIARABBACgAXABuACAAIAAgACAATQBBAEsARQBBAFIAUgBBAFkAKAAzACwAIAA0ACwAXABuACAAIAAgACAAIAAgAEwAQQBNAEIARABBACgAcgAsAGMALABcAG4AIAAgACAAIAAgACAAIAAgAEkATgBEAEUAWAAoAHsAXABuACAAIAAgACAAIAAgACAAIAAgACAAXAAiAFEAXwBwAFwAIgAsACAAXAAiAHUAbgBpAHQAcwAgAG8AZgAgAHAAYQBjAGsAYQBnAGkAbgBnACAAdAB5AHAAZQAgAHAAXAAiACwAIABcACIAdQBuAGkAdABzAFwAIgAsACAAXAAiAEkAbgBwAHUAdABcACIAOwBcAG4AIAAgACAAIAAgACAAIAAgACAAIABcACIARQBGAF8AcABcACIALAAgAFwAIgBlAG0AaQBzAHMAaQBvAG4AIABmAGEAYwB0AG8AcgAgAGYAbwByACAAcABhAGMAawBhAGcAaQBuAGcAIAB0AHkAcABlACAAcABcACIALAAgAFwAIgBrAGcAIABDAE8AMgBlAC8AdQBuAGkAdABcACIALAAgAFwAIgBDAG8AbgBzAHQAYQBuAHQAXAAiADsAXABuACAAIAAgACAAIAAgACAAIAAgACAAXAAiAHAAXAAiACwAIABcACIAcABhAGMAawBhAGcAaQBuAGcAIAB0AHkAcABlAFwAIgAsACAAXAAiAFwAIgAsACAAXAAiAEkAbgBwAHUAdABcACIAXABuACAAIAAgACAAIAAgACAAIAB9ACwAIAByACwAIABjACkAXABuACAAIAAgACAAIAAgACkAXABuACAAIAAgACAAKQBcAG4AIAAgACkAOwBcAG4AXABuAFYARQBFAFIARwBfADEANQBfADgAXwAxAF8AMQBfAF8AMQBfAEUAbQBpAHMAcwBpAG8AbgBzAEYAcgBvAG0AUAB1AHIAYwBoAGEAcwBlAGQAUABhAGMAawBhAGcAaQBuAGcAXwBWAGEAcgBpAGEAdABpAG8AbgBcAG4AIAAgAD0ATABBAE0AQgBEAEEAKABcACIAVgBBAFIASQBBAFQASQBPAE4AIABPAE4AIABTAE8AVQBSAEMARQA6ACAAQwBoAGEAbgBnAGUAZAAgAHUAbgBpAHQAIABvAGYAIABRACAAZgByAG8AbQAgAFwAdQAwADAAMgA3AHUAbgBpAHQAcwBcAHUAMAAwADIANwAgAHQAbwAgAFwAdQAwADAAMgA3AGsAZwBcAHUAMAAwADIANwAgAGEAcwAgAEUARgAgAGQAYQB0AGEAIABpAHMAIABpAG4AIABrAGcALgBcACIAKQA7AFwAbgAgACAAXABuAFwAbgAvACoAXABuAC0ALQAtAC0ALQAtAC0ALQAtAC0ALQAtAC0ALQAtAC0ALQAtAC0ALQAtAC0ALQAtAC0ALQAtAC0ALQAtAC0ALQAtAC0ALQAtAC0ALQBcAG4AVgBFAEUAUgBHAF8AMQA1AF8AOQBfADEAXwAxAF8AXwAxAF8ARQBtAGkAcwBzAGkAbwBuAHMARgByAG8AbQBQAHUAcgBjAGgAYQBzAGUAZABHAHIAbwB3AE0AZQBkAGkAYQBcAG4ARQBtAGIAZQBkAGQAZQBkACAAZQBtAGkAcwBzAGkAbwBuAHMAIABmAHIAbwBtACAAdQBzAGUAIABvAGYAIABnAHIAbwB3ACAAbQBlAGQAaQBhACAAcAByAG8AZAB1AGMAdABzAFwAbgBFAFwAbgB0ACAAQwBPADIAZQBcAG4ARQA9AFwAXABzAHUAbQBcAFwAbgBvAGwAaQBtAGkAdABzAF8AZwBcAFwAbABlAGYAdAAoAFEAXwBnAFwAXAB0AGkAbQBlAHMAIABFAEYAXwBnAFwAXAByAGkAZwBoAHQAKQBcAFwAdABpAG0AZQBzACAAMQAwAF4AewAtADMAfQBcAG4AUQBfAGcAIAA9ACAAdABvAHQAYQBsACAAcQB1AGEAbgB0AGkAdAB5ACAAbwBmACAAZwByAG8AdwAgAG0AZQBkAGkAYQAgAHQAeQBwAGUAIABnAFwAbgBFAEYAXwBnACAAPQAgAGUAbQBpAHMAcwBpAG8AbgAgAGYAYQBjAHQAbwByACAAZgBvAHIAIABnAHIAbwB3ACAAbQBlAGQAaQBhACAAdAB5AHAAZQAgAGcAXABuAC0ALQAtAC0ALQAtAC0ALQAtAC0ALQAtAC0ALQAtAC0ALQAtAC0ALQAtAC0ALQAtAC0ALQAtAC0ALQAtAC0ALQAtAC0ALQAtAC0ALQBcAG4AKgAvAFwAbgBcAG4AVgBFAEUAUgBHAF8AMQA1AF8AOQBfADEAXwAxAF8AXwAxAF8ARQBtAGkAcwBzAGkAbwBuAHMARgByAG8AbQBQAHUAcgBjAGgAYQBzAGUAZABHAHIAbwB3AE0AZQBkAGkAYQBcAG4AIAAgAD0ATABBAE0AQgBEAEEAKABcAG4AIAAgACAAIABRAF8AZwAsACAARQBGAF8AZwAsAFwAbgAgACAAIAAgACgAUQBfAGcAIAAqACAARQBGAF8AZwApACAAKgAgADEAMAAgAF4AIAAtADMAXABuACAAIAApADsAXABuAFwAbgBWAEUARQBSAEcAXwAxADUAXwA5AF8AMQBfADEAXwBfADEAXwBFAG0AaQBzAHMAaQBvAG4AcwBGAHIAbwBtAFAAdQByAGMAaABhAHMAZQBkAEcAcgBvAHcATQBlAGQAaQBhAF8AVABpAHQAbABlAFwAbgAgACAAPQBMAEEATQBCAEQAQQAoAFwAIgBFAG0AYgBlAGQAZABlAGQAIABlAG0AaQBzAHMAaQBvAG4AcwAgAGYAcgBvAG0AIAB1AHMAZQAgAG8AZgAgAGcAcgBvAHcAIABtAGUAZABpAGEAIABwAHIAbwBkAHUAYwB0AHMAXAAiACkAOwBcAG4AXABuAFYARQBFAFIARwBfADEANQBfADkAXwAxAF8AMQBfAF8AMQBfAEUAbQBpAHMAcwBpAG8AbgBzAEYAcgBvAG0AUAB1AHIAYwBoAGEAcwBlAGQARwByAG8AdwBNAGUAZABpAGEAXwBWAGEAcgBpAGEAYgBsAGUAXABuACAAIAA9AEwAQQBNAEIARABBACgAXAAiAEUAXAAiACkAOwBcAG4AXABuAFYARQBFAFIARwBfADEANQBfADkAXwAxAF8AMQBfAF8AMQBfAEUAbQBpAHMAcwBpAG8AbgBzAEYAcgBvAG0AUAB1AHIAYwBoAGEAcwBlAGQARwByAG8AdwBNAGUAZABpAGEAXwBVAG4AaQB0AFwAbgAgACAAPQBMAEEATQBCAEQAQQAoAFwAIgB0ACAAQwBPADIAZQBcACIAKQA7AFwAbgBcAG4AVgBFAEUAUgBHAF8AMQA1AF8AOQBfADEAXwAxAF8AXwAxAF8ARQBtAGkAcwBzAGkAbwBuAHMARgByAG8AbQBQAHUAcgBjAGgAYQBzAGUAZABHAHIAbwB3AE0AZQBkAGkAYQBfAFMAbwB1AHIAYwBlAFwAbgAgACAAPQBMAEEATQBCAEQAQQAoAFwAIgBWAEUARQBSAEcAIAAyADAAMgA2ADoAIAAxADUALgA5AC4AMQAuADEALAAgAEUAcQB1AGEAdABpAG8AbgAgACgAMQApAFwAIgApADsAXABuAFwAbgBWAEUARQBSAEcAXwAxADUAXwA5AF8AMQBfADEAXwBfADEAXwBFAG0AaQBzAHMAaQBvAG4AcwBGAHIAbwBtAFAAdQByAGMAaABhAHMAZQBkAEcAcgBvAHcATQBlAGQAaQBhAF8ATgBJAFIAUgBlAGYAZQByAGUAbgBjAGUAXABuACAAIAA9AEwAQQBNAEIARABBACgAXAAiAFwAIgApADsAXABuAFwAbgBWAEUARQBSAEcAXwAxADUAXwA5AF8AMQBfADEAXwBfADEAXwBFAG0AaQBzAHMAaQBvAG4AcwBGAHIAbwBtAFAAdQByAGMAaABhAHMAZQBkAEcAcgBvAHcATQBlAGQAaQBhAF8ATABhAHQAZQB4AEUAcQB1AGEAdABpAG8AbgBcAG4AIAAgAD0ATABBAE0AQgBEAEEAKABcACIARQA9AFwAXABzAHUAbQBcAFwAbgBvAGwAaQBtAGkAdABzAF8AZwBcAFwAbABlAGYAdAAoAFEAXwBnAFwAXAB0AGkAbQBlAHMAIABFAEYAXwBnAFwAXAByAGkAZwBoAHQAKQBcAFwAdABpAG0AZQBzACAAMQAwAF4AewAtADMAfQBcACIAKQA7AFwAbgBcAG4AVgBFAEUAUgBHAF8AMQA1AF8AOQBfADEAXwAxAF8AXwAxAF8ARQBtAGkAcwBzAGkAbwBuAHMARgByAG8AbQBQAHUAcgBjAGgAYQBzAGUAZABHAHIAbwB3AE0AZQBkAGkAYQBfAEEAcgBnAHUAbQBlAG4AdABzAFwAbgAgACAAPQBMAEEATQBCAEQAQQAoAFwAbgAgACAAIAAgAE0AQQBLAEUAQQBSAFIAQQBZACgAMwAsACAANAAsAFwAbgAgACAAIAAgACAAIABMAEEATQBCAEQAQQAoAHIALABjACwAXABuACAAIAAgACAAIAAgACAAIABJAE4ARABFAFgAKAB7AFwAbgAgACAAIAAgACAAIAAgACAAIAAgAFwAIgBRAF8AZwBcACIALAAgAFwAIgB0AG8AdABhAGwAIABxAHUAYQBuAHQAaQB0AHkAIABvAGYAIABnAHIAbwB3ACAAbQBlAGQAaQBhACAAdAB5AHAAZQAgAGcAXAAiACwAIABcACIAawBnACAAbwByACAAbQAzAFwAIgAsACAAXAAiAEkAbgBwAHUAdABcACIAOwBcAG4AIAAgACAAIAAgACAAIAAgACAAIABcACIARQBGAF8AZwBcACIALAAgAFwAIgBlAG0AaQBzAHMAaQBvAG4AIABmAGEAYwB0AG8AcgAgAGYAbwByACAAZwByAG8AdwAgAG0AZQBkAGkAYQAgAHQAeQBwAGUAIABnAFwAIgAsACAAXAAiAGsAZwAgAEMATwAyAGUALwBrAGcAIABvAHIAIABrAGcAIABDAE8AMgBlAC8AbQAzAFwAIgAsACAAXAAiAEMAbwBuAHMAdABhAG4AdABcACIAOwBcAG4AIAAgACAAIAAgACAAIAAgACAAIABcACIAZwBcACIALAAgAFwAIgBnAHIAbwB3ACAAbQBlAGQAaQBhACAAdAB5AHAAZQBcACIALAAgAFwAIgBcACIALAAgAFwAIgBJAG4AcAB1AHQAXAAiAFwAbgAgACAAIAAgACAAIAAgACAAfQAsACAAcgAsACAAYwApAFwAbgAgACAAIAAgACAAIAApAFwAbgAgACAAIAAgACkAXABuACAAIAApADsAXABuAFwAbgAvACoAXABuAC0ALQAtAC0ALQAtAC0ALQAtAC0ALQAtAC0ALQAtAC0ALQAtAC0ALQAtAC0ALQAtAC0ALQAtAC0ALQAtAC0ALQAtAC0ALQAtAC0ALQBcAG4AVgBFAEUAUgBHAF8AMQA1AF8AMQAwAF8AMQBfADEAXwBfADEAXwBPAHQAaABlAHIAUAB1AHIAYwBoAGEAcwBlAGQARwBvAG8AZABzAEEAbgBkAFMAZQByAHYAaQBjAGUAcwBcAG4ATwB0AGgAZQByACAAcAB1AHIAYwBoAGEAcwBlAGQAIABnAG8AbwBkAHMAIABhAG4AZAAgAHMAZQByAHYAaQBjAGUAcwAgAGcAZQBuAGUAcgBpAGMAIABlAHMAdABpAG0AYQB0AGUAXABuAGUAbQBpAHMAcwBpAG8AbgBzAFwAbgB0ACAAQwBPADIAZQBcAG4AZQBtAGkAcwBzAGkAbwBuAHMAPQBhAGMAdABpAHYAaQB0AHkAXwBkAGEAdABhAFwAXAB0AGkAbQBlAHMAIABlAG0AaQBzAHMAaQBvAG4AXwBmAGEAYwB0AG8AcgBcAG4AYQBjAHQAaQB2AGkAdAB5AF8AZABhAHQAYQAgAD0AIABtAGUAYQBzAHUAcgBlAGQAIABhAGMAdABpAHYAaQB0AHkAIABmAG8AcgAgAHQAaABlACAAcAB1AHIAYwBoAGEAcwBlAGQAIABnAG8AbwBkACAAbwByACAAcwBlAHIAdgBpAGMAZQBcAG4AZQBtAGkAcwBzAGkAbwBuAF8AZgBhAGMAdABvAHIAIAA9ACAAbABpAGYAZQBjAHkAYwBsAGUAIABlAG0AaQBzAHMAaQBvAG4AcwAgAHAAZQByACAAdQBuAGkAdAAgAG8AZgAgAGEAYwB0AGkAdgBpAHQAeQBcAG4ALQAtAC0ALQAtAC0ALQAtAC0ALQAtAC0ALQAtAC0ALQAtAC0ALQAtAC0ALQAtAC0ALQAtAC0ALQAtAC0ALQAtAC0ALQAtAC0ALQAtAFwAbgAqAC8AXABuAFwAbgBWAEUARQBSAEcAXwAxADUAXwAxADAAXwAxAF8AMQBfAF8AMQBfAE8AdABoAGUAcgBQAHUAcgBjAGgAYQBzAGUAZABHAG8AbwBkAHMAQQBuAGQAUwBlAHIAdgBpAGMAZQBzAFwAbgAgACAAPQBMAEEATQBCAEQAQQAoAFwAbgAgACAAIAAgAGEAYwB0AGkAdgBpAHQAeQBfAGQAYQB0AGEALAAgAGUAbQBpAHMAcwBpAG8AbgBfAGYAYQBjAHQAbwByACwAXABuACAAIAAgACAAYQBjAHQAaQB2AGkAdAB5AF8AZABhAHQAYQAgACoAIABlAG0AaQBzAHMAaQBvAG4AXwBmAGEAYwB0AG8AcgBcAG4AIAAgACkAOwBcAG4AXABuAFYARQBFAFIARwBfADEANQBfADEAMABfADEAXwAxAF8AXwAxAF8ATwB0AGgAZQByAFAAdQByAGMAaABhAHMAZQBkAEcAbwBvAGQAcwBBAG4AZABTAGUAcgB2AGkAYwBlAHMAXwBUAGkAdABsAGUAXABuACAAIAA9AEwAQQBNAEIARABBACgAXAAiAE8AdABoAGUAcgAgAHAAdQByAGMAaABhAHMAZQBkACAAZwBvAG8AZABzACAAYQBuAGQAIABzAGUAcgB2AGkAYwBlAHMAIABnAGUAbgBlAHIAaQBjACAAZQBzAHQAaQBtAGEAdABlAFwAIgApADsAXABuAFwAbgBWAEUARQBSAEcAXwAxADUAXwAxADAAXwAxAF8AMQBfAF8AMQBfAE8AdABoAGUAcgBQAHUAcgBjAGgAYQBzAGUAZABHAG8AbwBkAHMAQQBuAGQAUwBlAHIAdgBpAGMAZQBzAF8AVgBhAHIAaQBhAGIAbABlAFwAbgAgACAAPQBMAEEATQBCAEQAQQAoAFwAIgBlAG0AaQBzAHMAaQBvAG4AcwBcACIAKQA7AFwAbgBcAG4AVgBFAEUAUgBHAF8AMQA1AF8AMQAwAF8AMQBfADEAXwBfADEAXwBPAHQAaABlAHIAUAB1AHIAYwBoAGEAcwBlAGQARwBvAG8AZABzAEEAbgBkAFMAZQByAHYAaQBjAGUAcwBfAFUAbgBpAHQAXABuACAAIAA9AEwAQQBNAEIARABBACgAXAAiAHQAIABDAE8AMgBlAFwAIgApADsAXABuAFwAbgBWAEUARQBSAEcAXwAxADUAXwAxADAAXwAxAF8AMQBfAF8AMQBfAE8AdABoAGUAcgBQAHUAcgBjAGgAYQBzAGUAZABHAG8AbwBkAHMAQQBuAGQAUwBlAHIAdgBpAGMAZQBzAF8AUwBvAHUAcgBjAGUAXABuACAAIAA9AEwAQQBNAEIARABBACgAXAAiAFYARQBFAFIARwAgADIAMAAyADYAOgAgADEANQAuADEAMAAsACAAZwBlAG4AZQByAGkAYwAgAHAAbABhAGMAZQBoAG8AbABkAGUAcgAgAGUAcQB1AGEAdABpAG8AbgBcACIAKQA7AFwAbgBcAG4AVgBFAEUAUgBHAF8AMQA1AF8AMQAwAF8AMQBfADEAXwBfADEAXwBPAHQAaABlAHIAUAB1AHIAYwBoAGEAcwBlAGQARwBvAG8AZABzAEEAbgBkAFMAZQByAHYAaQBjAGUAcwBfAE4ASQBSAFIAZQBmAGUAcgBlAG4AYwBlAFwAbgAgACAAPQBMAEEATQBCAEQAQQAoAFwAIgBcACIAKQA7AFwAbgBcAG4AVgBFAEUAUgBHAF8AMQA1AF8AMQAwAF8AMQBfADEAXwBfADEAXwBPAHQAaABlAHIAUAB1AHIAYwBoAGEAcwBlAGQARwBvAG8AZABzAEEAbgBkAFMAZQByAHYAaQBjAGUAcwBfAEwAYQB0AGUAeABFAHEAdQBhAHQAaQBvAG4AXABuACAAIAA9AEwAQQBNAEIARABBACgAXAAiAGUAbQBpAHMAcwBpAG8AbgBzAD0AYQBjAHQAaQB2AGkAdAB5AFwAXABfAGQAYQB0AGEAXABcAHQAaQBtAGUAcwAgAGUAbQBpAHMAcwBpAG8AbgBcAFwAXwBmAGEAYwB0AG8AcgBcACIAKQA7AFwAbgBcAG4AVgBFAEUAUgBHAF8AMQA1AF8AMQAwAF8AMQBfADEAXwBfADEAXwBPAHQAaABlAHIAUAB1AHIAYwBoAGEAcwBlAGQARwBvAG8AZABzAEEAbgBkAFMAZQByAHYAaQBjAGUAcwBfAEEAcgBnAHUAbQBlAG4AdABzAFwAbgAgACAAPQBMAEEATQBCAEQAQQAoAFwAbgAgACAAIAAgAE0AQQBLAEUAQQBSAFIAQQBZACgAMgAsACAANAAsAFwAbgAgACAAIAAgACAAIABMAEEATQBCAEQAQQAoAHIALABjACwAXABuACAAIAAgACAAIAAgACAAIABJAE4ARABFAFgAKAB7AFwAbgAgACAAIAAgACAAIAAgACAAIAAgAFwAIgBhAGMAdABpAHYAaQB0AHkAXwBkAGEAdABhAFwAIgAsACAAXAAiAG0AZQBhAHMAdQByAGUAZAAgAGEAYwB0AGkAdgBpAHQAeQAgAGYAbwByACAAdABoAGUAIABwAHUAcgBjAGgAYQBzAGUAZAAgAGcAbwBvAGQAIABvAHIAIABzAGUAcgB2AGkAYwBlAFwAIgAsACAAXAAiAHYAYQByAGkAZQBzAFwAIgAsACAAXAAiAEkAbgBwAHUAdABcACIAOwBcAG4AIAAgACAAIAAgACAAIAAgACAAIABcACIAZQBtAGkAcwBzAGkAbwBuAF8AZgBhAGMAdABvAHIAXAAiACwAIABcACIAbABpAGYAZQBjAHkAYwBsAGUAIABlAG0AaQBzAHMAaQBvAG4AcwAgAHAAZQByACAAdQBuAGkAdAAgAG8AZgAgAGEAYwB0AGkAdgBpAHQAeQBcACIALAAgAFwAIgB2AGEAcgBpAGUAcwBcACIALAAgAFwAIgBDAG8AbgBzAHQAYQBuAHQAXAAiAFwAbgAgACAAIAAgACAAIAAgACAAfQAsACAAcgAsACAAYwApAFwAbgAgACAAIAAgACAAIAApAFwAbgAgACAAIAAgACkAXABuACAAIAApADsAXABuAFwAbgAvACoAXABuAC0ALQAtAC0ALQAtAC0ALQAtAC0ALQAtAC0ALQAtAC0ALQAtAC0ALQAtAC0ALQAtAC0ALQAtAC0ALQAtAC0ALQAtAC0ALQAtAC0ALQBcAG4AVgBFAEUAUgBHAF8AMQA1AF8AMQAxAF8AMQBfADEAXwBfADEAXwBUAG8AdABhAGwAVQBwAHMAdAByAGUAYQBtAEUAbQBpAHMAcwBpAG8AbgBzAEYAcgBvAG0ARgB1AGUAbABcAG4AVABvAHQAYQBsACAAdQBwAHMAdAByAGUAYQBtACAAZQBtAGkAcwBzAGkAbwBuAHMAIABmAHIAbwBtACAAcwBjAG8AcABlACAAMQAgAGYAdQBlAGwAIABjAG8AbgBzAHUAbQBwAHQAaQBvAG4AXABuAEUAXABuAHQAIABDAE8AMgBlAFwAbgBFAD0AXABcAHMAdQBtAFwAXABuAG8AbABpAG0AaQB0AHMAXwBxAEUAXwB7AFcAVABUACwAdAByAGEAbgBzACwAcQB9ACsAXABcAHMAdQBtAFwAXABuAG8AbABpAG0AaQB0AHMAXwBxAEUAXwB7AFcAVABUACwAUwBDACwAcQB9AFwAbgBFAF8AVwBUAFQAdAByAGEAbgBzAHEAIAA9ACAAdQBwAHMAdAByAGUAYQBtACAAZQBtAGkAcwBzAGkAbwBuAHMAIABmAHIAbwBtACAAcwBjAG8AcABlACAAMQAgAHQAcgBhAG4AcwBwAG8AcgB0ACAAZgB1AGUAbAAgAHUAcwBlAFwAbgBFAF8AVwBUAFQAUwBDAHEAIAA9ACAAdQBwAHMAdAByAGUAYQBtACAAZQBtAGkAcwBzAGkAbwBuAHMAIABmAHIAbwBtACAAcwBjAG8AcABlACAAMQAgAHMAdABhAHQAaQBvAG4AYQByAHkAIABjAG8AbQBiAHUAcwB0AGkAbwBuACAAZgB1AGUAbAAgAHUAcwBlAFwAbgAtAC0ALQAtAC0ALQAtAC0ALQAtAC0ALQAtAC0ALQAtAC0ALQAtAC0ALQAtAC0ALQAtAC0ALQAtAC0ALQAtAC0ALQAtAC0ALQAtAC0AXABuACoALwBcAG4AXABuAFYARQBFAFIARwBfADEANQBfADEAMQBfADEAXwAxAF8AXwAxAF8AVABvAHQAYQBsAFUAcABzAHQAcgBlAGEAbQBFAG0AaQBzAHMAaQBvAG4AcwBGAHIAbwBtAEYAdQBlAGwAXABuACAAIAA9AEwAQQBNAEIARABBACgAXABuACAAIAAgACAARQBfAFcAVABUAHQAcgBhAG4AcwBxACwAIABFAF8AVwBUAFQAUwBDAHEALABcAG4AIAAgACAAIABFAF8AVwBUAFQAdAByAGEAbgBzAHEAIAArACAARQBfAFcAVABUAFMAQwBxAFwAbgAgACAAKQA7AFwAbgBcAG4AVgBFAEUAUgBHAF8AMQA1AF8AMQAxAF8AMQBfADEAXwBfADEAXwBUAG8AdABhAGwAVQBwAHMAdAByAGUAYQBtAEUAbQBpAHMAcwBpAG8AbgBzAEYAcgBvAG0ARgB1AGUAbABfAFQAaQB0AGwAZQBcAG4AIAAgAD0ATABBAE0AQgBEAEEAKABcACIAVABvAHQAYQBsACAAdQBwAHMAdAByAGUAYQBtACAAZQBtAGkAcwBzAGkAbwBuAHMAIABmAHIAbwBtACAAcwBjAG8AcABlACAAMQAgAGYAdQBlAGwAIABjAG8AbgBzAHUAbQBwAHQAaQBvAG4AXAAiACkAOwBcAG4AXABuAFYARQBFAFIARwBfADEANQBfADEAMQBfADEAXwAxAF8AXwAxAF8AVABvAHQAYQBsAFUAcABzAHQAcgBlAGEAbQBFAG0AaQBzAHMAaQBvAG4AcwBGAHIAbwBtAEYAdQBlAGwAXwBWAGEAcgBpAGEAYgBsAGUAXABuACAAIAA9AEwAQQBNAEIARABBACgAXAAiAEUAXAAiACkAOwBcAG4AXABuAFYARQBFAFIARwBfADEANQBfADEAMQBfADEAXwAxAF8AXwAxAF8AVABvAHQAYQBsAFUAcABzAHQAcgBlAGEAbQBFAG0AaQBzAHMAaQBvAG4AcwBGAHIAbwBtAEYAdQBlAGwAXwBVAG4AaQB0AFwAbgAgACAAPQBMAEEATQBCAEQAQQAoAFwAIgB0ACAAQwBPADIAZQBcACIAKQA7AFwAbgBcAG4AVgBFAEUAUgBHAF8AMQA1AF8AMQAxAF8AMQBfADEAXwBfADEAXwBUAG8AdABhAGwAVQBwAHMAdAByAGUAYQBtAEUAbQBpAHMAcwBpAG8AbgBzAEYAcgBvAG0ARgB1AGUAbABfAFMAbwB1AHIAYwBlAFwAbgAgACAAPQBMAEEATQBCAEQAQQAoAFwAIgBWAEUARQBSAEcAIAAyADAAMgA2ADoAIAAxADUALgAxADEALgAxAC4AMQAsACAARQBxAHUAYQB0AGkAbwBuACAAKAAxACkAXAAiACkAOwBcAG4AXABuAFYARQBFAFIARwBfADEANQBfADEAMQBfADEAXwAxAF8AXwAxAF8AVABvAHQAYQBsAFUAcABzAHQAcgBlAGEAbQBFAG0AaQBzAHMAaQBvAG4AcwBGAHIAbwBtAEYAdQBlAGwAXwBOAEkAUgBSAGUAZgBlAHIAZQBuAGMAZQBcAG4AIAAgAD0ATABBAE0AQgBEAEEAKABcACIAXAAiACkAOwBcAG4AXABuAFYARQBFAFIARwBfADEANQBfADEAMQBfADEAXwAxAF8AXwAxAF8AVABvAHQAYQBsAFUAcABzAHQAcgBlAGEAbQBFAG0AaQBzAHMAaQBvAG4AcwBGAHIAbwBtAEYAdQBlAGwAXwBMAGEAdABlAHgARQBxAHUAYQB0AGkAbwBuAFwAbgAgACAAPQBMAEEATQBCAEQAQQAoAFwAIgBFAD0AXABcAHMAdQBtAFwAXABuAG8AbABpAG0AaQB0AHMAXwBxAEUAXwB7AFcAVABUACwAdAByAGEAbgBzACwAcQB9ACsAXABcAHMAdQBtAFwAXABuAG8AbABpAG0AaQB0AHMAXwBxAEUAXwB7AFcAVABUACwAUwBDACwAcQB9AFwAIgApADsAXABuAFwAbgBWAEUARQBSAEcAXwAxADUAXwAxADEAXwAxAF8AMQBfAF8AMQBfAFQAbwB0AGEAbABVAHAAcwB0AHIAZQBhAG0ARQBtAGkAcwBzAGkAbwBuAHMARgByAG8AbQBGAHUAZQBsAF8AQQByAGcAdQBtAGUAbgB0AHMAXABuACAAIAA9AEwAQQBNAEIARABBACgAXABuACAAIAAgACAATQBBAEsARQBBAFIAUgBBAFkAKAAyACwAIAA0ACwAXABuACAAIAAgACAAIAAgAEwAQQBNAEIARABBACgAcgAsAGMALABcAG4AIAAgACAAIAAgACAAIAAgAEkATgBEAEUAWAAoAHsAXABuACAAIAAgACAAIAAgACAAIAAgACAAXAAiAEUAXwBXAFQAVAB0AHIAYQBuAHMAcQBcACIALAAgAFwAIgB1AHAAcwB0AHIAZQBhAG0AIABlAG0AaQBzAHMAaQBvAG4AcwAgAGYAcgBvAG0AIABzAGMAbwBwAGUAIAAxACAAdAByAGEAbgBzAHAAbwByAHQAIABmAHUAZQBsACAAdQBzAGUAXAAiACwAIABcACIAdAAgAEMATwAyAGUAXAAiACwAIABcACIAQwBhAGwAYwB1AGwAYQB0AGUAZAAgAGIAeQAgADEANQAuADEAMQAuADEALgAxACAAKAAyACkAXAAiADsAXABuACAAIAAgACAAIAAgACAAIAAgACAAXAAiAEUAXwBXAFQAVABTAEMAcQBcACIALAAgAFwAIgB1AHAAcwB0AHIAZQBhAG0AIABlAG0AaQBzAHMAaQBvAG4AcwAgAGYAcgBvAG0AIABzAGMAbwBwAGUAIAAxACAAcwB0AGEAdABpAG8AbgBhAHIAeQAgAGMAbwBtAGIAdQBzAHQAaQBvAG4AIABmAHUAZQBsACAAdQBzAGUAXAAiACwAIABcACIAdAAgAEMATwAyAGUAXAAiACwAIABcACIAQwBhAGwAYwB1AGwAYQB0AGUAZAAgAGIAeQAgADEANQAuADEAMQAuADEALgAxACAAKAAzACkAXAAiAFwAbgAgACAAIAAgACAAIAAgACAAfQAsACAAcgAsACAAYwApAFwAbgAgACAAIAAgACAAIAApAFwAbgAgACAAIAAgACkAXABuACAAIAApADsAXABuAFwAbgAvACoAXABuAC0ALQAtAC0ALQAtAC0ALQAtAC0ALQAtAC0ALQAtAC0ALQAtAC0ALQAtAC0ALQAtAC0ALQAtAC0ALQAtAC0ALQAtAC0ALQAtAC0ALQBcAG4AVgBFAEUAUgBHAF8AMQA1AF8AMQAxAF8AMQBfADEAXwBfADIAXwBVAHAAcwB0AHIAZQBhAG0AVAByAGEAbgBzAHAAbwByAHQARgB1AGUAbABFAG0AaQBzAHMAaQBvAG4AcwBcAG4AVQBwAHMAdAByAGUAYQBtACAAZQBtAGkAcwBzAGkAbwBuAHMAIABmAHIAbwBtACAAcwBjAG8AcABlACAAMQAgAGYAdQBlAGwAIAB1AHMAZQAgAGYAbwByACAAdAByAGEAbgBzAHAAbwByAHQAIABwAHUAcgBwAG8AcwBlAHMAXABuAEUAXwBXAFQAVAB0AHIAYQBuAHMAcQBcAG4AdAAgAEMATwAyAGUAXABuAEUAXwB7AFcAVABUACwAdAByAGEAbgBzACwAcQB9AD0AUQBfAHsAVAByAGEAbgBzACwAcQB9AFwAXAB0AGkAbQBlAHMAIABFAEMAXwB7AFQAcgBhAG4AcwAsAHEAfQBcAFwAdABpAG0AZQBzACAARQBGAF8AewBUAHIAYQBuAHMALAAzACwAcQB9AFwAXAB0AGkAbQBlAHMAIAAxADAAXgB7AC0AMwB9AFwAbgBRAF8AVAByAGEAbgBzAHEAIAA9ACAAYQBtAG8AdQBuAHQAIABvAGYAIABmAHUAZQBsACAAcQAgAGMAbwBtAGIAdQBzAHQAZQBkACAAZgBvAHIAIAB0AHIAYQBuAHMAcABvAHIAdAAgAGUAbgBlAHIAZwB5ACAAcAB1AHIAcABvAHMAZQBzAFwAbgBFAEMAXwBUAHIAYQBuAHMAcQAgAD0AIABlAG4AZQByAGcAeQAgAGMAbwBuAHQAZQBuAHQAIABmAGEAYwB0AG8AcgAgAGYAbwByACAAdAByAGEAbgBzAHAAbwByAHQAIABlAG4AZQByAGcAeQAgAHAAdQByAHAAbwBzAGUAcwBcAG4ARQBGAF8AVAByAGEAbgBzADMAcQAgAD0AIABzAGMAbwBwAGUAIAAzACAAZQBtAGkAcwBzAGkAbwBuACAAZgBhAGMAdABvAHIAIABmAG8AcgAgAHQAcgBhAG4AcwBwAG8AcgB0ACAAZQBuAGUAcgBnAHkAIABwAHUAcgBwAG8AcwBlAHMAXABuAC0ALQAtAC0ALQAtAC0ALQAtAC0ALQAtAC0ALQAtAC0ALQAtAC0ALQAtAC0ALQAtAC0ALQAtAC0ALQAtAC0ALQAtAC0ALQAtAC0ALQBcAG4AKgAvAFwAbgBcAG4AVgBFAEUAUgBHAF8AMQA1AF8AMQAxAF8AMQBfADEAXwBfADIAXwBVAHAAcwB0AHIAZQBhAG0AVAByAGEAbgBzAHAAbwByAHQARgB1AGUAbABFAG0AaQBzAHMAaQBvAG4AcwBcAG4AIAAgAD0ATABBAE0AQgBEAEEAKABcAG4AIAAgACAAIABRAF8AVAByAGEAbgBzAHEALAAgAEUAQwBfAFQAcgBhAG4AcwBxACwAIABFAEYAXwBUAHIAYQBuAHMAMwBxACwAXABuACAAIAAgACAAKABRAF8AVAByAGEAbgBzAHEAIAAqACAARQBDAF8AVAByAGEAbgBzAHEAIAAqACAARQBGAF8AVAByAGEAbgBzADMAcQApACAAKgAgADEAMAAgAF4AIAAtADMAXABuACAAIAApADsAXABuAFwAbgBWAEUARQBSAEcAXwAxADUAXwAxADEAXwAxAF8AMQBfAF8AMgBfAFUAcABzAHQAcgBlAGEAbQBUAHIAYQBuAHMAcABvAHIAdABGAHUAZQBsAEUAbQBpAHMAcwBpAG8AbgBzAF8AVABpAHQAbABlAFwAbgAgACAAPQBMAEEATQBCAEQAQQAoAFwAIgBVAHAAcwB0AHIAZQBhAG0AIABlAG0AaQBzAHMAaQBvAG4AcwAgAGYAcgBvAG0AIABzAGMAbwBwAGUAIAAxACAAZgB1AGUAbAAgAHUAcwBlACAAZgBvAHIAIAB0AHIAYQBuAHMAcABvAHIAdAAgAHAAdQByAHAAbwBzAGUAcwBcACIAKQA7AFwAbgBcAG4AVgBFAEUAUgBHAF8AMQA1AF8AMQAxAF8AMQBfADEAXwBfADIAXwBVAHAAcwB0AHIAZQBhAG0AVAByAGEAbgBzAHAAbwByAHQARgB1AGUAbABFAG0AaQBzAHMAaQBvAG4AcwBfAFYAYQByAGkAYQBiAGwAZQBcAG4AIAAgAD0ATABBAE0AQgBEAEEAKABcACIARQBfAFcAVABUAHQAcgBhAG4AcwBxAFwAIgApADsAXABuAFwAbgBWAEUARQBSAEcAXwAxADUAXwAxADEAXwAxAF8AMQBfAF8AMgBfAFUAcABzAHQAcgBlAGEAbQBUAHIAYQBuAHMAcABvAHIAdABGAHUAZQBsAEUAbQBpAHMAcwBpAG8AbgBzAF8AVQBuAGkAdABcAG4AIAAgAD0ATABBAE0AQgBEAEEAKABcACIAdAAgAEMATwAyAGUAXAAiACkAOwBcAG4AXABuAFYARQBFAFIARwBfADEANQBfADEAMQBfADEAXwAxAF8AXwAyAF8AVQBwAHMAdAByAGUAYQBtAFQAcgBhAG4AcwBwAG8AcgB0AEYAdQBlAGwARQBtAGkAcwBzAGkAbwBuAHMAXwBTAG8AdQByAGMAZQBcAG4AIAAgAD0ATABBAE0AQgBEAEEAKABcACIAVgBFAEUAUgBHACAAMgAwADIANgA6ACAAMQA1AC4AMQAxAC4AMQAuADEALAAgAEUAcQB1AGEAdABpAG8AbgAgACgAMgApAFwAIgApADsAXABuAFwAbgBWAEUARQBSAEcAXwAxADUAXwAxADEAXwAxAF8AMQBfAF8AMgBfAFUAcABzAHQAcgBlAGEAbQBUAHIAYQBuAHMAcABvAHIAdABGAHUAZQBsAEUAbQBpAHMAcwBpAG8AbgBzAF8ATgBJAFIAUgBlAGYAZQByAGUAbgBjAGUAXABuACAAIAA9AEwAQQBNAEIARABBACgAXAAiAFwAIgApADsAXABuAFwAbgBWAEUARQBSAEcAXwAxADUAXwAxADEAXwAxAF8AMQBfAF8AMgBfAFUAcABzAHQAcgBlAGEAbQBUAHIAYQBuAHMAcABvAHIAdABGAHUAZQBsAEUAbQBpAHMAcwBpAG8AbgBzAF8ATABhAHQAZQB4AEUAcQB1AGEAdABpAG8AbgBcAG4AIAAgAD0ATABBAE0AQgBEAEEAKABcACIARQBfAHsAVwBUAFQALAB0AHIAYQBuAHMALABxAH0APQBRAF8AewBUAHIAYQBuAHMALABxAH0AXABcAHQAaQBtAGUAcwAgAEUAQwBfAHsAVAByAGEAbgBzACwAcQB9AFwAXAB0AGkAbQBlAHMAIABFAEYAXwB7AFQAcgBhAG4AcwAsADMALABxAH0AXABcAHQAaQBtAGUAcwAgADEAMABeAHsALQAzAH0AXAAiACkAOwBcAG4AXABuAFYARQBFAFIARwBfADEANQBfADEAMQBfADEAXwAxAF8AXwAyAF8AVQBwAHMAdAByAGUAYQBtAFQAcgBhAG4AcwBwAG8AcgB0AEYAdQBlAGwARQBtAGkAcwBzAGkAbwBuAHMAXwBBAHIAZwB1AG0AZQBuAHQAcwBcAG4AIAAgAD0ATABBAE0AQgBEAEEAKABcAG4AIAAgACAAIABNAEEASwBFAEEAUgBSAEEAWQAoADMALAAgADQALABcAG4AIAAgACAAIAAgACAATABBAE0AQgBEAEEAKAByACwAYwAsAFwAbgAgACAAIAAgACAAIAAgACAASQBOAEQARQBYACgAewBcAG4AIAAgACAAIAAgACAAIAAgACAAIABcACIAUQBfAFQAcgBhAG4AcwBxAFwAIgAsACAAXAAiAGEAbQBvAHUAbgB0ACAAbwBmACAAZgB1AGUAbAAgAHEAIABjAG8AbQBiAHUAcwB0AGUAZAAgAGYAbwByACAAdAByAGEAbgBzAHAAbwByAHQAIABlAG4AZQByAGcAeQAgAHAAdQByAHAAbwBzAGUAcwBcACIALAAgAFwAIgBrAEwAXAAiACwAIABcACIASQBuAHAAdQB0AFwAIgA7AFwAbgAgACAAIAAgACAAIAAgACAAIAAgAFwAIgBFAEMAXwBUAHIAYQBuAHMAcQBcACIALAAgAFwAIgBlAG4AZQByAGcAeQAgAGMAbwBuAHQAZQBuAHQAIABmAGEAYwB0AG8AcgAgAGYAbwByACAAdAByAGEAbgBzAHAAbwByAHQAIABlAG4AZQByAGcAeQAgAHAAdQByAHAAbwBzAGUAcwBcACIALAAgAFwAIgBHAEoALwBrAEwAIABvAHIAIABHAEoALwBtADMAXAAiACwAIABcACIAQwBvAG4AcwB0AGEAbgB0AFwAIgA7AFwAbgAgACAAIAAgACAAIAAgACAAIAAgAFwAIgBFAEYAXwBUAHIAYQBuAHMAMwBxAFwAIgAsACAAXAAiAHMAYwBvAHAAZQAgADMAIABlAG0AaQBzAHMAaQBvAG4AIABmAGEAYwB0AG8AcgAgAGYAbwByACAAdAByAGEAbgBzAHAAbwByAHQAIABlAG4AZQByAGcAeQAgAHAAdQByAHAAbwBzAGUAcwBcACIALAAgAFwAIgBrAGcAIABDAE8AMgBlAC8ARwBKAFwAIgAsACAAXAAiAEMAbwBuAHMAdABhAG4AdABcACIAXABuACAAIAAgACAAIAAgACAAIAB9ACwAIAByACwAIABjACkAXABuACAAIAAgACAAIAAgACkAXABuACAAIAAgACAAKQBcAG4AIAAgACkAOwBcAG4AXABuAC8AKgBcAG4ALQAtAC0ALQAtAC0ALQAtAC0ALQAtAC0ALQAtAC0ALQAtAC0ALQAtAC0ALQAtAC0ALQAtAC0ALQAtAC0ALQAtAC0ALQAtAC0ALQAtAFwAbgBWAEUARQBSAEcAXwAxADUAXwAxADEAXwAxAF8AMQBfAF8AMwBfAFUAcABzAHQAcgBlAGEAbQBTAHQAYQB0AGkAbwBuAGEAcgB5AEYAdQBlAGwARQBtAGkAcwBzAGkAbwBuAHMAXABuAFUAcABzAHQAcgBlAGEAbQAgAGUAbQBpAHMAcwBpAG8AbgBzACAAZgByAG8AbQAgAHMAYwBvAHAAZQAgADEAIABzAHQAYQB0AGkAbwBuAGEAcgB5ACAAYwBvAG0AYgB1AHMAdABpAG8AbgAgAGYAdQBlAGwAIAB1AHMAZQBcAG4ARQBfAFcAVABUAFMAQwBxAFwAbgB0ACAAQwBPADIAZQBcAG4ARQBfAHsAVwBUAFQALABTAEMALABxAH0APQBRAF8AewBTAEMALABxAH0AXABcAHQAaQBtAGUAcwAgAEUAQwBfAHsAUwBDACwAcQB9AFwAXAB0AGkAbQBlAHMAIABFAEYAXwB7AFMAQwAsADMALABxAH0AXABcAHQAaQBtAGUAcwAgADEAMABeAHsALQAzAH0AXABuAFEAXwBTAEMAcQAgAD0AIABhAG0AbwB1AG4AdAAgAG8AZgAgAGYAdQBlAGwAIABxACAAdQBzAGUAZAAgAGYAbwByACAAcwB0AGEAdABpAG8AbgBhAHIAeQAgAGMAbwBtAGIAdQBzAHQAaQBvAG4AIABvAHAAZQByAGEAdABpAG8AbgBzAFwAbgBFAEMAXwBTAEMAcQAgAD0AIABlAG4AZQByAGcAeQAgAGMAbwBuAHQAZQBuAHQAIABmAGEAYwB0AG8AcgAgAGYAbwByACAAcwB0AGEAdABpAG8AbgBhAHIAeQAgAGMAbwBtAGIAdQBzAHQAaQBvAG4AIABvAHAAZQByAGEAdABpAG8AbgBzAFwAbgBFAEYAXwBTAEMAMwBxACAAPQAgAHMAYwBvAHAAZQAgADMAIABlAG0AaQBzAHMAaQBvAG4AIABmAGEAYwB0AG8AcgAgAGYAbwByACAAcwB0AGEAdABpAG8AbgBhAHIAeQAgAGMAbwBtAGIAdQBzAHQAaQBvAG4AIABvAHAAZQByAGEAdABpAG8AbgBzAFwAbgAtAC0ALQAtAC0ALQAtAC0ALQAtAC0ALQAtAC0ALQAtAC0ALQAtAC0ALQAtAC0ALQAtAC0ALQAtAC0ALQAtAC0ALQAtAC0ALQAtAC0AXABuACoALwBcAG4AXABuAFYARQBFAFIARwBfADEANQBfADEAMQBfADEAXwAxAF8AXwAzAF8AVQBwAHMAdAByAGUAYQBtAFMAdABhAHQAaQBvAG4AYQByAHkARgB1AGUAbABFAG0AaQBzAHMAaQBvAG4AcwBcAG4AIAAgAD0ATABBAE0AQgBEAEEAKABcAG4AIAAgACAAIABRAF8AUwBDAHEALAAgAEUAQwBfAFMAQwBxACwAIABFAEYAXwBTAEMAMwBxACwAXABuACAAIAAgACAAKABRAF8AUwBDAHEAIAAqACAARQBDAF8AUwBDAHEAIAAqACAARQBGAF8AUwBDADMAcQApACAAKgAgADEAMAAgAF4AIAAtADMAXABuACAAIAApADsAXABuAFwAbgBWAEUARQBSAEcAXwAxADUAXwAxADEAXwAxAF8AMQBfAF8AMwBfAFUAcABzAHQAcgBlAGEAbQBTAHQAYQB0AGkAbwBuAGEAcgB5AEYAdQBlAGwARQBtAGkAcwBzAGkAbwBuAHMAXwBUAGkAdABsAGUAXABuACAAIAA9AEwAQQBNAEIARABBACgAXAAiAFUAcABzAHQAcgBlAGEAbQAgAGUAbQBpAHMAcwBpAG8AbgBzACAAZgByAG8AbQAgAHMAYwBvAHAAZQAgADEAIABzAHQAYQB0AGkAbwBuAGEAcgB5ACAAYwBvAG0AYgB1AHMAdABpAG8AbgAgAGYAdQBlAGwAIAB1AHMAZQBcACIAKQA7AFwAbgBcAG4AVgBFAEUAUgBHAF8AMQA1AF8AMQAxAF8AMQBfADEAXwBfADMAXwBVAHAAcwB0AHIAZQBhAG0AUwB0AGEAdABpAG8AbgBhAHIAeQBGAHUAZQBsAEUAbQBpAHMAcwBpAG8AbgBzAF8AVgBhAHIAaQBhAGIAbABlAFwAbgAgACAAPQBMAEEATQBCAEQAQQAoAFwAIgBFAF8AVwBUAFQAUwBDAHEAXAAiACkAOwBcAG4AXABuAFYARQBFAFIARwBfADEANQBfADEAMQBfADEAXwAxAF8AXwAzAF8AVQBwAHMAdAByAGUAYQBtAFMAdABhAHQAaQBvAG4AYQByAHkARgB1AGUAbABFAG0AaQBzAHMAaQBvAG4AcwBfAFUAbgBpAHQAXABuACAAIAA9AEwAQQBNAEIARABBACgAXAAiAHQAIABDAE8AMgBlAFwAIgApADsAXABuAFwAbgBWAEUARQBSAEcAXwAxADUAXwAxADEAXwAxAF8AMQBfAF8AMwBfAFUAcABzAHQAcgBlAGEAbQBTAHQAYQB0AGkAbwBuAGEAcgB5AEYAdQBlAGwARQBtAGkAcwBzAGkAbwBuAHMAXwBTAG8AdQByAGMAZQBcAG4AIAAgAD0ATABBAE0AQgBEAEEAKABcACIAVgBFAEUAUgBHACAAMgAwADIANgA6ACAAMQA1AC4AMQAxAC4AMQAuADEALAAgAEUAcQB1AGEAdABpAG8AbgAgACgAMwApAFwAIgApADsAXABuAFwAbgBWAEUARQBSAEcAXwAxADUAXwAxADEAXwAxAF8AMQBfAF8AMwBfAFUAcABzAHQAcgBlAGEAbQBTAHQAYQB0AGkAbwBuAGEAcgB5AEYAdQBlAGwARQBtAGkAcwBzAGkAbwBuAHMAXwBOAEkAUgBSAGUAZgBlAHIAZQBuAGMAZQBcAG4AIAAgAD0ATABBAE0AQgBEAEEAKABcACIAXAAiACkAOwBcAG4AXABuAFYARQBFAFIARwBfADEANQBfADEAMQBfADEAXwAxAF8AXwAzAF8AVQBwAHMAdAByAGUAYQBtAFMAdABhAHQAaQBvAG4AYQByAHkARgB1AGUAbABFAG0AaQBzAHMAaQBvAG4AcwBfAEwAYQB0AGUAeABFAHEAdQBhAHQAaQBvAG4AXABuACAAIAA9AEwAQQBNAEIARABBACgAXAAiAEUAXwB7AFcAVABUACwAUwBDACwAcQB9AD0AUQBfAHsAUwBDACwAcQB9AFwAXAB0AGkAbQBlAHMAIABFAEMAXwB7AFMAQwAsAHEAfQBcAFwAdABpAG0AZQBzACAARQBGAF8AewBTAEMALAAzACwAcQB9AFwAXAB0AGkAbQBlAHMAIAAxADAAXgB7AC0AMwB9AFwAIgApADsAXABuAFwAbgBWAEUARQBSAEcAXwAxADUAXwAxADEAXwAxAF8AMQBfAF8AMwBfAFUAcABzAHQAcgBlAGEAbQBTAHQAYQB0AGkAbwBuAGEAcgB5AEYAdQBlAGwARQBtAGkAcwBzAGkAbwBuAHMAXwBBAHIAZwB1AG0AZQBuAHQAcwBcAG4AIAAgAD0ATABBAE0AQgBEAEEAKABcAG4AIAAgACAAIABNAEEASwBFAEEAUgBSAEEAWQAoADUALAAgADQALABcAG4AIAAgACAAIAAgACAATABBAE0AQgBEAEEAKAByACwAYwAsAFwAbgAgACAAIAAgACAAIAAgACAASQBOAEQARQBYACgAewBcAG4AIAAgACAAIAAgACAAIAAgACAAIABcACIAUQBfAFMAQwBxAFwAIgAsACAAXAAiAGEAbQBvAHUAbgB0ACAAbwBmACAAZgB1AGUAbAAgAHEAIAB1AHMAZQBkACAAZgBvAHIAIABzAHQAYQB0AGkAbwBuAGEAcgB5ACAAYwBvAG0AYgB1AHMAdABpAG8AbgAgAG8AcABlAHIAYQB0AGkAbwBuAHMAXAAiACwAIABcACIAawBMAFwAIgAsACAAXAAiAEkAbgBwAHUAdABcACIAOwBcAG4AIAAgACAAIAAgACAAIAAgACAAIABcACIARQBDAF8AUwBDAHEAXAAiACwAIABcACIAZQBuAGUAcgBnAHkAIABjAG8AbgB0AGUAbgB0ACAAZgBhAGMAdABvAHIAIABmAG8AcgAgAHMAdABhAHQAaQBvAG4AYQByAHkAIABjAG8AbQBiAHUAcwB0AGkAbwBuACAAbwBwAGUAcgBhAHQAaQBvAG4AcwBcACIALAAgAFwAIgBHAEoALwBrAEwAXAAiACwAIABcACIAQwBvAG4AcwB0AGEAbgB0AFwAIgA7AFwAbgAgACAAIAAgACAAIAAgACAAIAAgAFwAIgBFAEYAXwBTAEMAMwBxAFwAIgAsACAAXAAiAHMAYwBvAHAAZQAgADMAIABlAG0AaQBzAHMAaQBvAG4AIABmAGEAYwB0AG8AcgAgAGYAbwByACAAcwB0AGEAdABpAG8AbgBhAHIAeQAgAGMAbwBtAGIAdQBzAHQAaQBvAG4AIABvAHAAZQByAGEAdABpAG8AbgBzAFwAIgAsACAAXAAiAGsAZwAgAEMATwAyAGUALwBHAEoAXAAiACwAIABcACIAQwBvAG4AcwB0AGEAbgB0AFwAIgA7AFwAbgAgACAAIAAgACAAIAAgACAAIAAgAFwAIgBpAFwAIgAsACAAXAAiAHMAdABhAHQAZQBcACIALAAgAFwAIgBcACIALAAgAFwAIgBJAG4AcAB1AHQAXAAiADsAXABuACAAIAAgACAAIAAgACAAIAAgACAAXAAiAG0AXAAiACwAIABcACIAbQBlAHQAcgBvAHAAbwBsAGkAdABhAG4ALwBuAG8AbgAtAG0AZQB0AHIAbwBwAG8AbABpAHQAYQBuACAAbABvAGMAYQB0AGkAbwBuAFwAIgAsACAAXAAiAFwAIgAsACAAXAAiAEkAbgBwAHUAdABcACIAXABuACAAIAAgACAAIAAgACAAIAB9ACwAIAByACwAIABjACkAXABuACAAIAAgACAAIAAgACkAXABuACAAIAAgACAAKQBcAG4AIAAgACkAOwBcAG4AXABuAFYARQBFAFIARwBfADEANQBfADEAMQBfADEAXwAxAF8AXwAzAF8AVQBwAHMAdAByAGUAYQBtAFMAdABhAHQAaQBvAG4AYQByAHkARgB1AGUAbABFAG0AaQBzAHMAaQBvAG4AcwBfAFYAYQByAGkAYQB0AGkAbwBuAFwAbgAgACAAPQBMAEEATQBCAEQAQQAoAFwAIgBWAEEAUgBJAEEAVABJAE8ATgAgAE8ATgAgAFMATwBVAFIAQwBFADoAIABBAGQAZABlAGQAIABcAHUAMAAwADIANwBzAHQAYQB0AGUAXAB1ADAAMAAyADcAIABhAG4AZAAgAFwAdQAwADAAMgA3AG0AZQB0AHIAbwAvAG4AbwBuAC0AbQBlAHQAcgBvAFwAdQAwADAAMgA3ACAAYQByAGcAdQBtAGUAbgB0AHMAIABhAHMAIABnAGEAcwBlAG8AdQBzACAAcwBjAG8AcABlACAAMwAgAEUARgBzACAAYQByAGUAIABzAHQAYQB0AGUAIABhAG4AZAAgAG0AZQB0AHIAbwAvAG4AbwBuAC0AbQBlAHQAcgBvACAAbABvAGMAYQB0AGkAbwBuAC0AYgBhAHMAZQBkAC4AXAAiACkAOwBcAG4AXABuAC8AKgBcAG4ALQAtAC0ALQAtAC0ALQAtAC0ALQAtAC0ALQAtAC0ALQAtAC0ALQAtAC0ALQAtAC0ALQAtAC0ALQAtAC0ALQAtAC0ALQAtAC0ALQAtAFwAbgBWAEUARQBSAEcAXwAxADUAXwAxADIAXwAxAF8AMQBfAF8AMQBfAFUAcABzAHQAcgBlAGEAbQBQAHUAcgBjAGgAYQBzAGUAZABFAGwAZQBjAHQAcgBpAGMAaQB0AHkATABvAGMAYQB0AGkAbwBuAEIAYQBzAGUAZABcAG4AUwBjAG8AcABlACAAMwAgAGUAbQBpAHMAcwBpAG8AbgBzACAAZgByAG8AbQAgAHAAdQByAGMAaABhAHMAZQBkACAAZQBsAGUAYwB0AHIAaQBjAGkAdAB5ACAAbABvAGMAYQB0AGkAbwBuACAAYgBhAHMAZQBkAFwAbgBFAF8AMwBlAGwAZQBjAFwAbgB0ACAAQwBPADIAZQBcAG4ARQBfAHsAMwAsAGUAbABlAGMAfQA9AFEAXwB7AGUAbABlAGMAfQBcAFwAdABpAG0AZQBzACAARQBGAF8AewAzACwAZQBsAGUAYwB9AFwAXAB0AGkAbQBlAHMAIAAxADAAXgB7AC0AMwB9AFwAbgBRAF8AZQBsAGUAYwAgAD0AIABhAG0AbwB1AG4AdAAgAG8AZgAgAGUAbABlAGMAdAByAGkAYwBpAHQAeQAgAHAAdQByAGMAaABhAHMAZQBkACAAZgByAG8AbQAgAHQAaABlACAAZwByAGkAZABcAG4ARQBGAF8AMwBlAGwAZQBjACAAPQAgAHMAYwBvAHAAZQAgADMAIABlAG0AaQBzAHMAaQBvAG4AIABmAGEAYwB0AG8AcgAgAGYAbwByACAAcAB1AHIAYwBoAGEAcwBlAGQAIABlAGwAZQBjAHQAcgBpAGMAaQB0AHkAXABuAC0ALQAtAC0ALQAtAC0ALQAtAC0ALQAtAC0ALQAtAC0ALQAtAC0ALQAtAC0ALQAtAC0ALQAtAC0ALQAtAC0ALQAtAC0ALQAtAC0ALQBcAG4AKgAvAFwAbgBcAG4AVgBFAEUAUgBHAF8AMQA1AF8AMQAyAF8AMQBfADEAXwBfADEAXwBVAHAAcwB0AHIAZQBhAG0AUAB1AHIAYwBoAGEAcwBlAGQARQBsAGUAYwB0AHIAaQBjAGkAdAB5AEwAbwBjAGEAdABpAG8AbgBCAGEAcwBlAGQAXABuACAAIAA9AEwAQQBNAEIARABBACgAXABuACAAIAAgACAAUQBfAGUAbABlAGMALAAgAEUARgBfADMAZQBsAGUAYwAsAFwAbgAgACAAIAAgACgAUQBfAGUAbABlAGMAIAAqACAARQBGAF8AMwBlAGwAZQBjACkAIAAqACAAMQAwACAAXgAgAC0AMwBcAG4AIAAgACkAOwBcAG4AXABuAFYARQBFAFIARwBfADEANQBfADEAMgBfADEAXwAxAF8AXwAxAF8AVQBwAHMAdAByAGUAYQBtAFAAdQByAGMAaABhAHMAZQBkAEUAbABlAGMAdAByAGkAYwBpAHQAeQBMAG8AYwBhAHQAaQBvAG4AQgBhAHMAZQBkAF8AVABpAHQAbABlAFwAbgAgACAAPQBMAEEATQBCAEQAQQAoAFwAIgBTAGMAbwBwAGUAIAAzACAAZQBtAGkAcwBzAGkAbwBuAHMAIABmAHIAbwBtACAAcAB1AHIAYwBoAGEAcwBlAGQAIABlAGwAZQBjAHQAcgBpAGMAaQB0AHkAIABsAG8AYwBhAHQAaQBvAG4AIABiAGEAcwBlAGQAXAAiACkAOwBcAG4AXABuAFYARQBFAFIARwBfADEANQBfADEAMgBfADEAXwAxAF8AXwAxAF8AVQBwAHMAdAByAGUAYQBtAFAAdQByAGMAaABhAHMAZQBkAEUAbABlAGMAdAByAGkAYwBpAHQAeQBMAG8AYwBhAHQAaQBvAG4AQgBhAHMAZQBkAF8AVgBhAHIAaQBhAGIAbABlAFwAbgAgACAAPQBMAEEATQBCAEQAQQAoAFwAIgBFAF8AMwBlAGwAZQBjAFwAIgApADsAXABuAFwAbgBWAEUARQBSAEcAXwAxADUAXwAxADIAXwAxAF8AMQBfAF8AMQBfAFUAcABzAHQAcgBlAGEAbQBQAHUAcgBjAGgAYQBzAGUAZABFAGwAZQBjAHQAcgBpAGMAaQB0AHkATABvAGMAYQB0AGkAbwBuAEIAYQBzAGUAZABfAFUAbgBpAHQAXABuACAAIAA9AEwAQQBNAEIARABBACgAXAAiAHQAIABDAE8AMgBlAFwAIgApADsAXABuAFwAbgBWAEUARQBSAEcAXwAxADUAXwAxADIAXwAxAF8AMQBfAF8AMQBfAFUAcABzAHQAcgBlAGEAbQBQAHUAcgBjAGgAYQBzAGUAZABFAGwAZQBjAHQAcgBpAGMAaQB0AHkATABvAGMAYQB0AGkAbwBuAEIAYQBzAGUAZABfAFMAbwB1AHIAYwBlAFwAbgAgACAAPQBMAEEATQBCAEQAQQAoAFwAIgBWAEUARQBSAEcAIAAyADAAMgA2ADoAIAAxADUALgAxADIALgAxAC4AMQAsACAARQBxAHUAYQB0AGkAbwBuACAAKAAxACkAXAAiACkAOwBcAG4AXABuAFYARQBFAFIARwBfADEANQBfADEAMgBfADEAXwAxAF8AXwAxAF8AVQBwAHMAdAByAGUAYQBtAFAAdQByAGMAaABhAHMAZQBkAEUAbABlAGMAdAByAGkAYwBpAHQAeQBMAG8AYwBhAHQAaQBvAG4AQgBhAHMAZQBkAF8ATgBJAFIAUgBlAGYAZQByAGUAbgBjAGUAXABuACAAIAA9AEwAQQBNAEIARABBACgAXAAiAFwAIgApADsAXABuAFwAbgBWAEUARQBSAEcAXwAxADUAXwAxADIAXwAxAF8AMQBfAF8AMQBfAFUAcABzAHQAcgBlAGEAbQBQAHUAcgBjAGgAYQBzAGUAZABFAGwAZQBjAHQAcgBpAGMAaQB0AHkATABvAGMAYQB0AGkAbwBuAEIAYQBzAGUAZABfAEwAYQB0AGUAeABFAHEAdQBhAHQAaQBvAG4AXABuACAAIAA9AEwAQQBNAEIARABBACgAXAAiAEUAXwB7ADMALABlAGwAZQBjAH0APQBRAF8AewBlAGwAZQBjAH0AXABcAHQAaQBtAGUAcwAgAEUARgBfAHsAMwAsAGUAbABlAGMAfQBcAFwAdABpAG0AZQBzACAAMQAwAF4AewAtADMAfQBcACIAKQA7AFwAbgBcAG4AVgBFAEUAUgBHAF8AMQA1AF8AMQAyAF8AMQBfADEAXwBfADEAXwBVAHAAcwB0AHIAZQBhAG0AUAB1AHIAYwBoAGEAcwBlAGQARQBsAGUAYwB0AHIAaQBjAGkAdAB5AEwAbwBjAGEAdABpAG8AbgBCAGEAcwBlAGQAXwBBAHIAZwB1AG0AZQBuAHQAcwBcAG4AIAAgAD0ATABBAE0AQgBEAEEAKABcAG4AIAAgACAAIABNAEEASwBFAEEAUgBSAEEAWQAoADMALAAgADQALABcAG4AIAAgACAAIAAgACAATABBAE0AQgBEAEEAKAByACwAYwAsAFwAbgAgACAAIAAgACAAIAAgACAASQBOAEQARQBYACgAewBcAG4AIAAgACAAIAAgACAAIAAgACAAIABcACIAUQBfAGUAbABlAGMAXAAiACwAIABcACIAYQBtAG8AdQBuAHQAIABvAGYAIABlAGwAZQBjAHQAcgBpAGMAaQB0AHkAIABwAHUAcgBjAGgAYQBzAGUAZAAgAGYAcgBvAG0AIAB0AGgAZQAgAGcAcgBpAGQAXAAiACwAIABcACIAawBXAGgAXAAiACwAIABcACIASQBuAHAAdQB0AFwAIgA7AFwAbgAgACAAIAAgACAAIAAgACAAIAAgAFwAIgBFAEYAXwAzAGUAbABlAGMAXAAiACwAIABcACIAcwBjAG8AcABlACAAMwAgAGUAbQBpAHMAcwBpAG8AbgAgAGYAYQBjAHQAbwByACAAZgBvAHIAIABwAHUAcgBjAGgAYQBzAGUAZAAgAGUAbABlAGMAdAByAGkAYwBpAHQAeQBcACIALAAgAFwAIgBrAGcAIABDAE8AMgBlAC8AawBXAGgAXAAiACwAIABcACIAQwBvAG4AcwB0AGEAbgB0AFwAIgA7AFwAbgAgACAAIAAgACAAIAAgACAAIAAgAFwAIgBnAFwAIgAsACAAXAAiAGcAcgBpAGQAIABlAGwAZQBjAHQAcgBpAGMAaQB0AHkAIAB3AGEAcwAgAHAAdQByAGMAaABhAHMAZQBkACAAZgByAG8AbQBcACIALAAgAFwAIgBcACIALAAgAFwAIgBJAG4AcAB1AHQAXAAiAFwAbgAgACAAIAAgACAAIAAgACAAfQAsACAAcgAsACAAYwApAFwAbgAgACAAIAAgACAAIAApAFwAbgAgACAAIAAgACkAXABuACAAIAApADsAXABuAFwAbgAvACoAXABuAC0ALQAtAC0ALQAtAC0ALQAtAC0ALQAtAC0ALQAtAC0ALQAtAC0ALQAtAC0ALQAtAC0ALQAtAC0ALQAtAC0ALQAtAC0ALQAtAC0ALQBcAG4AVgBFAEUAUgBHAF8AMQA1AF8AMQAyAF8AMQBfADIAXwBfADEAXwBVAHAAcwB0AHIAZQBhAG0AUAB1AHIAYwBoAGEAcwBlAGQARQBsAGUAYwB0AHIAaQBjAGkAdAB5AE0AYQByAGsAZQB0AEIAYQBzAGUAZABcAG4AUwBjAG8AcABlACAAMwAgAGUAbQBpAHMAcwBpAG8AbgBzACAAZgByAG8AbQAgAHAAdQByAGMAaABhAHMAZQBkACAAZQBsAGUAYwB0AHIAaQBjAGkAdAB5ACAAbQBhAHIAawBlAHQAIABiAGEAcwBlAGQAXABuAEUAXwAzAGUAbABlAGMAXABuAHQAIABDAE8AMgBlAFwAbgBFAF8AewAzACwAZQBsAGUAYwB9AD0AXABcAGwAZQBmAHQAWwBRAF8AewBlAGwAZQBjAH0AXABcAHQAaQBtAGUAcwBcAFwAbABlAGYAdAAoADEALQAoAFIAUABQACsASgBSAFAAUAApAFwAXAByAGkAZwBoAHQAKQAtAFwAXABsAGUAZgB0ACgAUgBFAEMAXwB7AHMAdQByAHIAZQBuAGQAZQByAGUAZAB9AC0AUgBFAEMAXwB7AG8AbgBzAGkAdABlAH0AXABcAHIAaQBnAGgAdAApAFwAXAB0AGkAbQBlAHMAIAAxADAAXgB7AC0AMwB9AFwAXAByAGkAZwBoAHQAXQBcAFwAdABpAG0AZQBzACAARQBGAF8AewBSAE0ARgAzACwAZQBsAGUAYwB9AFwAXAB0AGkAbQBlAHMAIAAxADAAXgB7AC0AMwB9AFwAbgBRAF8AZQBsAGUAYwAgAD0AIABhAG0AbwB1AG4AdAAgAG8AZgAgAGUAbABlAGMAdAByAGkAYwBpAHQAeQAgAHAAdQByAGMAaABhAHMAZQBkACAAZgByAG8AbQAgAHQAaABlACAAZwByAGkAZABcAG4AUgBQAFAAIAA9ACAAcgBlAG4AZQB3AGEAYgBsAGUAIABwAG8AdwBlAHIAIABwAGUAcgBjAGUAbgB0AGEAZwBlACAAdQBuAGQAZQByACAATABSAEUAVAAgAGYAbwByACAAdABoAGUAIABhAHAAcABsAGkAYwBhAGIAbABlACAAcABlAHIAaQBvAGQAXABuAEoAUgBQAFAAIAA9ACAAagB1AHIAaQBzAGQAaQBjAHQAaQBvAG4AYQBsACAAcgBlAG4AZQB3AGEAYgBsAGUAIABwAG8AdwBlAHIAIABwAGUAcgBjAGUAbgB0AGEAZwBlACAAZgBvAHIAIAB0AGgAZQAgAGEAcABwAGwAaQBjAGEAYgBsAGUAIABwAGUAcgBpAG8AZABcAG4AUgBFAEMAXwBzAHUAcgByAGUAbgBkAGUAcgBlAGQAIAA9ACAAZQBsAGkAZwBpAGIAbABlACAAcgBlAG4AZQB3AGEAYgBsAGUAIABlAG4AZQByAGcAeQAgAGMAZQByAHQAaQBmAGkAYwBhAHQAZQBzACAAdgBvAGwAdQBuAHQAYQByAGkAbAB5ACAAcwB1AHIAcgBlAG4AZABlAHIAZQBkAFwAbgBSAEUAQwBfAG8AbgBzAGkAdABlACAAPQAgAGUAbABpAGcAaQBiAGwAZQAgAHIAZQBuAGUAdwBhAGIAbABlACAAZQBuAGUAcgBnAHkAIABjAGUAcgB0AGkAZgBpAGMAYQB0AGUAcwAgAGkAcwBzAHUAZQBkACAAZgBvAHIAIABvAG4AcwBpAHQAZQAgAGcAZQBuAGUAcgBhAHQAZQBkACAAZQBsAGUAYwB0AHIAaQBjAGkAdAB5AFwAbgBFAEYAXwBSAE0ARgAzAGUAbABlAGMAIAA9ACAAcwBjAG8AcABlACAAMwAgAHIAZQBzAGkAZAB1AGEAbAAgAG0AaQB4ACAAZQBtAGkAcwBzAGkAbwBuACAAZgBhAGMAdABvAHIAIABmAG8AcgAgAGUAbABlAGMAdAByAGkAYwBpAHQAeQBcAG4ALQAtAC0ALQAtAC0ALQAtAC0ALQAtAC0ALQAtAC0ALQAtAC0ALQAtAC0ALQAtAC0ALQAtAC0ALQAtAC0ALQAtAC0ALQAtAC0ALQAtAFwAbgAqAC8AXABuAFwAbgBWAEUARQBSAEcAXwAxADUAXwAxADIAXwAxAF8AMgBfAF8AMQBfAFUAcABzAHQAcgBlAGEAbQBQAHUAcgBjAGgAYQBzAGUAZABFAGwAZQBjAHQAcgBpAGMAaQB0AHkATQBhAHIAawBlAHQAQgBhAHMAZQBkAFwAbgAgACAAPQBMAEEATQBCAEQAQQAoAFwAbgAgACAAIAAgAFEAXwBlAGwAZQBjACwAIABSAFAAUAAsACAASgBSAFAAUAAsACAAUgBFAEMAXwBzAHUAcgByAGUAbgBkAGUAcgBlAGQALAAgAFIARQBDAF8AbwBuAHMAaQB0AGUALAAgAEUARgBfAFIATQBGADMAZQBsAGUAYwAsAFwAbgAgACAAIAAgACgAKABRAF8AZQBsAGUAYwAgACoAIAAoADEAIAAtACAAKABSAFAAUAAgACsAIABKAFIAUABQACkAKQApACAALQAgACgAKABSAEUAQwBfAHMAdQByAHIAZQBuAGQAZQByAGUAZAAgAC0AIABSAEUAQwBfAG8AbgBzAGkAdABlACkAIAAqACAAMQAwACAAXgAgAC0AMwApACkAIAAqACAARQBGAF8AUgBNAEYAMwBlAGwAZQBjACAAKgAgADEAMAAgAF4AIAAtADMAXABuACAAIAApADsAXABuAFwAbgBWAEUARQBSAEcAXwAxADUAXwAxADIAXwAxAF8AMgBfAF8AMQBfAFUAcABzAHQAcgBlAGEAbQBQAHUAcgBjAGgAYQBzAGUAZABFAGwAZQBjAHQAcgBpAGMAaQB0AHkATQBhAHIAawBlAHQAQgBhAHMAZQBkAFYAYQByAGkAYQB0AGkAbwBuAFwAbgAgACAAPQBMAEEATQBCAEQAQQAoAFwAbgAgACAAIAAgAFEAXwBlAGwAZQBjACwAIABSAFAAUAAsACAASgBSAFAAUAAsACAAUgBFAEMAXwBzAHUAcgByAGUAbgBkAGUAcgBlAGQALAAgAFIARQBDAF8AbwBuAHMAaQB0AGUALAAgAEUARgBfAFIATQBGADMAZQBsAGUAYwAsAFwAbgAgACAAIAAgACgAKABRAF8AZQBsAGUAYwAgACoAIAAoADEAIAAtACAAKABSAFAAUAAgACsAIABKAFIAUABQACkAKQApACAALQAgACgAKABSAEUAQwBfAHMAdQByAHIAZQBuAGQAZQByAGUAZAAgAC0AIABSAEUAQwBfAG8AbgBzAGkAdABlACkAIAAqACAAMQAwACAAXgAgADMAKQApACAAKgAgAEUARgBfAFIATQBGADMAZQBsAGUAYwAgACoAIAAxADAAIABeACAALQAzAFwAbgAgACAAKQA7AFwAbgBcAG4AVgBFAEUAUgBHAF8AMQA1AF8AMQAyAF8AMQBfADIAXwBfADEAXwBVAHAAcwB0AHIAZQBhAG0AUAB1AHIAYwBoAGEAcwBlAGQARQBsAGUAYwB0AHIAaQBjAGkAdAB5AE0AYQByAGsAZQB0AEIAYQBzAGUAZABfAFQAaQB0AGwAZQBcAG4AIAAgAD0ATABBAE0AQgBEAEEAKABcACIAUwBjAG8AcABlACAAMwAgAGUAbQBpAHMAcwBpAG8AbgBzACAAZgByAG8AbQAgAHAAdQByAGMAaABhAHMAZQBkACAAZQBsAGUAYwB0AHIAaQBjAGkAdAB5ACAAbQBhAHIAawBlAHQAIABiAGEAcwBlAGQAXAAiACkAOwBcAG4AXABuAFYARQBFAFIARwBfADEANQBfADEAMgBfADEAXwAyAF8AXwAxAF8AVQBwAHMAdAByAGUAYQBtAFAAdQByAGMAaABhAHMAZQBkAEUAbABlAGMAdAByAGkAYwBpAHQAeQBNAGEAcgBrAGUAdABCAGEAcwBlAGQAXwBWAGEAcgBpAGEAYgBsAGUAXABuACAAIAA9AEwAQQBNAEIARABBACgAXAAiAEUAXwAzAGUAbABlAGMAXAAiACkAOwBcAG4AXABuAFYARQBFAFIARwBfADEANQBfADEAMgBfADEAXwAyAF8AXwAxAF8AVQBwAHMAdAByAGUAYQBtAFAAdQByAGMAaABhAHMAZQBkAEUAbABlAGMAdAByAGkAYwBpAHQAeQBNAGEAcgBrAGUAdABCAGEAcwBlAGQAXwBVAG4AaQB0AFwAbgAgACAAPQBMAEEATQBCAEQAQQAoAFwAIgB0ACAAQwBPADIAZQBcACIAKQA7AFwAbgBcAG4AVgBFAEUAUgBHAF8AMQA1AF8AMQAyAF8AMQBfADIAXwBfADEAXwBVAHAAcwB0AHIAZQBhAG0AUAB1AHIAYwBoAGEAcwBlAGQARQBsAGUAYwB0AHIAaQBjAGkAdAB5AE0AYQByAGsAZQB0AEIAYQBzAGUAZABfAFMAbwB1AHIAYwBlAFwAbgAgACAAPQBMAEEATQBCAEQAQQAoAFwAIgBWAEUARQBSAEcAIAAyADAAMgA2ADoAIAAxADUALgAxADIALgAxAC4AMgAsACAARQBxAHUAYQB0AGkAbwBuACAAKAAxACkAXAAiACkAOwBcAG4AXABuAFYARQBFAFIARwBfADEANQBfADEAMgBfADEAXwAyAF8AXwAxAF8AVQBwAHMAdAByAGUAYQBtAFAAdQByAGMAaABhAHMAZQBkAEUAbABlAGMAdAByAGkAYwBpAHQAeQBNAGEAcgBrAGUAdABCAGEAcwBlAGQAXwBOAEkAUgBSAGUAZgBlAHIAZQBuAGMAZQBcAG4AIAAgAD0ATABBAE0AQgBEAEEAKABcACIAXAAiACkAOwBcAG4AXABuAFYARQBFAFIARwBfADEANQBfADEAMgBfADEAXwAyAF8AXwAxAF8AVQBwAHMAdAByAGUAYQBtAFAAdQByAGMAaABhAHMAZQBkAEUAbABlAGMAdAByAGkAYwBpAHQAeQBNAGEAcgBrAGUAdABCAGEAcwBlAGQAXwBMAGEAdABlAHgARQBxAHUAYQB0AGkAbwBuAFwAbgAgACAAPQBMAEEATQBCAEQAQQAoAFwAIgBFAF8AewAzACwAZQBsAGUAYwB9AD0AIABbACAAUQBfAHsAZQBsAGUAYwB9AFwAXAB0AGkAbQBlAHMAXABcAGwAZQBmAHQAKAAxAC0AKABSAFAAUAArAEoAUgBQAFAAKQBcAFwAcgBpAGcAaAB0ACkALQBcAFwAbABlAGYAdABcAFwAbABlAGYAdAAoACgAUgBFAEMAXwB7AHMAdQByAHIAZQBuAGQAZQByAGUAZAB9AC0AUgBFAEMAXwB7AG8AbgBzAGkAdABlAH0AXABcAHIAaQBnAGgAdAApAFwAXAB0AGkAbQBlAHMAIAAxADAAXgB7AC0AMwB9AFwAXAByAGkAZwBoAHQAKQBcAFwAcgBpAGcAaAB0AF0AXABcAHQAaQBtAGUAcwAgAEUARgBfAHsAUgBNAEYAMwAsAGUAbABlAGMAfQBcAFwAdABpAG0AZQBzACAAMQAwAF4AewAtADMAfQBcACIAKQA7AFwAbgBcAG4AVgBFAEUAUgBHAF8AMQA1AF8AMQAyAF8AMQBfADIAXwBfADEAXwBVAHAAcwB0AHIAZQBhAG0AUAB1AHIAYwBoAGEAcwBlAGQARQBsAGUAYwB0AHIAaQBjAGkAdAB5AE0AYQByAGsAZQB0AEIAYQBzAGUAZABfAEwAYQB0AGUAeABFAHEAdQBhAHQAaQBvAG4AVgBhAHIAaQBhAHQAaQBvAG4AXABuACAAIAA9AEwAQQBNAEIARABBACgAXAAiAEUAXwB7ADMALABlAGwAZQBjAH0APQAgAFsAIABRAF8AewBlAGwAZQBjAH0AXABcAHQAaQBtAGUAcwBcAFwAbABlAGYAdAAoADEALQAoAFIAUABQACsASgBSAFAAUAApAFwAXAByAGkAZwBoAHQAKQAtAFwAXABsAGUAZgB0AFwAXABsAGUAZgB0ACgAKABSAEUAQwBfAHsAcwB1AHIAcgBlAG4AZABlAHIAZQBkAH0ALQBSAEUAQwBfAHsAbwBuAHMAaQB0AGUAfQBcAFwAcgBpAGcAaAB0ACkAXABcAHQAaQBtAGUAcwAgADEAMABeAHsAMwB9AFwAXAByAGkAZwBoAHQAKQBcAFwAcgBpAGcAaAB0AF0AXABcAHQAaQBtAGUAcwAgAEUARgBfAHsAUgBNAEYAMwAsAGUAbABlAGMAfQBcAFwAdABpAG0AZQBzACAAMQAwAF4AewAtADMAfQBcACIAKQA7AFwAbgBcAG4AVgBFAEUAUgBHAF8AMQA1AF8AMQAyAF8AMQBfADIAXwBfADEAXwBVAHAAcwB0AHIAZQBhAG0AUAB1AHIAYwBoAGEAcwBlAGQARQBsAGUAYwB0AHIAaQBjAGkAdAB5AE0AYQByAGsAZQB0AEIAYQBzAGUAZABfAEEAcgBnAHUAbQBlAG4AdABzAFwAbgAgACAAPQBMAEEATQBCAEQAQQAoAFwAbgAgACAAIAAgAE0AQQBLAEUAQQBSAFIAQQBZACgANwAsACAANAAsAFwAbgAgACAAIAAgACAAIABMAEEATQBCAEQAQQAoAHIALABjACwAXABuACAAIAAgACAAIAAgACAAIABJAE4ARABFAFgAKAB7AFwAbgAgACAAIAAgACAAIAAgACAAIAAgAFwAIgBRAF8AZQBsAGUAYwBcACIALAAgAFwAIgBhAG0AbwB1AG4AdAAgAG8AZgAgAGUAbABlAGMAdAByAGkAYwBpAHQAeQAgAHAAdQByAGMAaABhAHMAZQBkACAAZgByAG8AbQAgAHQAaABlACAAZwByAGkAZABcACIALAAgAFwAIgBrAFcAaABcACIALAAgAFwAIgBJAG4AcAB1AHQAXAAiADsAXABuACAAIAAgACAAIAAgACAAIAAgACAAXAAiAFIAUABQAFwAIgAsACAAXAAiAHIAZQBuAGUAdwBhAGIAbABlACAAcABvAHcAZQByACAAcABlAHIAYwBlAG4AdABhAGcAZQAgAHUAbgBkAGUAcgAgAEwAUgBFAFQAIABmAG8AcgAgAHQAaABlACAAYQBwAHAAbABpAGMAYQBiAGwAZQAgAHAAZQByAGkAbwBkAFwAIgAsACAAXAAiAGYAcgBhAGMAdABpAG8AbgBcACIALAAgAFwAIgBJAG4AcAB1AHQAXAAiADsAXABuACAAIAAgACAAIAAgACAAIAAgACAAXAAiAEoAUgBQAFAAXAAiACwAIABcACIAagB1AHIAaQBzAGQAaQBjAHQAaQBvAG4AYQBsACAAcgBlAG4AZQB3AGEAYgBsAGUAIABwAG8AdwBlAHIAIABwAGUAcgBjAGUAbgB0AGEAZwBlACAAZgBvAHIAIAB0AGgAZQAgAGEAcABwAGwAaQBjAGEAYgBsAGUAIABwAGUAcgBpAG8AZABcACIALAAgAFwAIgBmAHIAYQBjAHQAaQBvAG4AXAAiACwAIABcACIASQBuAHAAdQB0AFwAIgA7AFwAbgAgACAAIAAgACAAIAAgACAAIAAgAFwAIgBSAEUAQwBfAHMAdQByAHIAZQBuAGQAZQByAGUAZABcACIALAAgAFwAIgBlAGwAaQBnAGkAYgBsAGUAIAByAGUAbgBlAHcAYQBiAGwAZQAgAGUAbgBlAHIAZwB5ACAAYwBlAHIAdABpAGYAaQBjAGEAdABlAHMAIAB2AG8AbAB1AG4AdABhAHIAaQBsAHkAIABzAHUAcgByAGUAbgBkAGUAcgBlAGQAXAAiACwAIABcACIATQBXAGgAXAAiACwAIABcACIASQBuAHAAdQB0AFwAIgA7AFwAbgAgACAAIAAgACAAIAAgACAAIAAgAFwAIgBSAEUAQwBfAG8AbgBzAGkAdABlAFwAIgAsACAAXAAiAGUAbABpAGcAaQBiAGwAZQAgAHIAZQBuAGUAdwBhAGIAbABlACAAZQBuAGUAcgBnAHkAIABjAGUAcgB0AGkAZgBpAGMAYQB0AGUAcwAgAGkAcwBzAHUAZQBkACAAZgBvAHIAIABvAG4AcwBpAHQAZQAgAGcAZQBuAGUAcgBhAHQAZQBkACAAZQBsAGUAYwB0AHIAaQBjAGkAdAB5AFwAIgAsACAAXAAiAE0AVwBoAFwAIgAsACAAXAAiAEkAbgBwAHUAdABcACIAOwBcAG4AIAAgACAAIAAgACAAIAAgACAAIABcACIARQBGAF8AUgBNAEYAMwBlAGwAZQBjAFwAIgAsACAAXAAiAHMAYwBvAHAAZQAgADMAIAByAGUAcwBpAGQAdQBhAGwAIABtAGkAeAAgAGUAbQBpAHMAcwBpAG8AbgAgAGYAYQBjAHQAbwByACAAZgBvAHIAIABlAGwAZQBjAHQAcgBpAGMAaQB0AHkAXAAiACwAIABcACIAawBnACAAQwBPADIAZQAvAGsAVwBoAFwAIgAsACAAXAAiAEMAbwBuAHMAdABhAG4AdABcACIAOwBcAG4AIAAgACAAIAAgACAAIAAgACAAIABcACIAaQBcACIALAAgAFwAIgBzAHQAYQB0AGUAXAAiACwAIABcACIAXAAiACwAIABcACIASQBuAHAAdQB0AFwAIgBcAG4AIAAgACAAIAAgACAAIAAgAH0ALAAgAHIALAAgAGMAKQBcAG4AIAAgACAAIAAgACAAKQBcAG4AIAAgACAAIAApAFwAbgAgACAAKQA7AFwAbgBcAG4AVgBFAEUAUgBHAF8AMQA1AF8AMQAyAF8AMQBfADIAXwBfADEAXwBVAHAAcwB0AHIAZQBhAG0AUAB1AHIAYwBoAGEAcwBlAGQARQBsAGUAYwB0AHIAaQBjAGkAdAB5AE0AYQByAGsAZQB0AEIAYQBzAGUAZABfAFYAYQByAGkAYQB0AGkAbwBuAFwAbgAgACAAPQBMAEEATQBCAEQAQQAoAFwAIgBWAEEAUgBJAEEAVABJAE8ATgAgAE8ATgAgAFMATwBVAFIAQwBFADoAIABJAG4AIABvAHIAZABlAHIAIAB0AG8AIABjAG8AbgB2AGUAcgB0ACAAbQBlAGcAYQB3AGEAdAB0ACAAaABvAHUAcgBzACAAdABvACAAawBpAGwAbwB3AGEAdAB0ACAAaABvAHUAcgBzACwAIAB0AGgAZQAgAFIARQBDAF8AcwB1AHIAcgBlAG4AZABlAHIAZQBkACAAYQBuAGQAIABSAEUAQwBfAG8AbgBzAGkAdABlACAAdgBhAHIAaQBhAGIAbABlAHMAIABhAHIAZQAgAG0AdQBsAHQAaQBwAGwAaQBlAGQAIABiAHkAIAAxADAAXgAzACAAaQBuAHMAdABlAGEAZAAgAG8AZgAgADEAMABeAC0AMwAuAFwAIgApADsAXABuAFwAbgAvACoAXABuAC0ALQAtAC0ALQAtAC0ALQAtAC0ALQAtAC0ALQAtAC0ALQAtAC0ALQAtAC0ALQAtAC0ALQAtAC0ALQAtAC0ALQAtAC0ALQAtAC0ALQBcAG4AVgBFAEUAUgBHAF8AMQA1AF8AMQAzAF8AMQBfADEAXwBfADEAXwBFAG0AaQBzAHMAaQBvAG4AcwBGAHIAbwBtAE0AYQBuAHUAcgBlAFMAZQBuAHQATwBmAGYAUwBpAHQAZQBcAG4ARQBtAGkAcwBzAGkAbwBuAHMAIABmAHIAbwBtACAAbQBhAG4AdQByAGUAIABzAGUAbgB0ACAAbwBmAGYAIABzAGkAdABlACAAYQBwAHAAbABpAGUAZAAgAHQAbwAgAHMAbwBpAGwAcwAgAGkAbgAgAGEAbgBvAHQAaABlAHIAIABmAGEAcgBtAGkAbgBnACAAcwB5AHMAdABlAG0AIABvAHIAIABlAG4AdABlAHIAcAByAGkAcwBlAFwAbgBFAFwAbgB0ACAATgAyAE8AXABuAEUAPQBFAF8AewBOADIATwB9ACsARQBfAHsAYQBkAH0AKwBFAF8AewBsAGUAYQBjAGgAfQBcAG4ARQBfAE4AMgBPACAAPQAgAGQAaQByAGUAYwB0ACAAbgBpAHQAcgBvAHUAcwAgAG8AeABpAGQAZQAgAGUAbQBpAHMAcwBpAG8AbgBzACAAZgByAG8AbQAgAGEAcABwAGwAaQBjAGEAdABpAG8AbgAgAG8AZgAgAG0AYQBuAHUAcgBlACAAdABvACAAcwBvAGkAbABzACAAbwB1AHQAcwBpAGQAZQAgAG8AZgAgAHMAYwBvAHAAZQAgADEAIABiAG8AdQBuAGQAYQByAHkAXABuAEUAXwBhAGQAIAA9ACAAbgBpAHQAcgBvAHUAcwAgAG8AeABpAGQAZQAgAGUAbQBpAHMAcwBpAG8AbgBzACAAZgByAG8AbQAgAGEAdABtAG8AcwBwAGgAZQByAGkAYwAgAGQAZQBwAG8AcwBpAHQAaQBvAG4AIABvAGYAIABtAGEAbgB1AHIAZQAgAHQAbwAgAHMAbwBpAGwAcwBcAG4ARQBfAGwAZQBhAGMAaAAgAD0AIABuAGkAdAByAG8AdQBzACAAbwB4AGkAZABlACAAZQBtAGkAcwBzAGkAbwBuAHMAIABmAHIAbwBtACAAbgBpAHQAcgBvAGcAZQBuACAAbABlAGEAYwBoAGkAbgBnACAAYQBuAGQAIAByAHUAbgBvAGYAZgAgAG8AZgAgAG0AYQBuAHUAcgBlACAAdABvACAAcwBvAGkAbABzAFwAbgAtAC0ALQAtAC0ALQAtAC0ALQAtAC0ALQAtAC0ALQAtAC0ALQAtAC0ALQAtAC0ALQAtAC0ALQAtAC0ALQAtAC0ALQAtAC0ALQAtAC0AXABuACoALwBcAG4AXABuAFYARQBFAFIARwBfADEANQBfADEAMwBfADEAXwAxAF8AXwAxAF8ARQBtAGkAcwBzAGkAbwBuAHMARgByAG8AbQBNAGEAbgB1AHIAZQBTAGUAbgB0AE8AZgBmAFMAaQB0AGUAXABuACAAIAA9AEwAQQBNAEIARABBACgAXABuACAAIAAgACAARQBfAE4AMgBPACwAIABFAF8AYQBkACwAIABFAF8AbABlAGEAYwBoACwAXABuACAAIAAgACAARQBfAE4AMgBPACAAKwAgAEUAXwBhAGQAIAArACAARQBfAGwAZQBhAGMAaABcAG4AIAAgACkAOwBcAG4AXABuAFYARQBFAFIARwBfADEANQBfADEAMwBfADEAXwAxAF8AXwAxAF8ARQBtAGkAcwBzAGkAbwBuAHMARgByAG8AbQBNAGEAbgB1AHIAZQBTAGUAbgB0AE8AZgBmAFMAaQB0AGUAXwBUAGkAdABsAGUAXABuACAAIAA9AEwAQQBNAEIARABBACgAXAAiAEUAbQBpAHMAcwBpAG8AbgBzACAAZgByAG8AbQAgAG0AYQBuAHUAcgBlACAAcwBlAG4AdAAgAG8AZgBmACAAcwBpAHQAZQAgAGEAcABwAGwAaQBlAGQAIAB0AG8AIABzAG8AaQBsAHMAIABpAG4AIABhAG4AbwB0AGgAZQByACAAZgBhAHIAbQBpAG4AZwAgAHMAeQBzAHQAZQBtACAAbwByACAAZQBuAHQAZQByAHAAcgBpAHMAZQBcACIAKQA7AFwAbgBcAG4AVgBFAEUAUgBHAF8AMQA1AF8AMQAzAF8AMQBfADEAXwBfADEAXwBFAG0AaQBzAHMAaQBvAG4AcwBGAHIAbwBtAE0AYQBuAHUAcgBlAFMAZQBuAHQATwBmAGYAUwBpAHQAZQBfAFYAYQByAGkAYQBiAGwAZQBcAG4AIAAgAD0ATABBAE0AQgBEAEEAKABcACIARQBcACIAKQA7AFwAbgBcAG4AVgBFAEUAUgBHAF8AMQA1AF8AMQAzAF8AMQBfADEAXwBfADEAXwBFAG0AaQBzAHMAaQBvAG4AcwBGAHIAbwBtAE0AYQBuAHUAcgBlAFMAZQBuAHQATwBmAGYAUwBpAHQAZQBfAFUAbgBpAHQAXABuACAAIAA9AEwAQQBNAEIARABBACgAXAAiAHQAIABOADIATwBcACIAKQA7AFwAbgBcAG4AVgBFAEUAUgBHAF8AMQA1AF8AMQAzAF8AMQBfADEAXwBfADEAXwBFAG0AaQBzAHMAaQBvAG4AcwBGAHIAbwBtAE0AYQBuAHUAcgBlAFMAZQBuAHQATwBmAGYAUwBpAHQAZQBfAFMAbwB1AHIAYwBlAFwAbgAgACAAPQBMAEEATQBCAEQAQQAoAFwAIgBWAEUARQBSAEcAIAAyADAAMgA2ADoAIAAxADUALgAxADMALgAxAC4AMQAsACAARQBxAHUAYQB0AGkAbwBuACAAKAAxACkAXAAiACkAOwBcAG4AXABuAFYARQBFAFIARwBfADEANQBfADEAMwBfADEAXwAxAF8AXwAxAF8ARQBtAGkAcwBzAGkAbwBuAHMARgByAG8AbQBNAGEAbgB1AHIAZQBTAGUAbgB0AE8AZgBmAFMAaQB0AGUAXwBOAEkAUgBSAGUAZgBlAHIAZQBuAGMAZQBcAG4AIAAgAD0ATABBAE0AQgBEAEEAKABcACIAXAAiACkAOwBcAG4AXABuAFYARQBFAFIARwBfADEANQBfADEAMwBfADEAXwAxAF8AXwAxAF8ARQBtAGkAcwBzAGkAbwBuAHMARgByAG8AbQBNAGEAbgB1AHIAZQBTAGUAbgB0AE8AZgBmAFMAaQB0AGUAXwBMAGEAdABlAHgARQBxAHUAYQB0AGkAbwBuAFwAbgAgACAAPQBMAEEATQBCAEQAQQAoAFwAIgBFAD0ARQBfAHsATgAyAE8AfQArAEUAXwB7AGEAZAB9ACsARQBfAHsAbABlAGEAYwBoAH0AXAAiACkAOwBcAG4AXABuAFYARQBFAFIARwBfADEANQBfADEAMwBfADEAXwAxAF8AXwAxAF8ARQBtAGkAcwBzAGkAbwBuAHMARgByAG8AbQBNAGEAbgB1AHIAZQBTAGUAbgB0AE8AZgBmAFMAaQB0AGUAXwBBAHIAZwB1AG0AZQBuAHQAcwBcAG4AIAAgAD0ATABBAE0AQgBEAEEAKABcAG4AIAAgACAAIABNAEEASwBFAEEAUgBSAEEAWQAoADMALAAgADQALABcAG4AIAAgACAAIAAgACAATABBAE0AQgBEAEEAKAByACwAYwAsAFwAbgAgACAAIAAgACAAIAAgACAASQBOAEQARQBYACgAewBcAG4AIAAgACAAIAAgACAAIAAgACAAIABcACIARQBfAE4AMgBPAFwAIgAsACAAXAAiAGQAaQByAGUAYwB0ACAAbgBpAHQAcgBvAHUAcwAgAG8AeABpAGQAZQAgAGUAbQBpAHMAcwBpAG8AbgBzACAAZgByAG8AbQAgAGEAcABwAGwAaQBjAGEAdABpAG8AbgAgAG8AZgAgAG0AYQBuAHUAcgBlACAAdABvACAAcwBvAGkAbABzACAAbwB1AHQAcwBpAGQAZQAgAG8AZgAgAHMAYwBvAHAAZQAgADEAIABiAG8AdQBuAGQAYQByAHkAXAAiACwAIABcACIAdAAgAE4AMgBPAFwAIgAsACAAXAAiAEMAYQBsAGMAdQBsAGEAdABlAGQAXAAiADsAXABuACAAIAAgACAAIAAgACAAIAAgACAAXAAiAEUAXwBhAGQAXAAiACwAIABcACIAbgBpAHQAcgBvAHUAcwAgAG8AeABpAGQAZQAgAGUAbQBpAHMAcwBpAG8AbgBzACAAZgByAG8AbQAgAGEAdABtAG8AcwBwAGgAZQByAGkAYwAgAGQAZQBwAG8AcwBpAHQAaQBvAG4AIABvAGYAIABtAGEAbgB1AHIAZQAgAHQAbwAgAHMAbwBpAGwAcwBcACIALAAgAFwAIgB0ACAATgAyAE8AXAAiACwAIABcACIAQwBhAGwAYwB1AGwAYQB0AGUAZABcACIAOwBcAG4AIAAgACAAIAAgACAAIAAgACAAIABcACIARQBfAGwAZQBhAGMAaABcACIALAAgAFwAIgBuAGkAdAByAG8AdQBzACAAbwB4AGkAZABlACAAZQBtAGkAcwBzAGkAbwBuAHMAIABmAHIAbwBtACAAbgBpAHQAcgBvAGcAZQBuACAAbABlAGEAYwBoAGkAbgBnACAAYQBuAGQAIAByAHUAbgBvAGYAZgAgAG8AZgAgAG0AYQBuAHUAcgBlACAAdABvACAAcwBvAGkAbABzAFwAIgAsACAAXAAiAHQAIABOADIATwBcACIALAAgAFwAIgBDAGEAbABjAHUAbABhAHQAZQBkAFwAIgBcAG4AIAAgACAAIAAgACAAIAAgAH0ALAAgAHIALAAgAGMAKQBcAG4AIAAgACAAIAAgACAAKQBcAG4AIAAgACAAIAApAFwAbgAgACAAKQA7AFwAbgBcAG4AXABuAC8AKgBcAG4ALQAtAC0ALQAtAC0ALQAtAC0ALQAtAC0ALQAtAC0ALQAtAC0ALQAtAC0ALQAtAC0ALQAtAC0ALQAtAC0ALQAtAC0ALQAtAC0ALQAtAFwAbgBWAEUARQBSAEcAXwAxADUAXwAxADMAXwAxAF8AMwBfAF8AMQBfAEUAbQBpAHMAcwBpAG8AbgBzAEYAcgBvAG0AUwBvAGwAaQBkAFcAYQBzAHQAZQBUAHIAZQBhAHQAbQBlAG4AdABGAGEAYwBpAGwAaQB0AHkAXABuAC0ALQAtAC0ALQAtAC0ALQAtAC0ALQAtAC0ALQAtAC0ALQAtAC0ALQAtAC0ALQAtAC0ALQAtAC0ALQAtAC0ALQAtAC0ALQAtAC0ALQBcAG4AKgAvAFwAbgBcAG4AVgBFAEUAUgBHAF8AMQA1AF8AMQAzAF8AMQBfADMAXwBfADEAXwBFAG0AaQBzAHMAaQBvAG4AcwBGAHIAbwBtAFMAbwBsAGkAZABXAGEAcwB0AGUAVAByAGUAYQB0AG0AZQBuAHQARgBhAGMAaQBsAGkAdAB5AFwAbgAgACAAPQBMAEEATQBCAEQAQQAoAFwAbgAgACAAIAAgAEUAXwBOADIATwAsACAARQBfAGEAZAAsACAARQBfAGwAZQBhAGMAaAAsAFwAbgAgACAAIAAgAEUAXwBOADIATwAgACsAIABFAF8AYQBkACAAKwAgAEUAXwBsAGUAYQBjAGgAXABuACAAIAApADsAXABuAFwAbgBWAEUARQBSAEcAXwAxADUAXwAxADMAXwAxAF8AMwBfAF8AMQBfAEUAbQBpAHMAcwBpAG8AbgBzAEYAcgBvAG0AUwBvAGwAaQBkAFcAYQBzAHQAZQBUAHIAZQBhAHQAbQBlAG4AdABGAGEAYwBpAGwAaQB0AHkAXwBUAGkAdABsAGUAXABuACAAIAA9AEwAQQBNAEIARABBACgAXAAiAEUAbQBpAHMAcwBpAG8AbgBzACAAZgByAG8AbQAgAHMAbwBsAGkAZAAgAHcAYQBzAHQAZQAgAHMAZQBuAHQAIAB0AG8AIABhACAAdAByAGUAYQB0AG0AZQBuAHQAIABmAGEAYwBpAGwAaQB0AHkAXAAiACkAOwBcAG4AXABuAFYARQBFAFIARwBfADEANQBfADEAMwBfADEAXwAzAF8AXwAxAF8ARQBtAGkAcwBzAGkAbwBuAHMARgByAG8AbQBTAG8AbABpAGQAVwBhAHMAdABlAFQAcgBlAGEAdABtAGUAbgB0AEYAYQBjAGkAbABpAHQAeQBfAFYAYQByAGkAYQBiAGwAZQBcAG4AIAAgAD0ATABBAE0AQgBEAEEAKABcACIARQBcACIAKQA7AFwAbgBcAG4AVgBFAEUAUgBHAF8AMQA1AF8AMQAzAF8AMQBfADMAXwBfADEAXwBFAG0AaQBzAHMAaQBvAG4AcwBGAHIAbwBtAFMAbwBsAGkAZABXAGEAcwB0AGUAVAByAGUAYQB0AG0AZQBuAHQARgBhAGMAaQBsAGkAdAB5AF8AVQBuAGkAdABcAG4AIAAgAD0ATABBAE0AQgBEAEEAKABcACIAdAAgAEMATwAyAGUAXAAiACkAOwBcAG4AXABuAFYARQBFAFIARwBfADEANQBfADEAMwBfADEAXwAzAF8AXwAxAF8ARQBtAGkAcwBzAGkAbwBuAHMARgByAG8AbQBTAG8AbABpAGQAVwBhAHMAdABlAFQAcgBlAGEAdABtAGUAbgB0AEYAYQBjAGkAbABpAHQAeQBfAFMAbwB1AHIAYwBlAFwAbgAgACAAPQBMAEEATQBCAEQAQQAoAFwAIgBWAEUARQBSAEcAIAAyADAAMgA2ADoAIAAxADUALgAxADMALgAxAC4AMwBcACIAKQA7AFwAbgBcAG4AVgBFAEUAUgBHAF8AMQA1AF8AMQAzAF8AMQBfADMAXwBfADEAXwBFAG0AaQBzAHMAaQBvAG4AcwBGAHIAbwBtAFMAbwBsAGkAZABXAGEAcwB0AGUAVAByAGUAYQB0AG0AZQBuAHQARgBhAGMAaQBsAGkAdAB5AF8ATgBJAFIAUgBlAGYAZQByAGUAbgBjAGUAXABuACAAIAA9AEwAQQBNAEIARABBACgAXAAiAFwAIgApADsAXABuAFwAbgBWAEUARQBSAEcAXwAxADUAXwAxADMAXwAxAF8AMwBfAF8AMQBfAEUAbQBpAHMAcwBpAG8AbgBzAEYAcgBvAG0AUwBvAGwAaQBkAFcAYQBzAHQAZQBUAHIAZQBhAHQAbQBlAG4AdABGAGEAYwBpAGwAaQB0AHkAXwBMAGEAdABlAHgARQBxAHUAYQB0AGkAbwBuAFwAbgAgACAAPQBMAEEATQBCAEQAQQAoAFwAIgBcACIAKQA7AFwAbgBcAG4AVgBFAEUAUgBHAF8AMQA1AF8AMQAzAF8AMQBfADMAXwBfADEAXwBFAG0AaQBzAHMAaQBvAG4AcwBGAHIAbwBtAFMAbwBsAGkAZABXAGEAcwB0AGUAVAByAGUAYQB0AG0AZQBuAHQARgBhAGMAaQBsAGkAdAB5AF8AQQByAGcAdQBtAGUAbgB0AHMAXABuACAAIAA9AEwAQQBNAEIARABBACgAXAAiAFwAIgApADsAXABuAFwAbgBcAG4ALwAqAFwAbgAtAC0ALQAtAC0ALQAtAC0ALQAtAC0ALQAtAC0ALQAtAC0ALQAtAC0ALQAtAC0ALQAtAC0ALQAtAC0ALQAtAC0ALQAtAC0ALQAtAC0AXABuAFYARQBFAFIARwBfADEANQBfADEANABfADEAXwAxAF8AXwAxAF8ARQBtAGIAZQBkAGQAZQBkAEUAbQBpAHMAcwBpAG8AbgBzAEYAcgBvAG0AVQBwAHMAdAByAGUAYQBtAEYAcgBlAGkAZwBoAHQAXABuAEUAbQBiAGUAZABkAGUAZAAgAGUAbQBpAHMAcwBpAG8AbgBzACAAZgByAG8AbQAgAHUAcABzAHQAcgBlAGEAbQAgAGYAcgBlAGkAZwBoAHQAXABuAEUAXABuAHQAIABDAE8AMgBlAFwAbgBFAD0AXABcAHMAdQBtAFwAXABuAG8AbABpAG0AaQB0AHMAXwBmAFwAXABsAGUAZgB0ACgAKABXAF8AZgBcAFwAdABpAG0AZQBzACAARABfAGYAKQBcAFwAdABpAG0AZQBzACAARQBGAF8AZgBcAFwAcgBpAGcAaAB0ACkAXABuAFcAXwBmACAAPQAgAHQAbwB0AGEAbAAgAG0AYQBzAHMAIABvAGYAIABnAG8AbwBkAHMAIAB0AHIAYQBuAHMAcABvAHIAdABlAGQAIABwAGUAcgAgAGYAcgBlAGkAZwBoAHQAIAB0AHkAcABlACAAZgBcAG4ARABfAGYAIAA9ACAAdABvAHQAYQBsACAAZABpAHMAdABhAG4AYwBlACAAdAByAGEAbgBzAHAAbwByAHQAZQBkACAAcABlAHIAIABmAHIAZQBpAGcAaAB0ACAAdAB5AHAAZQAgAGYAXABuAEUARgBfAGYAIAA9ACAAZQBtAGkAcwBzAGkAbwBuACAAZgBhAGMAdABvAHIAIABmAG8AcgAgAGYAcgBlAGkAZwBoAHQAIAB0AHkAcABlACAAZgBcAG4ALQAtAC0ALQAtAC0ALQAtAC0ALQAtAC0ALQAtAC0ALQAtAC0ALQAtAC0ALQAtAC0ALQAtAC0ALQAtAC0ALQAtAC0ALQAtAC0ALQAtAFwAbgAqAC8AXABuAFwAbgBWAEUARQBSAEcAXwAxADUAXwAxADQAXwAxAF8AMQBfAF8AMQBfAEUAbQBiAGUAZABkAGUAZABFAG0AaQBzAHMAaQBvAG4AcwBGAHIAbwBtAFUAcABzAHQAcgBlAGEAbQBGAHIAZQBpAGcAaAB0AFwAbgAgACAAPQBMAEEATQBCAEQAQQAoAFwAbgAgACAAIAAgAFcAXwBmACwAIABEAF8AZgAsACAARQBGAF8AZgAsAFwAbgAgACAAIAAgACgAVwBfAGYAIAAqACAARABfAGYAKQAgACoAIABFAEYAXwBmAFwAbgAgACAAKQA7AFwAbgBcAG4AVgBFAEUAUgBHAF8AMQA1AF8AMQA0AF8AMQBfADEAXwBfADEAXwBFAG0AYgBlAGQAZABlAGQARQBtAGkAcwBzAGkAbwBuAHMARgByAG8AbQBVAHAAcwB0AHIAZQBhAG0ARgByAGUAaQBnAGgAdABfAFQAaQB0AGwAZQBcAG4AIAAgAD0ATABBAE0AQgBEAEEAKABcACIARQBtAGIAZQBkAGQAZQBkACAAZQBtAGkAcwBzAGkAbwBuAHMAIABmAHIAbwBtACAAdQBwAHMAdAByAGUAYQBtACAAZgByAGUAaQBnAGgAdABcACIAKQA7AFwAbgBcAG4AVgBFAEUAUgBHAF8AMQA1AF8AMQA0AF8AMQBfADEAXwBfADEAXwBFAG0AYgBlAGQAZABlAGQARQBtAGkAcwBzAGkAbwBuAHMARgByAG8AbQBVAHAAcwB0AHIAZQBhAG0ARgByAGUAaQBnAGgAdABfAFYAYQByAGkAYQBiAGwAZQBcAG4AIAAgAD0ATABBAE0AQgBEAEEAKABcACIARQBcACIAKQA7AFwAbgBcAG4AVgBFAEUAUgBHAF8AMQA1AF8AMQA0AF8AMQBfADEAXwBfADEAXwBFAG0AYgBlAGQAZABlAGQARQBtAGkAcwBzAGkAbwBuAHMARgByAG8AbQBVAHAAcwB0AHIAZQBhAG0ARgByAGUAaQBnAGgAdABfAFUAbgBpAHQAXABuACAAIAA9AEwAQQBNAEIARABBACgAXAAiAHQAIABDAE8AMgBlAFwAIgApADsAXABuAFwAbgBWAEUARQBSAEcAXwAxADUAXwAxADQAXwAxAF8AMQBfAF8AMQBfAEUAbQBiAGUAZABkAGUAZABFAG0AaQBzAHMAaQBvAG4AcwBGAHIAbwBtAFUAcABzAHQAcgBlAGEAbQBGAHIAZQBpAGcAaAB0AF8AUwBvAHUAcgBjAGUAXABuACAAIAA9AEwAQQBNAEIARABBACgAXAAiAFYARQBFAFIARwAgADIAMAAyADYAOgAgADEANQAuADEANAAuADEALgAxACwAIABFAHEAdQBhAHQAaQBvAG4AIAAoADEAKQBcACIAKQA7AFwAbgBcAG4AVgBFAEUAUgBHAF8AMQA1AF8AMQA0AF8AMQBfADEAXwBfADEAXwBFAG0AYgBlAGQAZABlAGQARQBtAGkAcwBzAGkAbwBuAHMARgByAG8AbQBVAHAAcwB0AHIAZQBhAG0ARgByAGUAaQBnAGgAdABfAE4ASQBSAFIAZQBmAGUAcgBlAG4AYwBlAFwAbgAgACAAPQBMAEEATQBCAEQAQQAoAFwAIgBcACIAKQA7AFwAbgBcAG4AVgBFAEUAUgBHAF8AMQA1AF8AMQA0AF8AMQBfADEAXwBfADEAXwBFAG0AYgBlAGQAZABlAGQARQBtAGkAcwBzAGkAbwBuAHMARgByAG8AbQBVAHAAcwB0AHIAZQBhAG0ARgByAGUAaQBnAGgAdABfAEwAYQB0AGUAeABFAHEAdQBhAHQAaQBvAG4AXABuACAAIAA9AEwAQQBNAEIARABBACgAXAAiAEUAPQBcAFwAcwB1AG0AXABcAG4AbwBsAGkAbQBpAHQAcwBfAGYAXABcAGwAZQBmAHQAKAAoAFcAXwBmAFwAXAB0AGkAbQBlAHMAIABEAF8AZgApAFwAXAB0AGkAbQBlAHMAIABFAEYAXwBmAFwAXAByAGkAZwBoAHQAKQBcACIAKQA7AFwAbgBcAG4AVgBFAEUAUgBHAF8AMQA1AF8AMQA0AF8AMQBfADEAXwBfADEAXwBFAG0AYgBlAGQAZABlAGQARQBtAGkAcwBzAGkAbwBuAHMARgByAG8AbQBVAHAAcwB0AHIAZQBhAG0ARgByAGUAaQBnAGgAdABfAEEAcgBnAHUAbQBlAG4AdABzAFwAbgAgACAAPQBMAEEATQBCAEQAQQAoAFwAbgAgACAAIAAgAE0AQQBLAEUAQQBSAFIAQQBZACgANAAsACAANAAsAFwAbgAgACAAIAAgACAAIABMAEEATQBCAEQAQQAoAHIALABjACwAXABuACAAIAAgACAAIAAgACAAIABJAE4ARABFAFgAKAB7AFwAbgAgACAAIAAgACAAIAAgACAAIAAgAFwAIgBXAF8AZgBcACIALAAgAFwAIgB0AG8AdABhAGwAIABtAGEAcwBzACAAbwBmACAAZwBvAG8AZABzACAAdAByAGEAbgBzAHAAbwByAHQAZQBkACAAcABlAHIAIABmAHIAZQBpAGcAaAB0ACAAdAB5AHAAZQAgAGYAXAAiACwAIABcACIAdABcACIALAAgAFwAIgBJAG4AcAB1AHQAXAAiADsAXABuACAAIAAgACAAIAAgACAAIAAgACAAXAAiAEQAXwBmAFwAIgAsACAAXAAiAHQAbwB0AGEAbAAgAGQAaQBzAHQAYQBuAGMAZQAgAHQAcgBhAG4AcwBwAG8AcgB0AGUAZAAgAHAAZQByACAAZgByAGUAaQBnAGgAdAAgAHQAeQBwAGUAIABmAFwAIgAsACAAXAAiAGsAbQBcACIALAAgAFwAIgBJAG4AcAB1AHQAXAAiADsAXABuACAAIAAgACAAIAAgACAAIAAgACAAXAAiAEUARgBfAGYAXAAiACwAIABcACIAZQBtAGkAcwBzAGkAbwBuACAAZgBhAGMAdABvAHIAIABmAG8AcgAgAGYAcgBlAGkAZwBoAHQAIAB0AHkAcABlACAAZgBcACIALAAgAFwAIgB0ACAAQwBPADIAZQAvACgAdAAgAGsAbQApAFwAIgAsACAAXAAiAEMAbwBuAHMAdABhAG4AdABcACIAOwBcAG4AIAAgACAAIAAgACAAIAAgACAAIABcACIAZgBcACIALAAgAFwAIgBmAHIAZQBpAGcAaAB0ACAAdAB5AHAAZQBcACIALAAgAFwAIgBcACIALAAgAFwAIgBJAG4AcAB1AHQAXAAiAFwAbgAgACAAIAAgACAAIAAgACAAfQAsACAAcgAsACAAYwApAFwAbgAgACAAIAAgACAAIAApAFwAbgAgACAAIAAgACkAXABuACAAIAApADsAXABuACIAfQAsAHsAIgBwAGEAdABoACIAOgAiAC8AcAByAG8AagBlAGMAdABzAC8AUwBjAG8AcABlADMAXwBJAG4AcAB1AHQARgB1AG4AYwB0AGkAbwBuAHMAIgAsACIAdABlAHgAdAAiADoAIgBcAG4ARwBlAHQATABpAHYAZQB3AGUAaQBnAGgAdABfAFAAYQBzAHQAdQByAGUAQgBlAGUAZgBcAG4APQBMAEEATQBCAEQAQQAoAFwAbgAgACAAUAB1AHIAYwBoAGEAcwBlAEQAYQB0AGUALAAgAEwAaQB2AGUAcwB0AG8AYwBrAEMAbABhAHMAcwAsACAAUwBvAHUAcgBjAGUAUgBlAGcAaQBvAG4ALABcAG4AIAAgAFMAbwB1AHIAYwBlAFIAZQBnAGkAbwBuAEwAZQBmAHQAQQByAHIAYQB5ACwAIABTAG8AdQByAGMAZQBSAGUAZwBpAG8AbgBSAGkAZwBoAHQAQQByAHIAYQB5ACwAIABTAGUAYQBzAG8AbgBBAHIAcgBhAHkALAAgAEwAaQB2AGUAcwB0AG8AYwBrAEMAbABhAHMAcwBBAHIAcgBhAHkALAAgAEwAaQB2AGUAdwBlAGkAZwBoAHQAQQByAHIAYQB5ACwAXABuACAAIABMAEUAVAAoAFwAbgAgACAAIAAgAFMAZQBhAHMAbwBuACwAIABJAEYAUwAoAFwAbgAgACAAIAAgACAAIABNAE8ATgBUAEgAKABQAHUAcgBjAGgAYQBzAGUARABhAHQAZQApACAAXAB1ADAAMAAzAGMAPQAgADIALAAgACAAXAAiAFMAdQBtAG0AZQByAFwAIgAsAFwAbgAgACAAIAAgACAAIABNAE8ATgBUAEgAKABQAHUAcgBjAGgAYQBzAGUARABhAHQAZQApACAAXAB1ADAAMAAzAGMAPQAgADUALAAgACAAXAAiAEEAdQB0AHUAbQBuAFwAIgAsAFwAbgAgACAAIAAgACAAIABNAE8ATgBUAEgAKABQAHUAcgBjAGgAYQBzAGUARABhAHQAZQApACAAXAB1ADAAMAAzAGMAPQAgADgALAAgACAAXAAiAFcAaQBuAHQAZQByAFwAIgAsAFwAbgAgACAAIAAgACAAIABNAE8ATgBUAEgAKABQAHUAcgBjAGgAYQBzAGUARABhAHQAZQApACAAXAB1ADAAMAAzAGMAPQAgADEAMQAsACAAXAAiAFMAcAByAGkAbgBnAFwAIgAsAFwAbgAgACAAIAAgACAAIABNAE8ATgBUAEgAKABQAHUAcgBjAGgAYQBzAGUARABhAHQAZQApACAAPQAgADEAMgAsACAAIABcACIAUwB1AG0AbQBlAHIAXAAiAFwAbgAgACAAIAAgACkALABcAG4AIAAgACAAIABTAG8AdQByAGMAZQBSAGUAZwBpAG8AbgBSAGkAZwBoAHQALAAgAEkARgAoAEkAUwBOAFUATQBCAEUAUgAoAEYASQBOAEQAKABcACIAIAAtACAAXAAiACwAIABTAG8AdQByAGMAZQBSAGUAZwBpAG8AbgApACkALAAgAE0ASQBEACgAUwBvAHUAcgBjAGUAUgBlAGcAaQBvAG4ALAAgAEYASQBOAEQAKABcACIAIAAtACAAXAAiACwAIABTAG8AdQByAGMAZQBSAGUAZwBpAG8AbgApACAAKwAgADMALAAgAEwARQBOACgAUwBvAHUAcgBjAGUAUgBlAGcAaQBvAG4AKQApACwAIABcACIAbgAvAGEAXAAiACkALABcAG4AIAAgACAAIABTAG8AdQByAGMAZQBSAGUAZwBpAG8AbgBMAGUAZgB0ACwAIAAgAEkARgAoAEkAUwBOAFUATQBCAEUAUgAoAEYASQBOAEQAKABcACIAIAAtACAAXAAiACwAIABTAG8AdQByAGMAZQBSAGUAZwBpAG8AbgApACkALAAgAEwARQBGAFQAKABTAG8AdQByAGMAZQBSAGUAZwBpAG8AbgAsACAARgBJAE4ARAAoAFwAIgAgAC0AIABcACIALAAgAFMAbwB1AHIAYwBlAFIAZQBnAGkAbwBuACkAIAAtACAAMQApACwAIABTAG8AdQByAGMAZQBSAGUAZwBpAG8AbgApACwAXABuACAAIAAgACAASQBGAEUAUgBSAE8AUgAoAFwAbgAgACAAIAAgACAAIABYAEwATwBPAEsAVQBQACgAMQAsAFwAbgAgACAAIAAgACAAIAAgACAAKABTAG8AdQByAGMAZQBSAGUAZwBpAG8AbgBMAGUAZgB0AEEAcgByAGEAeQAgAD0AIABTAG8AdQByAGMAZQBSAGUAZwBpAG8AbgBMAGUAZgB0ACkAIAAqACAAKABTAG8AdQByAGMAZQBSAGUAZwBpAG8AbgBSAGkAZwBoAHQAQQByAHIAYQB5ACAAPQAgAFMAbwB1AHIAYwBlAFIAZQBnAGkAbwBuAFIAaQBnAGgAdAApACAAKgAgACgAUwBlAGEAcwBvAG4AQQByAHIAYQB5ACAAPQAgAFMAZQBhAHMAbwBuACkALABcAG4AIAAgACAAIAAgACAAIAAgAFgATABPAE8ASwBVAFAAKABMAGkAdgBlAHMAdABvAGMAawBDAGwAYQBzAHMALAAgAEwAaQB2AGUAcwB0AG8AYwBrAEMAbABhAHMAcwBBAHIAcgBhAHkALAAgAEwAaQB2AGUAdwBlAGkAZwBoAHQAQQByAHIAYQB5ACwAIAAwACkALABcAG4AIAAgACAAIAAgACAAMAApACwAXABuACAAIAAgACAAMAApAFwAbgAgACAAKQBcAG4AKQA7ACIAfQAsAHsAIgBwAGEAdABoACIAOgAiAC8AcAByAG8AagBlAGMAdABzAC8AUwBjAG8AcABlADMAXwBTAG8AdQByAGMAZQBEAGEAdABhACIALAAiAHQAZQB4AHQAIgA6ACIAXABuAC8AKgBcAG4APQA9AD0APQA9AD0APQA9AD0APQA9AD0APQA9AD0APQA9AD0APQA9AD0APQA9AD0APQA9AD0APQA9AD0APQA9AD0APQA9AD0APQA9AD0APQA9AD0APQA9AD0APQA9AD0APQA9AD0APQA9AD0APQA9AD0APQA9AD0APQA9AD0APQA9AD0APQA9AD0APQA9AD0APQA9AD0APQBcAG4AQQBuAGkAbQBhAGwAcwBcAG4APQA9AD0APQA9AD0APQA9AD0APQA9AD0APQA9AD0APQA9AD0APQA9AD0APQA9AD0APQA9AD0APQA9AD0APQA9AD0APQA9AD0APQA9AD0APQA9AD0APQA9AD0APQA9AD0APQA9AD0APQA9AD0APQA9AD0APQA9AD0APQA9AD0APQA9AD0APQA9AD0APQA9AD0APQA9AD0APQBcAG4AKgAvAFwAbgBcAG4AUwBjAG8AcABlADMAXwBMAGkAdgBlAHMAdABvAGMAawBfAFQAaQB0AGwAZQBcAG4APQBMAEEATQBCAEQAQQAoACgAXAAiAEwAaQB2AGUAcwB0AG8AYwBrACAAcwBjAG8AcABlACAAMwBcACIAKQApADsAXABuAFwAbgBTAGMAbwBwAGUAMwBfAEwAaQB2AGUAcwB0AG8AYwBrAF8AUwBvAHUAcgBjAGUAXABuAD0ATABBAE0AQgBEAEEAKAAoAFwAIgBMAGkAZgBlAGMAeQBjAGwAZQBzAC4AIAAoADIAMAAyADYAKQAuACAARwByAGUAZQBuAGgAbwB1AHMAZQAgAEcAYQBzACAARQBtAGkAcwBzAGkAbwBuACAASQBuAHQAZQBuAHMAaQB0AGkAZQBzACAAZgBvAHIAIABNAGEAdABlAHIAaQBhAGwAIABJAG4AcAB1AHQAcwAgAHQAbwAgAEEAdQBzAHQAcgBhAGwAaQBhAG4AIABBAGcAcgBpAGMAdQBsAHQAdQByAGUALAAgAEYAaQBzAGgAZQByAGkAZQBzACAAYQBuAGQAIABGAG8AcgBlAHMAdAByAHkALgAgAFYAZQByAHMAaQBvAG4AIAA0ADgALgAgAGQAbwBpACAAMQAwAC4ANQAyADgAMQAvAHoAZQBuAG8AZABvAC4AMQA5ADYANQA2ADUAOAAwAFwAIgApACkAOwBcAG4AXABuAFMAYwBvAHAAZQAzAF8ATABpAHYAZQBzAHQAbwBjAGsAXwBWAGEAcgBpAGEAdABpAG8AbgBcAG4APQBMAEEATQBCAEQAQQAoACgAXAAiAFwAIgApACkAOwBcAG4AXABuAFMAYwBvAHAAZQAzAF8ATABpAHYAZQBzAHQAbwBjAGsAXwBEAGEAdABhAFwAbgA9AEwAQQBNAEIARABBACgAXABuACAAIABNAEEASwBFAEEAUgBSAEEAWQAoADQAMgAsACAANwAsAFwAbgAgACAAIAAgAEwAQQBNAEIARABBACgAcgAsAGMALABcAG4AIAAgACAAIAAgACAASQBOAEQARQBYACgAewBcAG4AIAAgACAAIAAgACAAIAAgAFwAIgBDAGEAdABlAGcAbwByAHkAXAAiACwAIABcACIAUwB1AGIALQBjAGEAdABlAGcAbwByAHkAXAAiACwAIABcACIAUAByAG8AZAB1AGMAdAAgAG4AYQBtAGUAXAAiACwAIABcACIAUgBlAGcAaQBvAG4AIABvAGYAIABvAHIAaQBnAGkAbgBcACIALAAgAFwAIgBQAHIAbwBkAHUAYwB0ACAAVQBuAGkAdABcACIALAAgAFwAIgBHAEgARwAgAGUAbQBpAHMAcwBpAG8AbgAgAGkAbgB0AGUAbgBzAGkAdAB5AFwAIgAsACAAXAAiAFMAeQBzAHQAZQBtACAAYgBvAHUAbgBkAGEAcgB5AFwAIgA7AFwAbgAgACAAIAAgACAAIAAgACAAXAAiAEEAbgBpAG0AYQBsAHMAXAAiACwAIABcACIAQgBlAGUAZgAgAGMAYQB0AHQAbABlAFwAIgAsACAAXAAiAEMAYQB0AHQAbABlACwAIABmAG8AcgAgAG0AYQBuAHUAZgBhAGMAdAB1AHIAaQBuAGcAIABiAGUAZQBmAFwAIgAsACAAXAAiAEEAdQBzAHQAcgBhAGwAaQBhAFwAIgAsACAAXAAiAGsAZwAgAGwAaQB2AGUAdwBlAGkAZwBoAHQAXAAiACwAIAAxADEALAAgAFwAIgBhAHQAIABtAGEAcgBrAGUAdABcACIAOwBcAG4AIAAgACAAIAAgACAAIAAgAFwAIgBBAG4AaQBtAGEAbABzAFwAIgAsACAAXAAiAEIAZQBlAGYAIABjAGEAdAB0AGwAZQBcACIALAAgAFwAIgBDAGEAdAB0AGwAZQAsACAAZgBvAHIAIABtAGEAbgB1AGYAYQBjAHQAdQByAGkAbgBnACAAYgBlAGUAZgBcACIALAAgAFwAIgBOAFMAVwBcACIALAAgAFwAIgBrAGcAIABsAGkAdgBlAHcAZQBpAGcAaAB0AFwAIgAsACAAOAAuADIAMQAsACAAXAAiAGEAdAAgAG0AYQByAGsAZQB0AFwAIgA7AFwAbgAgACAAIAAgACAAIAAgACAAXAAiAEEAbgBpAG0AYQBsAHMAXAAiACwAIABcACIAQgBlAGUAZgAgAGMAYQB0AHQAbABlAFwAIgAsACAAXAAiAEMAYQB0AHQAbABlACwAIABmAG8AcgAgAG0AYQBuAHUAZgBhAGMAdAB1AHIAaQBuAGcAIABiAGUAZQBmAFwAIgAsACAAXAAiAE4AVABcACIALAAgAFwAIgBrAGcAIABsAGkAdgBlAHcAZQBpAGcAaAB0AFwAIgAsACAAMQAyAC4AMgAsACAAXAAiAGEAdAAgAG0AYQByAGsAZQB0AFwAIgA7AFwAbgAgACAAIAAgACAAIAAgACAAXAAiAEEAbgBpAG0AYQBsAHMAXAAiACwAIABcACIAQgBlAGUAZgAgAGMAYQB0AHQAbABlAFwAIgAsACAAXAAiAEMAYQB0AHQAbABlACwAIABmAG8AcgAgAG0AYQBuAHUAZgBhAGMAdAB1AHIAaQBuAGcAIABiAGUAZQBmAFwAIgAsACAAXAAiAFEATABEAFwAIgAsACAAXAAiAGsAZwAgAGwAaQB2AGUAdwBlAGkAZwBoAHQAXAAiACwAIAAxADAALgA5ACwAIABcACIAYQB0ACAAbQBhAHIAawBlAHQAXAAiADsAXABuACAAIAAgACAAIAAgACAAIABcACIAQQBuAGkAbQBhAGwAcwBcACIALAAgAFwAIgBCAGUAZQBmACAAYwBhAHQAdABsAGUAXAAiACwAIABcACIAQwBhAHQAdABsAGUALAAgAGYAbwByACAAbQBhAG4AdQBmAGEAYwB0AHUAcgBpAG4AZwAgAGIAZQBlAGYAXAAiACwAIABcACIAUwBBAFwAIgAsACAAXAAiAGsAZwAgAGwAaQB2AGUAdwBlAGkAZwBoAHQAXAAiACwAIAA3AC4ANgAzACwAIABcACIAYQB0ACAAbQBhAHIAawBlAHQAXAAiADsAXABuACAAIAAgACAAIAAgACAAIABcACIAQQBuAGkAbQBhAGwAcwBcACIALAAgAFwAIgBCAGUAZQBmACAAYwBhAHQAdABsAGUAXAAiACwAIABcACIAQwBhAHQAdABsAGUALAAgAGYAbwByACAAbQBhAG4AdQBmAGEAYwB0AHUAcgBpAG4AZwAgAGIAZQBlAGYAXAAiACwAIABcACIAVABBAFMAXAAiACwAIABcACIAawBnACAAbABpAHYAZQB3AGUAaQBnAGgAdABcACIALAAgADgALgA3ADUALAAgAFwAIgBhAHQAIABtAGEAcgBrAGUAdABcACIAOwBcAG4AIAAgACAAIAAgACAAIAAgAFwAIgBBAG4AaQBtAGEAbABzAFwAIgAsACAAXAAiAEIAZQBlAGYAIABjAGEAdAB0AGwAZQBcACIALAAgAFwAIgBDAGEAdAB0AGwAZQAsACAAZgBvAHIAIABtAGEAbgB1AGYAYQBjAHQAdQByAGkAbgBnACAAYgBlAGUAZgBcACIALAAgAFwAIgBWAEkAQwBcACIALAAgAFwAIgBrAGcAIABsAGkAdgBlAHcAZQBpAGcAaAB0AFwAIgAsACAAOAAuADEANwAsACAAXAAiAGEAdAAgAG0AYQByAGsAZQB0AFwAIgA7AFwAbgAgACAAIAAgACAAIAAgACAAXAAiAEEAbgBpAG0AYQBsAHMAXAAiACwAIABcACIAQgBlAGUAZgAgAGMAYQB0AHQAbABlAFwAIgAsACAAXAAiAEMAYQB0AHQAbABlACwAIABmAG8AcgAgAG0AYQBuAHUAZgBhAGMAdAB1AHIAaQBuAGcAIABiAGUAZQBmAFwAIgAsACAAXAAiAFcAQQBcACIALAAgAFwAIgBrAGcAIABsAGkAdgBlAHcAZQBpAGcAaAB0AFwAIgAsACAAMQAzAC4AMQAsACAAXAAiAGEAdAAgAG0AYQByAGsAZQB0AFwAIgA7AFwAbgAgACAAIAAgACAAIAAgACAAXAAiAEEAbgBpAG0AYQBsAHMAXAAiACwAIABcACIAQgBlAGUAZgAgAGMAYQB0AHQAbABlAFwAIgAsACAAXAAiAEMAYQB0AHQAbABlACwAIABmAG8AcgAgAHAAcgBpAG0AZQAgAGIAZQBlAGYAXAAiACwAIABcACIAQQB1AHMAdAByAGEAbABpAGEAXAAiACwAIABcACIAawBnACAAbABpAHYAZQB3AGUAaQBnAGgAdABcACIALAAgADEANAAuADUALAAgAFwAIgBhAHQAIABtAGEAcgBrAGUAdABcACIAOwBcAG4AIAAgACAAIAAgACAAIAAgAFwAIgBBAG4AaQBtAGEAbABzAFwAIgAsACAAXAAiAEIAZQBlAGYAIABjAGEAdAB0AGwAZQBcACIALAAgAFwAIgBDAGEAdAB0AGwAZQAsACAAZgBvAHIAIABwAHIAaQBtAGUAIABiAGUAZQBmAFwAIgAsACAAXAAiAE4AUwBXAFwAIgAsACAAXAAiAGsAZwAgAGwAaQB2AGUAdwBlAGkAZwBoAHQAXAAiACwAIAAxADEALgAzACwAIABcACIAYQB0ACAAbQBhAHIAawBlAHQAXAAiADsAXABuACAAIAAgACAAIAAgACAAIABcACIAQQBuAGkAbQBhAGwAcwBcACIALAAgAFwAIgBCAGUAZQBmACAAYwBhAHQAdABsAGUAXAAiACwAIABcACIAQwBhAHQAdABsAGUALAAgAGYAbwByACAAcAByAGkAbQBlACAAYgBlAGUAZgBcACIALAAgAFwAIgBOAFQAXAAiACwAIABcACIAawBnACAAbABpAHYAZQB3AGUAaQBnAGgAdABcACIALAAgADEAOAAuADkALAAgAFwAIgBhAHQAIABtAGEAcgBrAGUAdABcACIAOwBcAG4AIAAgACAAIAAgACAAIAAgAFwAIgBBAG4AaQBtAGEAbABzAFwAIgAsACAAXAAiAEIAZQBlAGYAIABjAGEAdAB0AGwAZQBcACIALAAgAFwAIgBDAGEAdAB0AGwAZQAsACAAZgBvAHIAIABwAHIAaQBtAGUAIABiAGUAZQBmAFwAIgAsACAAXAAiAFEATABEAFwAIgAsACAAXAAiAGsAZwAgAGwAaQB2AGUAdwBlAGkAZwBoAHQAXAAiACwAIAAxADMALgA5ACwAIABcACIAYQB0ACAAbQBhAHIAawBlAHQAXAAiADsAXABuACAAIAAgACAAIAAgACAAIABcACIAQQBuAGkAbQBhAGwAcwBcACIALAAgAFwAIgBCAGUAZQBmACAAYwBhAHQAdABsAGUAXAAiACwAIABcACIAQwBhAHQAdABsAGUALAAgAGYAbwByACAAcAByAGkAbQBlACAAYgBlAGUAZgBcACIALAAgAFwAIgBTAEEAXAAiACwAIABcACIAawBnACAAbABpAHYAZQB3AGUAaQBnAGgAdABcACIALAAgADEAMgAuADMALAAgAFwAIgBhAHQAIABtAGEAcgBrAGUAdABcACIAOwBcAG4AIAAgACAAIAAgACAAIAAgAFwAIgBBAG4AaQBtAGEAbABzAFwAIgAsACAAXAAiAEIAZQBlAGYAIABjAGEAdAB0AGwAZQBcACIALAAgAFwAIgBDAGEAdAB0AGwAZQAsACAAZgBvAHIAIABwAHIAaQBtAGUAIABiAGUAZQBmAFwAIgAsACAAXAAiAFQAQQBTAFwAIgAsACAAXAAiAGsAZwAgAGwAaQB2AGUAdwBlAGkAZwBoAHQAXAAiACwAIAAxADEALgA1ACwAIABcACIAYQB0ACAAbQBhAHIAawBlAHQAXAAiADsAXABuACAAIAAgACAAIAAgACAAIABcACIAQQBuAGkAbQBhAGwAcwBcACIALAAgAFwAIgBCAGUAZQBmACAAYwBhAHQAdABsAGUAXAAiACwAIABcACIAQwBhAHQAdABsAGUALAAgAGYAbwByACAAcAByAGkAbQBlACAAYgBlAGUAZgBcACIALAAgAFwAIgBWAEkAQwBcACIALAAgAFwAIgBrAGcAIABsAGkAdgBlAHcAZQBpAGcAaAB0AFwAIgAsACAAMQAxAC4ANQAsACAAXAAiAGEAdAAgAG0AYQByAGsAZQB0AFwAIgA7AFwAbgAgACAAIAAgACAAIAAgACAAXAAiAEEAbgBpAG0AYQBsAHMAXAAiACwAIABcACIAQgBlAGUAZgAgAGMAYQB0AHQAbABlAFwAIgAsACAAXAAiAEMAYQB0AHQAbABlACwAIABmAG8AcgAgAHAAcgBpAG0AZQAgAGIAZQBlAGYAXAAiACwAIABcACIAVwBBAFwAIgAsACAAXAAiAGsAZwAgAGwAaQB2AGUAdwBlAGkAZwBoAHQAXAAiACwAIAAyADAALgA4ACwAIABcACIAYQB0ACAAbQBhAHIAawBlAHQAXAAiADsAXABuACAAIAAgACAAIAAgACAAIABcACIAQQBuAGkAbQBhAGwAcwBcACIALAAgAFwAIgBCAGUAZQBmACAAYwBhAHQAdABsAGUAXAAiACwAIABcACIAQwBhAHQAdABsAGUALAAgAHcAZQBhAG4AZQByAHMAXAAiACwAIABcACIAQQB1AHMAdAByAGEAbABpAGEAXAAiACwAIABcACIAawBnACAAbABpAHYAZQB3AGUAaQBnAGgAdABcACIALAAgADEANQAuADUALAAgAFwAIgBhAHQAIABtAGEAcgBrAGUAdABcACIAOwBcAG4AIAAgACAAIAAgACAAIAAgAFwAIgBBAG4AaQBtAGEAbABzAFwAIgAsACAAXAAiAEIAZQBlAGYAIABjAGEAdAB0AGwAZQBcACIALAAgAFwAIgBDAGEAdAB0AGwAZQAsACAAdwBlAGEAbgBlAHIAcwBcACIALAAgAFwAIgBOAFMAVwBcACIALAAgAFwAIgBrAGcAIABsAGkAdgBlAHcAZQBpAGcAaAB0AFwAIgAsACAAMQAyAC4ANwAsACAAXAAiAGEAdAAgAG0AYQByAGsAZQB0AFwAIgA7AFwAbgAgACAAIAAgACAAIAAgACAAXAAiAEEAbgBpAG0AYQBsAHMAXAAiACwAIABcACIAQgBlAGUAZgAgAGMAYQB0AHQAbABlAFwAIgAsACAAXAAiAEMAYQB0AHQAbABlACwAIAB3AGUAYQBuAGUAcgBzAFwAIgAsACAAXAAiAE4AVABcACIALAAgAFwAIgBrAGcAIABsAGkAdgBlAHcAZQBpAGcAaAB0AFwAIgAsACAAMQA5AC4AMQAsACAAXAAiAGEAdAAgAG0AYQByAGsAZQB0AFwAIgA7AFwAbgAgACAAIAAgACAAIAAgACAAXAAiAEEAbgBpAG0AYQBsAHMAXAAiACwAIABcACIAQgBlAGUAZgAgAGMAYQB0AHQAbABlAFwAIgAsACAAXAAiAEMAYQB0AHQAbABlACwAIAB3AGUAYQBuAGUAcgBzAFwAIgAsACAAXAAiAFEATABEAFwAIgAsACAAXAAiAGsAZwAgAGwAaQB2AGUAdwBlAGkAZwBoAHQAXAAiACwAIAAyADAALgA1ACwAIABcACIAYQB0ACAAbQBhAHIAawBlAHQAXAAiADsAXABuACAAIAAgACAAIAAgACAAIABcACIAQQBuAGkAbQBhAGwAcwBcACIALAAgAFwAIgBCAGUAZQBmACAAYwBhAHQAdABsAGUAXAAiACwAIABcACIAQwBhAHQAdABsAGUALAAgAHcAZQBhAG4AZQByAHMAXAAiACwAIABcACIAUwBBAFwAIgAsACAAXAAiAGsAZwAgAGwAaQB2AGUAdwBlAGkAZwBoAHQAXAAiACwAIAAxADAALgA4ACwAIABcACIAYQB0ACAAbQBhAHIAawBlAHQAXAAiADsAXABuACAAIAAgACAAIAAgACAAIABcACIAQQBuAGkAbQBhAGwAcwBcACIALAAgAFwAIgBCAGUAZQBmACAAYwBhAHQAdABsAGUAXAAiACwAIABcACIAQwBhAHQAdABsAGUALAAgAHcAZQBhAG4AZQByAHMAXAAiACwAIABcACIAVABBAFMAXAAiACwAIABcACIAawBnACAAbABpAHYAZQB3AGUAaQBnAGgAdABcACIALAAgADEAMwAuADQALAAgAFwAIgBhAHQAIABtAGEAcgBrAGUAdABcACIAOwBcAG4AIAAgACAAIAAgACAAIAAgAFwAIgBBAG4AaQBtAGEAbABzAFwAIgAsACAAXAAiAEIAZQBlAGYAIABjAGEAdAB0AGwAZQBcACIALAAgAFwAIgBDAGEAdAB0AGwAZQAsACAAdwBlAGEAbgBlAHIAcwBcACIALAAgAFwAIgBWAEkAQwBcACIALAAgAFwAIgBrAGcAIABsAGkAdgBlAHcAZQBpAGcAaAB0AFwAIgAsACAAMQAyACwAIABcACIAYQB0ACAAbQBhAHIAawBlAHQAXAAiADsAXABuACAAIAAgACAAIAAgACAAIABcACIAQQBuAGkAbQBhAGwAcwBcACIALAAgAFwAIgBCAGUAZQBmACAAYwBhAHQAdABsAGUAXAAiACwAIABcACIAQwBhAHQAdABsAGUALAAgAHcAZQBhAG4AZQByAHMAXAAiACwAIABcACIAVwBBAFwAIgAsACAAXAAiAGsAZwAgAGwAaQB2AGUAdwBlAGkAZwBoAHQAXAAiACwAIAAxADIALgA0ACwAIABcACIAYQB0ACAAbQBhAHIAawBlAHQAXAAiADsAXABuACAAIAAgACAAIAAgACAAIABcACIAQQBuAGkAbQBhAGwAcwBcACIALAAgAFwAIgBDAGgAaQBjAGsAZQBuAHMAXAAiACwAIABcACIAQwBoAGkAYwBrAGUAbgBzAFwAIgAsACAAXAAiAEEAdQBzAHQAcgBhAGwAaQBhAFwAIgAsACAAXAAiAGsAZwAgAGwAaQB2AGUAdwBlAGkAZwBoAHQAXAAiACwAIAAxAC4AMwA2ACwAIABcACIAYQB0ACAAbQBhAHIAawBlAHQAXAAiADsAXABuACAAIAAgACAAIAAgACAAIABcACIAQQBuAGkAbQBhAGwAcwBcACIALAAgAFwAIgBEAGEAaQByAHkAIABjAGEAdAB0AGwAZQBcACIALAAgAFwAIgBEAGEAaQByAHkAIABjAG8AdwBzAFwAIgAsACAAXAAiAFYASQBDAFwAIgAsACAAXAAiAGsAZwAgAGwAaQB2AGUAdwBlAGkAZwBoAHQAXAAiACwAIAA0AC4ANAAxACwAIABcACIAYQB0ACAAbQBhAHIAawBlAHQAXAAiADsAXABuACAAIAAgACAAIAAgACAAIABcACIAQQBuAGkAbQBhAGwAcwBcACIALAAgAFwAIgBQAGkAZwBzAFwAIgAsACAAXAAiAFAAaQBnAHMAXAAiACwAIABcACIAQQB1AHMAdAByAGEAbABpAGEAXAAiACwAIABcACIAawBnACAAbABpAHYAZQB3AGUAaQBnAGgAdABcACIALAAgADMALgAzADgALAAgAFwAIgBhAHQAIABtAGEAcgBrAGUAdABcACIAOwBcAG4AIAAgACAAIAAgACAAIAAgAFwAIgBBAG4AaQBtAGEAbABzAFwAIgAsACAAXAAiAFMAaABlAGUAcABcACIALAAgAFwAIgBTAGgAZQBlAHAALAAgAGYAbwByACAAbQB1AHQAdABvAG4AXAAiACwAIABcACIAQQB1AHMAdAByAGEAbABpAGEAXAAiACwAIABcACIAawBnACAAbABpAHYAZQB3AGUAaQBnAGgAdABcACIALAAgADYALgA4ADEALAAgAFwAIgBhAHQAIABtAGEAcgBrAGUAdABcACIAOwBcAG4AIAAgACAAIAAgACAAIAAgAFwAIgBBAG4AaQBtAGEAbABzAFwAIgAsACAAXAAiAFMAaABlAGUAcABcACIALAAgAFwAIgBTAGgAZQBlAHAALAAgAGYAbwByACAAbQB1AHQAdABvAG4AXAAiACwAIABcACIATgBTAFcAXAAiACwAIABcACIAawBnACAAbABpAHYAZQB3AGUAaQBnAGgAdABcACIALAAgADIALgAyADYALAAgAFwAIgBhAHQAIABtAGEAcgBrAGUAdABcACIAOwBcAG4AIAAgACAAIAAgACAAIAAgAFwAIgBBAG4AaQBtAGEAbABzAFwAIgAsACAAXAAiAFMAaABlAGUAcABcACIALAAgAFwAIgBTAGgAZQBlAHAALAAgAGYAbwByACAAbQB1AHQAdABvAG4AXAAiACwAIABcACIAUQBMAEQAXAAiACwAIABcACIAawBnACAAbABpAHYAZQB3AGUAaQBnAGgAdABcACIALAAgADYALgAzADMALAAgAFwAIgBhAHQAIABtAGEAcgBrAGUAdABcACIAOwBcAG4AIAAgACAAIAAgACAAIAAgAFwAIgBBAG4AaQBtAGEAbABzAFwAIgAsACAAXAAiAFMAaABlAGUAcABcACIALAAgAFwAIgBTAGgAZQBlAHAALAAgAGYAbwByACAAbQB1AHQAdABvAG4AXAAiACwAIABcACIAUwBBAFwAIgAsACAAXAAiAGsAZwAgAGwAaQB2AGUAdwBlAGkAZwBoAHQAXAAiACwAIAA2AC4AMQA4ACwAIABcACIAYQB0ACAAbQBhAHIAawBlAHQAXAAiADsAXABuACAAIAAgACAAIAAgACAAIABcACIAQQBuAGkAbQBhAGwAcwBcACIALAAgAFwAIgBTAGgAZQBlAHAAXAAiACwAIABcACIAUwBoAGUAZQBwACwAIABmAG8AcgAgAG0AdQB0AHQAbwBuAFwAIgAsACAAXAAiAFQAQQBTAFwAIgAsACAAXAAiAGsAZwAgAGwAaQB2AGUAdwBlAGkAZwBoAHQAXAAiACwAIAA3AC4ANQAsACAAXAAiAGEAdAAgAG0AYQByAGsAZQB0AFwAIgA7AFwAbgAgACAAIAAgACAAIAAgACAAXAAiAEEAbgBpAG0AYQBsAHMAXAAiACwAIABcACIAUwBoAGUAZQBwAFwAIgAsACAAXAAiAFMAaABlAGUAcAAsACAAZgBvAHIAIABtAHUAdAB0AG8AbgBcACIALAAgAFwAIgBWAEkAQwBcACIALAAgAFwAIgBrAGcAIABsAGkAdgBlAHcAZQBpAGcAaAB0AFwAIgAsACAAOAAuADAAOAAsACAAXAAiAGEAdAAgAG0AYQByAGsAZQB0AFwAIgA7AFwAbgAgACAAIAAgACAAIAAgACAAXAAiAEEAbgBpAG0AYQBsAHMAXAAiACwAIABcACIAUwBoAGUAZQBwAFwAIgAsACAAXAAiAFMAaABlAGUAcAAsACAAZgBvAHIAIABtAHUAdAB0AG8AbgBcACIALAAgAFwAIgBXAEEAXAAiACwAIABcACIAawBnACAAbABpAHYAZQB3AGUAaQBnAGgAdABcACIALAAgADUALgA0ADUALAAgAFwAIgBhAHQAIABtAGEAcgBrAGUAdABcACIAOwBcAG4AIAAgACAAIAAgACAAIAAgAFwAIgBBAG4AaQBtAGEAbABzAFwAIgAsACAAXAAiAFMAaABlAGUAcABcACIALAAgAFwAIgBTAGgAZQBlAHAALAAgAGYAbwByACAAcAByAGkAbQBlACAAbABhAG0AYgBcACIALAAgAFwAIgBBAHUAcwB0AHIAYQBsAGkAYQBcACIALAAgAFwAIgBrAGcAIABsAGkAdgBlAHcAZQBpAGcAaAB0AFwAIgAsACAANwAuADEANQAsACAAXAAiAGEAdAAgAG0AYQByAGsAZQB0AFwAIgA7AFwAbgAgACAAIAAgACAAIAAgACAAXAAiAEEAbgBpAG0AYQBsAHMAXAAiACwAIABcACIAUwBoAGUAZQBwAFwAIgAsACAAXAAiAFMAaABlAGUAcAAsACAAZgBvAHIAIABwAHIAaQBtAGUAIABsAGEAbQBiAFwAIgAsACAAXAAiAE4AUwBXAFwAIgAsACAAXAAiAGsAZwAgAGwAaQB2AGUAdwBlAGkAZwBoAHQAXAAiACwAIAA4AC4AMgA5ACwAIABcACIAYQB0ACAAbQBhAHIAawBlAHQAXAAiADsAXABuACAAIAAgACAAIAAgACAAIABcACIAQQBuAGkAbQBhAGwAcwBcACIALAAgAFwAIgBTAGgAZQBlAHAAXAAiACwAIABcACIAUwBoAGUAZQBwACwAIABmAG8AcgAgAHAAcgBpAG0AZQAgAGwAYQBtAGIAXAAiACwAIABcACIAUQBMAEQAXAAiACwAIABcACIAawBnACAAbABpAHYAZQB3AGUAaQBnAGgAdABcACIALAAgADYALgAzADkALAAgAFwAIgBhAHQAIABtAGEAcgBrAGUAdABcACIAOwBcAG4AIAAgACAAIAAgACAAIAAgAFwAIgBBAG4AaQBtAGEAbABzAFwAIgAsACAAXAAiAFMAaABlAGUAcABcACIALAAgAFwAIgBTAGgAZQBlAHAALAAgAGYAbwByACAAcAByAGkAbQBlACAAbABhAG0AYgBcACIALAAgAFwAIgBTAEEAXAAiACwAIABcACIAawBnACAAbABpAHYAZQB3AGUAaQBnAGgAdABcACIALAAgADYALgA4ADcALAAgAFwAIgBhAHQAIABtAGEAcgBrAGUAdABcACIAOwBcAG4AIAAgACAAIAAgACAAIAAgAFwAIgBBAG4AaQBtAGEAbABzAFwAIgAsACAAXAAiAFMAaABlAGUAcABcACIALAAgAFwAIgBTAGgAZQBlAHAALAAgAGYAbwByACAAcAByAGkAbQBlACAAbABhAG0AYgBcACIALAAgAFwAIgBUAEEAUwBcACIALAAgAFwAIgBrAGcAIABsAGkAdgBlAHcAZQBpAGcAaAB0AFwAIgAsACAAOAAuADYANgAsACAAXAAiAGEAdAAgAG0AYQByAGsAZQB0AFwAIgA7AFwAbgAgACAAIAAgACAAIAAgACAAXAAiAEEAbgBpAG0AYQBsAHMAXAAiACwAIABcACIAUwBoAGUAZQBwAFwAIgAsACAAXAAiAFMAaABlAGUAcAAsACAAZgBvAHIAIABwAHIAaQBtAGUAIABsAGEAbQBiAFwAIgAsACAAXAAiAFYASQBDAFwAIgAsACAAXAAiAGsAZwAgAGwAaQB2AGUAdwBlAGkAZwBoAHQAXAAiACwAIAAxADAALAAgAFwAIgBhAHQAIABtAGEAcgBrAGUAdABcACIAOwBcAG4AIAAgACAAIAAgACAAIAAgAFwAIgBBAG4AaQBtAGEAbABzAFwAIgAsACAAXAAiAFMAaABlAGUAcABcACIALAAgAFwAIgBTAGgAZQBlAHAALAAgAGYAbwByACAAcAByAGkAbQBlACAAbABhAG0AYgBcACIALAAgAFwAIgBXAEEAXAAiACwAIABcACIAawBnACAAbABpAHYAZQB3AGUAaQBnAGgAdABcACIALAAgADUALgA2ADcALAAgAFwAIgBhAHQAIABtAGEAcgBrAGUAdABcACIAXABuACAAIAAgACAAIAAgAH0ALAAgAHIALAAgAGMAKQBcAG4AKQApACkAOwBcAG4AXABuAFwAbgAvACoAXABuAD0APQA9AD0APQA9AD0APQA9AD0APQA9AD0APQA9AD0APQA9AD0APQA9AD0APQA9AD0APQA9AD0APQA9AD0APQA9AD0APQA9AD0APQA9AD0APQA9AD0APQA9AD0APQA9AD0APQA9AD0APQA9AD0APQA9AD0APQA9AD0APQA9AD0APQA9AD0APQA9AD0APQA9AD0APQA9AD0AXABuAEMAaABlAG0AaQBjAGEAbABzAFwAbgA9AD0APQA9AD0APQA9AD0APQA9AD0APQA9AD0APQA9AD0APQA9AD0APQA9AD0APQA9AD0APQA9AD0APQA9AD0APQA9AD0APQA9AD0APQA9AD0APQA9AD0APQA9AD0APQA9AD0APQA9AD0APQA9AD0APQA9AD0APQA9AD0APQA9AD0APQA9AD0APQA9AD0APQA9AD0APQA9AFwAbgAqAC8AXABuAFwAbgBTAGMAbwBwAGUAMwBfAEMAaABlAG0AaQBjAGEAbABzAF8AVABpAHQAbABlAFwAbgA9AEwAQQBNAEIARABBACgAKABcACIAQwBoAGUAbQBpAGMAYQBsAHMAIABzAGMAbwBwAGUAIAAzAFwAIgApACkAOwBcAG4AXABuAFMAYwBvAHAAZQAzAF8AQwBoAGUAbQBpAGMAYQBsAHMAXwBTAG8AdQByAGMAZQBcAG4APQBMAEEATQBCAEQAQQAo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KQA7AFwAbgBcAG4AUwBjAG8AcABlADMAXwBDAGgAZQBtAGkAYwBhAGwAcwBfAFYAYQByAGkAYQB0AGkAbwBuAFwAbgA9AEwAQQBNAEIARABBACgAKABcACIAXAAiACkAKQA7AFwAbgBcAG4AUwBjAG8AcABlADMAXwBDAGgAZQBtAGkAYwBhAGwAcwBfAEQAYQB0AGEAXABuAD0ATABBAE0AQgBEAEEAKABcAG4AIAAgAE0AQQBLAEUAQQBSAFIAQQBZACgAOAAsACAANwAsAFwAbgAgACAAIAAgAEwAQQBNAEIARABBACgAcgAsAGMALABcAG4AIAAgACAAIAAgACAASQBOAEQARQBYACgAewBcAG4AIAAgACAAIAAgACAAIAAgAFwAIgBDAGEAdABlAGcAbwByAHkAXAAiACwAIABcACIAUwB1AGIALQBjAGEAdABlAGcAbwByAHkAXAAiACwAIABcACIAUAByAG8AZAB1AGMAdAAgAG4AYQBtAGUAXAAiACwAIABcACIAUgBlAGcAaQBvAG4AIABvAGYAIABvAHIAaQBnAGkAbgBcACIALAAgAFwAIgBQAHIAbwBkAHUAYwB0ACAAVQBuAGkAdABcACIALAAgAFwAIgBHAEgARwAgAGUAbQBpAHMAcwBpAG8AbgAgAGkAbgB0AGUAbgBzAGkAdAB5AFwAIgAsACAAXAAiAFMAeQBzAHQAZQBtACAAYgBvAHUAbgBkAGEAcgB5AFwAIgA7AFwAbgAgACAAIAAgACAAIAAgACAAXAAiAEMAaABlAG0AaQBjAGEAbABzAFwAIgAsACAAXAAiAEMAbABlAGEAbgBpAG4AZwAgAGMAaABlAG0AaQBjAGEAbABzAFwAIgAsACAAXAAiAEEAbABrAGEAbABpAG4AZQAgAGMAbABlAGEAbgBlAHIAXAAiACwAIABcACIARwBsAG8AYgBhAGwAXAAiACwAIABcACIAawBnAFwAIgAsACAAMAAuADcAMgAyACwAIABcACIAYQB0ACAAbQBhAG4AdQBmAGEAYwB0AHUAcgBlAHIAXAAiADsAXABuACAAIAAgACAAIAAgACAAIABcACIAQwBoAGUAbQBpAGMAYQBsAHMAXAAiACwAIABcACIAQwBsAGUAYQBuAGkAbgBnACAAYwBoAGUAbQBpAGMAYQBsAHMAXAAiACwAIABcACIAQgBsAGUAYQBjAGgAXAAiACwAIABcACIARwBsAG8AYgBhAGwAXAAiACwAIABcACIAawBnAFwAIgAsACAAMAAuADgAMAA0ACwAIABcACIAYQB0ACAAbQBhAG4AdQBmAGEAYwB0AHUAcgBlAHIAXAAiADsAXABuACAAIAAgACAAIAAgACAAIABcACIAQwBoAGUAbQBpAGMAYQBsAHMAXAAiACwAIABcACIAQwBsAGUAYQBuAGkAbgBnACAAYwBoAGUAbQBpAGMAYQBsAHMAXAAiACwAIABcACIAUABoAG8AcwBwAGgAbwByAGkAYwAgAGEAYwBpAGQAXAAiACwAIABcACIARwBsAG8AYgBhAGwAXAAiACwAIABcACIAawBnAFwAIgAsACAAMAAuADkAMAA3ACwAIABcACIAYQB0ACAAbQBhAG4AdQBmAGEAYwB0AHUAcgBlAHIAXAAiADsAXABuACAAIAAgACAAIAAgACAAIABcACIAQwBoAGUAbQBpAGMAYQBsAHMAXAAiACwAIABcACIAUABoAGEAcgBtAGEAYwB5ACAAYwBoAGUAbQBpAGMAYQBsAHMAXAAiACwAIABcACIAUABhAHIAYQBzAGkAdABlACAAYwBvAG4AdAByAG8AbAAgAGYAbwByACAAYwBhAHQAdABsAGUAIAAoAGUAeAB0AGUAcgBuAGEAbAApACwAIABkAGkAcABwAGkAbgBnAFwAIgAsACAAXAAiAEcAbABvAGIAYQBsAFwAIgAsACAAXAAiAHAAIAAoAGgAZQBhAGQAKQBcACIALAAgADAALgAwADUANAA3ACwAIABcACIAYQB0ACAAbQBhAG4AdQBmAGEAYwB0AHUAcgBlAHIAXAAiADsAXABuACAAIAAgACAAIAAgACAAIABcACIAQwBoAGUAbQBpAGMAYQBsAHMAXAAiACwAIABcACIAUABoAGEAcgBtAGEAYwB5ACAAYwBoAGUAbQBpAGMAYQBsAHMAXAAiACwAIABcACIAUABhAHIAYQBzAGkAdABlACAAYwBvAG4AdAByAG8AbAAgAGYAbwByACAAYwBhAHQAdABsAGUAIAAoAGkAbgB0AGUAcgBuAGEAbAApAFwAIgAsACAAXAAiAEcAbABvAGIAYQBsAFwAIgAsACAAXAAiAHAAIAAoAGgAZQBhAGQAKQBcACIALAAgADAALgAwADEANAAyACwAIABcACIAYQB0ACAAbQBhAG4AdQBmAGEAYwB0AHUAcgBlAHIAXAAiADsAXABuACAAIAAgACAAIAAgACAAIABcACIAQwBoAGUAbQBpAGMAYQBsAHMAXAAiACwAIABcACIAUABoAGEAcgBtAGEAYwB5ACAAYwBoAGUAbQBpAGMAYQBsAHMAXAAiACwAIABcACIAUABhAHIAYQBzAGkAdABlACAAYwBvAG4AdAByAG8AbAAgAGYAbwByACAAcwBoAGUAZQBwACAAKABlAHgAdABlAHIAbgBhAGwAKQBcACIALAAgAFwAIgBHAGwAbwBiAGEAbABcACIALAAgAFwAIgBwACAAKABoAGUAYQBkACkAXAAiACwAIAAwAC4AMAAxADQAMwAsACAAXAAiAGEAdAAgAG0AYQBuAHUAZgBhAGMAdAB1AHIAZQByAFwAIgA7AFwAbgAgACAAIAAgACAAIAAgACAAXAAiAEMAaABlAG0AaQBjAGEAbABzAFwAIgAsACAAXAAiAFAAaABhAHIAbQBhAGMAeQAgAGMAaABlAG0AaQBjAGEAbABzAFwAIgAsACAAXAAiAFAAYQByAGEAcwBpAHQAZQAgAGMAbwBuAHQAcgBvAGwAIABmAG8AcgAgAHMAaABlAGUAcAAgACgAaQBuAHQAZQByAG4AYQBsACkAXAAiACwAIABcACIARwBsAG8AYgBhAGwAXAAiACwAIABcACIAcAAgACgAaABlAGEAZAApAFwAIgAsACAAMAAuADAAMAA0ADIANgAsACAAXAAiAGEAdAAgAG0AYQBuAHUAZgBhAGMAdAB1AHIAZQByAFwAIgBcAG4AIAAgACAAIAAgACAAfQAsACAAcgAsACAAYwApAFwAbgApACkAKQA7AFwAbgBcAG4AXABuAC8AKgBcAG4APQA9AD0APQA9AD0APQA9AD0APQA9AD0APQA9AD0APQA9AD0APQA9AD0APQA9AD0APQA9AD0APQA9AD0APQA9AD0APQA9AD0APQA9AD0APQA9AD0APQA9AD0APQA9AD0APQA9AD0APQA9AD0APQA9AD0APQA9AD0APQA9AD0APQA9AD0APQA9AD0APQA9AD0APQA9AD0APQBcAG4ARgBlAGUAZABcAG4APQA9AD0APQA9AD0APQA9AD0APQA9AD0APQA9AD0APQA9AD0APQA9AD0APQA9AD0APQA9AD0APQA9AD0APQA9AD0APQA9AD0APQA9AD0APQA9AD0APQA9AD0APQA9AD0APQA9AD0APQA9AD0APQA9AD0APQA9AD0APQA9AD0APQA9AD0APQA9AD0APQA9AD0APQA9AD0APQBcAG4AKgAvAFwAbgBcAG4AUwBjAG8AcABlADMAXwBGAGUAZQBkAF8AVABpAHQAbABlAFwAbgA9AEwAQQBNAEIARABBACgAKABcACIARgBlAGUAZAAgAHMAYwBvAHAAZQAgADMAXAAiACkAKQA7AFwAbgBcAG4AUwBjAG8AcABlADMAXwBGAGUAZQBkAF8AUwBvAHUAcgBjAGUAXABuAD0ATABBAE0AQgBEAEEAKAAoAFwAIgBMAGkAZgBlAGMAeQBjAGwAZQBzAC4AIAAoADIAMAAyADYAKQAuACAARwByAGUAZQBuAGgAbwB1AHMAZQAgAEcAYQBzACAARQBtAGkAcwBzAGkAbwBuACAASQBuAHQAZQBuAHMAaQB0AGkAZQBzACAAZgBvAHIAIABNAGEAdABlAHIAaQBhAGwAIABJAG4AcAB1AHQAcwAgAHQAbwAgAEEAdQBzAHQAcgBhAGwAaQBhAG4AIABBAGcAcgBpAGMAdQBsAHQAdQByAGUALAAgAEYAaQBzAGgAZQByAGkAZQBzACAAYQBuAGQAIABGAG8AcgBlAHMAdAByAHkALgAgAFYAZQByAHMAaQBvAG4AIAA0ADgALgAgAGQAbwBpACAAMQAwAC4ANQAyADgAMQAvAHoAZQBuAG8AZABvAC4AMQA5ADYANQA2ADUAOAAwAFwAIgApACkAOwBcAG4AXABuAFMAYwBvAHAAZQAzAF8ARgBlAGUAZABfAFYAYQByAGkAYQB0AGkAbwBuAFwAbgA9AEwAQQBNAEIARABBACgAKABcACIAXAAiACkAKQA7AFwAbgBcAG4AUwBjAG8AcABlADMAXwBGAGUAZQBkAF8ARABhAHQAYQBcAG4APQBMAEEATQBCAEQAQQAoAFwAbgAgACAATQBBAEsARQBBAFIAUgBBAFkAKAA3ADgALAAgADcALABcAG4AIAAgACAAIABMAEEATQBCAEQAQQAoAHIALABjACwAXABuACAAIAAgACAAIAAgAEkATgBEAEUAWAAoAHsAXABuACAAIAAgACAAIAAgACAAIABcACIAQwBhAHQAZQBnAG8AcgB5AFwAIgAsACAAXAAiAFMAdQBiAC0AYwBhAHQAZQBnAG8AcgB5AFwAIgAsACAAXAAiAFAAcgBvAGQAdQBjAHQAIABuAGEAbQBlAFwAIgAsACAAXAAiAFIAZQBnAGkAbwBuACAAbwBmACAAbwByAGkAZwBpAG4AXAAiACwAIABcACIAUAByAG8AZAB1AGMAdAAgAFUAbgBpAHQAXAAiACwAIABcACIARwBIAEcAIABlAG0AaQBzAHMAaQBvAG4AIABpAG4AdABlAG4AcwBpAHQAeQBcACIALAAgAFwAIgBTAHkAcwB0AGUAbQAgAGIAbwB1AG4AZABhAHIAeQBcACIAOwBcAG4AIAAgACAAIAAgACAAIAAgAFwAIgBGAGUAZQBkAFwAIgAsACAAXAAiAEEAcQB1AGEAYwB1AGwAdAB1AHIAZQAgAGYAZQBlAGQAXAAiACwAIABcACIAUwBhAHIAZABpAG4AZQBzACAAKAB3AGgAbwBsAGUAKQBcACIALAAgAFwAIgBTAEEAXAAiACwAIABcACIAawBnAFwAIgAsACAAMAAuADMANwA2ACwAIABcACIAYQB0ACAAbQBhAHIAawBlAHQAXAAiADsAXABuACAAIAAgACAAIAAgACAAIABcACIARgBlAGUAZABcACIALAAgAFwAIgBHAHIAYQBpAG4AXAAiACwAIABcACIAQgBhAHIAbABlAHkAIABnAHIAYQBpAG4AXAAiACwAIABcACIAQQB1AHMAdAByAGEAbABpAGEAXAAiACwAIABcACIAawBnAFwAIgAsACAAMAAuADIAMwA5ACwAIABcACIAYQB0ACAAbQBhAHIAawBlAHQAXAAiADsAXABuACAAIAAgACAAIAAgACAAIABcACIARgBlAGUAZABcACIALAAgAFwAIgBHAHIAYQBpAG4AXAAiACwAIABcACIAQgBhAHIAbABlAHkAIABnAHIAYQBpAG4AXAAiACwAIABcACIATgBTAFcAXAAiACwAIABcACIAawBnAFwAIgAsACAAMAAuADIANQA2ACwAIABcACIAYQB0ACAAbQBhAHIAawBlAHQAXAAiADsAXABuACAAIAAgACAAIAAgACAAIABcACIARgBlAGUAZABcACIALAAgAFwAIgBHAHIAYQBpAG4AXAAiACwAIABcACIAQgBhAHIAbABlAHkAIABnAHIAYQBpAG4AXAAiACwAIABcACIATgBUAFwAIgAsACAAXAAiAGsAZwBcACIALAAgADAALgAzADMAMgAsACAAXAAiAGEAdAAgAG0AYQByAGsAZQB0AFwAIgA7AFwAbgAgACAAIAAgACAAIAAgACAAXAAiAEYAZQBlAGQAXAAiACwAIABcACIARwByAGEAaQBuAFwAIgAsACAAXAAiAEIAYQByAGwAZQB5ACAAZwByAGEAaQBuAFwAIgAsACAAXAAiAFEATABEAFwAIgAsACAAXAAiAGsAZwBcACIALAAgADAALgAyADYAOQAsACAAXAAiAGEAdAAgAG0AYQByAGsAZQB0AFwAIgA7AFwAbgAgACAAIAAgACAAIAAgACAAXAAiAEYAZQBlAGQAXAAiACwAIABcACIARwByAGEAaQBuAFwAIgAsACAAXAAiAEIAYQByAGwAZQB5ACAAZwByAGEAaQBuAFwAIgAsACAAXAAiAFMAQQBcACIALAAgAFwAIgBrAGcAXAAiACwAIAAwAC4AMgAyADMALAAgAFwAIgBhAHQAIABtAGEAcgBrAGUAdABcACIAOwBcAG4AIAAgACAAIAAgACAAIAAgAFwAIgBGAGUAZQBkAFwAIgAsACAAXAAiAEcAcgBhAGkAbgBcACIALAAgAFwAIgBCAGEAcgBsAGUAeQAgAGcAcgBhAGkAbgBcACIALAAgAFwAIgBUAEEAUwBcACIALAAgAFwAIgBrAGcAXAAiACwAIAAwAC4AMwAwADcALAAgAFwAIgBhAHQAIABtAGEAcgBrAGUAdABcACIAOwBcAG4AIAAgACAAIAAgACAAIAAgAFwAIgBGAGUAZQBkAFwAIgAsACAAXAAiAEcAcgBhAGkAbgBcACIALAAgAFwAIgBCAGEAcgBsAGUAeQAgAGcAcgBhAGkAbgBcACIALAAgAFwAIgBWAEkAQwBcACIALAAgAFwAIgBrAGcAXAAiACwAIAAwAC4AMgA0ADEALAAgAFwAIgBhAHQAIABtAGEAcgBrAGUAdABcACIAOwBcAG4AIAAgACAAIAAgACAAIAAgAFwAIgBGAGUAZQBkAFwAIgAsACAAXAAiAEcAcgBhAGkAbgBcACIALAAgAFwAIgBCAGEAcgBsAGUAeQAgAGcAcgBhAGkAbgBcACIALAAgAFwAIgBXAEEAXAAiACwAIABcACIAawBnAFwAIgAsACAAMAAuADIAMwA2ACwAIABcACIAYQB0ACAAbQBhAHIAawBlAHQAXAAiADsAXABuACAAIAAgACAAIAAgACAAIABcACIARgBlAGUAZABcACIALAAgAFwAIgBHAHIAYQBpAG4AXAAiACwAIABcACIATQBhAGkAegBlACAAZwByAGEAaQBuAFwAIgAsACAAXAAiAEEAdQBzAHQAcgBhAGwAaQBhAFwAIgAsACAAXAAiAGsAZwBcACIALAAgADAALgAxADgAMQAsACAAXAAiAGEAdAAgAG0AYQByAGsAZQB0AFwAIgA7AFwAbgAgACAAIAAgACAAIAAgACAAXAAiAEYAZQBlAGQAXAAiACwAIABcACIARwByAGEAaQBuAFwAIgAsACAAXAAiAE0AYQBpAHoAZQAgAGcAcgBhAGkAbgBcACIALAAgAFwAIgBOAFMAVwBcACIALAAgAFwAIgBrAGcAXAAiACwAIAAwAC4AMQA2ADkALAAgAFwAIgBhAHQAIABtAGEAcgBrAGUAdABcACIAOwBcAG4AIAAgACAAIAAgACAAIAAgAFwAIgBGAGUAZQBkAFwAIgAsACAAXAAiAEcAcgBhAGkAbgBcACIALAAgAFwAIgBNAGEAaQB6AGUAIABnAHIAYQBpAG4AXAAiACwAIABcACIATgBUAFwAIgAsACAAXAAiAGsAZwBcACIALAAgADAALgAyADUANgAsACAAXAAiAGEAdAAgAG0AYQByAGsAZQB0AFwAIgA7AFwAbgAgACAAIAAgACAAIAAgACAAXAAiAEYAZQBlAGQAXAAiACwAIABcACIARwByAGEAaQBuAFwAIgAsACAAXAAiAE0AYQBpAHoAZQAgAGcAcgBhAGkAbgBcACIALAAgAFwAIgBRAEwARABcACIALAAgAFwAIgBrAGcAXAAiACwAIAAwAC4AMQA4ADYALAAgAFwAIgBhAHQAIABtAGEAcgBrAGUAdABcACIAOwBcAG4AIAAgACAAIAAgACAAIAAgAFwAIgBGAGUAZQBkAFwAIgAsACAAXAAiAEcAcgBhAGkAbgBcACIALAAgAFwAIgBNAGEAaQB6AGUAIABnAHIAYQBpAG4AXAAiACwAIABcACIAUwBBAFwAIgAsACAAXAAiAGsAZwBcACIALAAgADAALgAxADcANgAsACAAXAAiAGEAdAAgAG0AYQByAGsAZQB0AFwAIgA7AFwAbgAgACAAIAAgACAAIAAgACAAXAAiAEYAZQBlAGQAXAAiACwAIABcACIARwByAGEAaQBuAFwAIgAsACAAXAAiAE0AYQBpAHoAZQAgAGcAcgBhAGkAbgBcACIALAAgAFwAIgBWAEkAQwBcACIALAAgAFwAIgBrAGcAXAAiACwAIAAwAC4AMQA1ADkALAAgAFwAIgBhAHQAIABtAGEAcgBrAGUAdABcACIAOwBcAG4AIAAgACAAIAAgACAAIAAgAFwAIgBGAGUAZQBkAFwAIgAsACAAXAAiAEcAcgBhAGkAbgBcACIALAAgAFwAIgBNAGEAaQB6AGUAIABnAHIAYQBpAG4AXAAiACwAIABcACIAVwBBAFwAIgAsACAAXAAiAGsAZwBcACIALAAgADAALgAyADgANQAsACAAXAAiAGEAdAAgAG0AYQByAGsAZQB0AFwAIgA7AFwAbgAgACAAIAAgACAAIAAgACAAXAAiAEYAZQBlAGQAXAAiACwAIABcACIARwByAGEAaQBuAFwAIgAsACAAXAAiAFMAbwByAGcAaAB1AG0AIABnAHIAYQBpAG4AXAAiACwAIABcACIAQQB1AHMAdAByAGEAbABpAGEAXAAiACwAIABcACIAawBnAFwAIgAsACAAMAAuADIAMwAyACwAIABcACIAYQB0ACAAbQBhAHIAawBlAHQAXAAiADsAXABuACAAIAAgACAAIAAgACAAIABcACIARgBlAGUAZABcACIALAAgAFwAIgBHAHIAYQBpAG4AXAAiACwAIABcACIAUwBvAHIAZwBoAHUAbQAgAGcAcgBhAGkAbgBcACIALAAgAFwAIgBOAFMAVwBcACIALAAgAFwAIgBrAGcAXAAiACwAIAAwAC4AMgAzADIALAAgAFwAIgBhAHQAIABtAGEAcgBrAGUAdABcACIAOwBcAG4AIAAgACAAIAAgACAAIAAgAFwAIgBGAGUAZQBkAFwAIgAsACAAXAAiAEcAcgBhAGkAbgBcACIALAAgAFwAIgBTAG8AcgBnAGgAdQBtACAAZwByAGEAaQBuAFwAIgAsACAAXAAiAFEATABEAFwAIgAsACAAXAAiAGsAZwBcACIALAAgADAALgAyADMAMQAsACAAXAAiAGEAdAAgAG0AYQByAGsAZQB0AFwAIgA7AFwAbgAgACAAIAAgACAAIAAgACAAXAAiAEYAZQBlAGQAXAAiACwAIABcACIARwByAGEAaQBuAFwAIgAsACAAXAAiAFMAbwByAGcAaAB1AG0AIABnAHIAYQBpAG4AXAAiACwAIABcACIAUwBBAFwAIgAsACAAXAAiAGsAZwBcACIALAAgADAALgAyADEAOAAsACAAXAAiAGEAdAAgAG0AYQByAGsAZQB0AFwAIgA7AFwAbgAgACAAIAAgACAAIAAgACAAXAAiAEYAZQBlAGQAXAAiACwAIABcACIARwByAGEAaQBuAFwAIgAsACAAXAAiAFMAbwByAGcAaAB1AG0AIABnAHIAYQBpAG4AXAAiACwAIABcACIAVgBJAEMAXAAiACwAIABcACIAawBnAFwAIgAsACAAMAAuADIANAA2ACwAIABcACIAYQB0ACAAbQBhAHIAawBlAHQAXAAiADsAXABuACAAIAAgACAAIAAgACAAIABcACIARgBlAGUAZABcACIALAAgAFwAIgBHAHIAYQBpAG4AXAAiACwAIABcACIAVwBoAGUAYQB0ACAAZwByAGEAaQBuAFwAIgAsACAAXAAiAEEAdQBzAHQAcgBhAGwAaQBhAFwAIgAsACAAXAAiAGsAZwBcACIALAAgADAALgAyADYAOAAsACAAXAAiAGEAdAAgAG0AYQByAGsAZQB0AFwAIgA7AFwAbgAgACAAIAAgACAAIAAgACAAXAAiAEYAZQBlAGQAXAAiACwAIABcACIARwByAGEAaQBuAFwAIgAsACAAXAAiAFcAaABlAGEAdAAgAGcAcgBhAGkAbgBcACIALAAgAFwAIgBOAFMAVwBcACIALAAgAFwAIgBrAGcAXAAiACwAIAAwAC4AMgA4ADIALAAgAFwAIgBhAHQAIABtAGEAcgBrAGUAdABcACIAOwBcAG4AIAAgACAAIAAgACAAIAAgAFwAIgBGAGUAZQBkAFwAIgAsACAAXAAiAEcAcgBhAGkAbgBcACIALAAgAFwAIgBXAGgAZQBhAHQAIABnAHIAYQBpAG4AXAAiACwAIABcACIATgBUAFwAIgAsACAAXAAiAGsAZwBcACIALAAgADAALgAzADgANQAsACAAXAAiAGEAdAAgAG0AYQByAGsAZQB0AFwAIgA7AFwAbgAgACAAIAAgACAAIAAgACAAXAAiAEYAZQBlAGQAXAAiACwAIABcACIARwByAGEAaQBuAFwAIgAsACAAXAAiAFcAaABlAGEAdAAgAGcAcgBhAGkAbgBcACIALAAgAFwAIgBRAEwARABcACIALAAgAFwAIgBrAGcAXAAiACwAIAAwAC4AMgA5ADYALAAgAFwAIgBhAHQAIABtAGEAcgBrAGUAdABcACIAOwBcAG4AIAAgACAAIAAgACAAIAAgAFwAIgBGAGUAZQBkAFwAIgAsACAAXAAiAEcAcgBhAGkAbgBcACIALAAgAFwAIgBXAGgAZQBhAHQAIABnAHIAYQBpAG4AXAAiACwAIABcACIAUwBBAFwAIgAsACAAXAAiAGsAZwBcACIALAAgADAALgAyADQAMQAsACAAXAAiAGEAdAAgAG0AYQByAGsAZQB0AFwAIgA7AFwAbgAgACAAIAAgACAAIAAgACAAXAAiAEYAZQBlAGQAXAAiACwAIABcACIARwByAGEAaQBuAFwAIgAsACAAXAAiAFcAaABlAGEAdAAgAGcAcgBhAGkAbgBcACIALAAgAFwAIgBUAEEAUwBcACIALAAgAFwAIgBrAGcAXAAiACwAIAAwAC4AMwAzADgALAAgAFwAIgBhAHQAIABtAGEAcgBrAGUAdABcACIAOwBcAG4AIAAgACAAIAAgACAAIAAgAFwAIgBGAGUAZQBkAFwAIgAsACAAXAAiAEcAcgBhAGkAbgBcACIALAAgAFwAIgBXAGgAZQBhAHQAIABnAHIAYQBpAG4AXAAiACwAIABcACIAVgBJAEMAXAAiACwAIABcACIAawBnAFwAIgAsACAAMAAuADIANgA2ACwAIABcACIAYQB0ACAAbQBhAHIAawBlAHQAXAAiADsAXABuACAAIAAgACAAIAAgACAAIABcACIARgBlAGUAZABcACIALAAgAFwAIgBHAHIAYQBpAG4AXAAiACwAIABcACIAVwBoAGUAYQB0ACAAZwByAGEAaQBuAFwAIgAsACAAXAAiAFcAQQBcACIALAAgAFwAIgBrAGcAXAAiACwAIAAwAC4AMgA2ADEALAAgAFwAIgBhAHQAIABtAGEAcgBrAGUAdABcACIAOwBcAG4AIAAgACAAIAAgACAAIAAgAFwAIgBGAGUAZQBkAFwAIgAsACAAXAAiAEgAYQB5AFwAIgAsACAAXAAiAEMAZQByAGUAYQBsACAAaABhAHkAXAAiACwAIABcACIAQQB1AHMAdAByAGEAbABpAGEAXAAiACwAIABcACIAawBnAFwAIgAsACAAMAAuADEAMQA3ACwAIABcACIAYQB0ACAAbQBhAHIAawBlAHQAXAAiADsAXABuACAAIAAgACAAIAAgACAAIABcACIARgBlAGUAZABcACIALAAgAFwAIgBIAGEAeQBcACIALAAgAFwAIgBDAGUAcgBlAGEAbAAgAGgAYQB5AFwAIgAsACAAXAAiAE4AUwBXAFwAIgAsACAAXAAiAGsAZwBcACIALAAgADAALgAxADEANgAsACAAXAAiAGEAdAAgAG0AYQByAGsAZQB0AFwAIgA7AFwAbgAgACAAIAAgACAAIAAgACAAXAAiAEYAZQBlAGQAXAAiACwAIABcACIASABhAHkAXAAiACwAIABcACIAQwBlAHIAZQBhAGwAIABoAGEAeQBcACIALAAgAFwAIgBRAEwARABcACIALAAgAFwAIgBrAGcAXAAiACwAIAAwAC4AMQAxADgALAAgAFwAIgBhAHQAIABtAGEAcgBrAGUAdABcACIAOwBcAG4AIAAgACAAIAAgACAAIAAgAFwAIgBGAGUAZQBkAFwAIgAsACAAXAAiAEgAYQB5AFwAIgAsACAAXAAiAEMAZQByAGUAYQBsACAAaABhAHkAXAAiACwAIABcACIAUwBBAFwAIgAsACAAXAAiAGsAZwBcACIALAAgADAALgAxADEAMQAsACAAXAAiAGEAdAAgAG0AYQByAGsAZQB0AFwAIgA7AFwAbgAgACAAIAAgACAAIAAgACAAXAAiAEYAZQBlAGQAXAAiACwAIABcACIASABhAHkAXAAiACwAIABcACIAQwBlAHIAZQBhAGwAIABoAGEAeQBcACIALAAgAFwAIgBUAEEAUwBcACIALAAgAFwAIgBrAGcAXAAiACwAIAAwAC4AMQAzADkALAAgAFwAIgBhAHQAIABtAGEAcgBrAGUAdABcACIAOwBcAG4AIAAgACAAIAAgACAAIAAgAFwAIgBGAGUAZQBkAFwAIgAsACAAXAAiAEgAYQB5AFwAIgAsACAAXAAiAEMAZQByAGUAYQBsACAAaABhAHkAXAAiACwAIABcACIAVgBJAEMAXAAiACwAIABcACIAawBnAFwAIgAsACAAMAAuADEAMQA2ACwAIABcACIAYQB0ACAAbQBhAHIAawBlAHQAXAAiADsAXABuACAAIAAgACAAIAAgACAAIABcACIARgBlAGUAZABcACIALAAgAFwAIgBIAGEAeQBcACIALAAgAFwAIgBDAGUAcgBlAGEAbAAgAGgAYQB5AFwAIgAsACAAXAAiAFcAQQBcACIALAAgAFwAIgBrAGcAXAAiACwAIAAwAC4AMQAyADIALAAgAFwAIgBhAHQAIABtAGEAcgBrAGUAdABcACIAOwBcAG4AIAAgACAAIAAgACAAIAAgAFwAIgBGAGUAZQBkAFwAIgAsACAAXAAiAEgAYQB5AFwAIgAsACAAXAAiAEMAZQByAGUAYQBsACAAcwBpAGwAYQBnAGUAXAAiACwAIABcACIAQQB1AHMAdAByAGEAbABpAGEAXAAiACwAIABcACIAawBnAFwAIgAsACAAMAAuADAANwA0ADQALAAgAFwAIgBhAHQAIABtAGEAcgBrAGUAdABcACIAOwBcAG4AIAAgACAAIAAgACAAIAAgAFwAIgBGAGUAZQBkAFwAIgAsACAAXAAiAEgAYQB5AFwAIgAsACAAXAAiAEMAZQByAGUAYQBsACAAcwBpAGwAYQBnAGUAXAAiACwAIABcACIATgBTAFcAXAAiACwAIABcACIAawBnAFwAIgAsACAAMAAuADAANwAzADkALAAgAFwAIgBhAHQAIABtAGEAcgBrAGUAdABcACIAOwBcAG4AIAAgACAAIAAgACAAIAAgAFwAIgBGAGUAZQBkAFwAIgAsACAAXAAiAEgAYQB5AFwAIgAsACAAXAAiAEMAZQByAGUAYQBsACAAcwBpAGwAYQBnAGUAXAAiACwAIABcACIAUQBMAEQAXAAiACwAIABcACIAawBnAFwAIgAsACAAMAAuADAANwA5ACwAIABcACIAYQB0ACAAbQBhAHIAawBlAHQAXAAiADsAXABuACAAIAAgACAAIAAgACAAIABcACIARgBlAGUAZABcACIALAAgAFwAIgBIAGEAeQBcACIALAAgAFwAIgBDAGUAcgBlAGEAbAAgAHMAaQBsAGEAZwBlAFwAIgAsACAAXAAiAFMAQQBcACIALAAgAFwAIgBrAGcAXAAiACwAIAAwAC4AMAA3ADAANgAsACAAXAAiAGEAdAAgAG0AYQByAGsAZQB0AFwAIgA7AFwAbgAgACAAIAAgACAAIAAgACAAXAAiAEYAZQBlAGQAXAAiACwAIABcACIASABhAHkAXAAiACwAIABcACIAQwBlAHIAZQBhAGwAIABzAGkAbABhAGcAZQBcACIALAAgAFwAIgBUAEEAUwBcACIALAAgAFwAIgBrAGcAXAAiACwAIAAwAC4AMAA4ADAAOAAsACAAXAAiAGEAdAAgAG0AYQByAGsAZQB0AFwAIgA7AFwAbgAgACAAIAAgACAAIAAgACAAXAAiAEYAZQBlAGQAXAAiACwAIABcACIASABhAHkAXAAiACwAIABcACIAQwBlAHIAZQBhAGwAIABzAGkAbABhAGcAZQBcACIALAAgAFwAIgBWAEkAQwBcACIALAAgAFwAIgBrAGcAXAAiACwAIAAwAC4AMAA3ADMANgAsACAAXAAiAGEAdAAgAG0AYQByAGsAZQB0AFwAIgA7AFwAbgAgACAAIAAgACAAIAAgACAAXAAiAEYAZQBlAGQAXAAiACwAIABcACIASABhAHkAXAAiACwAIABcACIATAB1AGMAZQByAG4AZQAgAGgAYQB5AFwAIgAsACAAXAAiAEEAdQBzAHQAcgBhAGwAaQBhAFwAIgAsACAAXAAiAGsAZwBcACIALAAgADAALgAxADEANwAsACAAXAAiAGEAdAAgAG0AYQByAGsAZQB0AFwAIgA7AFwAbgAgACAAIAAgACAAIAAgACAAXAAiAEYAZQBlAGQAXAAiACwAIABcACIASABhAHkAXAAiACwAIABcACIATAB1AGMAZQByAG4AZQAgAGgAYQB5AFwAIgAsACAAXAAiAE4AUwBXAFwAIgAsACAAXAAiAGsAZwBcACIALAAgADAALgAxADEAMwAsACAAXAAiAGEAdAAgAG0AYQByAGsAZQB0AFwAIgA7AFwAbgAgACAAIAAgACAAIAAgACAAXAAiAEYAZQBlAGQAXAAiACwAIABcACIASABhAHkAXAAiACwAIABcACIATAB1AGMAZQByAG4AZQAgAGgAYQB5AFwAIgAsACAAXAAiAFEATABEAFwAIgAsACAAXAAiAGsAZwBcACIALAAgADAALgAxADQAMwAsACAAXAAiAGEAdAAgAG0AYQByAGsAZQB0AFwAIgA7AFwAbgAgACAAIAAgACAAIAAgACAAXAAiAEYAZQBlAGQAXAAiACwAIABcACIASABhAHkAXAAiACwAIABcACIATAB1AGMAZQByAG4AZQAgAGgAYQB5AFwAIgAsACAAXAAiAFMAQQBcACIALAAgAFwAIgBrAGcAXAAiACwAIAAwAC4AMQAwADYALAAgAFwAIgBhAHQAIABtAGEAcgBrAGUAdABcACIAOwBcAG4AIAAgACAAIAAgACAAIAAgAFwAIgBGAGUAZQBkAFwAIgAsACAAXAAiAEgAYQB5AFwAIgAsACAAXAAiAEwAdQBjAGUAcgBuAGUAIABoAGEAeQBcACIALAAgAFwAIgBUAEEAUwBcACIALAAgAFwAIgBrAGcAXAAiACwAIAAwAC4AMQAxADMALAAgAFwAIgBhAHQAIABtAGEAcgBrAGUAdABcACIAOwBcAG4AIAAgACAAIAAgACAAIAAgAFwAIgBGAGUAZQBkAFwAIgAsACAAXAAiAEgAYQB5AFwAIgAsACAAXAAiAEwAdQBjAGUAcgBuAGUAIABoAGEAeQBcACIALAAgAFwAIgBWAEkAQwBcACIALAAgAFwAIgBrAGcAXAAiACwAIAAwAC4AMQAwADYALAAgAFwAIgBhAHQAIABtAGEAcgBrAGUAdABcACIAOwBcAG4AIAAgACAAIAAgACAAIAAgAFwAIgBGAGUAZQBkAFwAIgAsACAAXAAiAEgAYQB5AFwAIgAsACAAXAAiAE0AYQBpAHoAZQAgAHMAaQBsAGEAZwBlAFwAIgAsACAAXAAiAFYASQBDAFwAIgAsACAAXAAiAGsAZwBcACIALAAgADAALgAxADYAMwAsACAAXAAiAGEAdAAgAG0AYQByAGsAZQB0AFwAIgA7AFwAbgAgACAAIAAgACAAIAAgACAAXAAiAEYAZQBlAGQAXAAiACwAIABcACIASABhAHkAXAAiACwAIABcACIATwBhAHQAZQBuACAAaABhAHkAXAAiACwAIABcACIAQQB1AHMAdAByAGEAbABpAGEAXAAiACwAIABcACIAawBnAFwAIgAsACAAMAAuADEAMgAsACAAXAAiAGEAdAAgAG0AYQByAGsAZQB0AFwAIgA7AFwAbgAgACAAIAAgACAAIAAgACAAXAAiAEYAZQBlAGQAXAAiACwAIABcACIASABhAHkAXAAiACwAIABcACIATwBhAHQAZQBuACAAaABhAHkAXAAiACwAIABcACIATgBTAFcAXAAiACwAIABcACIAawBnAFwAIgAsACAAMAAuADEAMQA5ACwAIABcACIAYQB0ACAAbQBhAHIAawBlAHQAXAAiADsAXABuACAAIAAgACAAIAAgACAAIABcACIARgBlAGUAZABcACIALAAgAFwAIgBIAGEAeQBcACIALAAgAFwAIgBPAGEAdABlAG4AIABoAGEAeQBcACIALAAgAFwAIgBRAEwARABcACIALAAgAFwAIgBrAGcAXAAiACwAIAAwAC4AMQAxADcALAAgAFwAIgBhAHQAIABtAGEAcgBrAGUAdABcACIAOwBcAG4AIAAgACAAIAAgACAAIAAgAFwAIgBGAGUAZQBkAFwAIgAsACAAXAAiAEgAYQB5AFwAIgAsACAAXAAiAE8AYQB0AGUAbgAgAGgAYQB5AFwAIgAsACAAXAAiAFMAQQBcACIALAAgAFwAIgBrAGcAXAAiACwAIAAwAC4AMQAxADQALAAgAFwAIgBhAHQAIABtAGEAcgBrAGUAdABcACIAOwBcAG4AIAAgACAAIAAgACAAIAAgAFwAIgBGAGUAZQBkAFwAIgAsACAAXAAiAEgAYQB5AFwAIgAsACAAXAAiAE8AYQB0AGUAbgAgAGgAYQB5AFwAIgAsACAAXAAiAFYASQBDAFwAIgAsACAAXAAiAGsAZwBcACIALAAgADAALgAxADEAOAAsACAAXAAiAGEAdAAgAG0AYQByAGsAZQB0AFwAIgA7AFwAbgAgACAAIAAgACAAIAAgACAAXAAiAEYAZQBlAGQAXAAiACwAIABcACIASABhAHkAXAAiACwAIABcACIATwBhAHQAZQBuACAAaABhAHkAXAAiACwAIABcACIAVwBBAFwAIgAsACAAXAAiAGsAZwBcACIALAAgADAALgAxADIANAAsACAAXAAiAGEAdAAgAG0AYQByAGsAZQB0AFwAIgA7AFwAbgAgACAAIAAgACAAIAAgACAAXAAiAEYAZQBlAGQAXAAiACwAIABcACIASABhAHkAXAAiACwAIABcACIAUABhAHMAdAB1AHIAZQAgAGgAYQB5AFwAIgAsACAAXAAiAEEAdQBzAHQAcgBhAGwAaQBhAFwAIgAsACAAXAAiAGsAZwBcACIALAAgADAALgAzADMAOQAsACAAXAAiAGEAdAAgAG0AYQByAGsAZQB0AFwAIgA7AFwAbgAgACAAIAAgACAAIAAgACAAXAAiAEYAZQBlAGQAXAAiACwAIABcACIASABhAHkAXAAiACwAIABcACIAUABhAHMAdAB1AHIAZQAgAGgAYQB5AFwAIgAsACAAXAAiAE4AUwBXAFwAIgAsACAAXAAiAGsAZwBcACIALAAgADAALgAzADEAMQAsACAAXAAiAGEAdAAgAG0AYQByAGsAZQB0AFwAIgA7AFwAbgAgACAAIAAgACAAIAAgACAAXAAiAEYAZQBlAGQAXAAiACwAIABcACIASABhAHkAXAAiACwAIABcACIAUABhAHMAdAB1AHIAZQAgAGgAYQB5AFwAIgAsACAAXAAiAFEATABEAFwAIgAsACAAXAAiAGsAZwBcACIALAAgADAALgAyADUANAAsACAAXAAiAGEAdAAgAG0AYQByAGsAZQB0AFwAIgA7AFwAbgAgACAAIAAgACAAIAAgACAAXAAiAEYAZQBlAGQAXAAiACwAIABcACIASABhAHkAXAAiACwAIABcACIAUABhAHMAdAB1AHIAZQAgAGgAYQB5AFwAIgAsACAAXAAiAFMAQQBcACIALAAgAFwAIgBrAGcAXAAiACwAIAAwAC4AMwAxADMALAAgAFwAIgBhAHQAIABtAGEAcgBrAGUAdABcACIAOwBcAG4AIAAgACAAIAAgACAAIAAgAFwAIgBGAGUAZQBkAFwAIgAsACAAXAAiAEgAYQB5AFwAIgAsACAAXAAiAFAAYQBzAHQAdQByAGUAIABoAGEAeQBcACIALAAgAFwAIgBUAEEAUwBcACIALAAgAFwAIgBrAGcAXAAiACwAIAAwAC4AMwA5ADgALAAgAFwAIgBhAHQAIABtAGEAcgBrAGUAdABcACIAOwBcAG4AIAAgACAAIAAgACAAIAAgAFwAIgBGAGUAZQBkAFwAIgAsACAAXAAiAEgAYQB5AFwAIgAsACAAXAAiAFAAYQBzAHQAdQByAGUAIABoAGEAeQBcACIALAAgAFwAIgBWAEkAQwBcACIALAAgAFwAIgBrAGcAXAAiACwAIAAwAC4AMwA0ADUALAAgAFwAIgBhAHQAIABtAGEAcgBrAGUAdABcACIAOwBcAG4AIAAgACAAIAAgACAAIAAgAFwAIgBGAGUAZQBkAFwAIgAsACAAXAAiAEgAYQB5AFwAIgAsACAAXAAiAFAAYQBzAHQAdQByAGUAIABoAGEAeQBcACIALAAgAFwAIgBXAEEAXAAiACwAIABcACIAawBnAFwAIgAsACAAMAAuADMANgA4ACwAIABcACIAYQB0ACAAbQBhAHIAawBlAHQAXAAiADsAXABuACAAIAAgACAAIAAgACAAIABcACIARgBlAGUAZABcACIALAAgAFwAIgBNAGUAYQBsAFwAIgAsACAAXAAiAEMAYQBuAG8AbABhACAAbQBlAGEAbABcACIALAAgAFwAIgBBAHUAcwB0AHIAYQBsAGkAYQBcACIALAAgAFwAIgBrAGcAXAAiACwAIAAwAC4AMgA0ADQALAAgAFwAIgBhAHQAIABtAGEAcgBrAGUAdABcACIAOwBcAG4AIAAgACAAIAAgACAAIAAgAFwAIgBGAGUAZQBkAFwAIgAsACAAXAAiAE0AZQBhAGwAXAAiACwAIABcACIATQBlAGEAdAAgAG0AZQBhAGwAXAAiACwAIABcACIAQQB1AHMAdAByAGEAbABpAGEAXAAiACwAIABcACIAawBnAFwAIgAsACAAMAAuADQAMAA4ACwAIABcACIAYQB0ACAAbQBhAHIAawBlAHQAXAAiADsAXABuACAAIAAgACAAIAAgACAAIABcACIARgBlAGUAZABcACIALAAgAFwAIgBNAGUAYQBsAFwAIgAsACAAXAAiAFMAbwB5AGIAZQBhAG4AIABtAGUAYQBsAFwAIgAsACAAXAAiAEIAcgBhAHoAaQBsAFwAIgAsACAAXAAiAGsAZwBcACIALAAgADAALgA0ADIANgAsACAAXAAiAGEAdAAgAG0AYQByAGsAZQB0AFwAIgA7AFwAbgAgACAAIAAgACAAIAAgACAAXAAiAEYAZQBlAGQAXAAiACwAIABcACIATQBlAGEAbABcACIALAAgAFwAIgBXAGgAZQBhAHQAIABiAHIAYQBuAFwAIgAsACAAXAAiAEEAdQBzAHQAcgBhAGwAaQBhAFwAIgAsACAAXAAiAGsAZwBcACIALAAgADAALgAxADkANgAsACAAXAAiAGEAdAAgAG0AYQByAGsAZQB0AFwAIgA7AFwAbgAgACAAIAAgACAAIAAgACAAXAAiAEYAZQBlAGQAXAAiACwAIABcACIATQBpAHgAZQBkACAAcgBhAHQAaQBvAG4AcwBcACIALAAgAFwAIgBGAGUAZQBkACAAZgBvAHIAIABjAGgAaQBjAGsAZQBuAHMAXAAiACwAIABcACIAQQB1AHMAdAByAGEAbABpAGEAXAAiACwAIABcACIAawBnAFwAIgAsACAAMAAuADUAOQA0ACwAIABcACIAYQB0ACAAbQBhAHIAawBlAHQAXAAiADsAXABuACAAIAAgACAAIAAgACAAIABcACIARgBlAGUAZABcACIALAAgAFwAIgBNAGkAeABlAGQAIAByAGEAdABpAG8AbgBzAFwAIgAsACAAXAAiAEYAZQBlAGQAIABmAG8AcgAgAGQAYQBpAHIAeQAgAGMAYQBsAHYAZQBzAFwAIgAsACAAXAAiAEEAdQBzAHQAcgBhAGwAaQBhAFwAIgAsACAAXAAiAGsAZwBcACIALAAgADAALgA0ADEAOQAsACAAXAAiAGEAdAAgAG0AYQByAGsAZQB0AFwAIgA7AFwAbgAgACAAIAAgACAAIAAgACAAXAAiAEYAZQBlAGQAXAAiACwAIABcACIATQBpAHgAZQBkACAAcgBhAHQAaQBvAG4AcwBcACIALAAgAFwAIgBGAGUAZQBkACAAZgBvAHIAIABkAGEAaQByAHkAIABjAG8AdwBzAFwAIgAsACAAXAAiAEEAdQBzAHQAcgBhAGwAaQBhAFwAIgAsACAAXAAiAGsAZwBcACIALAAgADAALgAzADMAMwAsACAAXAAiAGEAdAAgAG0AYQByAGsAZQB0AFwAIgA7AFwAbgAgACAAIAAgACAAIAAgACAAXAAiAEYAZQBlAGQAXAAiACwAIABcACIATQBpAHgAZQBkACAAcgBhAHQAaQBvAG4AcwBcACIALAAgAFwAIgBGAGUAZQBkACAAZgBvAHIAIABwAGkAZwBzAFwAIgAsACAAXAAiAEEAdQBzAHQAcgBhAGwAaQBhAFwAIgAsACAAXAAiAGsAZwBcACIALAAgADAALgA0ADAAMwAsACAAXAAiAGEAdAAgAG0AYQByAGsAZQB0AFwAIgA7AFwAbgAgACAAIAAgACAAIAAgACAAXAAiAEYAZQBlAGQAXAAiACwAIABcACIATwB0AGgAZQByAFwAIgAsACAAXAAiAEIAZQBuAHQAbwBuAGkAdABlAFwAIgAsACAAXAAiAEEAdQBzAHQAcgBhAGwAaQBhAFwAIgAsACAAXAAiAGsAZwBcACIALAAgADAALgAwADYANQAyACwAIABcACIAYQB0ACAAbQBhAHIAawBlAHQAXAAiADsAXABuACAAIAAgACAAIAAgACAAIABcACIARgBlAGUAZABcACIALAAgAFwAIgBPAHQAaABlAHIAXAAiACwAIABcACIAQwBhAG4AbwBsAGEAIABvAGkAbABcACIALAAgAFwAIgBBAHUAcwB0AHIAYQBsAGkAYQBcACIALAAgAFwAIgBrAGcAXAAiACwAIAAwAC4AOAA3ACwAIABcACIAYQB0ACAAbQBhAHIAawBlAHQAXAAiADsAXABuACAAIAAgACAAIAAgACAAIABcACIARgBlAGUAZABcACIALAAgAFwAIgBPAHQAaABlAHIAXAAiACwAIABcACIAQwBvAHQAdABvAG4AIABzAGUAZQBkAFwAIgAsACAAXAAiAEEAdQBzAHQAcgBhAGwAaQBhAFwAIgAsACAAXAAiAGsAZwBcACIALAAgADAALgAxADkANwAsACAAXAAiAGEAdAAgAG0AYQByAGsAZQB0AFwAIgA7AFwAbgAgACAAIAAgACAAIAAgACAAXAAiAEYAZQBlAGQAXAAiACwAIABcACIATwB0AGgAZQByAFwAIgAsACAAXAAiAEwAaQBjAGsAIABiAGwAbwBjAGsALAAgAGQAcgB5ACAAcwBlAGEAcwBvAG4AIABtAGkAeABcACIALAAgAFwAIgBBAHUAcwB0AHIAYQBsAGkAYQBcACIALAAgAFwAIgBrAGcAXAAiACwAIAAwAC4AOAA4ADEALAAgAFwAIgBhAHQAIABtAGEAcgBrAGUAdABcACIAOwBcAG4AIAAgACAAIAAgACAAIAAgAFwAIgBGAGUAZQBkAFwAIgAsACAAXAAiAE8AdABoAGUAcgBcACIALAAgAFwAIgBMAGkAYwBrACAAYgBsAG8AYwBrACwAIABtAGkAbgBlAHIAYQBsAFwAIgAsACAAXAAiAEEAdQBzAHQAcgBhAGwAaQBhAFwAIgAsACAAXAAiAGsAZwBcACIALAAgADAALgA2ADcANwAsACAAXAAiAGEAdAAgAG0AYQByAGsAZQB0AFwAIgA7AFwAbgAgACAAIAAgACAAIAAgACAAXAAiAEYAZQBlAGQAXAAiACwAIABcACIATwB0AGgAZQByAFwAIgAsACAAXAAiAEwAaQBjAGsAIABiAGwAbwBjAGsALAAgAHcAZQBhAG4AZQByAFwAIgAsACAAXAAiAEEAdQBzAHQAcgBhAGwAaQBhAFwAIgAsACAAXAAiAGsAZwBcACIALAAgADAALgAyADMAMQAsACAAXAAiAGEAdAAgAG0AYQByAGsAZQB0AFwAIgA7AFwAbgAgACAAIAAgACAAIAAgACAAXAAiAEYAZQBlAGQAXAAiACwAIABcACIATwB0AGgAZQByAFwAIgAsACAAXAAiAE0AbwBsAGEAcwBzAGUAcwBcACIALAAgAFwAIgBRAEwARABcACIALAAgAFwAIgBrAGcAXAAiACwAIAAwAC4AMQA4ADQALAAgAFwAIgBhAHQAIABtAGEAcgBrAGUAdABcACIAXABuACAAIAAgACAAIAAgAH0ALAAgAHIALAAgAGMAKQBcAG4AKQApACkAOwBcAG4AXABuAFwAbgAvACoAXABuAD0APQA9AD0APQA9AD0APQA9AD0APQA9AD0APQA9AD0APQA9AD0APQA9AD0APQA9AD0APQA9AD0APQA9AD0APQA9AD0APQA9AD0APQA9AD0APQA9AD0APQA9AD0APQA9AD0APQA9AD0APQA9AD0APQA9AD0APQA9AD0APQA9AD0APQA9AD0APQA9AD0APQA9AD0APQA9AD0AXABuAEkAbgBvAHIAZwBhAG4AaQBjACAAZgBlAHIAdABpAGwAaQBzAGUAcgBzAFwAbgA9AD0APQA9AD0APQA9AD0APQA9AD0APQA9AD0APQA9AD0APQA9AD0APQA9AD0APQA9AD0APQA9AD0APQA9AD0APQA9AD0APQA9AD0APQA9AD0APQA9AD0APQA9AD0APQA9AD0APQA9AD0APQA9AD0APQA9AD0APQA9AD0APQA9AD0APQA9AD0APQA9AD0APQA9AD0APQA9AFwAbgAqAC8AXABuAFwAbgBTAGMAbwBwAGUAMwBfAEkAbgBvAHIAZwBhAG4AaQBjAEYAZQByAHQAaQBsAGkAcwBlAHIAcwBfAFQAaQB0AGwAZQBcAG4APQBMAEEATQBCAEQAQQAoACgAXAAiAEkAbgBvAHIAZwBhAG4AaQBjACAAZgBlAHIAdABpAGwAaQBzAGUAcgAgAGMAaABlAG0AaQBjAGEAbAAgAGMAbwBtAHAAbwB1AG4AZAAgAHMAYwBvAHAAZQAgADMAXAAiACkAKQA7AFwAbgBcAG4AUwBjAG8AcABlADMAXwBJAG4AbwByAGcAYQBuAGkAYwBGAGUAcgB0AGkAbABpAHMAZQByAHMAXwBTAG8AdQByAGMAZQBcAG4APQBMAEEATQBCAEQAQQAo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KQA7AFwAbgBcAG4AUwBjAG8AcABlADMAXwBJAG4AbwByAGcAYQBuAGkAYwBGAGUAcgB0AGkAbABpAHMAZQByAHMAXwBWAGEAcgBpAGEAdABpAG8AbgBcAG4APQBMAEEATQBCAEQAQQAoACgAXAAiAFwAIgApACkAOwBcAG4AXABuAFMAYwBvAHAAZQAzAF8ASQBuAG8AcgBnAGEAbgBpAGMARgBlAHIAdABpAGwAaQBzAGUAcgBzAF8ARABhAHQAYQBcAG4APQBMAEEATQBCAEQAQQAoAFwAbgAgACAATQBBAEsARQBBAFIAUgBBAFkAKAAyADYALAAgADcALABcAG4AIAAgACAAIABMAEEATQBCAEQAQQAoAHIALABjACwAXABuACAAIAAgACAAIAAgAEkATgBEAEUAWAAoAHsAXABuACAAIAAgACAAIAAgACAAIABcACIAQwBhAHQAZQBnAG8AcgB5AFwAIgAsACAAXAAiAFMAdQBiAC0AYwBhAHQAZQBnAG8AcgB5AFwAIgAsACAAXAAiAFAAcgBvAGQAdQBjAHQAIABuAGEAbQBlAFwAIgAsACAAXAAiAFIAZQBnAGkAbwBuACAAbwBmACAAbwByAGkAZwBpAG4AXAAiACwAIABcACIAUAByAG8AZAB1AGMAdAAgAFUAbgBpAHQAXAAiACwAIABcACIARwBIAEcAIABlAG0AaQBzAHMAaQBvAG4AIABpAG4AdABlAG4AcwBpAHQAeQBcACIALAAgAFwAIgBTAHkAcwB0AGUAbQAgAGIAbwB1AG4AZABhAHIAeQBcACIAOwBcAG4AIAAgACAAIAAgACAAIAAgAFwAIgBGAGUAcgB0AGkAbABpAHMAZQByAHMAXAAiACwAIABcACIASQBuAG8AcgBnAGEAbgBpAGMAIABmAGUAcgB0AGkAbABpAHMAZQByAHMAXAAiACwAIABcACIAQQBtAG0AbwBuAGkAYQAsACAAQQBVACAAbQBhAHIAawBlAHQAIABtAGkAeABcACIALAAgAFwAIgBHAGwAbwBiAGEAbABcACIALAAgAFwAIgBrAGcAXAAiACwAIAAyAC4AMwAyACwAIABcACIAYQB0ACAAbQBhAHIAawBlAHQAXAAiADsAXABuACAAIAAgACAAIAAgACAAIABcACIARgBlAHIAdABpAGwAaQBzAGUAcgBzAFwAIgAsACAAXAAiAEkAbgBvAHIAZwBhAG4AaQBjACAAZgBlAHIAdABpAGwAaQBzAGUAcgBzAFwAIgAsACAAXAAiAEEAbQBtAG8AbgBpAGEALAAgAEMAYQBuAGEAZABhAFwAIgAsACAAXAAiAEMAYQBuAGEAZABhAFwAIgAsACAAXAAiAGsAZwBcACIALAAgADIALgAxADIALAAgAFwAIgBhAHQAIABtAGEAcgBrAGUAdABcACIAOwBcAG4AIAAgACAAIAAgACAAIAAgAFwAIgBGAGUAcgB0AGkAbABpAHMAZQByAHMAXAAiACwAIABcACIASQBuAG8AcgBnAGEAbgBpAGMAIABmAGUAcgB0AGkAbABpAHMAZQByAHMAXAAiACwAIABcACIAQQBtAG0AbwBuAGkAYQAsACAAQwBoAGkAbgBhAFwAIgAsACAAXAAiAEMAaABpAG4AYQBcACIALAAgAFwAIgBrAGcAXAAiACwAIAA0AC4AMQA3ACwAIABcACIAYQB0ACAAbQBhAHIAawBlAHQAXAAiADsAXABuACAAIAAgACAAIAAgACAAIABcACIARgBlAHIAdABpAGwAaQBzAGUAcgBzAFwAIgAsACAAXAAiAEkAbgBvAHIAZwBhAG4AaQBjACAAZgBlAHIAdABpAGwAaQBzAGUAcgBzAFwAIgAsACAAXAAiAEEAbQBtAG8AbgBpAGEALAAgAFkAZQBtAGUAbgBcACIALAAgAFwAIgBZAGUAbQBlAG4AXAAiACwAIABcACIAawBnAFwAIgAsACAAMgAuADIANgAsACAAXAAiAGEAdAAgAG0AYQByAGsAZQB0AFwAIgA7AFwAbgAgACAAIAAgACAAIAAgACAAXAAiAEYAZQByAHQAaQBsAGkAcwBlAHIAcwBcACIALAAgAFwAIgBJAG4AbwByAGcAYQBuAGkAYwAgAGYAZQByAHQAaQBsAGkAcwBlAHIAcwBcACIALAAgAFwAIgBBAG0AbQBvAG4AaQB1AG0AIABuAGkAdAByAGEAdABlACwAIABBAFUAIABtAGEAcgBrAGUAdAAgAG0AaQB4AFwAIgAsACAAXAAiAEcAbABvAGIAYQBsAFwAIgAsACAAXAAiAGsAZwBcACIALAAgADIALgAyADEALAAgAFwAIgBhAHQAIABtAGEAcgBrAGUAdABcACIAOwBcAG4AIAAgACAAIAAgACAAIAAgAFwAIgBGAGUAcgB0AGkAbABpAHMAZQByAHMAXAAiACwAIABcACIASQBuAG8AcgBnAGEAbgBpAGMAIABmAGUAcgB0AGkAbABpAHMAZQByAHMAXAAiACwAIABcACIAQwBhAGwAYwBpAHUAbQAgAGEAbQBtAG8AbgBpAHUAbQAgAG4AaQB0AHIAYQB0AGUALAAgAEEAVQAgAG0AYQByAGsAZQB0ACAAbQBpAHgAXAAiACwAIABcACIARwBsAG8AYgBhAGwAXAAiACwAIABcACIAawBnAFwAIgAsACAAMQAuADEANQAsACAAXAAiAGEAdAAgAG0AYQByAGsAZQB0AFwAIgA7AFwAbgAgACAAIAAgACAAIAAgACAAXAAiAEYAZQByAHQAaQBsAGkAcwBlAHIAcwBcACIALAAgAFwAIgBJAG4AbwByAGcAYQBuAGkAYwAgAGYAZQByAHQAaQBsAGkAcwBlAHIAcwBcACIALAAgAFwAIgBDAGEAbABjAGkAdQBtACAAbgBpAHQAcgBhAHQAZQBcACIALAAgAFwAIgBHAGwAbwBiAGEAbABcACIALAAgAFwAIgBrAGcAXAAiACwAIAAwAC4ANwA1ACwAIABcACIAYQB0ACAAbQBhAHIAawBlAHQAXAAiADsAXABuACAAIAAgACAAIAAgACAAIABcACIARgBlAHIAdABpAGwAaQBzAGUAcgBzAFwAIgAsACAAXAAiAEkAbgBvAHIAZwBhAG4AaQBjACAAZgBlAHIAdABpAGwAaQBzAGUAcgBzAFwAIgAsACAAXAAiAEQAaQBhAG0AbQBvAG4AaQB1AG0AIABwAGgAbwBzAHAAaABhAHQAZQAsACAAQQBVACAAbQBhAHIAawBlAHQAIABtAGkAeABcACIALAAgAFwAIgBHAGwAbwBiAGEAbABcACIALAAgAFwAIgBrAGcAXAAiACwAIAAxAC4AMwA0ACwAIABcACIAYQB0ACAAbQBhAHIAawBlAHQAXAAiADsAXABuACAAIAAgACAAIAAgACAAIABcACIARgBlAHIAdABpAGwAaQBzAGUAcgBzAFwAIgAsACAAXAAiAEkAbgBvAHIAZwBhAG4AaQBjACAAZgBlAHIAdABpAGwAaQBzAGUAcgBzAFwAIgAsACAAXAAiAEQAbwB1AGIAbABlACAAcwB1AHAAZQByAHAAaABvAHMAcABoAGEAdABlACwAIABBAFUAIABtAGEAcgBrAGUAdAAgAG0AaQB4AFwAIgAsACAAXAAiAEcAbABvAGIAYQBsAFwAIgAsACAAXAAiAGsAZwBcACIALAAgADAALgAzADkAMgAsACAAXAAiAGEAdAAgAG0AYQByAGsAZQB0AFwAIgA7AFwAbgAgACAAIAAgACAAIAAgACAAXAAiAEYAZQByAHQAaQBsAGkAcwBlAHIAcwBcACIALAAgAFwAIgBJAG4AbwByAGcAYQBuAGkAYwAgAGYAZQByAHQAaQBsAGkAcwBlAHIAcwBcACIALAAgAFwAIgBNAG8AbgBvAGEAbQBtAG8AbgBpAHUAbQAgAHAAaABvAHMAcABoAGEAdABlACwAIABBAFUAIABtAGEAcgBrAGUAdAAgAG0AaQB4AFwAIgAsACAAXAAiAEcAbABvAGIAYQBsAFwAIgAsACAAXAAiAGsAZwBcACIALAAgADAALgA4ADIANwAsACAAXAAiAGEAdAAgAG0AYQByAGsAZQB0AFwAIgA7AFwAbgAgACAAIAAgACAAIAAgACAAXAAiAEYAZQByAHQAaQBsAGkAcwBlAHIAcwBcACIALAAgAFwAIgBJAG4AbwByAGcAYQBuAGkAYwAgAGYAZQByAHQAaQBsAGkAcwBlAHIAcwBcACIALAAgAFwAIgBNAHUAcgBpAGEAdABlACAAbwBmACAAcABvAHQAYQBzAGgALAAgAEEAVQAgAG0AYQByAGsAZQB0ACAAbQBpAHgAXAAiACwAIABcACIARwBsAG8AYgBhAGwAXAAiACwAIABcACIAawBnAFwAIgAsACAAMAAuADUANAA5ACwAIABcACIAYQB0ACAAbQBhAHIAawBlAHQAXAAiADsAXABuACAAIAAgACAAIAAgACAAIABcACIARgBlAHIAdABpAGwAaQBzAGUAcgBzAFwAIgAsACAAXAAiAEkAbgBvAHIAZwBhAG4AaQBjACAAZgBlAHIAdABpAGwAaQBzAGUAcgBzAFwAIgAsACAAXAAiAE4AaQB0AHIAbwBnAGUAbgAgAGYAcgBvAG0AIABhAG0AbQBvAG4AaQBhACwAIABBAFUAIABtAGEAcgBrAGUAdAAgAG0AaQB4AFwAIgAsACAAXAAiAEcAbABvAGIAYQBsAFwAIgAsACAAXAAiAGsAZwAgAE4AXAAiACwAIAAyAC4AOAAzACwAIABcACIAYQB0ACAAbQBhAHIAawBlAHQAXAAiADsAXABuACAAIAAgACAAIAAgACAAIABcACIARgBlAHIAdABpAGwAaQBzAGUAcgBzAFwAIgAsACAAXAAiAEkAbgBvAHIAZwBhAG4AaQBjACAAZgBlAHIAdABpAGwAaQBzAGUAcgBzAFwAIgAsACAAXAAiAE4AaQB0AHIAbwBnAGUAbgAgAGYAcgBvAG0AIABmAGUAcgB0AGkAbABpAHoAZQByACwAIABBAFUAIABtAGEAcgBrAGUAdAAgAG0AaQB4AFwAIgAsACAAXAAiAEcAbABvAGIAYQBsAFwAIgAsACAAXAAiAGsAZwAgAE4AXAAiACwAIAA0AC4AMgAsACAAXAAiAGEAdAAgAG0AYQByAGsAZQB0AFwAIgA7AFwAbgAgACAAIAAgACAAIAAgACAAXAAiAEYAZQByAHQAaQBsAGkAcwBlAHIAcwBcACIALAAgAFwAIgBJAG4AbwByAGcAYQBuAGkAYwAgAGYAZQByAHQAaQBsAGkAcwBlAHIAcwBcACIALAAgAFwAIgBOAGkAdAByAG8AZwBlAG4AIABmAHIAbwBtACAAbgBpAHQAcgBhAHQAZQAgAGYAZQByAHQAaQBsAGkAegBlAHIALAAgAEEAVQAgAG0AYQByAGsAZQB0ACAAbQBpAHgAXAAiACwAIABcACIARwBsAG8AYgBhAGwAXAAiACwAIABcACIAawBnACAATgBcACIALAAgADUALgA0ADcALAAgAFwAIgBhAHQAIABtAGEAcgBrAGUAdABcACIAOwBcAG4AIAAgACAAIAAgACAAIAAgAFwAIgBGAGUAcgB0AGkAbABpAHMAZQByAHMAXAAiACwAIABcACIASQBuAG8AcgBnAGEAbgBpAGMAIABmAGUAcgB0AGkAbABpAHMAZQByAHMAXAAiACwAIABcACIAUABoAG8AcwBwAGgAbwByAHUAcwAgAGYAcgBvAG0AIABmAGUAcgB0AGkAbABpAHoAZQByACwAIABBAFUAIABtAGEAcgBrAGUAdAAgAG0AaQB4AFwAIgAsACAAXAAiAEcAbABvAGIAYQBsAFwAIgAsACAAXAAiAGsAZwAgAFAAXAAiACwAIAAzAC4AOQA2ACwAIABcACIAYQB0ACAAbQBhAHIAawBlAHQAXAAiADsAXABuACAAIAAgACAAIAAgACAAIABcACIARgBlAHIAdABpAGwAaQBzAGUAcgBzAFwAIgAsACAAXAAiAEkAbgBvAHIAZwBhAG4AaQBjACAAZgBlAHIAdABpAGwAaQBzAGUAcgBzAFwAIgAsACAAXAAiAFAAbwB0AGEAcwBzAGkAdQBtACAAZgByAG8AbQAgAGYAZQByAHQAaQBsAGkAegBlAHIALAAgAEEAVQAgAG0AYQByAGsAZQB0ACAAbQBpAHgAXAAiACwAIABcACIARwBsAG8AYgBhAGwAXAAiACwAIABcACIAawBnACAASwBcACIALAAgADAALgA5ADAAOQAsACAAXAAiAGEAdAAgAG0AYQByAGsAZQB0AFwAIgA7AFwAbgAgACAAIAAgACAAIAAgACAAXAAiAEYAZQByAHQAaQBsAGkAcwBlAHIAcwBcACIALAAgAFwAIgBJAG4AbwByAGcAYQBuAGkAYwAgAGYAZQByAHQAaQBsAGkAcwBlAHIAcwBcACIALAAgAFwAIgBTAGkAbgBnAGwAZQAgAHMAdQBwAGUAcgBwAGgAbwBzAHAAaABhAHQAZQAsACAAQQBVACAAbQBhAHIAawBlAHQAIABtAGkAeABcACIALAAgAFwAIgBHAGwAbwBiAGEAbABcACIALAAgAFwAIgBrAGcAXAAiACwAIAAwAC4AMgAyADcALAAgAFwAIgBhAHQAIABtAGEAcgBrAGUAdABcACIAOwBcAG4AIAAgACAAIAAgACAAIAAgAFwAIgBGAGUAcgB0AGkAbABpAHMAZQByAHMAXAAiACwAIABcACIASQBuAG8AcgBnAGEAbgBpAGMAIABmAGUAcgB0AGkAbABpAHMAZQByAHMAXAAiACwAIABcACIAUwB1AGwAZgB1AHIAIABmAHIAbwBtACAAZgBlAHIAdABpAGwAaQB6AGUAcgAsACAAQQBVACAAbQBhAHIAawBlAHQAIABtAGkAeABcACIALAAgAFwAIgBHAGwAbwBiAGEAbABcACIALAAgAFwAIgBrAGcAIABTAFwAIgAsACAAMgAuADUALAAgAFwAIgBhAHQAIABtAGEAcgBrAGUAdABcACIAOwBcAG4AIAAgACAAIAAgACAAIAAgAFwAIgBGAGUAcgB0AGkAbABpAHMAZQByAHMAXAAiACwAIABcACIASQBuAG8AcgBnAGEAbgBpAGMAIABmAGUAcgB0AGkAbABpAHMAZQByAHMAXAAiACwAIABcACIAQQBtAG0AbwBuAGkAdQBtACAAcwB1AGwAcABoAGEAdABlACwAIABBAFUAIABtAGEAcgBrAGUAdAAgAG0AaQB4AFwAIgAsACAAXAAiAEcAbABvAGIAYQBsAFwAIgAsACAAXAAiAGsAZwBcACIALAAgADAALgA4ADYANQAsACAAXAAiAGEAdAAgAG0AYQByAGsAZQB0AFwAIgA7AFwAbgAgACAAIAAgACAAIAAgACAAXAAiAEYAZQByAHQAaQBsAGkAcwBlAHIAcwBcACIALAAgAFwAIgBJAG4AbwByAGcAYQBuAGkAYwAgAGYAZQByAHQAaQBsAGkAcwBlAHIAcwBcACIALAAgAFwAIgBVAHIAZQBhACAAYQBtAG0AbwBuAGkAdQBtACAAbgBpAHQAcgBhAHQAZQAsACAAQQBVACAAbQBhAHIAawBlAHQAIABtAGkAeABcACIALAAgAFwAIgBHAGwAbwBiAGEAbABcACIALAAgAFwAIgBrAGcAXAAiACwAIAAxAC4ANwA1ACwAIABcACIAYQB0ACAAbQBhAHIAawBlAHQAXAAiADsAXABuACAAIAAgACAAIAAgACAAIABcACIARgBlAHIAdABpAGwAaQBzAGUAcgBzAFwAIgAsACAAXAAiAEkAbgBvAHIAZwBhAG4AaQBjACAAZgBlAHIAdABpAGwAaQBzAGUAcgBzAFwAIgAsACAAXAAiAFUAcgBlAGEALAAgAEEAVQAgAG0AYQByAGsAZQB0ACAAbQBpAHgAXAAiACwAIABcACIARwBsAG8AYgBhAGwAXAAiACwAIABcACIAawBnAFwAIgAsACAAMAAuADkANgA4ACwAIABcACIAYQB0ACAAbQBhAHIAawBlAHQAXAAiADsAXABuACAAIAAgACAAIAAgACAAIABcACIARgBlAHIAdABpAGwAaQBzAGUAcgBzAFwAIgAsACAAXAAiAEkAbgBvAHIAZwBhAG4AaQBjACAAZgBlAHIAdABpAGwAaQBzAGUAcgBzAFwAIgAsACAAXAAiAFUAcgBlAGEALAAgAEMAYQBuAGEAZABhAFwAIgAsACAAXAAiAEMAYQBuAGEAZABhAFwAIgAsACAAXAAiAGsAZwBcACIALAAgADAALgA4ADIAMwAsACAAXAAiAGEAdAAgAG0AYQByAGsAZQB0AFwAIgA7AFwAbgAgACAAIAAgACAAIAAgACAAXAAiAEYAZQByAHQAaQBsAGkAcwBlAHIAcwBcACIALAAgAFwAIgBJAG4AbwByAGcAYQBuAGkAYwAgAGYAZQByAHQAaQBsAGkAcwBlAHIAcwBcACIALAAgAFwAIgBVAHIAZQBhACwAIABDAGgAaQBuAGEAXAAiACwAIABcACIAQwBoAGkAbgBhAFwAIgAsACAAXAAiAGsAZwBcACIALAAgADIALgAwADkALAAgAFwAIgBhAHQAIABtAGEAcgBrAGUAdABcACIAOwBcAG4AIAAgACAAIAAgACAAIAAgAFwAIgBGAGUAcgB0AGkAbABpAHMAZQByAHMAXAAiACwAIABcACIASQBuAG8AcgBnAGEAbgBpAGMAIABmAGUAcgB0AGkAbABpAHMAZQByAHMAXAAiACwAIABcACIAVQByAGUAYQAsACAAWQBlAG0AZQBuAFwAIgAsACAAXAAiAFkAZQBtAGUAbgBcACIALAAgAFwAIgBrAGcAXAAiACwAIAAwAC4AOQA2ADMALAAgAFwAIgBhAHQAIABtAGEAcgBrAGUAdABcACIAOwBcAG4AIAAgACAAIAAgACAAIAAgAFwAIgBGAGUAcgB0AGkAbABpAHMAZQByAHMAXAAiACwAIABcACIASQBuAG8AcgBnAGEAbgBpAGMAIABmAGUAcgB0AGkAbABpAHMAZQByAHMAXAAiACwAIABcACIAWgBpAG4AYwAgAGYAcgBvAG0AIABmAGUAcgB0AGkAbABpAHoAZQByAFwAIgAsACAAXAAiAEcAbABvAGIAYQBsAFwAIgAsACAAXAAiAGsAZwAgAFoAbgBcACIALAAgADQALgA4ADIALAAgAFwAIgBhAHQAIABtAGEAcgBrAGUAdABcACIAXABuACAAIAAgACAAIAAgAH0ALAAgAHIALAAgAGMAKQBcAG4AKQApACkAOwBcAG4AXABuAFwAbgAvACoAXABuAD0APQA9AD0APQA9AD0APQA9AD0APQA9AD0APQA9AD0APQA9AD0APQA9AD0APQA9AD0APQA9AD0APQA9AD0APQA9AD0APQA9AD0APQA9AD0APQA9AD0APQA9AD0APQA9AD0APQA9AD0APQA9AD0APQA9AD0APQA9AD0APQA9AD0APQA9AD0APQA9AD0APQA9AD0APQA9AD0AXABuAE8AdABoAGUAcgAgAGEAZwByAGkAYwB1AGwAdAB1AHIAYQBsACAAaQBuAHAAdQB0AHMAXABuAD0APQA9AD0APQA9AD0APQA9AD0APQA9AD0APQA9AD0APQA9AD0APQA9AD0APQA9AD0APQA9AD0APQA9AD0APQA9AD0APQA9AD0APQA9AD0APQA9AD0APQA9AD0APQA9AD0APQA9AD0APQA9AD0APQA9AD0APQA9AD0APQA9AD0APQA9AD0APQA9AD0APQA9AD0APQA9AD0AXABuACoALwBcAG4AXABuAFMAYwBvAHAAZQAzAF8ATwB0AGgAZQByAF8AVABpAHQAbABlAFwAbgA9AEwAQQBNAEIARABBACgAKABcACIATwB0AGgAZQByACAAYQBnAHIAaQBjAHUAbAB0AHUAcgBhAGwAIABpAG4AcAB1AHQAcwAgAHMAYwBvAHAAZQAgADMAXAAiACkAKQA7AFwAbgBcAG4AUwBjAG8AcABlADMAXwBPAHQAaABlAHIAXwBTAG8AdQByAGMAZQBcAG4APQBMAEEATQBCAEQAQQAo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KQA7AFwAbgBcAG4AUwBjAG8AcABlADMAXwBPAHQAaABlAHIAXwBWAGEAcgBpAGEAdABpAG8AbgBcAG4APQBMAEEATQBCAEQAQQAoACgAXAAiAFwAIgApACkAOwBcAG4AXABuAFMAYwBvAHAAZQAzAF8ATwB0AGgAZQByAF8ARABhAHQAYQBcAG4APQBMAEEATQBCAEQAQQAoAFwAbgAgACAATQBBAEsARQBBAFIAUgBBAFkAKAA5ACwAIAA3ACwAXABuACAAIAAgACAATABBAE0AQgBEAEEAKAByACwAYwAsAFwAbgAgACAAIAAgACAAIABJAE4ARABFAFgAKAB7AFwAbgAgACAAIAAgACAAIAAgACAAXAAiAEMAYQB0AGUAZwBvAHIAeQBcACIALAAgAFwAIgBTAHUAYgAtAGMAYQB0AGUAZwBvAHIAeQBcACIALAAgAFwAIgBQAHIAbwBkAHUAYwB0ACAAbgBhAG0AZQBcACIALAAgAFwAIgBSAGUAZwBpAG8AbgAgAG8AZgAgAG8AcgBpAGcAaQBuAFwAIgAsACAAXAAiAFAAcgBvAGQAdQBjAHQAIABVAG4AaQB0AFwAIgAsACAAXAAiAEcASABHACAAZQBtAGkAcwBzAGkAbwBuACAAaQBuAHQAZQBuAHMAaQB0AHkAXAAiACwAIABcACIAUwB5AHMAdABlAG0AIABiAG8AdQBuAGQAYQByAHkAXAAiADsAXABuACAAIAAgACAAIAAgACAAIABcACIATwB0AGgAZQByAFwAIgAsACAAXAAiAE8AdABoAGUAcgBcACIALAAgAFwAIgBBAG4AaQBtAGEAbAAgAGUAYQByACAAdABhAGcAcwAgACgAbABhAHIAZwBlACkAXAAiACwAIABcACIAQQB1AHMAdAByAGEAbABpAGEAXAAiACwAIABcACIAcABcACIALAAgADAALgAwADQAMgA0ACwAIABcACIAYQB0ACAAbQBhAHIAawBlAHQAXAAiADsAXABuACAAIAAgACAAIAAgACAAIABcACIATwB0AGgAZQByAFwAIgAsACAAXAAiAE8AdABoAGUAcgBcACIALAAgAFwAIgBBAG4AaQBtAGEAbAAgAGUAYQByACAAdABhAGcAcwAgACgAcwBtAGEAbABsACkAXAAiACwAIABcACIAQQB1AHMAdAByAGEAbABpAGEAXAAiACwAIABcACIAcABcACIALAAgADAALgAwADIAOQAzACwAIABcACIAYQB0ACAAbQBhAHIAawBlAHQAXAAiADsAXABuACAAIAAgACAAIAAgACAAIABcACIATwB0AGgAZQByAFwAIgAsACAAXAAiAE8AdABoAGUAcgBcACIALAAgAFwAIgBCAGEAcgBsAGUAeQAgAGcAcgBhAGkAbgAgACgAZgBvAHIAIABzAGUAZQBkACkAXAAiACwAIABcACIAQQB1AHMAdAByAGEAbABpAGEAXAAiACwAIABcACIAawBnAFwAIgAsACAAMAAuADIAMwA5ACwAIABcACIAYQB0ACAAbQBhAHIAawBlAHQAXAAiADsAXABuACAAIAAgACAAIAAgACAAIABcACIATwB0AGgAZQByAFwAIgAsACAAXAAiAE8AdABoAGUAcgBcACIALAAgAFwAIgBNAGEAaQB6AGUAIABnAHIAYQBpAG4AIAAoAGYAbwByACAAcwBlAGUAZAApAFwAIgAsACAAXAAiAEEAdQBzAHQAcgBhAGwAaQBhAFwAIgAsACAAXAAiAGsAZwBcACIALAAgADAALgAxADgAMQAsACAAXAAiAGEAdAAgAG0AYQByAGsAZQB0AFwAIgA7AFwAbgAgACAAIAAgACAAIAAgACAAXAAiAE8AdABoAGUAcgBcACIALAAgAFwAIgBPAHQAaABlAHIAXAAiACwAIABcACIATgB5AGwAbwBuACAAbgBlAHQAdABpAG4AZwBcACIALAAgAFwAIgBHAGwAbwBiAGEAbABcACIALAAgAFwAIgBrAGcAXAAiACwAIAA5AC4AOAAxACwAIABcACIAYQB0ACAAbQBhAHIAawBlAHQAXAAiADsAXABuACAAIAAgACAAIAAgACAAIABcACIATwB0AGgAZQByAFwAIgAsACAAXAAiAE8AdABoAGUAcgBcACIALAAgAFwAIgBPAGEAdAAgAGcAcgBhAGkAbgAgACgAZgBvAHIAIABzAGUAZQBkACkAXAAiACwAIABcACIAQQB1AHMAdAByAGEAbABpAGEAXAAiACwAIABcACIAawBnAFwAIgAsACAAMAAuADIANwAsACAAXAAiAGEAdAAgAG0AYQByAGsAZQB0AFwAIgA7AFwAbgAgACAAIAAgACAAIAAgACAAXAAiAE8AdABoAGUAcgBcACIALAAgAFwAIgBPAHQAaABlAHIAXAAiACwAIABcACIAUwBvAHIAZwBoAHUAbQAgAGcAcgBhAGkAbgAgACgAZgBvAHIAIABzAGUAZQBkACkAXAAiACwAIABcACIAQQB1AHMAdAByAGEAbABpAGEAXAAiACwAIABcACIAawBnAFwAIgAsACAAMAAuADIAMwAyACwAIABcACIAYQB0ACAAbQBhAHIAawBlAHQAXAAiADsAXABuACAAIAAgACAAIAAgACAAIABcACIATwB0AGgAZQByAFwAIgAsACAAXAAiAE8AdABoAGUAcgBcACIALAAgAFwAIgBXAGgAZQBhAHQAIABnAHIAYQBpAG4AIAAoAGYAbwByACAAcwBlAGUAZAApAFwAIgAsACAAXAAiAEEAdQBzAHQAcgBhAGwAaQBhAFwAIgAsACAAXAAiAGsAZwBcACIALAAgADAALgAyADYAOAAsACAAXAAiAGEAdAAgAG0AYQByAGsAZQB0AFwAIgBcAG4AIAAgACAAIAAgACAAfQAsACAAcgAsACAAYwApAFwAbgApACkAKQA7AFwAbgBcAG4AXABuAC8AKgBcAG4APQA9AD0APQA9AD0APQA9AD0APQA9AD0APQA9AD0APQA9AD0APQA9AD0APQA9AD0APQA9AD0APQA9AD0APQA9AD0APQA9AD0APQA9AD0APQA9AD0APQA9AD0APQA9AD0APQA9AD0APQA9AD0APQA9AD0APQA9AD0APQA9AD0APQA9AD0APQA9AD0APQA9AD0APQA9AD0APQBcAG4AUABhAGMAawBhAGcAaQBuAGcAXABuAD0APQA9AD0APQA9AD0APQA9AD0APQA9AD0APQA9AD0APQA9AD0APQA9AD0APQA9AD0APQA9AD0APQA9AD0APQA9AD0APQA9AD0APQA9AD0APQA9AD0APQA9AD0APQA9AD0APQA9AD0APQA9AD0APQA9AD0APQA9AD0APQA9AD0APQA9AD0APQA9AD0APQA9AD0APQA9AD0AXABuACoALwBcAG4AXABuAFMAYwBvAHAAZQAzAF8AUABhAGMAawBhAGcAaQBuAGcAXwBUAGkAdABsAGUAXABuAD0ATABBAE0AQgBEAEEAKAAoAFwAIgBQAGEAYwBrAGEAZwBpAG4AZwAgAHMAYwBvAHAAZQAgADMAXAAiACkAKQA7AFwAbgBcAG4AUwBjAG8AcABlADMAXwBQAGEAYwBrAGEAZwBpAG4AZwBfAFMAbwB1AHIAYwBlAFwAbgA9AEwAQQBNAEIARABBACgAKABcACIATABpAGYAZQBjAHkAYwBsAGUAcwAuACAAKAAyADAAMgA2ACkALgAgAEcAcgBlAGUAbgBoAG8AdQBzAGUAIABHAGEAcwAgAEUAbQBpAHMAcwBpAG8AbgAgAEkAbgB0AGUAbgBzAGkAdABpAGUAcwAgAGYAbwByACAATQBhAHQAZQByAGkAYQBsACAASQBuAHAAdQB0AHMAIAB0AG8AIABBAHUAcwB0AHIAYQBsAGkAYQBuACAAQQBnAHIAaQBjAHUAbAB0AHUAcgBlACwAIABGAGkAcwBoAGUAcgBpAGUAcwAgAGEAbgBkACAARgBvAHIAZQBzAHQAcgB5AC4AIABWAGUAcgBzAGkAbwBuACAANAA4AC4AIABkAG8AaQAgADEAMAAuADUAMgA4ADEALwB6AGUAbgBvAGQAbwAuADEAOQA2ADUANgA1ADgAMABcACIAKQApADsAXABuAFwAbgBTAGMAbwBwAGUAMwBfAFAAYQBjAGsAYQBnAGkAbgBnAF8AVgBhAHIAaQBhAHQAaQBvAG4AXABuAD0ATABBAE0AQgBEAEEAKAAoAFwAIgBcACIAKQApADsAXABuAFwAbgBTAGMAbwBwAGUAMwBfAFAAYQBjAGsAYQBnAGkAbgBnAF8ARABhAHQAYQBcAG4APQBMAEEATQBCAEQAQQAoAFwAbgAgACAATQBBAEsARQBBAFIAUgBBAFkAKAA1ACwAIAA3ACwAXABuACAAIAAgACAATABBAE0AQgBEAEEAKAByACwAYwAsAFwAbgAgACAAIAAgACAAIABJAE4ARABFAFgAKAB7AFwAbgAgACAAIAAgACAAIAAgACAAXAAiAEMAYQB0AGUAZwBvAHIAeQBcACIALAAgAFwAIgBTAHUAYgAtAGMAYQB0AGUAZwBvAHIAeQBcACIALAAgAFwAIgBQAHIAbwBkAHUAYwB0ACAAbgBhAG0AZQBcACIALAAgAFwAIgBSAGUAZwBpAG8AbgAgAG8AZgAgAG8AcgBpAGcAaQBuAFwAIgAsACAAXAAiAFAAcgBvAGQAdQBjAHQAIABVAG4AaQB0AFwAIgAsACAAXAAiAEcASABHACAAZQBtAGkAcwBzAGkAbwBuACAAaQBuAHQAZQBuAHMAaQB0AHkAXAAiACwAIABcACIAUwB5AHMAdABlAG0AIABiAG8AdQBuAGQAYQByAHkAXAAiADsAXABuACAAIAAgACAAIAAgACAAIABcACIAUABhAGMAawBhAGcAaQBuAGcAXAAiACwAIABcACIAUABhAGMAawBhAGcAaQBuAGcAXAAiACwAIABcACIAQwBvAHIAcgB1AGcAYQB0AGUAZAAgAGIAbwBhAHIAZABcACIALAAgAFwAIgBHAGwAbwBiAGEAbABcACIALAAgAFwAIgBrAGcAXAAiACwAIAAxAC4AMAA1ACwAIABcACIAYQB0ACAAbQBhAG4AdQBmAGEAYwB0AHUAcgBlAHIAXAAiADsAXABuACAAIAAgACAAIAAgACAAIABcACIAUABhAGMAawBhAGcAaQBuAGcAXAAiACwAIABcACIAUABhAGMAawBhAGcAaQBuAGcAXAAiACwAIABcACIAUABsAGEAcwB0AGkAYwAgAGMAcgBhAHQAZQAgAHAAbwBsAHkAcAByAG8AcAB5AGwAZQBuAGUAXAAiACwAIABcACIARwBsAG8AYgBhAGwAXAAiACwAIABcACIAcABcACIALAAgADMALgA5ADkALAAgAFwAIgBhAHQAIABtAGEAbgB1AGYAYQBjAHQAdQByAGUAcgBcACIAOwBcAG4AIAAgACAAIAAgACAAIAAgAFwAIgBQAGEAYwBrAGEAZwBpAG4AZwBcACIALAAgAFwAIgBQAGEAYwBrAGEAZwBpAG4AZwBcACIALAAgAFwAIgBQAGwAYQBzAHQAaQBjACAAZgBpAGwAbQAgAEwARABQAEUAXAAiACwAIABcACIARwBsAG8AYgBhAGwAXAAiACwAIABcACIAawBnAFwAIgAsACAAMwAuADQANAAsACAAXAAiAGEAdAAgAG0AYQBuAHUAZgBhAGMAdAB1AHIAZQByAFwAIgA7AFwAbgAgACAAIAAgACAAIAAgACAAXAAiAFAAYQBjAGsAYQBnAGkAbgBnAFwAIgAsACAAXAAiAFAAYQBjAGsAYQBnAGkAbgBnAFwAIgAsACAAXAAiAFAAbABhAHMAdABpAGMAIABzAGgAZQBlAHQAIABIAEQAUABFAFwAIgAsACAAXAAiAEcAbABvAGIAYQBsAFwAIgAsACAAXAAiAGsAZwBcACIALAAgADMALgA3ADIALAAgAFwAIgBhAHQAIABtAGEAbgB1AGYAYQBjAHQAdQByAGUAcgBcACIAXABuACAAIAAgACAAIAAgAH0ALAAgAHIALAAgAGMAKQBcAG4AKQApACkAOwBcAG4AXABuAFwAbgAvACoAXABuAD0APQA9AD0APQA9AD0APQA9AD0APQA9AD0APQA9AD0APQA9AD0APQA9AD0APQA9AD0APQA9AD0APQA9AD0APQA9AD0APQA9AD0APQA9AD0APQA9AD0APQA9AD0APQA9AD0APQA9AD0APQA9AD0APQA9AD0APQA9AD0APQA9AD0APQA9AD0APQA9AD0APQA9AD0APQA9AD0AXABuAFAAZQBzAHQAaQBjAGkAZABlAHMAXABuAD0APQA9AD0APQA9AD0APQA9AD0APQA9AD0APQA9AD0APQA9AD0APQA9AD0APQA9AD0APQA9AD0APQA9AD0APQA9AD0APQA9AD0APQA9AD0APQA9AD0APQA9AD0APQA9AD0APQA9AD0APQA9AD0APQA9AD0APQA9AD0APQA9AD0APQA9AD0APQA9AD0APQA9AD0APQA9AD0AXABuACoALwBcAG4AXABuAFMAYwBvAHAAZQAzAF8AUABlAHMAdABpAGMAaQBkAGUAcwBfAFQAaQB0AGwAZQBcAG4APQBMAEEATQBCAEQAQQAoACgAXAAiAFAAZQBzAHQAaQBjAGkAZABlAHMAIABzAGMAbwBwAGUAIAAzAFwAIgApACkAOwBcAG4AXABuAFMAYwBvAHAAZQAzAF8AUABlAHMAdABpAGMAaQBkAGUAcwBfAFMAbwB1AHIAYwBlAFwAbgA9AEwAQQBNAEIARABBACgAKABcACIATABpAGYAZQBjAHkAYwBsAGUAcwAuACAAKAAyADAAMgA2ACkALgAgAEcAcgBlAGUAbgBoAG8AdQBzAGUAIABHAGEAcwAgAEUAbQBpAHMAcwBpAG8AbgAgAEkAbgB0AGUAbgBzAGkAdABpAGUAcwAgAGYAbwByACAATQBhAHQAZQByAGkAYQBsACAASQBuAHAAdQB0AHMAIAB0AG8AIABBAHUAcwB0AHIAYQBsAGkAYQBuACAAQQBnAHIAaQBjAHUAbAB0AHUAcgBlACwAIABGAGkAcwBoAGUAcgBpAGUAcwAgAGEAbgBkACAARgBvAHIAZQBzAHQAcgB5AC4AIABWAGUAcgBzAGkAbwBuACAANAA4AC4AIABkAG8AaQAgADEAMAAuADUAMgA4ADEALwB6AGUAbgBvAGQAbwAuADEAOQA2ADUANgA1ADgAMABcACIAKQApADsAXABuAFwAbgBTAGMAbwBwAGUAMwBfAFAAZQBzAHQAaQBjAGkAZABlAHMAXwBWAGEAcgBpAGEAdABpAG8AbgBcAG4APQBMAEEATQBCAEQAQQAoACgAXAAiAFwAIgApACkAOwBcAG4AXABuAFMAYwBvAHAAZQAzAF8AUABlAHMAdABpAGMAaQBkAGUAcwBfAEQAYQB0AGEAXABuAD0ATABBAE0AQgBEAEEAKABcAG4AIAAgAE0AQQBLAEUAQQBSAFIAQQBZACgAMQAzACwAIAA3ACwAXABuACAAIAAgACAATABBAE0AQgBEAEEAKAByACwAYwAsAFwAbgAgACAAIAAgACAAIABJAE4ARABFAFgAKAB7AFwAbgAgACAAIAAgACAAIAAgACAAXAAiAEMAYQB0AGUAZwBvAHIAeQBcACIALAAgAFwAIgBTAHUAYgAtAGMAYQB0AGUAZwBvAHIAeQBcACIALAAgAFwAIgBQAHIAbwBkAHUAYwB0ACAAbgBhAG0AZQBcACIALAAgAFwAIgBSAGUAZwBpAG8AbgAgAG8AZgAgAG8AcgBpAGcAaQBuAFwAIgAsACAAXAAiAFAAcgBvAGQAdQBjAHQAIABVAG4AaQB0AFwAIgAsACAAXAAiAEcASABHACAAZQBtAGkAcwBzAGkAbwBuACAAaQBuAHQAZQBuAHMAaQB0AHkAXAAiACwAIABcACIAUwB5AHMAdABlAG0AIABiAG8AdQBuAGQAYQByAHkAXAAiADsAXABuACAAIAAgACAAIAAgACAAIABcACIAUABlAHMAdABpAGMAaQBkAGUAcwBcACIALAAgAFwAIgBQAGUAcwB0AGkAYwBpAGQAZQBzAFwAIgAsACAAXAAiADIALAA0AC0ARABcACIALAAgAFwAIgBHAGwAbwBiAGEAbABcACIALAAgAFwAIgBrAGcAIABBAEkAXAAiACwAIAA1AC4AMgAsACAAXAAiAGEAdAAgAG0AYQByAGsAZQB0AFwAIgA7AFwAbgAgACAAIAAgACAAIAAgACAAXAAiAFAAZQBzAHQAaQBjAGkAZABlAHMAXAAiACwAIABcACIAUABlAHMAdABpAGMAaQBkAGUAcwBcACIALAAgAFwAIgBBAHQAcgBhAHoAaQBuAGUAXAAiACwAIABcACIARwBsAG8AYgBhAGwAXAAiACwAIABcACIAawBnACAAQQBJAFwAIgAsACAAOAAuADMAOAAsACAAXAAiAGEAdAAgAG0AYQByAGsAZQB0AFwAIgA7AFwAbgAgACAAIAAgACAAIAAgACAAXAAiAFAAZQBzAHQAaQBjAGkAZABlAHMAXAAiACwAIABcACIAUABlAHMAdABpAGMAaQBkAGUAcwBcACIALAAgAFwAIgBEAGkAdQByAG8AbgBcACIALAAgAFwAIgBHAGwAbwBiAGEAbABcACIALAAgAFwAIgBrAGcAIABBAEkAXAAiACwAIAA4AC4AOAAsACAAXAAiAGEAdAAgAG0AYQByAGsAZQB0AFwAIgA7AFwAbgAgACAAIAAgACAAIAAgACAAXAAiAFAAZQBzAHQAaQBjAGkAZABlAHMAXAAiACwAIABcACIAUABlAHMAdABpAGMAaQBkAGUAcwBcACIALAAgAFwAIgBHAGwAeQBwAGgAbwBzAGEAdABlAFwAIgAsACAAXAAiAEcAbABvAGIAYQBsAFwAIgAsACAAXAAiAGsAZwAgAEEASQBcACIALAAgADEAMAAuADMALAAgAFwAIgBhAHQAIABtAGEAcgBrAGUAdABcACIAOwBcAG4AIAAgACAAIAAgACAAIAAgAFwAIgBQAGUAcwB0AGkAYwBpAGQAZQBzAFwAIgAsACAAXAAiAFAAZQBzAHQAaQBjAGkAZABlAHMAXAAiACwAIABcACIATQBhAG4AYwBvAHoAZQBiAFwAIgAsACAAXAAiAEcAbABvAGIAYQBsAFwAIgAsACAAXAAiAGsAZwAgAEEASQBcACIALAAgADQALgA1ADUALAAgAFwAIgBhAHQAIABtAGEAcgBrAGUAdABcACIAOwBcAG4AIAAgACAAIAAgACAAIAAgAFwAIgBQAGUAcwB0AGkAYwBpAGQAZQBzAFwAIgAsACAAXAAiAFAAZQBzAHQAaQBjAGkAZABlAHMAXAAiACwAIABcACIATQBDAFAAQQBcACIALAAgAFwAIgBHAGwAbwBiAGEAbABcACIALAAgAFwAIgBrAGcAIABBAEkAXAAiACwAIAA1AC4ANgAsACAAXAAiAGEAdAAgAG0AYQByAGsAZQB0AFwAIgA7AFwAbgAgACAAIAAgACAAIAAgACAAXAAiAFAAZQBzAHQAaQBjAGkAZABlAHMAXAAiACwAIABcACIAUABlAHMAdABpAGMAaQBkAGUAcwBcACIALAAgAFwAIgBNAGUAdABvAGwAYQBjAGgAbABvAHIAXAAiACwAIABcACIARwBsAG8AYgBhAGwAXAAiACwAIABcACIAawBnACAAQQBJAFwAIgAsACAAOAAuADAANgAsACAAXAAiAGEAdAAgAG0AYQByAGsAZQB0AFwAIgA7AFwAbgAgACAAIAAgACAAIAAgACAAXAAiAFAAZQBzAHQAaQBjAGkAZABlAHMAXAAiACwAIABcACIAUABlAHMAdABpAGMAaQBkAGUAcwBcACIALAAgAFwAIgBNAGUAdABzAHUAbABmAHUAcgBvAG4ALQBtAGUAdABoAHkAbABcACIALAAgAFwAIgBHAGwAbwBiAGEAbABcACIALAAgAFwAIgBrAGcAIABBAEkAXAAiACwAIAA4AC4AOAAsACAAXAAiAGEAdAAgAG0AYQByAGsAZQB0AFwAIgA7AFwAbgAgACAAIAAgACAAIAAgACAAXAAiAFAAZQBzAHQAaQBjAGkAZABlAHMAXAAiACwAIABcACIAUABlAHMAdABpAGMAaQBkAGUAcwBcACIALAAgAFwAIgBQAGUAcwB0AGkAYwBpAGQAZQBzACAAKABnAGUAbgBlAHIAaQBjACkAXAAiACwAIABcACIARwBsAG8AYgBhAGwAXAAiACwAIABcACIAawBnACAAQQBJAFwAIgAsACAAOQAuADEANgAsACAAXAAiAGEAdAAgAG0AYQByAGsAZQB0AFwAIgA7AFwAbgAgACAAIAAgACAAIAAgACAAXAAiAFAAZQBzAHQAaQBjAGkAZABlAHMAXAAiACwAIABcACIAUABlAHMAdABpAGMAaQBkAGUAcwBcACIALAAgAFwAIgBUAHIAaQAtAGEAbABsAGEAdABlAFwAIgAsACAAXAAiAEcAbABvAGIAYQBsAFwAIgAsACAAXAAiAGsAZwAgAEEASQBcACIALAAgADgALgA1ADcALAAgAFwAIgBhAHQAIABtAGEAcgBrAGUAdABcACIAOwBcAG4AIAAgACAAIAAgACAAIAAgAFwAIgBQAGUAcwB0AGkAYwBpAGQAZQBzAFwAIgAsACAAXAAiAFAAZQBzAHQAaQBjAGkAZABlAHMAXAAiACwAIABcACIAVAByAGkAYgBlAG4AdQByAG8AbgAgAG0AZQB0AGgAeQBsAFwAIgAsACAAXAAiAEcAbABvAGIAYQBsAFwAIgAsACAAXAAiAGsAZwAgAEEASQBcACIALAAgADgALgA4ACwAIABcACIAYQB0ACAAbQBhAHIAawBlAHQAXAAiADsAXABuACAAIAAgACAAIAAgACAAIABcACIAUABlAHMAdABpAGMAaQBkAGUAcwBcACIALAAgAFwAIgBQAGUAcwB0AGkAYwBpAGQAZQBzAFwAIgAsACAAXAAiAFQAcgBpAGYAbAB1AHIAYQBsAGkAbgBcACIALAAgAFwAIgBHAGwAbwBiAGEAbABcACIALAAgAFwAIgBrAGcAIABBAEkAXAAiACwAIAA2AC4AMQA2ACwAIABcACIAYQB0ACAAbQBhAHIAawBlAHQAXAAiAFwAbgAgACAAIAAgACAAIAB9ACwAIAByACwAIABjACkAXABuACkAKQApADsAXABuAFwAbgBcAG4ALwAqAFwAbgA9AD0APQA9AD0APQA9AD0APQA9AD0APQA9AD0APQA9AD0APQA9AD0APQA9AD0APQA9AD0APQA9AD0APQA9AD0APQA9AD0APQA9AD0APQA9AD0APQA9AD0APQA9AD0APQA9AD0APQA9AD0APQA9AD0APQA9AD0APQA9AD0APQA9AD0APQA9AD0APQA9AD0APQA9AD0APQA9AFwAbgBTAG8AaQBsACAAYQBtAGUAbgBkAG0AZQBuAHQAcwBcAG4APQA9AD0APQA9AD0APQA9AD0APQA9AD0APQA9AD0APQA9AD0APQA9AD0APQA9AD0APQA9AD0APQA9AD0APQA9AD0APQA9AD0APQA9AD0APQA9AD0APQA9AD0APQA9AD0APQA9AD0APQA9AD0APQA9AD0APQA9AD0APQA9AD0APQA9AD0APQA9AD0APQA9AD0APQA9AD0APQBcAG4AKgAvAFwAbgBcAG4AUwBjAG8AcABlADMAXwBTAG8AaQBsAEEAbQBlAG4AZABtAGUAbgB0AHMAXwBUAGkAdABsAGUAXABuAD0ATABBAE0AQgBEAEEAKAAoAFwAIgBTAG8AaQBsACAAYQBtAGUAbgBkAG0AZQBuAHQAcwAgAHMAYwBvAHAAZQAgADMAXAAiACkAKQA7AFwAbgBcAG4AUwBjAG8AcABlADMAXwBTAG8AaQBsAEEAbQBlAG4AZABtAGUAbgB0AHMAXwBTAG8AdQByAGMAZQBcAG4APQBMAEEATQBCAEQAQQAo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KQA7AFwAbgBcAG4AUwBjAG8AcABlADMAXwBTAG8AaQBsAEEAbQBlAG4AZABtAGUAbgB0AHMAXwBWAGEAcgBpAGEAdABpAG8AbgBcAG4APQBMAEEATQBCAEQAQQAoACgAXAAiAFwAIgApACkAOwBcAG4AXABuAFMAYwBvAHAAZQAzAF8AUwBvAGkAbABBAG0AZQBuAGQAbQBlAG4AdABzAF8ARABhAHQAYQBcAG4APQBMAEEATQBCAEQAQQAoAFwAbgAgACAATQBBAEsARQBBAFIAUgBBAFkAKAA0ACwAIAA3ACwAXABuACAAIAAgACAATABBAE0AQgBEAEEAKAByACwAYwAsAFwAbgAgACAAIAAgACAAIABJAE4ARABFAFgAKAB7AFwAbgAgACAAIAAgACAAIAAgACAAXAAiAEMAYQB0AGUAZwBvAHIAeQBcACIALAAgAFwAIgBTAHUAYgAtAGMAYQB0AGUAZwBvAHIAeQBcACIALAAgAFwAIgBQAHIAbwBkAHUAYwB0ACAAbgBhAG0AZQBcACIALAAgAFwAIgBSAGUAZwBpAG8AbgAgAG8AZgAgAG8AcgBpAGcAaQBuAFwAIgAsACAAXAAiAFAAcgBvAGQAdQBjAHQAIABVAG4AaQB0AFwAIgAsACAAXAAiAEcASABHACAAZQBtAGkAcwBzAGkAbwBuACAAaQBuAHQAZQBuAHMAaQB0AHkAXAAiACwAIABcACIAUwB5AHMAdABlAG0AIABiAG8AdQBuAGQAYQByAHkAXAAiADsAXABuACAAIAAgACAAIAAgACAAIABcACIAUwBvAGkAbAAgAGEAbQBlAGwAaQBvAHIAYQBuAHQAcwBcACIALAAgAFwAIgBTAG8AaQBsACAAYQBtAGUAbABpAG8AcgBhAG4AdABzAFwAIgAsACAAXAAiAEQAbwBsAG8AbQBpAHQAZQBcACIALAAgAFwAIgBBAHUAcwB0AHIAYQBsAGkAYQBcACIALAAgAFwAIgBrAGcAXAAiACwAIAAwAC4AMAA2ADUAMgAsACAAXAAiAGEAdAAgAG0AYQByAGsAZQB0AFwAIgA7AFwAbgAgACAAIAAgACAAIAAgACAAXAAiAFMAbwBpAGwAIABhAG0AZQBsAGkAbwByAGEAbgB0AHMAXAAiACwAIABcACIAUwBvAGkAbAAgAGEAbQBlAGwAaQBvAHIAYQBuAHQAcwBcACIALAAgAFwAIgBHAHkAcABzAHUAbQBcACIALAAgAFwAIgBBAHUAcwB0AHIAYQBsAGkAYQBcACIALAAgAFwAIgBrAGcAXAAiACwAIAAwAC4AMAA2ADUAMgAsACAAXAAiAGEAdAAgAG0AYQByAGsAZQB0AFwAIgA7AFwAbgAgACAAIAAgACAAIAAgACAAXAAiAFMAbwBpAGwAIABhAG0AZQBsAGkAbwByAGEAbgB0AHMAXAAiACwAIABcACIAUwBvAGkAbAAgAGEAbQBlAGwAaQBvAHIAYQBuAHQAcwBcACIALAAgAFwAIgBMAGkAbQBlAHMAdABvAG4AZQAgACgAYwByAHUAcwBoAGUAZAApAFwAIgAsACAAXAAiAEEAdQBzAHQAcgBhAGwAaQBhAFwAIgAsACAAXAAiAGsAZwBcACIALAAgADAALgAwADQAOAA1ACwAIABcACIAYQB0ACAAbQBhAHIAawBlAHQAXAAiAFwAbgAgACAAIAAgACAAIAB9ACwAIAByACwAIABjACkAXABuACkAKQApADsAXABuACIAfQAsAHsAIgBwAGEAdABoACIAOgAiAC8AcAByAG8AagBlAGMAdABzAC8AQwBvAG0AbQBvAG4ATABpAHYAZQBzAHQAbwBjAGsAXwBTAG8AdQByAGMAZQBEAGEAdABhACIALAAiAHQAZQB4AHQAIgA6ACIALwAqAFwAbgA9AD0APQA9AD0APQA9AD0APQA9AD0APQA9AD0APQA9AD0APQA9AD0APQA9AD0APQA9AD0APQA9AD0APQA9AD0APQA9AD0APQA9AD0APQA9AD0APQA9AD0APQA9AD0APQA9AD0APQA9AD0APQA9AD0APQA9AD0APQA9AD0APQA9AD0APQA9AD0APQA9AD0APQA9AD0APQA9AFwAbgA9AD0APQA9AD0APQA9AD0APQA9AD0APQA9AD0APQA9AD0APQA9AD0APQA9AD0APQA9AD0APQA9AD0APQA9AD0APQA9AD0APQA9AD0APQA9AD0APQA9AD0APQA9AD0APQA9AD0APQA9AD0APQA9AD0APQA9AD0APQA9AD0APQA9AD0APQA9AD0APQA9AD0APQA9AD0APQA9AFwAbgBTAG8AdQByAGMAZQAgAGQAYQB0AGEAIAB0AGgAYQB0ACAAaQBzACAAYwBvAG0AbQBvAG4AIABhAGMAcgBvAHMAcwAgAGEAbABsACAAbABpAHYAZQBzAHQAbwBjAGsAIAB0AHkAcABlAHMAXABuAEUAeABjAGUAbAAgAG0AbwBkAHUAbABlACAAbgBhAG0AZQA6ACAAUwBvAHUAcgBjAGUARABhAHQAYQBfAEwAaQB2AGUAcwB0AG8AYwBrAF8AQwBvAG0AbQBvAG4AXABuAD0APQA9AD0APQA9AD0APQA9AD0APQA9AD0APQA9AD0APQA9AD0APQA9AD0APQA9AD0APQA9AD0APQA9AD0APQA9AD0APQA9AD0APQA9AD0APQA9AD0APQA9AD0APQA9AD0APQA9AD0APQA9AD0APQA9AD0APQA9AD0APQA9AD0APQA9AD0APQA9AD0APQA9AD0APQA9AD0AXABuAD0APQA9AD0APQA9AD0APQA9AD0APQA9AD0APQA9AD0APQA9AD0APQA9AD0APQA9AD0APQA9AD0APQA9AD0APQA9AD0APQA9AD0APQA9AD0APQA9AD0APQA9AD0APQA9AD0APQA9AD0APQA9AD0APQA9AD0APQA9AD0APQA9AD0APQA9AD0APQA9AD0APQA9AD0APQA9AD0AXABuACoALwBcAG4AXABuAC8AKgBcAG4APQA9AD0APQA9AD0APQA9AD0APQA9AD0APQA9AD0APQA9AD0APQA9AD0APQA9AD0APQA9AD0APQA9AD0APQA9AD0APQA9AD0APQA9AFwAbgA9AD0APQA9AD0APQA9AD0APQA9AD0APQA9AD0APQA9AD0APQA9AD0APQA9AD0APQA9AD0APQA9AD0APQA9AD0APQA9AD0APQA9AD0AXABuAFMAbwB1AHIAYwBlADoAIABOAGEAdABpAG8AbgBhAGwAIABJAG4AdgBlAG4AdABvAHIAeQAgAFIAZQBwAG8AcgB0ACAAMgAwADIAMwAgAFYAbwBsAHUAbQBlACAAMQBcAG4ATgBJAFIAXwAyADAAMgAzAF8AVgBvAGwAMQBcAG4APQA9AD0APQA9AD0APQA9AD0APQA9AD0APQA9AD0APQA9AD0APQA9AD0APQA9AD0APQA9AD0APQA9AD0APQA9AD0APQA9AD0APQA9AFwAbgA9AD0APQA9AD0APQA9AD0APQA9AD0APQA9AD0APQA9AD0APQA9AD0APQA9AD0APQA9AD0APQA9AD0APQA9AD0APQA9AD0APQA9AD0AXABuACoALwBcAG4AXABuAC8AKgAgAFwAbgAtAC0ALQAtAC0ALQAtAC0ALQAtAC0ALQAtAC0ALQAtAC0ALQAtAC0ALQAtAC0ALQAtAC0ALQAtAC0ALQAtAC0ALQAtAC0ALQAtAC0AXABuAFMAbwB1AHIAYwBlAEQAYQB0AGEAXwBMAGkAdgBlAHMAdABvAGMAawBfAEMAbwBtAG0AbwBuAF8ARgByAGEAYwBXAEUAVABNAE0AUwBcAG4ARgByAGEAYwBXAEUAVABNAE0AUwBpACAAPQAgAEYAcgBhAGMAdABpAG8AbgAgAG8AZgAgAE4AIABhAHYAYQBpAGwAYQBiAGwAZQAgAGYAbwByACAAbABlAGEAYwBoAGkAbgBnACAAYQBuAGQAIAByAHUAbgBvAGYAZgBcAG4AKABUAGEAYgBsAGUAIABBADUALgA1AC4AMQAwAC4AMgAgAGkAcwAgAHIAZQBmAGUAcgBlAG4AYwBlAGQAIABpAG4AIABOAEkAUgAgAGIAdQB0ACAAMQAgAGkAcwAgAHUAcwBlAGQAKQBcAG4ALQAtAC0ALQAtAC0ALQAtAC0ALQAtAC0ALQAtAC0ALQAtAC0ALQAtAC0ALQAtAC0ALQAtAC0ALQAtAC0ALQAtAC0ALQAtAC0ALQAtAFwAbgAqAC8AXABuAFwAbgBTAG8AdQByAGMAZQBEAGEAdABhAF8ATABpAHYAZQBzAHQAbwBjAGsAXwBDAG8AbQBtAG8AbgBfAEYAcgBhAGMAVwBFAFQATQBNAFMAXwBUAGkAdABsAGUAXABuACAAIAA9AEwAQQBNAEIARABBACgAXAAiAEYAcgBhAGMAdABpAG8AbgAgAG8AZgAgAE4AIABhAHYAYQBpAGwAYQBiAGwAZQAgAGYAbwByACAAbABlAGEAYwBoAGkAbgBnACAAYQBuAGQAIAByAHUAbgBvAGYAZgBcACIAKQA7AFwAbgBcAG4AUwBvAHUAcgBjAGUARABhAHQAYQBfAEwAaQB2AGUAcwB0AG8AYwBrAF8AQwBvAG0AbQBvAG4AXwBGAHIAYQBjAFcARQBUAE0ATQBTAF8AVQBuAGkAdABcAG4AIAAgAD0ATABBAE0AQgBEAEEAKABcACIARgByAGEAYwB0AGkAbwBuAFwAIgApADsAXABuAFwAbgBTAG8AdQByAGMAZQBEAGEAdABhAF8ATABpAHYAZQBzAHQAbwBjAGsAXwBDAG8AbQBtAG8AbgBfAEYAcgBhAGMAVwBFAFQATQBNAFMAXwBTAG8AdQByAGMAZQBcAG4AIAAgAD0ATABBAE0AQgBEAEEAKABcACIATgBhAHQAaQBvAG4AYQBsACAASQBuAHYAZQBuAHQAbwByAHkAIABSAGUAcABvAHIAdAAgADIAMAAyADMAIABWAG8AbAB1AG0AZQAgADEAOgAgAEUAcQB1AGEAdABpAG8AbgBzACAAMwAuAEIALgA1AGEAXwAzACwAIAAzAC4AQgAuADUAYwBfADMALAAgADMALgBCAC4ANQBkAF8AMwBcACIAKQA7AFwAbgBcAG4AUwBvAHUAcgBjAGUARABhAHQAYQBfAEwAaQB2AGUAcwB0AG8AYwBrAF8AQwBvAG0AbQBvAG4AXwBGAHIAYQBjAFcARQBUAE0ATQBTAF8ARABhAHQAYQBcAG4AIAAgAD0ATABBAE0AQgBEAEEAKAAxACkAOwBcAG4AXABuAC8AKgAgAFwAbgAtAC0ALQAtAC0ALQAtAC0ALQAtAC0ALQAtAC0ALQAtAC0ALQAtAC0ALQAtAC0ALQAtAC0ALQAtAC0ALQAtAC0ALQAtAC0ALQAtAC0AXABuAFMAbwB1AHIAYwBlAEQAYQB0AGEAXwBMAGkAdgBlAHMAdABvAGMAawBfAEMAbwBtAG0AbwBuAF8ARgByAGEAYwBMAEUAQQBDAEgAXwBNAFMAXABuAEYAcgBhAGMATABFAEEAQwBIAF8ATQBTACAAPQAgADAALgAwADIAIAAoAEcAZwAgAE4ALwBHAGcAIABhAHAAcABsAGkAZQBkACkAIAAoAEMAUwAgAEUARgAsACAAcwBvAHUAcgBjAGUAIABJAFAAQwBDACAAKAAyADAAMQA5ACkAKQAgAFwAbgBmAHIAYQBjAHQAaQBvAG4AIABvAGYAIABOACAAbABvAHMAdAAgAHQAaAByAG8AdQBnAGgAIABsAGUAYQBjAGgAaQBuAGcAIABhAG4AZAAgAHIAdQBuAG8AZgBmAFwAbgAtAC0ALQAtAC0ALQAtAC0ALQAtAC0ALQAtAC0ALQAtAC0ALQAtAC0ALQAtAC0ALQAtAC0ALQAtAC0ALQAtAC0ALQAtAC0ALQAtAC0AXABuACoALwBcAG4AXABuAFMAbwB1AHIAYwBlAEQAYQB0AGEAXwBMAGkAdgBlAHMAdABvAGMAawBfAEMAbwBtAG0AbwBuAF8ARgByAGEAYwBMAEUAQQBDAEgAXwBNAFMAXwBUAGkAdABsAGUAXABuACAAIAA9AEwAQQBNAEIARABBACgAXAAiAEYAcgBhAGMAdABpAG8AbgAgAG8AZgAgAE4AIABsAG8AcwB0ACAAdABoAHIAbwB1AGcAaAAgAGwAZQBhAGMAaABpAG4AZwAgAGEAbgBkACAAcgB1AG4AbwBmAGYAXAAiACkAOwBcAG4AXABuAFMAbwB1AHIAYwBlAEQAYQB0AGEAXwBMAGkAdgBlAHMAdABvAGMAawBfAEMAbwBtAG0AbwBuAF8ARgByAGEAYwBMAEUAQQBDAEgAXwBNAFMAXwBVAG4AaQB0AFwAbgAgACAAPQBMAEEATQBCAEQAQQAoAFwAIgBGAHIAYQBjAHQAaQBvAG4AXAAiACkAOwBcAG4AXABuAFMAbwB1AHIAYwBlAEQAYQB0AGEAXwBMAGkAdgBlAHMAdABvAGMAawBfAEMAbwBtAG0AbwBuAF8ARgByAGEAYwBMAEUAQQBDAEgAXwBNAFMAXwBTAG8AdQByAGMAZQBcAG4AIAAgAD0ATABBAE0AQgBEAEEAKABcACIATgBhAHQAaQBvAG4AYQBsACAASQBuAHYAZQBuAHQAbwByAHkAIABSAGUAcABvAHIAdAAgADIAMAAyADMAIABWAG8AbAB1AG0AZQAgADEAOgAgAEUAcQB1AGEAdABpAG8AbgBzACAAMwAuAEIALgA1AGEAXwAzACwAIAAzAC4AQgAuADUAYwBfADMALAAgADMALgBCAC4ANQBkAF8AMwBcACIAKQA7AFwAbgBcAG4AUwBvAHUAcgBjAGUARABhAHQAYQBfAEwAaQB2AGUAcwB0AG8AYwBrAF8AQwBvAG0AbQBvAG4AXwBGAHIAYQBjAEwARQBBAEMASABfAE0AUwBfAEQAYQB0AGEAXABuACAAIAA9AEwAQQBNAEIARABBACgAXABuACAAIAAgACAATQBBAEsARQBBAFIAUgBBAFkAKAA4ACwAIAAyACwAIABcAG4AIAAgACAAIAAgACAATABBAE0AQgBEAEEAKAByACwAYwAsACAAXABuACAAIAAgACAAIAAgACAAIABJAE4ARABFAFgAKAB7AFwAbgAgACAAIAAgACAAIAAgACAAIAAgAFwAIgBQAHIAbwBkAHUAYwB0AGkAbwBuACAAcwB5AHMAdABlAG0AXAAiACwAIABcACIARQBtAGkAcwBzAGkAbwBuACAAZgBhAGMAdABvAHIAXAAiADsAXABuACAAIAAgACAAIAAgACAAIAAgACAAIAAgAFwAIgBJAHIAcgBpAGcAYQB0AGUAZAAgAHAAYQBzAHQAdQByAGUAXAAiACwAIAAwAC4AMAAwADUAOQA7AFwAbgAgACAAIAAgACAAIAAgACAAIAAgACAAIABcACIASQByAHIAaQBnAGEAdABlAGQAIABjAHIAbwBwAFwAIgAsACAAMAAuADAAMAA3ADsAXABuACAAIAAgACAAIAAgACAAIAAgACAAIAAgAFwAIgBOAG8AbgAtAGkAcgByAGkAZwBhAHQAZQBkACAAcABhAHMAdAB1AHIAZQBcACIALAAgADAALgAwADAAMQA4ADsAXABuACAAIAAgACAAIAAgACAAIAAgACAAIAAgAFwAIgBOAG8AbgAtAGkAcgByAGkAZwBhAHQAZQBkACAAYwByAG8AcABcACIALAAgADAALgAwADAANAAxADsAXABuACAAIAAgACAAIAAgACAAIAAgACAAIAAgAFwAIgBTAHUAZwBhAHIAIABjAGEAbgBlAFwAIgAsACAAMAAuADAAMQA5ADkAOwBcAG4AIAAgACAAIAAgACAAIAAgACAAIAAgACAAXAAiAEMAbwB0AHQAbwBuAFwAIgAsACAAMAAuADAAMAA1ADMAOwBcAG4AIAAgACAAIAAgACAAIAAgACAAIAAgACAAXAAiAEgAbwByAHQAaQBjAHUAbAB0AHUAcgBlAFwAIgAsACAAMAAuADAAMAA2ADQAXABuACAAIAAgACAAIAAgACAAIAB9ACwAIAByACwAIABjACkAXABuACAAIAAgACAAIAAgACkAXABuACAAIAAgACAAKQBcAG4AIAAgACkAOwBcAG4AXABuAFwAbgAvACoAIABcAG4ALQAtAC0ALQAtAC0ALQAtAC0ALQAtAC0ALQAtAC0ALQAtAC0ALQAtAC0ALQAtAC0ALQAtAC0ALQAtAC0ALQAtAC0ALQAtAC0ALQAtAFwAbgBTAG8AdQByAGMAZQBEAGEAdABhAF8ATABpAHYAZQBzAHQAbwBjAGsAXwBDAG8AbQBtAG8AbgBfAFMAeQBtAGIAbwBsAHMATQBNAFMAXABuAFQAYQBiAGwAZQAgADUALgAxADIAIABBAGQAZABpAHQAaQBvAG4AYQBsACAAcwB5AG0AYgBvAGwAcwAgAHUAcwBlAGQAIABpAG4AIABhAGwAZwBvAHIAaQB0AGgAbQBzACAAZgBvAHIAIABtAGEAbgB1AHIAZQAgAHIAZQBsAGEAdABlAGQAIABlAG0AaQBzAHMAaQBvAG4AcwBcAG4ALQAtAC0ALQAtAC0ALQAtAC0ALQAtAC0ALQAtAC0ALQAtAC0ALQAtAC0ALQAtAC0ALQAtAC0ALQAtAC0ALQAtAC0ALQAtAC0ALQAtAFwAbgAqAC8AXABuAFwAbgBTAG8AdQByAGMAZQBEAGEAdABhAF8ATABpAHYAZQBzAHQAbwBjAGsAXwBDAG8AbQBtAG8AbgBfAFMAeQBtAGIAbwBsAHMATQBNAFMAXwBUAGkAdABsAGUAXABuACAAIAA9AEwAQQBNAEIARABBACgAXAAiAFQAYQBiAGwAZQAgADUALgAxADIAIABBAGQAZABpAHQAaQBvAG4AYQBsACAAcwB5AG0AYgBvAGwAcwAgAHUAcwBlAGQAIABpAG4AIABhAGwAZwBvAHIAaQB0AGgAbQBzACAAZgBvAHIAIABtAGEAbgB1AHIAZQAgAHIAZQBsAGEAdABlAGQAIABlAG0AaQBzAHMAaQBvAG4AcwBcACIAKQA7AFwAbgBcAG4AUwBvAHUAcgBjAGUARABhAHQAYQBfAEwAaQB2AGUAcwB0AG8AYwBrAF8AQwBvAG0AbQBvAG4AXwBTAHkAbQBiAG8AbABzAE0ATQBTAF8AVgBhAGkAcgBhAGIAbABlAFwAbgAgACAAPQBMAEEATQBCAEQAQQAoAFwAIgBNAE0AUwBcACIAKQA7AFwAbgBcAG4AUwBvAHUAcgBjAGUARABhAHQAYQBfAEwAaQB2AGUAcwB0AG8AYwBrAF8AQwBvAG0AbQBvAG4AXwBTAHkAbQBiAG8AbABzAE0ATQBTAF8AVQBuAGkAdABcAG4AIAAgAD0ATABBAE0AQgBEAEEAKABcACIAXAAiACkAOwBcAG4AXABuAFMAbwB1AHIAYwBlAEQAYQB0AGEAXwBMAGkAdgBlAHMAdABvAGMAawBfAEMAbwBtAG0AbwBuAF8AUwB5AG0AYgBvAGwAcwBNAE0AUwBfAFMAbwB1AHIAYwBlAFwAbgAgACAAPQBMAEEATQBCAEQAQQAoAFwAIgBOAGEAdABpAG8AbgBhAGwAIABJAG4AdgBlAG4AdABvAHIAeQAgAFIAZQBwAG8AcgB0ACAAMgAwADIAMwAgAFYAbwBsAHUAbQBlACAAMQA6ACAAVABhAGIAbABlACAANQAuADEAMgBcACIAKQA7AFwAbgBcAG4AUwBvAHUAcgBjAGUARABhAHQAYQBfAEwAaQB2AGUAcwB0AG8AYwBrAF8AQwBvAG0AbQBvAG4AXwBTAHkAbQBiAG8AbABzAE0ATQBTAF8ARABhAHQAYQBcAG4AIAAgAD0ATABBAE0AQgBEAEEAKABcAG4AIAAgACAAIABNAEEASwBFAEEAUgBSAEEAWQAoADEAOQAsACAAMwAsACAAXABuACAAIAAgACAAIAAgAEwAQQBNAEIARABBACgAcgAsAGMALAAgAFwAbgAgACAAIAAgACAAIAAgACAASQBOAEQARQBYACgAewBcAG4AIAAgACAAIAAgACAAIAAgACAAIABcACIAUwB5AG0AYgBvAGwAXAAiACwAIABcACIATQBhAG4AdQByAGUAIABtAGEAbgBhAGcAZQBtAGUAbgB0ACAAcwB5AHMAdABlAG0AXAAiACwAIABcACIAXAAiADsAXABuACAAIAAgACAAIAAgACAAIAAgACAAIAAgAFwAIgAxAFwAIgAsACAAXAAiAEEAbgBhAGUAcgBvAGIAaQBjACAAbABhAGcAbwBvAG4AXAAiACwAIABcACIAQQBuAGEAZQByAG8AYgBpAGMAIABsAGEAZwBvAG8AbgAgACgAbQA9ADEAKQBcACIAOwBcAG4AIAAgACAAIAAgACAAIAAgACAAIAAgACAAXAAiADIAXAAiACwAIABcACIATABpAHEAdQBpAGQAIABzAHkAcwB0AGUAbQBzAFwAIgAsACAAXAAiAEwAaQBxAHUAaQBkACAAcwB5AHMAdABlAG0AcwAgACgAbQA9ADIAKQBcACIAOwBcAG4AIAAgACAAIAAgACAAIAAgACAAIAAgACAAXAAiADMAXAAiACwAIABcACIARABhAGkAbAB5ACAAcwBwAHIAZQBhAGQAXAAiACwAIABcACIARABhAGkAbAB5ACAAcwBwAHIAZQBhAGQAIAAoAG0APQAzACkAXAAiADsAXABuACAAIAAgACAAIAAgACAAIAAgACAAIAAgAFwAIgAzAGEAXAAiACwAIABcACIAUwB1AG0AcAAgAGEAbgBkACAAZABpAHMAcABlAHIAcwBhAGwAIABzAHkAcwB0AGUAbQBcACIALAAgAFwAIgBTAHUAbQBwACAAYQBuAGQAIABkAGkAcwBwAGUAcgBzAGEAbAAgAHMAeQBzAHQAZQBtACAAKABtAD0AMwBhACkAXAAiADsAXABuACAAIAAgACAAIAAgACAAIAAgACAAIAAgAFwAIgAzAGIAXAAiACwAIABcACIARAByAGEAaQBuAHMAIAB0AG8AIABwAGEAZABkAG8AYwBrAFwAIgAsACAAXAAiAEQAcgBhAGkAbgBzACAAdABvACAAcABhAGQAZABvAGMAawAgACgAbQA9ADMAYgApAFwAIgA7AFwAbgAgACAAIAAgACAAIAAgACAAIAAgACAAIABcACIANABcACIALAAgAFwAIgBTAG8AbABpAGQAIABzAHQAbwByAGEAZwBlAFwAIgAsACAAXAAiAFMAbwBsAGkAZAAgAHMAdABvAHIAYQBnAGUAIAAoAG0APQA0ACkAXAAiADsAXABuACAAIAAgACAAIAAgACAAIAAgACAAIAAgAFwAIgA1AFwAIgAsACAAXAAiAEQAcgB5AGwAbwB0ACAAKABmAGUAZQBkACAAcABhAGQAKQBcACIALAAgAFwAIgBEAHIAeQBsAG8AdAAgACgAZgBlAGUAZAAgAHAAYQBkACkAIAAoAG0APQA1ACkAXAAiADsAXABuACAAIAAgACAAIAAgACAAIAAgACAAIAAgAFwAIgA2AFwAIgAsACAAXAAiAEMAbwBtAHAAbwBzAHQAaQBuAGcAIAAoAHAAYQBzAHMAaQB2AGUAIAB3AGkAbgBkAHIAbwB3ACkAXAAiACwAIABcACIAQwBvAG0AcABvAHMAdABpAG4AZwAgACgAcABhAHMAcwBpAHYAZQAgAHcAaQBuAGQAcgBvAHcAKQAgACgAbQA9ADYAKQBcACIAOwBcAG4AIAAgACAAIAAgACAAIAAgACAAIAAgACAAXAAiADcAXAAiACwAIABcACIARABpAGcAZQBzAHQAZQByACAALwAgAGMAbwB2AGUAcgBlAGQAIABsAGEAZwBvAG8AbgBzAFwAIgAsACAAXAAiAEQAaQBnAGUAcwB0AGUAcgAgAC8AIABjAG8AdgBlAHIAZQBkACAAbABhAGcAbwBvAG4AcwAgACgAbQA9ADcAKQBcACIAOwBcAG4AIAAgACAAIAAgACAAIAAgACAAIAAgACAAXAAiADgAXAAiACwAIABcACIARABlAGUAcAAgAGwAaQB0AHQAZQByAFwAIgAsACAAXAAiAEQAZQBlAHAAIABsAGkAdAB0AGUAcgAgACgAbQA9ADgAKQBcACIAOwBcAG4AIAAgACAAIAAgACAAIAAgACAAIAAgACAAXAAiADkAXAAiACwAIABcACIAUABpAHQAIABzAHQAbwByAGEAZwBlAFwAIgAsACAAXAAiAFAAaQB0ACAAcwB0AG8AcgBhAGcAZQAgACgAbQA9ADkAKQBcACIAOwBcAG4AIAAgACAAIAAgACAAIAAgACAAIAAgACAAXAAiADEAMABcACIALAAgAFwAIgBQAG8AdQBsAHQAcgB5ACAAbQBhAG4AdQByAGUAIAB3AGkAdABoACAAYgBlAGQAZABpAG4AZwBcACIALAAgAFwAIgBQAG8AdQBsAHQAcgB5ACAAbQBhAG4AdQByAGUAIAB3AGkAdABoACAAYgBlAGQAZABpAG4AZwAgACgAbQA9ADEAMAApAFwAIgA7AFwAbgAgACAAIAAgACAAIAAgACAAIAAgACAAIABcACIAMQAxAFwAIgAsACAAXAAiAFAAbwB1AGwAdAByAHkAIABtAGEAbgB1AHIAZQAgAHcAaQB0AGgAbwB1AHQAIABiAGUAZABkAGkAbgBnAFwAIgAsACAAXAAiAFAAbwB1AGwAdAByAHkAIABtAGEAbgB1AHIAZQAgAHcAaQB0AGgAbwB1AHQAIABiAGUAZABkAGkAbgBnACAAKABtAD0AMQAxACkAXAAiADsAXABuACAAIAAgACAAIAAgACAAIAAgACAAIAAgAFwAIgAxADEAYQBcACIALAAgAFwAIgBCAGUAbAB0ACAAbQBhAG4AdQByAGUAIAByAGUAbQBvAHYAYQBsAFwAIgAsACAAXAAiAEIAZQBsAHQAIABtAGEAbgB1AHIAZQAgAHIAZQBtAG8AdgBhAGwAIAAoAG0APQAxADEAYQApAFwAIgA7AFwAbgAgACAAIAAgACAAIAAgACAAIAAgACAAIABcACIAMQAxAGIAXAAiACwAIABcACIATQBhAG4AdQByAGUAIABzAHQAbwByAGUAZAAgAGkAbgAgAGgAbwB1AHMAZQBcACIALAAgAFwAIgBNAGEAbgB1AHIAZQAgAHMAdABvAHIAZQBkACAAaQBuACAAaABvAHUAcwBlACAAKABtAD0AMQAxAGIAKQBcACIAOwBcAG4AIAAgACAAIAAgACAAIAAgACAAIAAgACAAXAAiADEAMgBcACIALAAgAFwAIgBEAGkAcgBlAGMAdAAgAHAAcgBvAGMAZQBzAHMAaQBuAGcAXAAiACwAIABcACIARABpAHIAZQBjAHQAIABwAHIAbwBjAGUAcwBzAGkAbgBnACAAKABtAD0AMQAyACkAXAAiADsAXABuACAAIAAgACAAIAAgACAAIAAgACAAIAAgAFwAIgAxADMAXAAiACwAIABcACIARABpAHIAZQBjAHQAIABhAHAAcABsAGkAYwBhAHQAaQBvAG4AXAAiACwAIABcACIARABpAHIAZQBjAHQAIABhAHAAcABsAGkAYwBhAHQAaQBvAG4AIAAoAG0APQAxADMAKQBcACIAOwBcAG4AIAAgACAAIAAgACAAIAAgACAAIAAgACAAXAAiADEANABcACIALAAgAFwAIgBQAGEAcwB0AHUAcgBlACAAcgBhAG4AZwBlACAAYQBuAGQAIABwAGEAZABkAG8AYwBrAFwAIgAsACAAXAAiAFAAYQBzAHQAdQByAGUAIAByAGEAbgBnAGUAIABhAG4AZAAgAHAAYQBkAGQAbwBjAGsAIAAoAG0APQAxADQAKQBcACIAXABuACAAIAAgACAAIAAgACAAIAB9ACwAIAByACwAIABjACkAXABuACAAIAAgACAAIAAgACkAXABuACAAIAAgACAAKQBcAG4AIAAgACkAOwBcAG4AXABuAFwAbgAvACoAIABcAG4ALQAtAC0ALQAtAC0ALQAtAC0ALQAtAC0ALQAtAC0ALQAtAC0ALQAtAC0ALQAtAC0ALQAtAC0ALQAtAC0ALQAtAC0ALQAtAC0ALQAtAFwAbgBTAG8AdQByAGMAZQBEAGEAdABhAF8ATABpAHYAZQBzAHQAbwBjAGsAXwBQAHIAbwBkAHUAYwB0AF8AQgBlAGUAZgBDAGEAdAB0AGwAZQBcAG4ALQAtAC0ALQAtAC0ALQAtAC0ALQAtAC0ALQAtAC0ALQAtAC0ALQAtAC0ALQAtAC0ALQAtAC0ALQAtAC0ALQAtAC0ALQAtAC0ALQAtAFwAbgAqAC8AXABuAFwAbgBTAG8AdQByAGMAZQBEAGEAdABhAF8ATABpAHYAZQBzAHQAbwBjAGsAXwBQAHIAbwBkAHUAYwB0AF8AQgBlAGUAZgBDAGEAdAB0AGwAZQBfAFQAaQB0AGwAZQBcAG4AIAAgAD0ATABBAE0AQgBEAEEAKABcACIAQgBlAGUAZgAgAGMAYQB0AHQAbABlACAAcAByAG8AZAB1AGMAdABzACAAZgBvAHIAIABzAGMAbwBwAGUAIAAzAFwAIgApADsAXABuAFwAbgBTAG8AdQByAGMAZQBEAGEAdABhAF8ATABpAHYAZQBzAHQAbwBjAGsAXwBQAHIAbwBkAHUAYwB0AF8AQgBlAGUAZgBDAGEAdAB0AGwAZQBfAFYAYQBpAHIAYQBiAGwAZQBcAG4AIAAgAD0ATABBAE0AQgBEAEEAKABcACIAXAAiACkAOwBcAG4AXABuAFMAbwB1AHIAYwBlAEQAYQB0AGEAXwBMAGkAdgBlAHMAdABvAGMAawBfAFAAcgBvAGQAdQBjAHQAXwBCAGUAZQBmAEMAYQB0AHQAbABlAF8AVQBuAGkAdABcAG4AIAAgAD0ATABBAE0AQgBEAEEAKABcACIAXAAiACkAOwBcAG4AXABuAFMAbwB1AHIAYwBlAEQAYQB0AGEAXwBMAGkAdgBlAHMAdABvAGMAawBfAFAAcgBvAGQAdQBjAHQAXwBCAGUAZQBmAEMAYQB0AHQAbABlAF8AUwBvAHUAcgBjAGUAXABuACAAIAA9AEwAQQBNAEIARABB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OwBcAG4AXABuAFMAbwB1AHIAYwBlAEQAYQB0AGEAXwBMAGkAdgBlAHMAdABvAGMAawBfAFAAcgBvAGQAdQBjAHQAXwBCAGUAZQBmAEMAYQB0AHQAbABlAF8ARABhAHQAYQBcAG4AIAAgAD0ATABBAE0AQgBEAEEAKABcAG4AIAAgACAAIABNAEEASwBFAEEAUgBSAEEAWQAoADkALAAgADIALAAgAFwAbgAgACAAIAAgACAAIABMAEEATQBCAEQAQQAoAHIALABjACwAIABcAG4AIAAgACAAIAAgACAAIAAgAEkATgBEAEUAWAAoAHsAXABuACAAIAAgACAAIAAgACAAIAAgACAAXAAiAFAAcgBvAGQAdQBjAHQAXAAiACwAIABcACIAUwBvAHUAcgBjAGUAIAByAGUAZwBpAG8AbgBcACIAOwBcAG4AIAAgACAAIAAgACAAIAAgACAAIAAgACAAXAAiAEMAYQB0AHQAbABlACwAIABmAG8AcgAgAG0AYQBuAHUAZgBhAGMAdAB1AHIAaQBuAGcAIABiAGUAZQBmAFwAIgAsACAAXAAiAEEAdQBzAHQAcgBhAGwAaQBhAFwAIgA7AFwAbgAgACAAIAAgACAAIAAgACAAIAAgACAAIABcACIAQwBhAHQAdABsAGUALAAgAGYAbwByACAAcAByAGkAbQBlACAAYgBlAGUAZgBcACIALAAgAFwAIgBOAFMAVwBcACIAOwBcAG4AIAAgACAAIAAgACAAIAAgACAAIAAgACAAXAAiAEMAYQB0AHQAbABlACwAIAB3AGUAYQBuAGUAcgBzAFwAIgAsACAAXAAiAE4AVABcACIAOwBcAG4AIAAgACAAIAAgACAAIAAgACAAIAAgACAAXAAiAFwAIgAsACAAXAAiAFEATABEAFwAIgA7AFwAbgAgACAAIAAgACAAIAAgACAAIAAgACAAIABcACIAXAAiACwAIABcACIAUwBBAFwAIgA7AFwAbgAgACAAIAAgACAAIAAgACAAIAAgACAAIABcACIAXAAiACwAIABcACIAVABBAFMAXAAiADsAXABuACAAIAAgACAAIAAgACAAIAAgACAAIAAgAFwAIgBcACIALAAgAFwAIgBWAEkAQwBcACIAOwBcAG4AIAAgACAAIAAgACAAIAAgACAAIAAgACAAXAAiAFwAIgAsACAAXAAiAFcAQQBcACIAXABuACAAIAAgACAAIAAgACAAIAB9ACwAIAByACwAIABjACkAXABuACAAIAAgACAAIAAgACkAXABuACAAIAAgACAAKQBcAG4AIAAgACkAOwBcAG4AXABuAC8AKgAgAFwAbgAtAC0ALQAtAC0ALQAtAC0ALQAtAC0ALQAtAC0ALQAtAC0ALQAtAC0ALQAtAC0ALQAtAC0ALQAtAC0ALQAtAC0ALQAtAC0ALQAtAC0AXABuAFMAbwB1AHIAYwBlAEQAYQB0AGEAXwBMAGkAdgBlAHMAdABvAGMAawBfAFAAcgBvAGQAdQBjAHQAXwBDAGgAaQBjAGsAZQBuAHMAXABuAC0ALQAtAC0ALQAtAC0ALQAtAC0ALQAtAC0ALQAtAC0ALQAtAC0ALQAtAC0ALQAtAC0ALQAtAC0ALQAtAC0ALQAtAC0ALQAtAC0ALQBcAG4AKgAvAFwAbgBcAG4AUwBvAHUAcgBjAGUARABhAHQAYQBfAEwAaQB2AGUAcwB0AG8AYwBrAF8AUAByAG8AZAB1AGMAdABfAEMAaABpAGMAawBlAG4AcwBfAFQAaQB0AGwAZQBcAG4AIAAgAD0ATABBAE0AQgBEAEEAKABcACIAQwBoAGkAYwBrAGUAbgBzACAAcAByAG8AZAB1AGMAdABzACAAZgBvAHIAIABzAGMAbwBwAGUAIAAzAFwAIgApADsAXABuAFwAbgBTAG8AdQByAGMAZQBEAGEAdABhAF8ATABpAHYAZQBzAHQAbwBjAGsAXwBQAHIAbwBkAHUAYwB0AF8AQwBoAGkAYwBrAGUAbgBzAF8AVgBhAGkAcgBhAGIAbABlAFwAbgAgACAAPQBMAEEATQBCAEQAQQAoAFwAIgBcACIAKQA7AFwAbgBcAG4AUwBvAHUAcgBjAGUARABhAHQAYQBfAEwAaQB2AGUAcwB0AG8AYwBrAF8AUAByAG8AZAB1AGMAdABfAEMAaABpAGMAawBlAG4AcwBfAFUAbgBpAHQAXABuACAAIAA9AEwAQQBNAEIARABBACgAXAAiAFwAIgApADsAXABuAFwAbgBTAG8AdQByAGMAZQBEAGEAdABhAF8ATABpAHYAZQBzAHQAbwBjAGsAXwBQAHIAbwBkAHUAYwB0AF8AQwBoAGkAYwBrAGUAbgBzAF8AUwBvAHUAcgBjAGUAXABuACAAIAA9AEwAQQBNAEIARABB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OwBcAG4AXABuAFMAbwB1AHIAYwBlAEQAYQB0AGEAXwBMAGkAdgBlAHMAdABvAGMAawBfAFAAcgBvAGQAdQBjAHQAXwBDAGgAaQBjAGsAZQBuAHMAXwBEAGEAdABhAFwAbgAgACAAPQBMAEEATQBCAEQAQQAoAFwAbgAgACAAIAAgAE0AQQBLAEUAQQBSAFIAQQBZACgAMgAsACAAMgAsACAAXABuACAAIAAgACAAIAAgAEwAQQBNAEIARABBACgAcgAsAGMALAAgAFwAbgAgACAAIAAgACAAIAAgACAASQBOAEQARQBYACgAewBcAG4AIAAgACAAIAAgACAAIAAgACAAIABcACIAUAByAG8AZAB1AGMAdABcACIALAAgAFwAIgBTAG8AdQByAGMAZQAgAHIAZQBnAGkAbwBuAFwAIgA7AFwAbgAgACAAIAAgACAAIAAgACAAIAAgACAAIABcACIAQwBoAGkAYwBrAGUAbgBzAFwAIgAsACAAXAAiAEEAdQBzAHQAcgBhAGwAaQBhAFwAIgBcAG4AIAAgACAAIAAgACAAIAAgAH0ALAAgAHIALAAgAGMAKQBcAG4AIAAgACAAIAAgACAAKQBcAG4AIAAgACAAIAApAFwAbgAgACAAKQA7AFwAbgBcAG4AXABuAC8AKgAgAFwAbgAtAC0ALQAtAC0ALQAtAC0ALQAtAC0ALQAtAC0ALQAtAC0ALQAtAC0ALQAtAC0ALQAtAC0ALQAtAC0ALQAtAC0ALQAtAC0ALQAtAC0AXABuAFMAbwB1AHIAYwBlAEQAYQB0AGEAXwBMAGkAdgBlAHMAdABvAGMAawBfAFAAcgBvAGQAdQBjAHQAXwBEAGEAaQByAHkAYwBhAHQAdABsAGUAXABuAC0ALQAtAC0ALQAtAC0ALQAtAC0ALQAtAC0ALQAtAC0ALQAtAC0ALQAtAC0ALQAtAC0ALQAtAC0ALQAtAC0ALQAtAC0ALQAtAC0ALQBcAG4AKgAvAFwAbgBcAG4AUwBvAHUAcgBjAGUARABhAHQAYQBfAEwAaQB2AGUAcwB0AG8AYwBrAF8AUAByAG8AZAB1AGMAdABfAEQAYQBpAHIAeQBjAGEAdAB0AGwAZQBfAFQAaQB0AGwAZQBcAG4AIAAgAD0ATABBAE0AQgBEAEEAKABcACIARABhAGkAcgB5ACAAYwBhAHQAdABsAGUAIABwAHIAbwBkAHUAYwB0AHMAIABmAG8AcgAgAHMAYwBvAHAAZQAgADMAXAAiACkAOwBcAG4AXABuAFMAbwB1AHIAYwBlAEQAYQB0AGEAXwBMAGkAdgBlAHMAdABvAGMAawBfAFAAcgBvAGQAdQBjAHQAXwBEAGEAaQByAHkAYwBhAHQAdABsAGUAXwBWAGEAaQByAGEAYgBsAGUAXABuACAAIAA9AEwAQQBNAEIARABBACgAXAAiAFwAIgApADsAXABuAFwAbgBTAG8AdQByAGMAZQBEAGEAdABhAF8ATABpAHYAZQBzAHQAbwBjAGsAXwBQAHIAbwBkAHUAYwB0AF8ARABhAGkAcgB5AGMAYQB0AHQAbABlAF8AVQBuAGkAdABcAG4AIAAgAD0ATABBAE0AQgBEAEEAKABcACIAXAAiACkAOwBcAG4AXABuAFMAbwB1AHIAYwBlAEQAYQB0AGEAXwBMAGkAdgBlAHMAdABvAGMAawBfAFAAcgBvAGQAdQBjAHQAXwBEAGEAaQByAHkAYwBhAHQAdABsAGUAXwBTAG8AdQByAGMAZQBcAG4AIAAgAD0ATABBAE0AQgBEAEEAKABcACIATABpAGYAZQBjAHkAYwBsAGUAcwAuACAAKAAyADAAMgA2ACkALgAgAEcAcgBlAGUAbgBoAG8AdQBzAGUAIABHAGEAcwAgAEUAbQBpAHMAcwBpAG8AbgAgAEkAbgB0AGUAbgBzAGkAdABpAGUAcwAgAGYAbwByACAATQBhAHQAZQByAGkAYQBsACAASQBuAHAAdQB0AHMAIAB0AG8AIABBAHUAcwB0AHIAYQBsAGkAYQBuACAAQQBnAHIAaQBjAHUAbAB0AHUAcgBlACwAIABGAGkAcwBoAGUAcgBpAGUAcwAgAGEAbgBkACAARgBvAHIAZQBzAHQAcgB5AC4AIABWAGUAcgBzAGkAbwBuACAANAA4AC4AIABkAG8AaQAgADEAMAAuADUAMgA4ADEALwB6AGUAbgBvAGQAbwAuADEAOQA2ADUANgA1ADgAMABcACIAKQA7AFwAbgBcAG4AUwBvAHUAcgBjAGUARABhAHQAYQBfAEwAaQB2AGUAcwB0AG8AYwBrAF8AUAByAG8AZAB1AGMAdABfAEQAYQBpAHIAeQBjAGEAdAB0AGwAZQBfAEQAYQB0AGEAXABuACAAIAA9AEwAQQBNAEIARABBACgAXABuACAAIAAgACAATQBBAEsARQBBAFIAUgBBAFkAKAAyACwAIAAyACwAIABcAG4AIAAgACAAIAAgACAATABBAE0AQgBEAEEAKAByACwAYwAsACAAXABuACAAIAAgACAAIAAgACAAIABJAE4ARABFAFgAKAB7AFwAbgAgACAAIAAgACAAIAAgACAAIAAgAFwAIgBQAHIAbwBkAHUAYwB0AFwAIgAsACAAXAAiAFMAbwB1AHIAYwBlACAAcgBlAGcAaQBvAG4AXAAiADsAXABuACAAIAAgACAAIAAgACAAIAAgACAAIAAgAFwAIgBEAGEAaQByAHkAIABjAG8AdwBzAFwAIgAsACAAXAAiAFYASQBDAFwAIgBcAG4AIAAgACAAIAAgACAAIAAgAH0ALAAgAHIALAAgAGMAKQBcAG4AIAAgACAAIAAgACAAKQBcAG4AIAAgACAAIAApAFwAbgAgACAAKQA7AFwAbgBcAG4AXABuAC8AKgAgAFwAbgAtAC0ALQAtAC0ALQAtAC0ALQAtAC0ALQAtAC0ALQAtAC0ALQAtAC0ALQAtAC0ALQAtAC0ALQAtAC0ALQAtAC0ALQAtAC0ALQAtAC0AXABuAFMAbwB1AHIAYwBlAEQAYQB0AGEAXwBMAGkAdgBlAHMAdABvAGMAawBfAFAAcgBvAGQAdQBjAHQAXwBQAGkAZwBzAFwAbgAtAC0ALQAtAC0ALQAtAC0ALQAtAC0ALQAtAC0ALQAtAC0ALQAtAC0ALQAtAC0ALQAtAC0ALQAtAC0ALQAtAC0ALQAtAC0ALQAtAC0AXABuACoALwBcAG4AXABuAFMAbwB1AHIAYwBlAEQAYQB0AGEAXwBMAGkAdgBlAHMAdABvAGMAawBfAFAAcgBvAGQAdQBjAHQAXwBQAGkAZwBzAF8AVABpAHQAbABlAFwAbgAgACAAPQBMAEEATQBCAEQAQQAoAFwAIgBQAGkAZwBzACAAcAByAG8AZAB1AGMAdABzACAAZgBvAHIAIABzAGMAbwBwAGUAIAAzAFwAIgApADsAXABuAFwAbgBTAG8AdQByAGMAZQBEAGEAdABhAF8ATABpAHYAZQBzAHQAbwBjAGsAXwBQAHIAbwBkAHUAYwB0AF8AUABpAGcAcwBfAFYAYQBpAHIAYQBiAGwAZQBcAG4AIAAgAD0ATABBAE0AQgBEAEEAKABcACIAXAAiACkAOwBcAG4AXABuAFMAbwB1AHIAYwBlAEQAYQB0AGEAXwBMAGkAdgBlAHMAdABvAGMAawBfAFAAcgBvAGQAdQBjAHQAXwBQAGkAZwBzAF8AVQBuAGkAdABcAG4AIAAgAD0ATABBAE0AQgBEAEEAKABcACIAXAAiACkAOwBcAG4AXABuAFMAbwB1AHIAYwBlAEQAYQB0AGEAXwBMAGkAdgBlAHMAdABvAGMAawBfAFAAcgBvAGQAdQBjAHQAXwBQAGkAZwBzAF8AUwBvAHUAcgBjAGUAXABuACAAIAA9AEwAQQBNAEIARABB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OwBcAG4AXABuAFMAbwB1AHIAYwBlAEQAYQB0AGEAXwBMAGkAdgBlAHMAdABvAGMAawBfAFAAcgBvAGQAdQBjAHQAXwBQAGkAZwBzAF8ARABhAHQAYQBcAG4AIAAgAD0ATABBAE0AQgBEAEEAKABcAG4AIAAgACAAIABNAEEASwBFAEEAUgBSAEEAWQAoADIALAAgADIALAAgAFwAbgAgACAAIAAgACAAIABMAEEATQBCAEQAQQAoAHIALABjACwAIABcAG4AIAAgACAAIAAgACAAIAAgAEkATgBEAEUAWAAoAHsAXABuACAAIAAgACAAIAAgACAAIAAgACAAXAAiAFAAcgBvAGQAdQBjAHQAXAAiACwAIABcACIAUwBvAHUAcgBjAGUAIAByAGUAZwBpAG8AbgBcACIAOwBcAG4AIAAgACAAIAAgACAAIAAgACAAIAAgACAAXAAiAFAAaQBnAHMAXAAiACwAIABcACIAQQB1AHMAdAByAGEAbABpAGEAXAAiAFwAbgAgACAAIAAgACAAIAAgACAAfQAsACAAcgAsACAAYwApAFwAbgAgACAAIAAgACAAIAApAFwAbgAgACAAIAAgACkAXABuACAAIAApADsAXABuAFwAbgAvACoAIABcAG4ALQAtAC0ALQAtAC0ALQAtAC0ALQAtAC0ALQAtAC0ALQAtAC0ALQAtAC0ALQAtAC0ALQAtAC0ALQAtAC0ALQAtAC0ALQAtAC0ALQAtAFwAbgBTAG8AdQByAGMAZQBEAGEAdABhAF8ATABpAHYAZQBzAHQAbwBjAGsAXwBQAHIAbwBkAHUAYwB0AF8AUwBoAGUAZQBwAFwAbgAtAC0ALQAtAC0ALQAtAC0ALQAtAC0ALQAtAC0ALQAtAC0ALQAtAC0ALQAtAC0ALQAtAC0ALQAtAC0ALQAtAC0ALQAtAC0ALQAtAC0AXABuACoALwBcAG4AXABuAFMAbwB1AHIAYwBlAEQAYQB0AGEAXwBMAGkAdgBlAHMAdABvAGMAawBfAFAAcgBvAGQAdQBjAHQAXwBTAGgAZQBlAHAAXwBUAGkAdABsAGUAXABuACAAIAA9AEwAQQBNAEIARABBACgAXAAiAFMAaABlAGUAcAAgAHAAcgBvAGQAdQBjAHQAcwAgAGYAbwByACAAcwBjAG8AcABlACAAMwBcACIAKQA7AFwAbgBcAG4AUwBvAHUAcgBjAGUARABhAHQAYQBfAEwAaQB2AGUAcwB0AG8AYwBrAF8AUAByAG8AZAB1AGMAdABfAFMAaABlAGUAcABfAFYAYQBpAHIAYQBiAGwAZQBcAG4AIAAgAD0ATABBAE0AQgBEAEEAKABcACIAXAAiACkAOwBcAG4AXABuAFMAbwB1AHIAYwBlAEQAYQB0AGEAXwBMAGkAdgBlAHMAdABvAGMAawBfAFAAcgBvAGQAdQBjAHQAXwBTAGgAZQBlAHAAXwBVAG4AaQB0AFwAbgAgACAAPQBMAEEATQBCAEQAQQAoAFwAIgBcACIAKQA7AFwAbgBcAG4AUwBvAHUAcgBjAGUARABhAHQAYQBfAEwAaQB2AGUAcwB0AG8AYwBrAF8AUAByAG8AZAB1AGMAdABfAFMAaABlAGUAcABfAFMAbwB1AHIAYwBlAFwAbgAgACAAPQBMAEEATQBCAEQAQQAoAFwAIgBMAGkAZgBlAGMAeQBjAGwAZQBzAC4AIAAoADIAMAAyADYAKQAuACAARwByAGUAZQBuAGgAbwB1AHMAZQAgAEcAYQBzACAARQBtAGkAcwBzAGkAbwBuACAASQBuAHQAZQBuAHMAaQB0AGkAZQBzACAAZgBvAHIAIABNAGEAdABlAHIAaQBhAGwAIABJAG4AcAB1AHQAcwAgAHQAbwAgAEEAdQBzAHQAcgBhAGwAaQBhAG4AIABBAGcAcgBpAGMAdQBsAHQAdQByAGUALAAgAEYAaQBzAGgAZQByAGkAZQBzACAAYQBuAGQAIABGAG8AcgBlAHMAdAByAHkALgAgAFYAZQByAHMAaQBvAG4AIAA0ADgALgAgAGQAbwBpACAAMQAwAC4ANQAyADgAMQAvAHoAZQBuAG8AZABvAC4AMQA5ADYANQA2ADUAOAAwAFwAIgApADsAXABuAFwAbgBTAG8AdQByAGMAZQBEAGEAdABhAF8ATABpAHYAZQBzAHQAbwBjAGsAXwBQAHIAbwBkAHUAYwB0AF8AUwBoAGUAZQBwAF8ARABhAHQAYQBcAG4AIAAgAD0ATABBAE0AQgBEAEEAKABcAG4AIAAgACAAIABNAEEASwBFAEEAUgBSAEEAWQAoADgALAAgADIALAAgAFwAbgAgACAAIAAgACAAIABMAEEATQBCAEQAQQAoAHIALABjACwAIABcAG4AIAAgACAAIAAgACAAIAAgAEkATgBEAEUAWAAoAHsAXABuACAAIAAgACAAIAAgACAAIAAgACAAXAAiAFAAcgBvAGQAdQBjAHQAXAAiACwAIABcACIAUwBvAHUAcgBjAGUAIAByAGUAZwBpAG8AbgBcACIAOwBcAG4AIAAgACAAIAAgACAAIAAgACAAIAAgACAAXAAiAFMAaABlAGUAcAAsACAAZgBvAHIAIABtAHUAdAB0AG8AbgBcACIALAAgAFwAIgBBAHUAcwB0AHIAYQBsAGkAYQBcACIAOwBcAG4AIAAgACAAIAAgACAAIAAgACAAIAAgACAAXAAiAFMAaABlAGUAcAAsACAAZgBvAHIAIABwAHIAaQBtAGUAIABsAGEAbQBiAFwAIgAsACAAXAAiAE4AUwBXAFwAIgA7AFwAbgAgACAAIAAgACAAIAAgACAAIAAgACAAIABcACIAXAAiACwAIABcACIAUQBMAEQAXAAiADsAXABuACAAIAAgACAAIAAgACAAIAAgACAAIAAgAFwAIgBcACIALAAgAFwAIgBTAEEAXAAiADsAXABuACAAIAAgACAAIAAgACAAIAAgACAAIAAgAFwAIgBcACIALAAgAFwAIgBUAEEAUwBcACIAOwBcAG4AIAAgACAAIAAgACAAIAAgACAAIAAgACAAXAAiAFwAIgAsACAAXAAiAFYASQBDAFwAIgA7AFwAbgAgACAAIAAgACAAIAAgACAAIAAgACAAIABcACIAXAAiACwAIABcACIAVwBBAFwAIgBcAG4AIAAgACAAIAAgACAAIAAgAH0ALAAgAHIALAAgAGMAKQBcAG4AIAAgACAAIAAgACAAKQBcAG4AIAAgACAAIAApAFwAbgAgACAAKQA7AFwAbgBcAG4AIgB9ACwAewAiAHAAYQB0AGgAIgA6ACIALwBwAHIAbwBqAGUAYwB0AHMALwBDAG8AbQBtAG8AbgBDAHIAbwBwAHAAaQBuAGcAXwBJAG4AcAB1AHQARgB1AG4AYwB0AGkAbwBuAHMAIgAsACIAdABlAHgAdAAiADoAIgBcAG4AQwBvAG0AbQBvAG4AQwByAG8AcABwAGkAbgBnAF8ARwBlAHQARgByAGEAYwBXAEUAVABcAG4APQBMAEEATQBCAEQAQQAoAFwAbgAgACAAIAAgAEwAZQBhAGMAaABpAG4AZwBaAG8AbgBlACwAXABuACAAIAAgACAAUAByAG8AZAB1AGMAdABpAG8AbgBTAHkAcwB0AGUAbQAsAFwAbgAgACAAIAAgAEwAZQBhAGMAaABpAG4AZwBaAG8AbgBlAEwAbwBvAGsAdQBwACwAXABuACAAIAAgACAATABlAGEAYwBoAGkAbgBnAFoAbwBuAGUARgByAGEAYwBXAEUAVABMAG8AbwBrAHUAcAAsAFwAbgAgACAAIAAgAFAAcgBvAGQAdQBjAHQAaQBvAG4AUwB5AHMAdABlAG0ATABvAG8AawB1AHAALABcAG4AIAAgACAAIABQAHIAbwBkAHUAYwB0AGkAbwBuAFMAeQBzAHQAZQBtAEYAcgBhAGMAVwBFAFQATABvAG8AawB1AHAALABcAG4AIAAgACAAIABMAEUAVAAoAFwAbgAgACAAIAAgACAAIAAgACAATABlAGEAYwBoAGkAbgBnAFoAbwBuAGUARgByAGEAYwBXAEUAVAAsACAAXABuACAAIAAgACAAIAAgACAAIABDAG8AbQBtAG8AbgBfAEkAbgBwAHUAdABGAHUAbgBjAHQAaQBvAG4AcwAuAFUAdABpAGwAaQB0AHkAXwBMAG8AbwBrAHUAcABWAGEAbAB1AGUASQBuAFQAYQBiAGwAZQBOAHUAbQBiAGUAcgAoAFwAbgAgACAAIAAgACAAIAAgACAAIAAgACAAIABMAGUAYQBjAGgAaQBuAGcAWgBvAG4AZQAsAEwAZQBhAGMAaABpAG4AZwBaAG8AbgBlAEwAbwBvAGsAdQBwACwATABlAGEAYwBoAGkAbgBnAFoAbwBuAGUARgByAGEAYwBXAEUAVABMAG8AbwBrAHUAcABcAG4AIAAgACAAIAAgACAAIAAgACkALABcAG4AIAAgACAAIAAgACAAIAAgAFAAcgBvAGQAdQBjAHQAaQBvAG4AUwB5AHMAdABlAG0ARgByAGEAYwBXAEUAVAAsACAAXABuACAAIAAgACAAIAAgACAAIABDAG8AbQBtAG8AbgBfAEkAbgBwAHUAdABGAHUAbgBjAHQAaQBvAG4AcwAuAFUAdABpAGwAaQB0AHkAXwBMAG8AbwBrAHUAcABWAGEAbAB1AGUASQBuAFQAYQBiAGwAZQBOAHUAbQBiAGUAcgAoAFwAbgAgACAAIAAgACAAIAAgACAAIAAgACAAIABQAHIAbwBkAHUAYwB0AGkAbwBuAFMAeQBzAHQAZQBtACwAUAByAG8AZAB1AGMAdABpAG8AbgBTAHkAcwB0AGUAbQBMAG8AbwBrAHUAcAAsAFAAcgBvAGQAdQBjAHQAaQBvAG4AUwB5AHMAdABlAG0ARgByAGEAYwBXAEUAVABMAG8AbwBrAHUAcABcAG4AIAAgACAAIAAgACAAIAAgACkALABcAG4AIAAgACAAIAAgACAAIAAgAEkARgAoAEwAZQBhAGMAaABpAG4AZwBaAG8AbgBlAEYAcgBhAGMAVwBFAFQAIAArACAAUAByAG8AZAB1AGMAdABpAG8AbgBTAHkAcwB0AGUAbQBGAHIAYQBjAFcARQBUAFwAdQAwADAAMwBlADAALAAgADEALAAgADAAKQBcAG4AIAAgACAAIAApACkAOwBcAG4AXABuAFwAbgBDAG8AbQBtAG8AbgBDAHIAbwBwAHAAaQBuAGcAXwBDAGEAbABjAHUAbABhAHQAZQBIAGEAcgB2AGUAcwB0AEkAbgBkAGUAeABcAG4APQBMAEEATQBCAEQAQQAoAFwAbgAgACAAIAAgAEMAcgBvAHAAVAB5AHAAZQAsACAAQwByAG8AcABUAHkAcABlAEEAcgByAGEAeQAsACAAUgBlAHMAaQBkAHUAZQBDAHIAbwBwAFIAYQB0AGkAbwBBAHIAcgBhAHkALABcAG4AIAAgACAAIAAxAC8AKAAxACsAQwBvAG0AbQBvAG4AXwBJAG4AcAB1AHQARgB1AG4AYwB0AGkAbwBuAHMALgBVAHQAaQBsAGkAdAB5AF8ATABvAG8AawB1AHAAVgBhAGwAdQBlAEkAbgBUAGEAYgBsAGUATgB1AG0AYgBlAHIAKABDAHIAbwBwAFQAeQBwAGUALAAgAEMAcgBvAHAAVAB5AHAAZQBBAHIAcgBhAHkALAAgAFIAZQBzAGkAZAB1AGUAQwByAG8AcABSAGEAdABpAG8AQQByAHIAYQB5ACkAKQBcAG4AKQA7AFwAbgBcAG4AQwBvAG0AbQBvAG4AQwByAG8AcABwAGkAbgBnAF8AQwBhAGwAYwB1AGwAYQB0AGUAUgBlAHMAaQBkAHUAZQBDAHIAbwBwAFIAYQB0AGkAbwBcAG4APQBMAEEATQBCAEQAQQAoAFwAbgAgACAAIAAgAEgAYQByAHYAZQBzAHQASQBuAGQAZQB4ACwAXABuACAAIAAgACAAKAAxAC0ASABhAHIAdgBlAHMAdABJAG4AZABlAHgAKQAvAEgAYQByAHYAZQBzAHQASQBuAGQAZQB4AFwAbgApADsAXABuAFwAbgBcAG4AQwBvAG0AbQBvAG4AQwByAG8AcABwAGkAbgBnAF8AQwBhAGwAYwB1AGwAYQB0AGUARgByAGEAYwB0AGkAbwBuAFIAZQBzAGkAZAB1AGUAUgBlAG0AbwB2AGUAZABcAG4APQBMAEEATQBCAEQAQQAoAFwAbgAgACAAIAAgAFQAbwB0AGEAbABSAGUAcwBpAGQAdQBlACwAIABBAG0AbwB1AG4AdABSAGUAbQBvAHYAZQBkACwAXABuACAAIAAgACAAKABBAG0AbwB1AG4AdABSAGUAbQBvAHYAZQBkACoAMQAwAF4AMwApAC8AKABUAG8AdABhAGwAUgBlAHMAaQBkAHUAZQAqADEAMABeADMAKQBcAG4AKQAiAH0AXQB9AA==</AFEJSONBlob>
</file>

<file path=customXml/item3.xml><?xml version="1.0" encoding="utf-8"?>
<ct:contentTypeSchema xmlns:ct="http://schemas.microsoft.com/office/2006/metadata/contentType" xmlns:ma="http://schemas.microsoft.com/office/2006/metadata/properties/metaAttributes" ct:_="" ma:_="" ma:contentTypeName="Document" ma:contentTypeID="0x010100ACB660BB23738846A00119B5826AC974" ma:contentTypeVersion="11" ma:contentTypeDescription="Create a new document." ma:contentTypeScope="" ma:versionID="3e3613359d4ae7f6bda6c57be713f101">
  <xsd:schema xmlns:xsd="http://www.w3.org/2001/XMLSchema" xmlns:xs="http://www.w3.org/2001/XMLSchema" xmlns:p="http://schemas.microsoft.com/office/2006/metadata/properties" xmlns:ns2="7291119c-fce9-4911-96ae-b800be5dccd8" xmlns:ns3="09eef6d6-daa8-4301-8f9f-b1ec38079286" targetNamespace="http://schemas.microsoft.com/office/2006/metadata/properties" ma:root="true" ma:fieldsID="87491bfad7f11426ad96486e70428b3e" ns2:_="" ns3:_="">
    <xsd:import namespace="7291119c-fce9-4911-96ae-b800be5dccd8"/>
    <xsd:import namespace="09eef6d6-daa8-4301-8f9f-b1ec38079286"/>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291119c-fce9-4911-96ae-b800be5dccd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db163b37-248a-4bdb-8038-6e8df1cc47ab"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9eef6d6-daa8-4301-8f9f-b1ec38079286"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152b9829-e58f-4759-907b-e4bc75f6ae89}" ma:internalName="TaxCatchAll" ma:showField="CatchAllData" ma:web="09eef6d6-daa8-4301-8f9f-b1ec3807928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CD460F9D-420A-4723-B323-396E4D19EC9B}">
  <ds:schemaRefs>
    <ds:schemaRef ds:uri="http://schemas.microsoft.com/office/2006/metadata/properties"/>
    <ds:schemaRef ds:uri="http://schemas.microsoft.com/office/infopath/2007/PartnerControls"/>
    <ds:schemaRef ds:uri="09eef6d6-daa8-4301-8f9f-b1ec38079286"/>
    <ds:schemaRef ds:uri="7291119c-fce9-4911-96ae-b800be5dccd8"/>
  </ds:schemaRefs>
</ds:datastoreItem>
</file>

<file path=customXml/itemProps2.xml><?xml version="1.0" encoding="utf-8"?>
<ds:datastoreItem xmlns:ds="http://schemas.openxmlformats.org/officeDocument/2006/customXml" ds:itemID="{B6BE249C-20B1-4A62-BBCD-F2A46D88BCAB}">
  <ds:schemaRefs>
    <ds:schemaRef ds:uri="http://schemas.advancedformulaenvironment.officeapps.live.com/afejsonblob/1.0"/>
  </ds:schemaRefs>
</ds:datastoreItem>
</file>

<file path=customXml/itemProps3.xml><?xml version="1.0" encoding="utf-8"?>
<ds:datastoreItem xmlns:ds="http://schemas.openxmlformats.org/officeDocument/2006/customXml" ds:itemID="{809E3D44-A88D-4EBF-A307-6B8CE77A336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291119c-fce9-4911-96ae-b800be5dccd8"/>
    <ds:schemaRef ds:uri="09eef6d6-daa8-4301-8f9f-b1ec3807928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4.xml><?xml version="1.0" encoding="utf-8"?>
<ds:datastoreItem xmlns:ds="http://schemas.openxmlformats.org/officeDocument/2006/customXml" ds:itemID="{9A9CF321-0D35-4044-BC72-33748FE2B865}">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49</vt:i4>
      </vt:variant>
      <vt:variant>
        <vt:lpstr>Named Ranges</vt:lpstr>
      </vt:variant>
      <vt:variant>
        <vt:i4>318</vt:i4>
      </vt:variant>
    </vt:vector>
  </HeadingPairs>
  <TitlesOfParts>
    <vt:vector size="367" baseType="lpstr">
      <vt:lpstr>Home</vt:lpstr>
      <vt:lpstr>Results - Activity period</vt:lpstr>
      <vt:lpstr>Results - Product EI</vt:lpstr>
      <vt:lpstr>Input - Enterprise</vt:lpstr>
      <vt:lpstr>Input - Site</vt:lpstr>
      <vt:lpstr>Input - Pasture Beef</vt:lpstr>
      <vt:lpstr>Input - Livestock sales</vt:lpstr>
      <vt:lpstr>Input - Beef cattle purchases</vt:lpstr>
      <vt:lpstr>Input - Pasture</vt:lpstr>
      <vt:lpstr>Input - Fert Prod System</vt:lpstr>
      <vt:lpstr>Input - Fertiliser</vt:lpstr>
      <vt:lpstr>Input - Fuel</vt:lpstr>
      <vt:lpstr>Input - Electricity</vt:lpstr>
      <vt:lpstr>Input - Common farm inputs</vt:lpstr>
      <vt:lpstr>Input - Crop pasture farm input</vt:lpstr>
      <vt:lpstr>Input - Livestock farm Inputs</vt:lpstr>
      <vt:lpstr>Input - Freight</vt:lpstr>
      <vt:lpstr>Input - Solid waste</vt:lpstr>
      <vt:lpstr>Input - Manure sent off-site</vt:lpstr>
      <vt:lpstr>Input - Data quality</vt:lpstr>
      <vt:lpstr>3.2.1.1-2 Enteric Methane</vt:lpstr>
      <vt:lpstr>4.2.1.1-2 Methane</vt:lpstr>
      <vt:lpstr>4.2.1.3-4 Soil direct N20</vt:lpstr>
      <vt:lpstr>4.2.1.5-6 Soil Atmos Dep</vt:lpstr>
      <vt:lpstr>4.2.1.7-8 Soil leach runoff</vt:lpstr>
      <vt:lpstr>5.1.1.1-2 Inorganic fert N2O</vt:lpstr>
      <vt:lpstr>5.1.1.3-4 Inorganic fert CO2</vt:lpstr>
      <vt:lpstr>5.2.1.1-2 Organic Fert N2O</vt:lpstr>
      <vt:lpstr>5.3.1.1-2 Lime CO2</vt:lpstr>
      <vt:lpstr>5.4.1.1-4 Atmos deposition</vt:lpstr>
      <vt:lpstr>5.5.1.1-2 Leaching and runoff</vt:lpstr>
      <vt:lpstr>6.2.1.1-2 Pasture residue N2O</vt:lpstr>
      <vt:lpstr>6.3.1.1-2 Leach runoff pasture</vt:lpstr>
      <vt:lpstr>8.1.1.1-2 Transport fuel</vt:lpstr>
      <vt:lpstr>8.2.1.1-2 Stationary fuel</vt:lpstr>
      <vt:lpstr>10.1.1-2 Solid waste treatment</vt:lpstr>
      <vt:lpstr>14.1.1-2 Purchased electricity</vt:lpstr>
      <vt:lpstr>15 Scope 3</vt:lpstr>
      <vt:lpstr>Calcs - Manure sent off-site</vt:lpstr>
      <vt:lpstr>Constants - Pasture Beef</vt:lpstr>
      <vt:lpstr>Constants - Ag Residue</vt:lpstr>
      <vt:lpstr>Constants - Common Livestock</vt:lpstr>
      <vt:lpstr>Constants - Electricity</vt:lpstr>
      <vt:lpstr>Constants - Fertiliser</vt:lpstr>
      <vt:lpstr>Constants - Fuel</vt:lpstr>
      <vt:lpstr>Constants - Scope 3</vt:lpstr>
      <vt:lpstr>Constants - Solid Waste</vt:lpstr>
      <vt:lpstr>Constants - Common</vt:lpstr>
      <vt:lpstr>Acknowledgements</vt:lpstr>
      <vt:lpstr>'5.4.1.1-4 Atmos deposition'!_Toc225350871</vt:lpstr>
      <vt:lpstr>'5.5.1.1-2 Leaching and runoff'!_Toc225350871</vt:lpstr>
      <vt:lpstr>Common_SourceData_DensityOfMethane_Data</vt:lpstr>
      <vt:lpstr>Fertiliser_EFLeach_Data</vt:lpstr>
      <vt:lpstr>Fertiliser_EFUreaCO2_Data</vt:lpstr>
      <vt:lpstr>Fertiliser_FracGASMSoil_Data</vt:lpstr>
      <vt:lpstr>Fertiliser_FracLEACH_Data</vt:lpstr>
      <vt:lpstr>M1_Table_AE</vt:lpstr>
      <vt:lpstr>M1_Table_CP_j</vt:lpstr>
      <vt:lpstr>'3.2.1.1-2 Enteric Methane'!M1_Table_D_j</vt:lpstr>
      <vt:lpstr>M1_Table_D_j</vt:lpstr>
      <vt:lpstr>M1_Table_D_j_Consumer_1</vt:lpstr>
      <vt:lpstr>M1_Table_DMD_j_k_l</vt:lpstr>
      <vt:lpstr>M1_Table_E_CH4</vt:lpstr>
      <vt:lpstr>M1_Table_E_CO2</vt:lpstr>
      <vt:lpstr>M1_Table_E_enteric</vt:lpstr>
      <vt:lpstr>'6.3.1.1-2 Leach runoff pasture'!M1_Table_E_N2O</vt:lpstr>
      <vt:lpstr>M1_Table_E_N2O</vt:lpstr>
      <vt:lpstr>'6.3.1.1-2 Leach runoff pasture'!M1_Table_E_N2O_Consumer_1</vt:lpstr>
      <vt:lpstr>'3.2.1.1-2 Enteric Methane'!M1_Table_I_j_k_l</vt:lpstr>
      <vt:lpstr>M1_Table_I_j_k_l</vt:lpstr>
      <vt:lpstr>M1_Table_I_j_k_l_Consumer_1</vt:lpstr>
      <vt:lpstr>M1_Table_L_j_k_l</vt:lpstr>
      <vt:lpstr>'3.2.1.1-2 Enteric Methane'!M1_Table_LC_j_k45</vt:lpstr>
      <vt:lpstr>M1_Table_LC_j_k45</vt:lpstr>
      <vt:lpstr>M1_Table_LC_j_k45_Consumer_1</vt:lpstr>
      <vt:lpstr>'3.2.1.1-2 Enteric Methane'!M1_Table_LWG_j_k_l</vt:lpstr>
      <vt:lpstr>M1_Table_LWG_j_k_l</vt:lpstr>
      <vt:lpstr>M1_Table_LWG_j_k_l_Consumer_1</vt:lpstr>
      <vt:lpstr>M1_Table_M_j_k_l</vt:lpstr>
      <vt:lpstr>M1_Table_M_j_k_l_m</vt:lpstr>
      <vt:lpstr>'6.3.1.1-2 Leach runoff pasture'!M1_Table_M_leach_cp</vt:lpstr>
      <vt:lpstr>'3.2.1.1-2 Enteric Methane'!M1_Table_MA_j_k45</vt:lpstr>
      <vt:lpstr>M1_Table_MA_j_k45</vt:lpstr>
      <vt:lpstr>M1_Table_MC_j_k_136</vt:lpstr>
      <vt:lpstr>M1_Table_MCF_i_m</vt:lpstr>
      <vt:lpstr>M1_Table_MP_j_k45</vt:lpstr>
      <vt:lpstr>'3.2.1.1-2 Enteric Methane'!M1_Table_N_j_k_l</vt:lpstr>
      <vt:lpstr>M1_Table_N_j_k_l</vt:lpstr>
      <vt:lpstr>M1_Table_N_j_k_l_Consumer_1</vt:lpstr>
      <vt:lpstr>M1_Table_NE_j_k_l</vt:lpstr>
      <vt:lpstr>M1_Table_NR_j_k_l</vt:lpstr>
      <vt:lpstr>M1_Table_VS_j_k_l</vt:lpstr>
      <vt:lpstr>'3.2.1.1-2 Enteric Methane'!M1_Table_W_j_k_l</vt:lpstr>
      <vt:lpstr>M1_Table_W_j_k_l</vt:lpstr>
      <vt:lpstr>M1_Table_W_j_k_l_Consumer_1</vt:lpstr>
      <vt:lpstr>M1_Table_Z_j_k_l</vt:lpstr>
      <vt:lpstr>M2_Table_AE</vt:lpstr>
      <vt:lpstr>M2_Table_CP_j</vt:lpstr>
      <vt:lpstr>'3.2.1.1-2 Enteric Methane'!M2_Table_D_j</vt:lpstr>
      <vt:lpstr>M2_Table_D_j</vt:lpstr>
      <vt:lpstr>M2_Table_D_j_Consumer_1</vt:lpstr>
      <vt:lpstr>M2_Table_DMD_j_k_l</vt:lpstr>
      <vt:lpstr>M2_Table_E_CH4</vt:lpstr>
      <vt:lpstr>M2_Table_E_enteric</vt:lpstr>
      <vt:lpstr>M2_Table_FertApplications</vt:lpstr>
      <vt:lpstr>'3.2.1.1-2 Enteric Methane'!M2_Table_I_j_k_l</vt:lpstr>
      <vt:lpstr>M2_Table_I_j_k_l</vt:lpstr>
      <vt:lpstr>M2_Table_I_j_k_l_Consumer_1</vt:lpstr>
      <vt:lpstr>M2_Table_L_j_k_l</vt:lpstr>
      <vt:lpstr>'3.2.1.1-2 Enteric Methane'!M2_Table_LC_j_k45</vt:lpstr>
      <vt:lpstr>M2_Table_LC_j_k45</vt:lpstr>
      <vt:lpstr>M2_Table_LC_j_k45_Consumer_1</vt:lpstr>
      <vt:lpstr>M2_Table_LW_j_k_l</vt:lpstr>
      <vt:lpstr>'3.2.1.1-2 Enteric Methane'!M2_Table_LWG_j_k_l</vt:lpstr>
      <vt:lpstr>M2_Table_LWG_j_k_l</vt:lpstr>
      <vt:lpstr>M2_Table_LWG_j_k_l_Consumer_1</vt:lpstr>
      <vt:lpstr>M2_Table_M_j_k_l</vt:lpstr>
      <vt:lpstr>M2_Table_M_j_k_l_m</vt:lpstr>
      <vt:lpstr>'6.3.1.1-2 Leach runoff pasture'!M2_Table_M_leach_cp</vt:lpstr>
      <vt:lpstr>'3.2.1.1-2 Enteric Methane'!M2_Table_MA_j_k45</vt:lpstr>
      <vt:lpstr>M2_Table_MA_j_k45</vt:lpstr>
      <vt:lpstr>M2_Table_MC_j_k_136</vt:lpstr>
      <vt:lpstr>M2_Table_MCF_i_m</vt:lpstr>
      <vt:lpstr>M2_Table_MP_j_k45</vt:lpstr>
      <vt:lpstr>'3.2.1.1-2 Enteric Methane'!M2_Table_N_j_k_l</vt:lpstr>
      <vt:lpstr>M2_Table_N_j_k_l</vt:lpstr>
      <vt:lpstr>M2_Table_N_j_k_l_Consumer_1</vt:lpstr>
      <vt:lpstr>M2_Table_NE_j_k_l</vt:lpstr>
      <vt:lpstr>M2_Table_NR_j_k_l</vt:lpstr>
      <vt:lpstr>M2_Table_VS_j_k_l</vt:lpstr>
      <vt:lpstr>'3.2.1.1-2 Enteric Methane'!M2_Table_W_j_k_l</vt:lpstr>
      <vt:lpstr>M2_Table_W_j_k_l</vt:lpstr>
      <vt:lpstr>M2_Table_Z_j_k_l</vt:lpstr>
      <vt:lpstr>Result_CarbonRemovalsFromPlantings</vt:lpstr>
      <vt:lpstr>Result_EmissionsForWholeProductionCycle_Method1</vt:lpstr>
      <vt:lpstr>Result_EmissionsForWholeProductionCycle_Method2</vt:lpstr>
      <vt:lpstr>Result_Enterprise_Gross_Method1</vt:lpstr>
      <vt:lpstr>Result_Enterprise_Gross_Method2</vt:lpstr>
      <vt:lpstr>Result_Enterprise_Net_Method1</vt:lpstr>
      <vt:lpstr>Result_Enterprise_Net_Method2</vt:lpstr>
      <vt:lpstr>Result_Enterprise_Removals</vt:lpstr>
      <vt:lpstr>Result_Enterprise_Scope1_Method1</vt:lpstr>
      <vt:lpstr>Result_Enterprise_Scope1_Method2</vt:lpstr>
      <vt:lpstr>Result_Enterprise_Scope2_Method1</vt:lpstr>
      <vt:lpstr>Result_Enterprise_Scope2_Method2</vt:lpstr>
      <vt:lpstr>Result_Enterprise_Scope3_Method1</vt:lpstr>
      <vt:lpstr>Result_Enterprise_Scope3_Method2</vt:lpstr>
      <vt:lpstr>Result_NetEmissions_Method1</vt:lpstr>
      <vt:lpstr>Result_NetEmissions_Method2</vt:lpstr>
      <vt:lpstr>SourceData_PastureBeef_AshContentOfFeedIntake_Data</vt:lpstr>
      <vt:lpstr>SourceData_PastureBeef_FracGASMSoil_Data</vt:lpstr>
      <vt:lpstr>SourceData_PastureBeef_FracLEACH_Data</vt:lpstr>
      <vt:lpstr>SourceData_PastureBeef_MethaneEmissionsPotential_Data</vt:lpstr>
      <vt:lpstr>Table_E_ad_inorganic</vt:lpstr>
      <vt:lpstr>Table_E_ad_organic</vt:lpstr>
      <vt:lpstr>Table_E_g</vt:lpstr>
      <vt:lpstr>Table_E_g_Consumer_1</vt:lpstr>
      <vt:lpstr>Table_E_g_offsite</vt:lpstr>
      <vt:lpstr>Table_E_g_onsite</vt:lpstr>
      <vt:lpstr>Table_E_lime</vt:lpstr>
      <vt:lpstr>Table_M_leach_inorganic_j</vt:lpstr>
      <vt:lpstr>Table_M_leach_organic_j</vt:lpstr>
      <vt:lpstr>Table_M_vol_inorganic_j_f</vt:lpstr>
      <vt:lpstr>Table_M_vol_organic_j_f</vt:lpstr>
      <vt:lpstr>Table_MMS_m</vt:lpstr>
      <vt:lpstr>Table_MN_j_f</vt:lpstr>
      <vt:lpstr>Table_MNSoil_j_f</vt:lpstr>
      <vt:lpstr>Table_MU_j_f</vt:lpstr>
      <vt:lpstr>Table_SRW_k</vt:lpstr>
      <vt:lpstr>Table_V_w_t_offsite</vt:lpstr>
      <vt:lpstr>Table_V_w_t_onsite</vt:lpstr>
      <vt:lpstr>VEERG_10_1_1_1__1_EmissionsFromWasteManagement_Scope1_Result_Method1</vt:lpstr>
      <vt:lpstr>VEERG_10_1_1_1__1_EmissionsFromWasteManagement_Scope3_Result_Method1</vt:lpstr>
      <vt:lpstr>VEERG_14_1_1__1_LocationBasedScopeElectricityEmissions_Result_Method1</vt:lpstr>
      <vt:lpstr>VEERG_14_1_2__1_MarketBasedScopeElectricityEmissionsVariation_Result_Method1</vt:lpstr>
      <vt:lpstr>VEERG_15_1_1_1__1_EmissionsFromPurchasedLivestock_BeefCattle_Result_Method1</vt:lpstr>
      <vt:lpstr>VEERG_15_1_1_1__1_EmissionsFromPurchasedLivestock_BeefCattle_Result_Method2</vt:lpstr>
      <vt:lpstr>VEERG_15_1_1_1__1_EmissionsFromPurchasedLivestock_DairyCattle_Result_Method1</vt:lpstr>
      <vt:lpstr>VEERG_15_1_1_1__1_EmissionsFromPurchasedLivestock_DairyCattle_Result_Method2</vt:lpstr>
      <vt:lpstr>VEERG_15_1_1_1__1_EmissionsFromPurchasedLivestock_Pigs_Result_Method1</vt:lpstr>
      <vt:lpstr>VEERG_15_1_1_1__1_EmissionsFromPurchasedLivestock_Pigs_Result_Method2</vt:lpstr>
      <vt:lpstr>VEERG_15_1_1_1__1_EmissionsFromPurchasedLivestock_Poultry_Result_Method1</vt:lpstr>
      <vt:lpstr>VEERG_15_1_1_1__1_EmissionsFromPurchasedLivestock_Poultry_Result_Method2</vt:lpstr>
      <vt:lpstr>VEERG_15_1_1_1__1_EmissionsFromPurchasedLivestock_Result_Method1</vt:lpstr>
      <vt:lpstr>VEERG_15_1_1_1__1_EmissionsFromPurchasedLivestock_Result_Method2</vt:lpstr>
      <vt:lpstr>VEERG_15_10_1_1__1_OtherPurchasedGoodsAndServices_CleaningChemicals_Result_Method1</vt:lpstr>
      <vt:lpstr>VEERG_15_10_1_1__1_OtherPurchasedGoodsAndServices_CleaningChemicals_Result_Method2</vt:lpstr>
      <vt:lpstr>VEERG_15_10_1_1__1_OtherPurchasedGoodsAndServices_Misc_Result_Method1</vt:lpstr>
      <vt:lpstr>VEERG_15_10_1_1__1_OtherPurchasedGoodsAndServices_Misc_Result_Method2</vt:lpstr>
      <vt:lpstr>VEERG_15_10_1_1__1_OtherPurchasedGoodsAndServices_PharmacyChemicals_Result_Method1</vt:lpstr>
      <vt:lpstr>VEERG_15_10_1_1__1_OtherPurchasedGoodsAndServices_PharmacyChemicals_Result_Method2</vt:lpstr>
      <vt:lpstr>VEERG_15_10_1_1__1_OtherPurchasedGoodsAndServices_Seed_Result_Method1</vt:lpstr>
      <vt:lpstr>VEERG_15_10_1_1__1_OtherPurchasedGoodsAndServices_Seed_Result_Method2</vt:lpstr>
      <vt:lpstr>VEERG_15_10_1_1__1_OtherPurchasedGoodsAndServices_Uncategorised_Result_Method1</vt:lpstr>
      <vt:lpstr>VEERG_15_10_1_1__1_OtherPurchasedGoodsAndServices_Uncategorised_Result_Method2</vt:lpstr>
      <vt:lpstr>VEERG_15_11_1_1__1_TotalUpstreamEmissionsFromFuel_Result</vt:lpstr>
      <vt:lpstr>VEERG_15_12_1_1__1_UpstreamPurchasedElectricityLocationBased_Result</vt:lpstr>
      <vt:lpstr>VEERG_15_12_1_2__1_UpstreamPurchasedElectricityMarketBasedVariation_Result</vt:lpstr>
      <vt:lpstr>VEERG_15_13_1_1__1_EmissionsFromManureSentOffSite_Result_Method1_CO2e</vt:lpstr>
      <vt:lpstr>VEERG_15_13_1_1__1_EmissionsFromManureSentOffSite_Result_Method2_CO2e</vt:lpstr>
      <vt:lpstr>VEERG_15_14_1_1__1_EmbeddedEmissionsFromUpstreamFreight_Incoming_Result_Method1</vt:lpstr>
      <vt:lpstr>VEERG_15_14_1_1__1_EmbeddedEmissionsFromUpstreamFreight_Incoming_Result_Method2</vt:lpstr>
      <vt:lpstr>VEERG_15_14_1_1__1_EmbeddedEmissionsFromUpstreamFreight_Outgoing_Result_Method1</vt:lpstr>
      <vt:lpstr>VEERG_15_14_1_1__1_EmbeddedEmissionsFromUpstreamFreight_Outgoing_Result_Method2</vt:lpstr>
      <vt:lpstr>VEERG_15_2_1_1__1_EmissionsFromPurchasedFeed_Result_Method1</vt:lpstr>
      <vt:lpstr>VEERG_15_2_1_1__1_EmissionsFromPurchasedFeed_Result_Method2</vt:lpstr>
      <vt:lpstr>VEERG_15_3_1_1__1_EmissionsFromPurchasedMineralSupplements_Result_Method1</vt:lpstr>
      <vt:lpstr>VEERG_15_3_1_1__1_EmissionsFromPurchasedMineralSupplements_Result_Method2</vt:lpstr>
      <vt:lpstr>VEERG_15_4_1_1__2_EmissionsFromPurchasedFertiliserComponentsVariation_Result_Method1</vt:lpstr>
      <vt:lpstr>VEERG_15_4_1_1__2_EmissionsFromPurchasedFertiliserComponentsVariation_Result_Method2</vt:lpstr>
      <vt:lpstr>VEERG_15_5_1_1__1_EmissionsFromPurchasedAgrichemicals_Result_Method1</vt:lpstr>
      <vt:lpstr>VEERG_15_5_1_1__1_EmissionsFromPurchasedAgrichemicals_Result_Method2</vt:lpstr>
      <vt:lpstr>VEERG_15_6_1_1__1_EmissionsFromPurchasedLime_Result_Method1</vt:lpstr>
      <vt:lpstr>VEERG_15_6_1_1__1_EmissionsFromPurchasedLime_Result_Method2</vt:lpstr>
      <vt:lpstr>VEERG_15_7_1_1__1_EmissionsFromPurchasedServices_Result_Method1</vt:lpstr>
      <vt:lpstr>VEERG_15_7_1_1__1_EmissionsFromPurchasedServices_Result_Method2</vt:lpstr>
      <vt:lpstr>VEERG_15_8_1_1__1_EmissionsFromPurchasedPackaging_Result_Method1</vt:lpstr>
      <vt:lpstr>VEERG_15_8_1_1__1_EmissionsFromPurchasedPackaging_Result_Method2</vt:lpstr>
      <vt:lpstr>VEERG_15_9_1_1__1_EmissionsFromPurchasedGrowMedia_Result_Method1</vt:lpstr>
      <vt:lpstr>VEERG_15_9_1_1__1_EmissionsFromPurchasedGrowMedia_Result_Method2</vt:lpstr>
      <vt:lpstr>VEERG_3_2_1_1__1_TotalAnnualMethaneFromEntericFermentation_Result_Method1</vt:lpstr>
      <vt:lpstr>VEERG_3_2_1_1__1_TotalAnnualMethaneFromEntericFermentation_Result_Method2</vt:lpstr>
      <vt:lpstr>VEERG_4_2_1_1__1_TotalAnnualMethaneProductionFromManureManagement_Result_Method1</vt:lpstr>
      <vt:lpstr>VEERG_4_2_1_1__1_TotalAnnualMethaneProductionFromManureManagement_Result_Method2</vt:lpstr>
      <vt:lpstr>VEERG_4_2_1_3__1_DirectNitrousOxideEmissionsOnPasture_Result_Method1</vt:lpstr>
      <vt:lpstr>VEERG_4_2_1_3__1_DirectNitrousOxideEmissionsOnPasture_Result_Method2</vt:lpstr>
      <vt:lpstr>VEERG_4_2_1_3__2_TotalNitrogenExcretedToPastureRangeAndPaddock_Result_Method1</vt:lpstr>
      <vt:lpstr>VEERG_4_2_1_3__2_TotalNitrogenExcretedToPastureRangeAndPaddock_Result_Method2</vt:lpstr>
      <vt:lpstr>VEERG_4_2_1_5__1_AtmosphericDepositionEmissionsFromUrineAndDungOnPasture_Result_Method1</vt:lpstr>
      <vt:lpstr>VEERG_4_2_1_5__1_AtmosphericDepositionEmissionsFromUrineAndDungOnPasture_Result_Method2</vt:lpstr>
      <vt:lpstr>VEERG_4_2_1_7__1_LeachingAndRunoffEmissionsFromUrineAndDungOnPasture_Result_Method1</vt:lpstr>
      <vt:lpstr>VEERG_4_2_1_7__1_LeachingAndRunoffEmissionsFromUrineAndDungOnPasture_Result_Method2</vt:lpstr>
      <vt:lpstr>VEERG_5_1_1_1__1_InorganicFertiliserApplicationN2OEmissions_Result_Method1</vt:lpstr>
      <vt:lpstr>VEERG_5_1_1_1__1_InorganicFertiliserApplicationN2OEmissions_Result_Method2</vt:lpstr>
      <vt:lpstr>VEERG_5_1_1_3__1_InorganicFertiliserApplicationCO2Emissions_Result_Method1</vt:lpstr>
      <vt:lpstr>VEERG_5_2_1_1__1_OrganicFertiliserApplicationN2OEmissions_Result_Method1</vt:lpstr>
      <vt:lpstr>VEERG_5_2_1_1__1_OrganicFertiliserApplicationN2OEmissions_Result_Method2</vt:lpstr>
      <vt:lpstr>VEERG_5_2_1_1__2_MassOfNitrogenInOrganicFertiliser_Result_Method1</vt:lpstr>
      <vt:lpstr>VEERG_5_3_1_1__1_LimeApplicationCO2Emissions_Result_Method1</vt:lpstr>
      <vt:lpstr>VEERG_5_4_1_1__1_InorganicFertiliserAtmosphericDepositionN2OEmissions_Result_Method1</vt:lpstr>
      <vt:lpstr>'15 Scope 3'!VEERG_5_4_1_3__1_OrganicFertiliserAtmosphericDepositionN2OEmissions_Result_Method1</vt:lpstr>
      <vt:lpstr>'Calcs - Manure sent off-site'!VEERG_5_4_1_3__1_OrganicFertiliserAtmosphericDepositionN2OEmissions_Result_Method1</vt:lpstr>
      <vt:lpstr>'Constants - Scope 3'!VEERG_5_4_1_3__1_OrganicFertiliserAtmosphericDepositionN2OEmissions_Result_Method1</vt:lpstr>
      <vt:lpstr>'Input - Beef cattle purchases'!VEERG_5_4_1_3__1_OrganicFertiliserAtmosphericDepositionN2OEmissions_Result_Method1</vt:lpstr>
      <vt:lpstr>'Input - Common farm inputs'!VEERG_5_4_1_3__1_OrganicFertiliserAtmosphericDepositionN2OEmissions_Result_Method1</vt:lpstr>
      <vt:lpstr>'Input - Crop pasture farm input'!VEERG_5_4_1_3__1_OrganicFertiliserAtmosphericDepositionN2OEmissions_Result_Method1</vt:lpstr>
      <vt:lpstr>'Input - Freight'!VEERG_5_4_1_3__1_OrganicFertiliserAtmosphericDepositionN2OEmissions_Result_Method1</vt:lpstr>
      <vt:lpstr>'Input - Livestock farm Inputs'!VEERG_5_4_1_3__1_OrganicFertiliserAtmosphericDepositionN2OEmissions_Result_Method1</vt:lpstr>
      <vt:lpstr>'Input - Manure sent off-site'!VEERG_5_4_1_3__1_OrganicFertiliserAtmosphericDepositionN2OEmissions_Result_Method1</vt:lpstr>
      <vt:lpstr>VEERG_5_4_1_3__1_OrganicFertiliserAtmosphericDepositionN2OEmissions_Result_Method1</vt:lpstr>
      <vt:lpstr>VEERG_5_4_1_3__1_OrganicFertiliserAtmosphericDepositionN2OEmissions_Result_Method2</vt:lpstr>
      <vt:lpstr>'15 Scope 3'!VEERG_5_5_1_1__1_FertiliserLeachingAndRunoffN2OEmissions_Result_Method1</vt:lpstr>
      <vt:lpstr>'Calcs - Manure sent off-site'!VEERG_5_5_1_1__1_FertiliserLeachingAndRunoffN2OEmissions_Result_Method1</vt:lpstr>
      <vt:lpstr>'Constants - Scope 3'!VEERG_5_5_1_1__1_FertiliserLeachingAndRunoffN2OEmissions_Result_Method1</vt:lpstr>
      <vt:lpstr>'Input - Beef cattle purchases'!VEERG_5_5_1_1__1_FertiliserLeachingAndRunoffN2OEmissions_Result_Method1</vt:lpstr>
      <vt:lpstr>'Input - Common farm inputs'!VEERG_5_5_1_1__1_FertiliserLeachingAndRunoffN2OEmissions_Result_Method1</vt:lpstr>
      <vt:lpstr>'Input - Crop pasture farm input'!VEERG_5_5_1_1__1_FertiliserLeachingAndRunoffN2OEmissions_Result_Method1</vt:lpstr>
      <vt:lpstr>'Input - Freight'!VEERG_5_5_1_1__1_FertiliserLeachingAndRunoffN2OEmissions_Result_Method1</vt:lpstr>
      <vt:lpstr>'Input - Livestock farm Inputs'!VEERG_5_5_1_1__1_FertiliserLeachingAndRunoffN2OEmissions_Result_Method1</vt:lpstr>
      <vt:lpstr>'Input - Manure sent off-site'!VEERG_5_5_1_1__1_FertiliserLeachingAndRunoffN2OEmissions_Result_Method1</vt:lpstr>
      <vt:lpstr>VEERG_5_5_1_1__1_FertiliserLeachingAndRunoffN2OEmissions_result_Method1</vt:lpstr>
      <vt:lpstr>VEERG_5_5_1_1__1_FertiliserLeachingAndRunoffN2OEmissions_Result_Method2</vt:lpstr>
      <vt:lpstr>VEERG_6_2_1_1__1__NitrousOxideEmissionsFromPastureResidues_Result_Method1</vt:lpstr>
      <vt:lpstr>VEERG_6_2_1_1__1__NitrousOxideEmissionsFromPastureResidues_Result_Method2</vt:lpstr>
      <vt:lpstr>VEERG_6_3_1_1__1__LeachingAndRunoffEmissionsCropAndPastureResidue_PastureOnly_Result_Method1</vt:lpstr>
      <vt:lpstr>VEERG_6_3_1_1__1__LeachingAndRunoffEmissionsCropAndPastureResidue_PastureOnly_Result_Method2</vt:lpstr>
      <vt:lpstr>'6.3.1.1-2 Leach runoff pasture'!VEERG_6_3_1_1__1__LeachingAndRunoffEmissionsCropAndPastureResidue_Result_Method1</vt:lpstr>
      <vt:lpstr>'6.3.1.1-2 Leach runoff pasture'!VEERG_6_3_1_1__1__LeachingAndRunoffEmissionsCropAndPastureResidue_Result_Method2</vt:lpstr>
      <vt:lpstr>VEERG_8_1_1_1__1_FuelCombustionTransport_Result</vt:lpstr>
      <vt:lpstr>VEERG_8_1_1_1__1_FuelCombustionTransport_Result_CH4</vt:lpstr>
      <vt:lpstr>VEERG_8_1_1_1__1_FuelCombustionTransport_Result_CO2</vt:lpstr>
      <vt:lpstr>VEERG_8_1_1_1__1_FuelCombustionTransport_Result_N2O</vt:lpstr>
      <vt:lpstr>VEERG_8_1_1_1__1_FuelCombustionTransport_Result_Scope3</vt:lpstr>
      <vt:lpstr>VEERG_8_2_1_1__1_FuelCombustionStationary_Result</vt:lpstr>
      <vt:lpstr>VEERG_8_2_1_1__1_FuelCombustionStationary_Result_CH4</vt:lpstr>
      <vt:lpstr>VEERG_8_2_1_1__1_FuelCombustionStationary_Result_CO2</vt:lpstr>
      <vt:lpstr>VEERG_8_2_1_1__1_FuelCombustionStationary_Result_N2O</vt:lpstr>
      <vt:lpstr>VEERG_8_2_1_1__1_FuelCombustionStationary_Result_Scope3</vt:lpstr>
      <vt:lpstr>X_Cell_Electricity_CalculationMethod</vt:lpstr>
      <vt:lpstr>X_Cell_Electricity_Location_AmountPurchasedInkWh</vt:lpstr>
      <vt:lpstr>X_Cell_Electricity_Location_GridElectricityPurchasedFrom</vt:lpstr>
      <vt:lpstr>X_Cell_Electricity_Market_AmountPurchasedExcludingGreenPower</vt:lpstr>
      <vt:lpstr>X_Cell_Electricity_Market_AmountPurchasedGreenPower</vt:lpstr>
      <vt:lpstr>X_Cell_Electricity_Market_JurisdictionalRenewablePowerPercentage</vt:lpstr>
      <vt:lpstr>X_Cell_Electricity_Market_RenewablePowerPercentage</vt:lpstr>
      <vt:lpstr>X_Cell_Enteprise_LiveweightGrown_Method1</vt:lpstr>
      <vt:lpstr>X_Cell_Enteprise_LiveweightGrown_Method2</vt:lpstr>
      <vt:lpstr>X_Cell_Enteprise_ManureProduced_Method1</vt:lpstr>
      <vt:lpstr>X_Cell_Enteprise_ManureProduced_Method2</vt:lpstr>
      <vt:lpstr>X_Cell_Enteprise_PercentIncomeFromLiveweight</vt:lpstr>
      <vt:lpstr>X_Cell_Enteprise_PercentIncomeFromManure</vt:lpstr>
      <vt:lpstr>X_Cell_Enteprise_PercentManureAppliedAsFertiliserOwnFarm</vt:lpstr>
      <vt:lpstr>X_Cell_Enteprise_PercentManureAppliedAsWaste</vt:lpstr>
      <vt:lpstr>X_Cell_Enteprise_PercentManureSold</vt:lpstr>
      <vt:lpstr>X_Cell_Enterprise_LiveweightSold</vt:lpstr>
      <vt:lpstr>X_Cell_Enterprise_ProductionTimeframeEnd</vt:lpstr>
      <vt:lpstr>X_Cell_Enterprise_ProductionTimeframeLength</vt:lpstr>
      <vt:lpstr>X_Cell_Enterprise_ProductionTimeframeStart</vt:lpstr>
      <vt:lpstr>X_Cell_FarmInputs_FeedRations_Chickens</vt:lpstr>
      <vt:lpstr>X_Cell_FarmInputs_FeedRations_DairyCalves</vt:lpstr>
      <vt:lpstr>X_Cell_FarmInputs_FeedRations_DairyCows</vt:lpstr>
      <vt:lpstr>X_Cell_FarmInputs_FeedRations_Pigs</vt:lpstr>
      <vt:lpstr>X_Cell_FarmInputs_LickBlocks_DrySeasonMix</vt:lpstr>
      <vt:lpstr>X_Cell_FarmInputs_LickBlocks_Mineral</vt:lpstr>
      <vt:lpstr>X_Cell_FarmInputs_LickBlocks_Weaner</vt:lpstr>
      <vt:lpstr>X_Cell_FarmInputs_Misc_AnimalEarTagsLarge</vt:lpstr>
      <vt:lpstr>X_Cell_FarmInputs_Misc_AnimalEarTagsSmall</vt:lpstr>
      <vt:lpstr>X_Cell_FarmInputs_Seed_BarleyGrain</vt:lpstr>
      <vt:lpstr>X_Cell_FarmInputs_Seed_MaizeGrain</vt:lpstr>
      <vt:lpstr>X_Cell_FarmInputs_Seed_OatGrain</vt:lpstr>
      <vt:lpstr>X_Cell_FarmInputs_Seed_SorghumGrain</vt:lpstr>
      <vt:lpstr>X_Cell_FarmInputs_Seed_WheatGrain</vt:lpstr>
      <vt:lpstr>X_Cell_Fertiliser_AreaUnderCropping</vt:lpstr>
      <vt:lpstr>X_Cell_Fertiliser_CropType</vt:lpstr>
      <vt:lpstr>X_Cell_Fertiliser_IrrigationMethod</vt:lpstr>
      <vt:lpstr>X_Cell_Fertiliser_ProductionSystem</vt:lpstr>
      <vt:lpstr>X_Cell_Fuel_IsMetroLocation</vt:lpstr>
      <vt:lpstr>X_Cell_ManureSentOffsite_ManureIrrigationMethod</vt:lpstr>
      <vt:lpstr>X_Cell_ManureSentOffsite_ManureProductionSystem</vt:lpstr>
      <vt:lpstr>X_Cell_ManureSentOffsite_MassNitrogenManure_Method1</vt:lpstr>
      <vt:lpstr>X_Cell_ManureSentOffsite_MassNitrogenManure_Method2</vt:lpstr>
      <vt:lpstr>X_Cell_Pasture_AreaRemovedOrRenewed</vt:lpstr>
      <vt:lpstr>X_Cell_Pasture_AreaUnderPasture</vt:lpstr>
      <vt:lpstr>X_Cell_Pasture_IrrigationMethod</vt:lpstr>
      <vt:lpstr>X_Cell_Pasture_PastureType</vt:lpstr>
      <vt:lpstr>X_Cell_Pasture_YieldPerHectare</vt:lpstr>
      <vt:lpstr>X_Cell_PastureBeef_Breed</vt:lpstr>
      <vt:lpstr>X_Cell_PastureBeef_CalculatedMMSAnaerobicLagoon</vt:lpstr>
      <vt:lpstr>X_Cell_PastureBeef_CalculatedMMSPastureRangeAndPaddock</vt:lpstr>
      <vt:lpstr>X_Cell_PastureBeef_FencedWater</vt:lpstr>
      <vt:lpstr>X_Cell_PastureBeef_GrazingIrrigationMethod</vt:lpstr>
      <vt:lpstr>X_Cell_PastureBeef_GrazingProductionSystem</vt:lpstr>
      <vt:lpstr>X_Cell_PastureBeef_ProductionRegion</vt:lpstr>
      <vt:lpstr>X_Cell_Site_AverageTemperature</vt:lpstr>
      <vt:lpstr>X_Cell_Site_ClimateZone</vt:lpstr>
      <vt:lpstr>X_Cell_Site_Elevation</vt:lpstr>
      <vt:lpstr>X_Cell_Site_EndDate</vt:lpstr>
      <vt:lpstr>X_Cell_Site_FarmName</vt:lpstr>
      <vt:lpstr>X_Cell_Site_FrostDays</vt:lpstr>
      <vt:lpstr>X_Cell_Site_LeachingZone</vt:lpstr>
      <vt:lpstr>X_Cell_Site_MapPetRatio</vt:lpstr>
      <vt:lpstr>X_Cell_Site_PotentialEvapotranspiration</vt:lpstr>
      <vt:lpstr>X_Cell_Site_RainfallZone</vt:lpstr>
      <vt:lpstr>X_Cell_Site_Region</vt:lpstr>
      <vt:lpstr>X_Cell_Site_ReportingEntityName</vt:lpstr>
      <vt:lpstr>X_Cell_Site_StartDate</vt:lpstr>
      <vt:lpstr>X_Cell_Site_State</vt:lpstr>
      <vt:lpstr>X_Cell_Site_TemperatureZone</vt:lpstr>
      <vt:lpstr>X_Cell_Site_TotalRainfall</vt:lpstr>
      <vt:lpstr>X_Cell_Site_WetOrDryClimateZone</vt:lpstr>
      <vt:lpstr>X_Cell_TotalElegibleRECsForElectricityProducedOnSite</vt:lpstr>
      <vt:lpstr>X_Cell_TotalElegibleVoluntarilySurrenderedRECs</vt:lpstr>
      <vt:lpstr>X_ResultsTable_ActivityPeriod_Scope1</vt:lpstr>
      <vt:lpstr>X_Table_PastureBeef_CrudeProtein_Method1</vt:lpstr>
      <vt:lpstr>X_Table_PastureBeef_CrudeProtein_Method2</vt:lpstr>
      <vt:lpstr>X_Table_PastureBeef_DryMatterDigestibility_Method1</vt:lpstr>
      <vt:lpstr>X_Table_PastureBeef_DryMatterDigestibility_Method2</vt:lpstr>
      <vt:lpstr>X_Table_PastureBeef_Duration_Method1</vt:lpstr>
      <vt:lpstr>X_Table_PastureBeef_Duration_Method2</vt:lpstr>
      <vt:lpstr>X_Table_PastureBeef_Head_Method1</vt:lpstr>
      <vt:lpstr>X_Table_PastureBeef_Head_Method2</vt:lpstr>
      <vt:lpstr>X_Table_PastureBeef_Liveweight_Method1</vt:lpstr>
      <vt:lpstr>X_Table_PastureBeef_Liveweight_Method2</vt:lpstr>
      <vt:lpstr>X_Table_PastureBeef_LiveweightGain_Method1</vt:lpstr>
      <vt:lpstr>X_Table_PastureBeef_LiveweightGain_Method2</vt:lpstr>
      <vt:lpstr>X_Table_Result_ActivityPeriodEmissions_RowsToCols</vt:lpstr>
      <vt:lpstr>X_Table_Result_CarbonRemovalsFromPlantings_RowsToCols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Paul Kotz</dc:creator>
  <cp:lastModifiedBy>Paul Kotz</cp:lastModifiedBy>
  <dcterms:created xsi:type="dcterms:W3CDTF">2025-11-17T03:37:23Z</dcterms:created>
  <dcterms:modified xsi:type="dcterms:W3CDTF">2026-09-04T04:48:33Z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0x010100ACB660BB23738846A00119B5826AC974</vt:lpwstr>
  </property>
  <property fmtid="{D5CDD505-2E9C-101B-9397-08002B2CF9AE}" pid="3" name="MediaServiceImageTags">
    <vt:lpwstr/>
  </property>
  <property fmtid="{D5CDD505-2E9C-101B-9397-08002B2CF9AE}" pid="4" name="RestyleFontsApplied">
    <vt:lpwstr>applied 2026-09-02T17:27:38; rename=True resize=True scope=all</vt:lpwstr>
  </property>
</Properties>
</file>